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i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hedrickbrotherscom.sharepoint.com/sites/2026Projects/Shared Documents/26-225-01 The Club at Ibis/03 EstSummary/"/>
    </mc:Choice>
  </mc:AlternateContent>
  <xr:revisionPtr revIDLastSave="0" documentId="8_{938E5D16-9487-4528-97FB-57AE2A96FCF4}" xr6:coauthVersionLast="47" xr6:coauthVersionMax="47" xr10:uidLastSave="{00000000-0000-0000-0000-000000000000}"/>
  <bookViews>
    <workbookView xWindow="-120" yWindow="-120" windowWidth="29040" windowHeight="15720" tabRatio="831" firstSheet="5" activeTab="5" xr2:uid="{00000000-000D-0000-FFFF-FFFF00000000}"/>
  </bookViews>
  <sheets>
    <sheet name="Bond Calculator" sheetId="39" r:id="rId1"/>
    <sheet name="Allowances" sheetId="49" r:id="rId2"/>
    <sheet name="Alternates" sheetId="47" r:id="rId3"/>
    <sheet name="Labor Rates Calculator" sheetId="141" r:id="rId4"/>
    <sheet name="Area Calculations" sheetId="21" r:id="rId5"/>
    <sheet name="Sub List" sheetId="146" r:id="rId6"/>
    <sheet name="Manpower" sheetId="144" r:id="rId7"/>
    <sheet name="GCs &amp; GRs" sheetId="142" r:id="rId8"/>
    <sheet name="IDS" sheetId="143" r:id="rId9"/>
    <sheet name="Cost Summary (2)" sheetId="145" r:id="rId10"/>
    <sheet name="Cost Summary" sheetId="20" r:id="rId11"/>
    <sheet name="01A Surveying" sheetId="2" r:id="rId12"/>
    <sheet name="01B Material Testing" sheetId="51" state="hidden" r:id="rId13"/>
    <sheet name="01C Final Cleaning" sheetId="112" state="hidden" r:id="rId14"/>
    <sheet name="02A Demolition" sheetId="50" r:id="rId15"/>
    <sheet name="02B Abatement" sheetId="114" state="hidden" r:id="rId16"/>
    <sheet name="03A Concrete" sheetId="3" r:id="rId17"/>
    <sheet name="03B Precast Hollow Core" sheetId="140" state="hidden" r:id="rId18"/>
    <sheet name="03C Architectural Precast" sheetId="54" state="hidden" r:id="rId19"/>
    <sheet name="03C Concrete Tilt Up" sheetId="52" state="hidden" r:id="rId20"/>
    <sheet name="03D Structural Precast" sheetId="53" state="hidden" r:id="rId21"/>
    <sheet name="03E Cranes and Hoisting" sheetId="115" state="hidden" r:id="rId22"/>
    <sheet name="03F Concrete Restoration" sheetId="116" state="hidden" r:id="rId23"/>
    <sheet name="04A Masonry" sheetId="55" state="hidden" r:id="rId24"/>
    <sheet name="04B Stone Veneer" sheetId="32" state="hidden" r:id="rId25"/>
    <sheet name="05A Structural Steel" sheetId="4" r:id="rId26"/>
    <sheet name="05B Metal Trusses" sheetId="56" state="hidden" r:id="rId27"/>
    <sheet name="05C Misc. Metals" sheetId="57" r:id="rId28"/>
    <sheet name="05D Handrailings &amp; Railings" sheetId="117" state="hidden" r:id="rId29"/>
    <sheet name="05E Glass Railings" sheetId="118" state="hidden" r:id="rId30"/>
    <sheet name="06A Rough Carpentry" sheetId="58" r:id="rId31"/>
    <sheet name="06C Wood Trusses" sheetId="59" r:id="rId32"/>
    <sheet name="06D Interior Finish Carpentry" sheetId="60" state="hidden" r:id="rId33"/>
    <sheet name="06E Heavy Timber Construction" sheetId="61" state="hidden" r:id="rId34"/>
    <sheet name="06G Exterior Finish Carpent" sheetId="119" state="hidden" r:id="rId35"/>
    <sheet name="07B Sprayed Insulation" sheetId="66" state="hidden" r:id="rId36"/>
    <sheet name="07C Fireproofing&amp;Firestopping" sheetId="38" state="hidden" r:id="rId37"/>
    <sheet name="06F Millwork" sheetId="5" r:id="rId38"/>
    <sheet name="07D Roofing" sheetId="7" r:id="rId39"/>
    <sheet name="07E Caulking &amp; Waterproofing" sheetId="6" r:id="rId40"/>
    <sheet name="07F Siding" sheetId="64" state="hidden" r:id="rId41"/>
    <sheet name="07H Panelized Exterior Skin" sheetId="63" r:id="rId42"/>
    <sheet name="08A Doors, Frames, &amp; Hardware" sheetId="8" r:id="rId43"/>
    <sheet name="08 30 Retractable Screens" sheetId="68" state="hidden" r:id="rId44"/>
    <sheet name="08B Overhead Coiling Doors" sheetId="29" state="hidden" r:id="rId45"/>
    <sheet name="08C Glass and Glazing" sheetId="9" r:id="rId46"/>
    <sheet name="08D Skylights" sheetId="120" state="hidden" r:id="rId47"/>
    <sheet name="08E Mirrors" sheetId="71" state="hidden" r:id="rId48"/>
    <sheet name="09A Stucco" sheetId="69" r:id="rId49"/>
    <sheet name="09B Drywall&amp;Framing" sheetId="10" r:id="rId50"/>
    <sheet name="09C Acoustical Ceilings" sheetId="77" r:id="rId51"/>
    <sheet name="09D Acoustical Treatment" sheetId="121" r:id="rId52"/>
    <sheet name="09E Tile &amp; Stone" sheetId="75" r:id="rId53"/>
    <sheet name="09F Carpet &amp; Resilient" sheetId="74" r:id="rId54"/>
    <sheet name="09G Sports Flooring" sheetId="73" r:id="rId55"/>
    <sheet name="09H Resinuous &amp; Polished C" sheetId="76" state="hidden" r:id="rId56"/>
    <sheet name="09I Painting" sheetId="30" r:id="rId57"/>
    <sheet name="09J Venetian Plaster" sheetId="122" state="hidden" r:id="rId58"/>
    <sheet name="10A Signage" sheetId="41" r:id="rId59"/>
    <sheet name="10B Operable Partitions" sheetId="123" r:id="rId60"/>
    <sheet name="10C Toilet Partitions &amp; Bath" sheetId="81" r:id="rId61"/>
    <sheet name="10 22 Operable Partitions" sheetId="82" state="hidden" r:id="rId62"/>
    <sheet name="10D Shower Enclosures" sheetId="80" state="hidden" r:id="rId63"/>
    <sheet name="10 30 Fireplace" sheetId="79" state="hidden" r:id="rId64"/>
    <sheet name="10E Wall &amp; Corner Guards" sheetId="83" state="hidden" r:id="rId65"/>
    <sheet name="10F Lockers" sheetId="87" r:id="rId66"/>
    <sheet name="10G Mesh Sto Lockers" sheetId="124" state="hidden" r:id="rId67"/>
    <sheet name="10H Fireplaces" sheetId="125" state="hidden" r:id="rId68"/>
    <sheet name="10I Fire Extinguishers&amp;Cabinet" sheetId="78" r:id="rId69"/>
    <sheet name="10J Postal Specialties" sheetId="86" state="hidden" r:id="rId70"/>
    <sheet name="10K Flood Mitigation" sheetId="126" state="hidden" r:id="rId71"/>
    <sheet name="10L Flagpoles" sheetId="127" state="hidden" r:id="rId72"/>
    <sheet name="11 11 Laundry Equip." sheetId="85" state="hidden" r:id="rId73"/>
    <sheet name="11A Loading Dock Equip" sheetId="128" state="hidden" r:id="rId74"/>
    <sheet name="11B Food Service Equip" sheetId="89" state="hidden" r:id="rId75"/>
    <sheet name="11C Appliances" sheetId="84" state="hidden" r:id="rId76"/>
    <sheet name="12 30 Wall Protection" sheetId="92" state="hidden" r:id="rId77"/>
    <sheet name="11D Athletic Equipment&amp;Surf" sheetId="129" state="hidden" r:id="rId78"/>
    <sheet name="12A Window Treatment" sheetId="110" r:id="rId79"/>
    <sheet name="12C Lab Casework" sheetId="130" state="hidden" r:id="rId80"/>
    <sheet name="13A Pre Eng Walk Covers" sheetId="131" state="hidden" r:id="rId81"/>
    <sheet name="13B Swimming Pools" sheetId="25" r:id="rId82"/>
    <sheet name="13C Awnings,Canopies,Shutters" sheetId="132" r:id="rId83"/>
    <sheet name="13D Saunas" sheetId="133" state="hidden" r:id="rId84"/>
    <sheet name="13E Playground Equip" sheetId="134" state="hidden" r:id="rId85"/>
    <sheet name="13F Shade Structures" sheetId="135" state="hidden" r:id="rId86"/>
    <sheet name="13G Metal Buildings" sheetId="136" state="hidden" r:id="rId87"/>
    <sheet name="14A Elevators" sheetId="93" r:id="rId88"/>
    <sheet name="14B Chutes&amp;Collectors" sheetId="35" state="hidden" r:id="rId89"/>
    <sheet name="14C Elevator Interior&amp;Modern" sheetId="138" state="hidden" r:id="rId90"/>
    <sheet name="14D Wheelchair Lifts" sheetId="137" state="hidden" r:id="rId91"/>
    <sheet name="14E Vehicle Lifts" sheetId="94" state="hidden" r:id="rId92"/>
    <sheet name="14 80 Scaffolding" sheetId="90" state="hidden" r:id="rId93"/>
    <sheet name="21A Fire Sprinkler" sheetId="46" r:id="rId94"/>
    <sheet name="22A Plumbing " sheetId="95" r:id="rId95"/>
    <sheet name="23A HVAC" sheetId="16" r:id="rId96"/>
    <sheet name="26A Electrical" sheetId="13" r:id="rId97"/>
    <sheet name="27A Fire Alarm" sheetId="31" state="hidden" r:id="rId98"/>
    <sheet name="31B Dewatering" sheetId="99" state="hidden" r:id="rId99"/>
    <sheet name="31D Soil Improvements" sheetId="100" state="hidden" r:id="rId100"/>
    <sheet name="31F Sheet Piling" sheetId="15" state="hidden" r:id="rId101"/>
    <sheet name="31G Auger Cast Piles" sheetId="139" state="hidden" r:id="rId102"/>
    <sheet name="28A Low Voltage" sheetId="17" r:id="rId103"/>
    <sheet name="31A Sitework" sheetId="14" r:id="rId104"/>
    <sheet name="32A Pavers" sheetId="102" r:id="rId105"/>
    <sheet name="32B Site Furnishings" sheetId="101" state="hidden" r:id="rId106"/>
    <sheet name="32C Landscape and Irrigation" sheetId="28" r:id="rId107"/>
    <sheet name="32D Fencing" sheetId="104" r:id="rId108"/>
    <sheet name="32E Synthetic Fields" sheetId="26" r:id="rId109"/>
    <sheet name="35A Marine Work" sheetId="36" state="hidden" r:id="rId110"/>
    <sheet name="41 22 Crane and Hoist" sheetId="109" state="hidden" r:id="rId111"/>
    <sheet name="SiteWorkPrices" sheetId="107" state="hidden" r:id="rId112"/>
    <sheet name="UnitPrices" sheetId="108" state="hidden" r:id="rId113"/>
  </sheets>
  <externalReferences>
    <externalReference r:id="rId114"/>
  </externalReferences>
  <definedNames>
    <definedName name="FCP" localSheetId="0">'Bond Calculator'!$B$7</definedName>
    <definedName name="_xlnm.Print_Area" localSheetId="16">'03A Concrete'!$A$1:$M$63</definedName>
    <definedName name="_xlnm.Print_Area" localSheetId="25">'05A Structural Steel'!$A$1:$G$86</definedName>
    <definedName name="_xlnm.Print_Area" localSheetId="37">'06F Millwork'!$A$1:$G$108</definedName>
    <definedName name="_xlnm.Print_Area" localSheetId="38">'07D Roofing'!$A$1:$G$88</definedName>
    <definedName name="_xlnm.Print_Area" localSheetId="39">'07E Caulking &amp; Waterproofing'!$A$1:$G$109</definedName>
    <definedName name="_xlnm.Print_Area" localSheetId="45">'08C Glass and Glazing'!$A$1:$G$85</definedName>
    <definedName name="_xlnm.Print_Area" localSheetId="49">'09B Drywall&amp;Framing'!$A$1:$G$85</definedName>
    <definedName name="_xlnm.Print_Area" localSheetId="80">'13A Pre Eng Walk Covers'!$A$1:$G$78</definedName>
    <definedName name="_xlnm.Print_Area" localSheetId="81">'13B Swimming Pools'!$A$1:$G$94</definedName>
    <definedName name="_xlnm.Print_Area" localSheetId="82">'13C Awnings,Canopies,Shutters'!$A$1:$G$79</definedName>
    <definedName name="_xlnm.Print_Area" localSheetId="83">'13D Saunas'!$A$1:$G$78</definedName>
    <definedName name="_xlnm.Print_Area" localSheetId="84">'13E Playground Equip'!$A$1:$G$78</definedName>
    <definedName name="_xlnm.Print_Area" localSheetId="85">'13F Shade Structures'!$A$1:$G$96</definedName>
    <definedName name="_xlnm.Print_Area" localSheetId="86">'13G Metal Buildings'!$A$1:$G$78</definedName>
    <definedName name="_xlnm.Print_Area" localSheetId="95">'23A HVAC'!$A$1:$Q$73</definedName>
    <definedName name="_xlnm.Print_Area" localSheetId="96">'26A Electrical'!$A$1:$M$85</definedName>
    <definedName name="_xlnm.Print_Area" localSheetId="102">'28A Low Voltage'!$A$1:$G$107</definedName>
    <definedName name="_xlnm.Print_Area" localSheetId="103">'31A Sitework'!$A$1:$G$231</definedName>
    <definedName name="_xlnm.Print_Area" localSheetId="100">'31F Sheet Piling'!$A$1:$G$72</definedName>
    <definedName name="_xlnm.Print_Area" localSheetId="101">'31G Auger Cast Piles'!$A$1:$G$72</definedName>
    <definedName name="_xlnm.Print_Area" localSheetId="108">'32E Synthetic Fields'!$A$1:$G$85</definedName>
    <definedName name="_xlnm.Print_Area" localSheetId="1">Allowances!$A$1:$C$31</definedName>
    <definedName name="_xlnm.Print_Area" localSheetId="10">'Cost Summary'!$A$2:$AL$80</definedName>
    <definedName name="_xlnm.Print_Area" localSheetId="9">'Cost Summary (2)'!$A$2:$AI$82</definedName>
    <definedName name="_xlnm.Print_Area" localSheetId="5">'Sub List'!$A$1:$E$30</definedName>
  </definedNames>
  <calcPr calcId="191028" iterate="1" iterateCount="1000"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102" l="1"/>
  <c r="G39" i="102"/>
  <c r="F38" i="104"/>
  <c r="D39" i="58"/>
  <c r="A5" i="146"/>
  <c r="D65" i="145"/>
  <c r="AL74" i="145"/>
  <c r="AL75" i="145"/>
  <c r="J103" i="142"/>
  <c r="N12" i="142"/>
  <c r="M12" i="142"/>
  <c r="I49" i="14"/>
  <c r="F57" i="30"/>
  <c r="F56" i="30"/>
  <c r="F55" i="30"/>
  <c r="F54" i="30"/>
  <c r="F52" i="30"/>
  <c r="F51" i="30"/>
  <c r="F54" i="3"/>
  <c r="AL82" i="145"/>
  <c r="AL69" i="145"/>
  <c r="AL70" i="145"/>
  <c r="AL71" i="145"/>
  <c r="AL72" i="145"/>
  <c r="AL62" i="145"/>
  <c r="AL63" i="145"/>
  <c r="AL61" i="145"/>
  <c r="AC7" i="20"/>
  <c r="D77" i="20"/>
  <c r="F47" i="46"/>
  <c r="F61" i="5"/>
  <c r="F60" i="5"/>
  <c r="F58" i="5"/>
  <c r="F49" i="5"/>
  <c r="F48" i="5"/>
  <c r="F46" i="59"/>
  <c r="G46" i="59" s="1"/>
  <c r="I46" i="59" s="1"/>
  <c r="P20" i="20" s="1"/>
  <c r="Q20" i="20" s="1"/>
  <c r="F44" i="3"/>
  <c r="G44" i="3" s="1"/>
  <c r="I44" i="3" s="1"/>
  <c r="F43" i="3"/>
  <c r="G43" i="3" s="1"/>
  <c r="I43" i="3" s="1"/>
  <c r="F42" i="3"/>
  <c r="G42" i="3" s="1"/>
  <c r="I42" i="3" s="1"/>
  <c r="F40" i="102"/>
  <c r="G40" i="102" s="1"/>
  <c r="I40" i="102" s="1"/>
  <c r="F47" i="81"/>
  <c r="F46" i="81"/>
  <c r="F45" i="81"/>
  <c r="G45" i="81" s="1"/>
  <c r="I45" i="81" s="1"/>
  <c r="F45" i="121"/>
  <c r="F53" i="5"/>
  <c r="Y56" i="20"/>
  <c r="D56" i="20" s="1"/>
  <c r="W55" i="20"/>
  <c r="Y86" i="145"/>
  <c r="W86" i="145"/>
  <c r="AE86" i="145"/>
  <c r="AC86" i="145"/>
  <c r="AA86" i="145"/>
  <c r="M92" i="145"/>
  <c r="AG60" i="145"/>
  <c r="AG64" i="145" s="1"/>
  <c r="AG73" i="145" s="1"/>
  <c r="AG76" i="145" s="1"/>
  <c r="F9" i="145"/>
  <c r="A9" i="145"/>
  <c r="F8" i="145"/>
  <c r="AE7" i="145"/>
  <c r="AC7" i="145"/>
  <c r="AA7" i="145"/>
  <c r="R7" i="145"/>
  <c r="F7" i="145"/>
  <c r="A7" i="145"/>
  <c r="A6" i="145"/>
  <c r="AE59" i="20"/>
  <c r="D59" i="20" s="1"/>
  <c r="AC58" i="20"/>
  <c r="D58" i="20" s="1"/>
  <c r="AA57" i="20"/>
  <c r="D57" i="20" s="1"/>
  <c r="AE20" i="144"/>
  <c r="M42" i="142"/>
  <c r="M40" i="142"/>
  <c r="M38" i="142"/>
  <c r="AG37" i="144"/>
  <c r="AG36" i="144"/>
  <c r="AG35" i="144"/>
  <c r="AG34" i="144"/>
  <c r="AG33" i="144"/>
  <c r="D23" i="142"/>
  <c r="D20" i="142"/>
  <c r="D21" i="142"/>
  <c r="D22" i="142"/>
  <c r="F64" i="17"/>
  <c r="D54" i="17"/>
  <c r="G54" i="17"/>
  <c r="F69" i="17"/>
  <c r="F68" i="17"/>
  <c r="F66" i="17"/>
  <c r="F65" i="17"/>
  <c r="F59" i="17"/>
  <c r="F58" i="17"/>
  <c r="F56" i="17"/>
  <c r="D61" i="13"/>
  <c r="G61" i="13" s="1"/>
  <c r="D60" i="13"/>
  <c r="G60" i="13" s="1"/>
  <c r="R7" i="20"/>
  <c r="D64" i="17" s="1"/>
  <c r="G64" i="17" s="1"/>
  <c r="AE7" i="20"/>
  <c r="M86" i="20"/>
  <c r="L36" i="20"/>
  <c r="M36" i="20" s="1"/>
  <c r="H36" i="20"/>
  <c r="F46" i="123"/>
  <c r="G46" i="123"/>
  <c r="I46" i="123" s="1"/>
  <c r="G45" i="123"/>
  <c r="I45" i="123" s="1"/>
  <c r="P36" i="20" s="1"/>
  <c r="T36" i="20"/>
  <c r="G43" i="6"/>
  <c r="I43" i="6"/>
  <c r="D43" i="6"/>
  <c r="F43" i="7"/>
  <c r="F50" i="5"/>
  <c r="F68" i="5"/>
  <c r="F67" i="5"/>
  <c r="F57" i="5"/>
  <c r="F56" i="5"/>
  <c r="G41" i="25"/>
  <c r="I41" i="25"/>
  <c r="D70" i="5"/>
  <c r="G70" i="5" s="1"/>
  <c r="I70" i="5" s="1"/>
  <c r="D62" i="5"/>
  <c r="G62" i="5" s="1"/>
  <c r="I62" i="5" s="1"/>
  <c r="D49" i="5"/>
  <c r="D48" i="2"/>
  <c r="D43" i="2"/>
  <c r="D38" i="2"/>
  <c r="I68" i="17"/>
  <c r="D65" i="17"/>
  <c r="G65" i="17" s="1"/>
  <c r="D66" i="17"/>
  <c r="G66" i="17"/>
  <c r="D67" i="17"/>
  <c r="G67" i="17"/>
  <c r="I67" i="17" s="1"/>
  <c r="D68" i="17"/>
  <c r="G68" i="17"/>
  <c r="D69" i="17"/>
  <c r="G69" i="17"/>
  <c r="I55" i="17"/>
  <c r="I56" i="17"/>
  <c r="I58" i="17"/>
  <c r="I59" i="17"/>
  <c r="D49" i="14"/>
  <c r="D38" i="102"/>
  <c r="D65" i="14"/>
  <c r="D40" i="132"/>
  <c r="D39" i="132"/>
  <c r="F39" i="132"/>
  <c r="F40" i="132" s="1"/>
  <c r="F41" i="132" s="1"/>
  <c r="G41" i="132" s="1"/>
  <c r="I41" i="132" s="1"/>
  <c r="D38" i="132"/>
  <c r="G38" i="132" s="1"/>
  <c r="I38" i="132" s="1"/>
  <c r="P42" i="20"/>
  <c r="L42" i="20"/>
  <c r="B4" i="143"/>
  <c r="I96" i="75"/>
  <c r="G96" i="75"/>
  <c r="G95" i="75"/>
  <c r="P24" i="20"/>
  <c r="H24" i="20"/>
  <c r="D41" i="63"/>
  <c r="G41" i="63" s="1"/>
  <c r="I41" i="63" s="1"/>
  <c r="L24" i="20" s="1"/>
  <c r="D43" i="4"/>
  <c r="G43" i="4" s="1"/>
  <c r="I43" i="4" s="1"/>
  <c r="F9" i="20"/>
  <c r="F7" i="20"/>
  <c r="F8" i="20"/>
  <c r="D48" i="4"/>
  <c r="G48" i="4" s="1"/>
  <c r="I48" i="4" s="1"/>
  <c r="P17" i="20" s="1"/>
  <c r="Q17" i="20" s="1"/>
  <c r="D42" i="4"/>
  <c r="G42" i="4" s="1"/>
  <c r="I42" i="4" s="1"/>
  <c r="G39" i="104"/>
  <c r="I39" i="104"/>
  <c r="G38" i="28"/>
  <c r="I38" i="28"/>
  <c r="G50" i="28"/>
  <c r="I50" i="28"/>
  <c r="I43" i="14"/>
  <c r="G49" i="17"/>
  <c r="I49" i="17" s="1"/>
  <c r="G57" i="14"/>
  <c r="D44" i="121"/>
  <c r="G44" i="121"/>
  <c r="I44" i="121" s="1"/>
  <c r="L43" i="20"/>
  <c r="M43" i="20" s="1"/>
  <c r="H43" i="20"/>
  <c r="G44" i="93"/>
  <c r="I44" i="93" s="1"/>
  <c r="P43" i="20" s="1"/>
  <c r="G46" i="73"/>
  <c r="I48" i="75"/>
  <c r="G57" i="13"/>
  <c r="G49" i="95"/>
  <c r="D44" i="75"/>
  <c r="G122" i="75"/>
  <c r="I68" i="74"/>
  <c r="F71" i="74"/>
  <c r="F72" i="74" s="1"/>
  <c r="F73" i="74" s="1"/>
  <c r="F74" i="74" s="1"/>
  <c r="F56" i="74"/>
  <c r="F50" i="74"/>
  <c r="F52" i="74"/>
  <c r="F51" i="74"/>
  <c r="F48" i="74"/>
  <c r="I46" i="74"/>
  <c r="I54" i="74"/>
  <c r="G64" i="14"/>
  <c r="G63" i="14"/>
  <c r="G48" i="95"/>
  <c r="G45" i="75"/>
  <c r="G56" i="13"/>
  <c r="G66" i="14"/>
  <c r="G78" i="30"/>
  <c r="I78" i="30"/>
  <c r="G74" i="74"/>
  <c r="G73" i="74"/>
  <c r="D45" i="121"/>
  <c r="G45" i="121"/>
  <c r="I45" i="121" s="1"/>
  <c r="P30" i="20"/>
  <c r="L30" i="20"/>
  <c r="M30" i="20" s="1"/>
  <c r="H30" i="20"/>
  <c r="G45" i="73"/>
  <c r="G69" i="5"/>
  <c r="I69" i="5" s="1"/>
  <c r="G72" i="74"/>
  <c r="D121" i="75"/>
  <c r="G121" i="75" s="1"/>
  <c r="D120" i="75"/>
  <c r="G120" i="75" s="1"/>
  <c r="F119" i="75"/>
  <c r="G119" i="75" s="1"/>
  <c r="G68" i="5"/>
  <c r="I68" i="5" s="1"/>
  <c r="D118" i="75"/>
  <c r="G118" i="75" s="1"/>
  <c r="D117" i="75"/>
  <c r="G117" i="75" s="1"/>
  <c r="F116" i="75"/>
  <c r="G116" i="75" s="1"/>
  <c r="D115" i="75"/>
  <c r="D114" i="75"/>
  <c r="G115" i="75"/>
  <c r="F114" i="75"/>
  <c r="G114" i="75"/>
  <c r="L33" i="20"/>
  <c r="M33" i="20" s="1"/>
  <c r="H33" i="20"/>
  <c r="G49" i="28"/>
  <c r="I49" i="28"/>
  <c r="G71" i="74"/>
  <c r="G70" i="74"/>
  <c r="D75" i="30"/>
  <c r="G52" i="77"/>
  <c r="I52" i="77" s="1"/>
  <c r="P29" i="20" s="1"/>
  <c r="G75" i="30"/>
  <c r="I75" i="30" s="1"/>
  <c r="G44" i="73"/>
  <c r="P33" i="20" s="1"/>
  <c r="Q33" i="20"/>
  <c r="D113" i="75"/>
  <c r="D112" i="75"/>
  <c r="G113" i="75"/>
  <c r="G112" i="75"/>
  <c r="D111" i="75"/>
  <c r="G111" i="75" s="1"/>
  <c r="D110" i="75"/>
  <c r="G110" i="75" s="1"/>
  <c r="F109" i="75"/>
  <c r="G109" i="75" s="1"/>
  <c r="G67" i="5"/>
  <c r="I67" i="5" s="1"/>
  <c r="P21" i="20" s="1"/>
  <c r="Q21" i="20" s="1"/>
  <c r="D108" i="75"/>
  <c r="G108" i="75"/>
  <c r="D107" i="75"/>
  <c r="G107" i="75"/>
  <c r="F106" i="75"/>
  <c r="G106" i="75" s="1"/>
  <c r="F105" i="75"/>
  <c r="G105" i="75"/>
  <c r="D104" i="75"/>
  <c r="D103" i="75"/>
  <c r="G104" i="75"/>
  <c r="F103" i="75"/>
  <c r="G103" i="75"/>
  <c r="D102" i="75"/>
  <c r="D101" i="75"/>
  <c r="G102" i="75"/>
  <c r="G101" i="75"/>
  <c r="P31" i="20" s="1"/>
  <c r="G77" i="74"/>
  <c r="P54" i="20"/>
  <c r="P53" i="20"/>
  <c r="D48" i="28"/>
  <c r="G48" i="28"/>
  <c r="I48" i="28" s="1"/>
  <c r="G50" i="102"/>
  <c r="I50" i="102" s="1"/>
  <c r="P50" i="20" s="1"/>
  <c r="Q50" i="20" s="1"/>
  <c r="P48" i="20"/>
  <c r="Q48" i="20" s="1"/>
  <c r="D75" i="13"/>
  <c r="G75" i="13"/>
  <c r="P47" i="20" s="1"/>
  <c r="Q47" i="20" s="1"/>
  <c r="D61" i="16"/>
  <c r="G61" i="16" s="1"/>
  <c r="P46" i="20" s="1"/>
  <c r="D59" i="95"/>
  <c r="G59" i="95" s="1"/>
  <c r="P45" i="20" s="1"/>
  <c r="D47" i="46"/>
  <c r="G47" i="46" s="1"/>
  <c r="I47" i="46" s="1"/>
  <c r="P41" i="20"/>
  <c r="G49" i="69"/>
  <c r="I49" i="69" s="1"/>
  <c r="D46" i="110"/>
  <c r="G46" i="110"/>
  <c r="I46" i="110" s="1"/>
  <c r="D47" i="78"/>
  <c r="G47" i="78" s="1"/>
  <c r="I47" i="78" s="1"/>
  <c r="P38" i="20"/>
  <c r="P37" i="20"/>
  <c r="D53" i="81"/>
  <c r="G54" i="81"/>
  <c r="I54" i="81" s="1"/>
  <c r="G53" i="81"/>
  <c r="I53" i="81" s="1"/>
  <c r="G52" i="81"/>
  <c r="I52" i="81" s="1"/>
  <c r="D47" i="41"/>
  <c r="G47" i="41"/>
  <c r="I47" i="41" s="1"/>
  <c r="D73" i="30"/>
  <c r="G73" i="30"/>
  <c r="I73" i="30" s="1"/>
  <c r="D48" i="30"/>
  <c r="D47" i="10"/>
  <c r="D42" i="10"/>
  <c r="G47" i="10"/>
  <c r="I47" i="10" s="1"/>
  <c r="D47" i="69"/>
  <c r="G47" i="8"/>
  <c r="I47" i="8" s="1"/>
  <c r="G47" i="9"/>
  <c r="I47" i="9" s="1"/>
  <c r="G46" i="9"/>
  <c r="I46" i="9" s="1"/>
  <c r="P26" i="20" s="1"/>
  <c r="Q26" i="20" s="1"/>
  <c r="D48" i="6"/>
  <c r="G48" i="6"/>
  <c r="I48" i="6" s="1"/>
  <c r="G49" i="7"/>
  <c r="I49" i="7" s="1"/>
  <c r="G48" i="7"/>
  <c r="I48" i="7" s="1"/>
  <c r="D50" i="7"/>
  <c r="G50" i="7" s="1"/>
  <c r="I50" i="7" s="1"/>
  <c r="D54" i="58"/>
  <c r="G54" i="58"/>
  <c r="I54" i="58" s="1"/>
  <c r="D53" i="58"/>
  <c r="D46" i="58"/>
  <c r="D51" i="58"/>
  <c r="G49" i="57"/>
  <c r="I49" i="57" s="1"/>
  <c r="G50" i="57"/>
  <c r="I50" i="57"/>
  <c r="D48" i="57"/>
  <c r="G48" i="57" s="1"/>
  <c r="I48" i="57" s="1"/>
  <c r="G56" i="3"/>
  <c r="I56" i="3"/>
  <c r="G55" i="3"/>
  <c r="I55" i="3"/>
  <c r="G50" i="50"/>
  <c r="I50" i="50"/>
  <c r="G53" i="14"/>
  <c r="D54" i="3"/>
  <c r="G54" i="3" s="1"/>
  <c r="I54" i="3" s="1"/>
  <c r="G49" i="50"/>
  <c r="I49" i="50" s="1"/>
  <c r="P15" i="20" s="1"/>
  <c r="G48" i="2"/>
  <c r="I48" i="2" s="1"/>
  <c r="G39" i="3"/>
  <c r="I39" i="3"/>
  <c r="G37" i="4"/>
  <c r="I37" i="4" s="1"/>
  <c r="G41" i="3"/>
  <c r="I41" i="3" s="1"/>
  <c r="G40" i="50"/>
  <c r="I40" i="50" s="1"/>
  <c r="G48" i="14"/>
  <c r="D43" i="30"/>
  <c r="L54" i="20"/>
  <c r="M54" i="20" s="1"/>
  <c r="L53" i="20"/>
  <c r="M53" i="20" s="1"/>
  <c r="D43" i="28"/>
  <c r="G43" i="28" s="1"/>
  <c r="I43" i="28" s="1"/>
  <c r="D37" i="28"/>
  <c r="G45" i="102"/>
  <c r="I45" i="102" s="1"/>
  <c r="L50" i="20" s="1"/>
  <c r="M50" i="20" s="1"/>
  <c r="D76" i="14"/>
  <c r="G76" i="14" s="1"/>
  <c r="P49" i="20" s="1"/>
  <c r="D71" i="14"/>
  <c r="G71" i="14" s="1"/>
  <c r="D56" i="17"/>
  <c r="D57" i="17"/>
  <c r="D58" i="17"/>
  <c r="D59" i="17"/>
  <c r="D55" i="17"/>
  <c r="G59" i="17"/>
  <c r="G58" i="17"/>
  <c r="G57" i="17"/>
  <c r="I57" i="17" s="1"/>
  <c r="G56" i="17"/>
  <c r="G55" i="17"/>
  <c r="L48" i="20" s="1"/>
  <c r="M48" i="20" s="1"/>
  <c r="D67" i="13"/>
  <c r="Q54" i="20"/>
  <c r="Q29" i="20"/>
  <c r="Q31" i="20"/>
  <c r="Q37" i="20"/>
  <c r="Q38" i="20"/>
  <c r="Q41" i="20"/>
  <c r="Q45" i="20"/>
  <c r="Q46" i="20"/>
  <c r="Q49" i="20"/>
  <c r="Q53" i="20"/>
  <c r="Q15" i="20"/>
  <c r="D51" i="16"/>
  <c r="G51" i="16" s="1"/>
  <c r="L46" i="20" s="1"/>
  <c r="M46" i="20" s="1"/>
  <c r="D54" i="95"/>
  <c r="G54" i="95" s="1"/>
  <c r="L45" i="20" s="1"/>
  <c r="M45" i="20" s="1"/>
  <c r="D42" i="46"/>
  <c r="G42" i="46" s="1"/>
  <c r="I42" i="46" s="1"/>
  <c r="D41" i="110"/>
  <c r="G41" i="110"/>
  <c r="I41" i="110" s="1"/>
  <c r="D42" i="78"/>
  <c r="G42" i="78" s="1"/>
  <c r="I42" i="78" s="1"/>
  <c r="G47" i="81"/>
  <c r="I47" i="81"/>
  <c r="G40" i="81"/>
  <c r="I40" i="81"/>
  <c r="D46" i="81"/>
  <c r="D37" i="41"/>
  <c r="D42" i="41"/>
  <c r="G42" i="41" s="1"/>
  <c r="I42" i="41" s="1"/>
  <c r="G43" i="57"/>
  <c r="I43" i="57"/>
  <c r="D42" i="69"/>
  <c r="G42" i="69"/>
  <c r="I42" i="69" s="1"/>
  <c r="L27" i="20" s="1"/>
  <c r="M27" i="20" s="1"/>
  <c r="G41" i="9"/>
  <c r="I41" i="9" s="1"/>
  <c r="L26" i="20" s="1"/>
  <c r="M26" i="20" s="1"/>
  <c r="G42" i="8"/>
  <c r="I42" i="8" s="1"/>
  <c r="D42" i="6"/>
  <c r="G42" i="6"/>
  <c r="I42" i="6" s="1"/>
  <c r="D42" i="7"/>
  <c r="D43" i="7"/>
  <c r="G43" i="7"/>
  <c r="I43" i="7" s="1"/>
  <c r="G42" i="7"/>
  <c r="I42" i="7" s="1"/>
  <c r="L22" i="20" s="1"/>
  <c r="M22" i="20" s="1"/>
  <c r="L20" i="20"/>
  <c r="M20" i="20" s="1"/>
  <c r="D37" i="57"/>
  <c r="G37" i="57" s="1"/>
  <c r="I37" i="57" s="1"/>
  <c r="H17" i="20"/>
  <c r="L17" i="20"/>
  <c r="M17" i="20" s="1"/>
  <c r="D44" i="58"/>
  <c r="D42" i="57"/>
  <c r="G42" i="57" s="1"/>
  <c r="I42" i="57" s="1"/>
  <c r="D49" i="3"/>
  <c r="G49" i="3"/>
  <c r="I49" i="3" s="1"/>
  <c r="L15" i="20"/>
  <c r="M15" i="20" s="1"/>
  <c r="D50" i="75"/>
  <c r="D49" i="75"/>
  <c r="G92" i="75"/>
  <c r="G88" i="75"/>
  <c r="G80" i="75"/>
  <c r="D64" i="74"/>
  <c r="F42" i="77"/>
  <c r="F43" i="77" s="1"/>
  <c r="F44" i="77" s="1"/>
  <c r="F45" i="77" s="1"/>
  <c r="F67" i="30"/>
  <c r="F68" i="30" s="1"/>
  <c r="G68" i="30" s="1"/>
  <c r="G66" i="30"/>
  <c r="G67" i="30"/>
  <c r="G91" i="75"/>
  <c r="G90" i="75"/>
  <c r="G60" i="30"/>
  <c r="F61" i="30"/>
  <c r="G89" i="75"/>
  <c r="D55" i="74"/>
  <c r="G51" i="74"/>
  <c r="D62" i="74"/>
  <c r="G54" i="5"/>
  <c r="I54" i="5" s="1"/>
  <c r="G58" i="5"/>
  <c r="I58" i="5" s="1"/>
  <c r="D63" i="74"/>
  <c r="F57" i="74"/>
  <c r="F58" i="74" s="1"/>
  <c r="F59" i="74" s="1"/>
  <c r="F60" i="74" s="1"/>
  <c r="F61" i="74" s="1"/>
  <c r="F62" i="74" s="1"/>
  <c r="F63" i="74" s="1"/>
  <c r="G62" i="74"/>
  <c r="D45" i="17"/>
  <c r="D46" i="17"/>
  <c r="D47" i="17"/>
  <c r="D48" i="17"/>
  <c r="D35" i="17"/>
  <c r="D36" i="17"/>
  <c r="D37" i="17"/>
  <c r="D38" i="17"/>
  <c r="D44" i="17"/>
  <c r="D55" i="13"/>
  <c r="D46" i="16"/>
  <c r="D47" i="95"/>
  <c r="D37" i="46"/>
  <c r="D42" i="30"/>
  <c r="D37" i="10"/>
  <c r="D37" i="6"/>
  <c r="D38" i="5"/>
  <c r="D37" i="58"/>
  <c r="D38" i="58" s="1"/>
  <c r="D37" i="3"/>
  <c r="G55" i="14"/>
  <c r="I55" i="14" s="1"/>
  <c r="D50" i="142"/>
  <c r="D57" i="5"/>
  <c r="D56" i="5"/>
  <c r="G57" i="5"/>
  <c r="I57" i="5" s="1"/>
  <c r="D83" i="75"/>
  <c r="D75" i="75"/>
  <c r="D82" i="75"/>
  <c r="D57" i="30"/>
  <c r="D74" i="75"/>
  <c r="G57" i="30"/>
  <c r="I57" i="30"/>
  <c r="D53" i="30"/>
  <c r="D56" i="30"/>
  <c r="G56" i="30" s="1"/>
  <c r="I56" i="30" s="1"/>
  <c r="G87" i="75"/>
  <c r="D86" i="75"/>
  <c r="G86" i="75" s="1"/>
  <c r="D85" i="75"/>
  <c r="G85" i="75" s="1"/>
  <c r="G84" i="75"/>
  <c r="G83" i="75"/>
  <c r="G82" i="75"/>
  <c r="G81" i="75"/>
  <c r="D77" i="75"/>
  <c r="D78" i="75"/>
  <c r="G79" i="75"/>
  <c r="G78" i="75"/>
  <c r="G77" i="75"/>
  <c r="G76" i="75"/>
  <c r="G56" i="5"/>
  <c r="I56" i="5"/>
  <c r="G75" i="75"/>
  <c r="G74" i="75"/>
  <c r="G73" i="75"/>
  <c r="F42" i="87"/>
  <c r="D61" i="74"/>
  <c r="G61" i="74"/>
  <c r="G42" i="87"/>
  <c r="I42" i="87" s="1"/>
  <c r="G41" i="87"/>
  <c r="I41" i="87" s="1"/>
  <c r="L38" i="20" s="1"/>
  <c r="M38" i="20" s="1"/>
  <c r="D60" i="74"/>
  <c r="G60" i="74"/>
  <c r="G55" i="5"/>
  <c r="I55" i="5" s="1"/>
  <c r="G40" i="25"/>
  <c r="I40" i="25"/>
  <c r="G50" i="74"/>
  <c r="D59" i="74"/>
  <c r="D58" i="74"/>
  <c r="D57" i="74"/>
  <c r="G44" i="77"/>
  <c r="I44" i="77" s="1"/>
  <c r="G43" i="77"/>
  <c r="I43" i="77" s="1"/>
  <c r="G42" i="77"/>
  <c r="I42" i="77" s="1"/>
  <c r="G59" i="74"/>
  <c r="G58" i="74"/>
  <c r="G57" i="74"/>
  <c r="D72" i="75"/>
  <c r="D69" i="75"/>
  <c r="D71" i="75"/>
  <c r="D68" i="75"/>
  <c r="G72" i="75"/>
  <c r="G71" i="75"/>
  <c r="G70" i="75"/>
  <c r="G69" i="75"/>
  <c r="G68" i="75"/>
  <c r="G67" i="75"/>
  <c r="G53" i="5"/>
  <c r="I53" i="5" s="1"/>
  <c r="G52" i="5"/>
  <c r="I52" i="5"/>
  <c r="D66" i="75"/>
  <c r="G66" i="75" s="1"/>
  <c r="G65" i="75"/>
  <c r="D64" i="75"/>
  <c r="G64" i="75" s="1"/>
  <c r="D63" i="75"/>
  <c r="G63" i="75" s="1"/>
  <c r="G62" i="75"/>
  <c r="D61" i="75"/>
  <c r="D59" i="75"/>
  <c r="D58" i="75"/>
  <c r="G61" i="75"/>
  <c r="G60" i="75"/>
  <c r="G59" i="75"/>
  <c r="G57" i="75"/>
  <c r="G58" i="75"/>
  <c r="G51" i="5"/>
  <c r="I51" i="5" s="1"/>
  <c r="G41" i="77"/>
  <c r="I41" i="77" s="1"/>
  <c r="G46" i="81" l="1"/>
  <c r="I46" i="81" s="1"/>
  <c r="L37" i="20" s="1"/>
  <c r="M37" i="20" s="1"/>
  <c r="L16" i="20"/>
  <c r="M16" i="20" s="1"/>
  <c r="L18" i="20"/>
  <c r="M18" i="20" s="1"/>
  <c r="L23" i="20"/>
  <c r="M23" i="20" s="1"/>
  <c r="L25" i="20"/>
  <c r="M25" i="20" s="1"/>
  <c r="L35" i="20"/>
  <c r="M35" i="20" s="1"/>
  <c r="L39" i="20"/>
  <c r="M39" i="20" s="1"/>
  <c r="L40" i="20"/>
  <c r="M40" i="20" s="1"/>
  <c r="L44" i="20"/>
  <c r="M44" i="20" s="1"/>
  <c r="L52" i="20"/>
  <c r="M52" i="20" s="1"/>
  <c r="P13" i="20"/>
  <c r="Q13" i="20" s="1"/>
  <c r="P16" i="20"/>
  <c r="Q16" i="20" s="1"/>
  <c r="P18" i="20"/>
  <c r="Q18" i="20" s="1"/>
  <c r="P23" i="20"/>
  <c r="Q23" i="20" s="1"/>
  <c r="P25" i="20"/>
  <c r="Q25" i="20" s="1"/>
  <c r="P28" i="20"/>
  <c r="Q28" i="20" s="1"/>
  <c r="P34" i="20"/>
  <c r="Q34" i="20" s="1"/>
  <c r="P35" i="20"/>
  <c r="Q35" i="20" s="1"/>
  <c r="P39" i="20"/>
  <c r="Q39" i="20" s="1"/>
  <c r="P40" i="20"/>
  <c r="Q40" i="20" s="1"/>
  <c r="P44" i="20"/>
  <c r="Q44" i="20" s="1"/>
  <c r="P52" i="20"/>
  <c r="Q52" i="20" s="1"/>
  <c r="G67" i="13"/>
  <c r="L47" i="20" s="1"/>
  <c r="M47" i="20" s="1"/>
  <c r="D68" i="13"/>
  <c r="D77" i="13"/>
  <c r="G77" i="13" s="1"/>
  <c r="D76" i="13"/>
  <c r="G76" i="13" s="1"/>
  <c r="T24" i="20"/>
  <c r="M24" i="20"/>
  <c r="M42" i="20"/>
  <c r="G61" i="5"/>
  <c r="I61" i="5" s="1"/>
  <c r="G60" i="5"/>
  <c r="I60" i="5" s="1"/>
  <c r="G59" i="5"/>
  <c r="I59" i="5" s="1"/>
  <c r="Q36" i="20"/>
  <c r="P22" i="20"/>
  <c r="Q22" i="20" s="1"/>
  <c r="G39" i="132"/>
  <c r="I39" i="132" s="1"/>
  <c r="G40" i="132"/>
  <c r="I40" i="132" s="1"/>
  <c r="Q24" i="20"/>
  <c r="L49" i="20"/>
  <c r="M49" i="20" s="1"/>
  <c r="T43" i="20"/>
  <c r="Q43" i="20"/>
  <c r="T30" i="20"/>
  <c r="Q30" i="20"/>
  <c r="P32" i="20"/>
  <c r="Q32" i="20" s="1"/>
  <c r="G45" i="77"/>
  <c r="I45" i="77" s="1"/>
  <c r="F46" i="77"/>
  <c r="T33" i="20"/>
  <c r="G47" i="69"/>
  <c r="I47" i="69" s="1"/>
  <c r="F48" i="69"/>
  <c r="G48" i="69" s="1"/>
  <c r="I48" i="69" s="1"/>
  <c r="D52" i="58"/>
  <c r="G52" i="58" s="1"/>
  <c r="I52" i="58" s="1"/>
  <c r="G51" i="58"/>
  <c r="I51" i="58" s="1"/>
  <c r="T17" i="20"/>
  <c r="D45" i="58"/>
  <c r="G45" i="58" s="1"/>
  <c r="I45" i="58" s="1"/>
  <c r="G44" i="58"/>
  <c r="I44" i="58" s="1"/>
  <c r="G63" i="74"/>
  <c r="F64" i="74"/>
  <c r="G64" i="74" s="1"/>
  <c r="G61" i="30"/>
  <c r="F62" i="30"/>
  <c r="G38" i="25"/>
  <c r="I38" i="25" s="1"/>
  <c r="F39" i="25"/>
  <c r="G39" i="25" s="1"/>
  <c r="I39" i="25" s="1"/>
  <c r="M39" i="142"/>
  <c r="J90" i="142"/>
  <c r="J88" i="142"/>
  <c r="G49" i="74"/>
  <c r="G50" i="5"/>
  <c r="I50" i="5"/>
  <c r="D56" i="75"/>
  <c r="D55" i="75"/>
  <c r="G56" i="75"/>
  <c r="G55" i="75"/>
  <c r="F54" i="75"/>
  <c r="G54" i="75" s="1"/>
  <c r="D55" i="30"/>
  <c r="D54" i="30"/>
  <c r="G55" i="30"/>
  <c r="I55" i="30" s="1"/>
  <c r="D56" i="74"/>
  <c r="G56" i="74"/>
  <c r="G54" i="30"/>
  <c r="I54" i="30" s="1"/>
  <c r="G55" i="74"/>
  <c r="G49" i="5"/>
  <c r="I49" i="5" s="1"/>
  <c r="G53" i="30"/>
  <c r="I53" i="30" s="1"/>
  <c r="G48" i="74"/>
  <c r="D48" i="5"/>
  <c r="G48" i="5" s="1"/>
  <c r="I48" i="5" s="1"/>
  <c r="D47" i="5"/>
  <c r="G47" i="5"/>
  <c r="I47" i="5" s="1"/>
  <c r="G46" i="5"/>
  <c r="I46" i="5"/>
  <c r="D52" i="30"/>
  <c r="G52" i="30"/>
  <c r="I52" i="30" s="1"/>
  <c r="F53" i="75"/>
  <c r="D51" i="30"/>
  <c r="G51" i="30"/>
  <c r="I51" i="30" s="1"/>
  <c r="G45" i="5"/>
  <c r="I45" i="5" s="1"/>
  <c r="D50" i="30"/>
  <c r="G50" i="30"/>
  <c r="I50" i="30" s="1"/>
  <c r="G44" i="5"/>
  <c r="I44" i="5" s="1"/>
  <c r="G43" i="5"/>
  <c r="I43" i="5" s="1"/>
  <c r="L21" i="20" s="1"/>
  <c r="M21" i="20" s="1"/>
  <c r="G52" i="75"/>
  <c r="G53" i="75"/>
  <c r="G49" i="75"/>
  <c r="G50" i="75"/>
  <c r="D51" i="75"/>
  <c r="G51" i="75" s="1"/>
  <c r="G48" i="30"/>
  <c r="I48" i="30" s="1"/>
  <c r="G42" i="10"/>
  <c r="I42" i="10" s="1"/>
  <c r="G52" i="74"/>
  <c r="G47" i="74"/>
  <c r="L32" i="20" s="1"/>
  <c r="M32" i="20" s="1"/>
  <c r="G43" i="2"/>
  <c r="I43" i="2" s="1"/>
  <c r="J121" i="142"/>
  <c r="G48" i="17"/>
  <c r="G47" i="17"/>
  <c r="G46" i="17"/>
  <c r="I46" i="17" s="1"/>
  <c r="H48" i="20" s="1"/>
  <c r="G45" i="17"/>
  <c r="H38" i="20"/>
  <c r="H32" i="20"/>
  <c r="H29" i="20"/>
  <c r="H18" i="20"/>
  <c r="G38" i="26"/>
  <c r="I38" i="26" s="1"/>
  <c r="G39" i="26"/>
  <c r="I39" i="26" s="1"/>
  <c r="G37" i="26"/>
  <c r="I37" i="26" s="1"/>
  <c r="G38" i="102"/>
  <c r="I38" i="102" s="1"/>
  <c r="G55" i="13"/>
  <c r="H47" i="20" s="1"/>
  <c r="G46" i="16"/>
  <c r="H46" i="20" s="1"/>
  <c r="G47" i="95"/>
  <c r="H45" i="20" s="1"/>
  <c r="G37" i="46"/>
  <c r="I37" i="46" s="1"/>
  <c r="B114" i="135"/>
  <c r="H40" i="20"/>
  <c r="G37" i="78"/>
  <c r="I37" i="78" s="1"/>
  <c r="H39" i="20" s="1"/>
  <c r="G38" i="81"/>
  <c r="I38" i="81" s="1"/>
  <c r="D39" i="81"/>
  <c r="G39" i="81" s="1"/>
  <c r="I39" i="81" s="1"/>
  <c r="G37" i="81"/>
  <c r="I37" i="81" s="1"/>
  <c r="G37" i="41"/>
  <c r="G42" i="30"/>
  <c r="I42" i="30" s="1"/>
  <c r="G43" i="30"/>
  <c r="I43" i="30" s="1"/>
  <c r="G44" i="75"/>
  <c r="G43" i="75"/>
  <c r="H31" i="20" s="1"/>
  <c r="G38" i="58"/>
  <c r="I38" i="58"/>
  <c r="G37" i="58"/>
  <c r="I37" i="58" s="1"/>
  <c r="G38" i="50"/>
  <c r="I38" i="50" s="1"/>
  <c r="G39" i="50"/>
  <c r="I39" i="50" s="1"/>
  <c r="G37" i="50"/>
  <c r="I37" i="50" s="1"/>
  <c r="H15" i="20" s="1"/>
  <c r="G37" i="10"/>
  <c r="I37" i="10" s="1"/>
  <c r="G37" i="69"/>
  <c r="I37" i="69" s="1"/>
  <c r="H27" i="20" s="1"/>
  <c r="H26" i="20"/>
  <c r="G37" i="8"/>
  <c r="I37" i="8" s="1"/>
  <c r="H25" i="20" s="1"/>
  <c r="G37" i="6"/>
  <c r="I37" i="6" s="1"/>
  <c r="G37" i="7"/>
  <c r="I37" i="7" s="1"/>
  <c r="H22" i="20" s="1"/>
  <c r="G38" i="5"/>
  <c r="I38" i="5" s="1"/>
  <c r="G37" i="5"/>
  <c r="I37" i="5" s="1"/>
  <c r="H21" i="20" s="1"/>
  <c r="G37" i="59"/>
  <c r="I37" i="59" s="1"/>
  <c r="H20" i="20" s="1"/>
  <c r="G38" i="3"/>
  <c r="I38" i="3"/>
  <c r="G38" i="2"/>
  <c r="I38" i="2" s="1"/>
  <c r="G37" i="2"/>
  <c r="I37" i="2" s="1"/>
  <c r="G37" i="3"/>
  <c r="I37" i="3" s="1"/>
  <c r="G37" i="104"/>
  <c r="I37" i="104" s="1"/>
  <c r="G38" i="104"/>
  <c r="I38" i="104" s="1"/>
  <c r="H53" i="20" s="1"/>
  <c r="G37" i="28"/>
  <c r="I37" i="28" s="1"/>
  <c r="G37" i="102"/>
  <c r="I37" i="102" s="1"/>
  <c r="G60" i="14"/>
  <c r="G61" i="14"/>
  <c r="G62" i="14"/>
  <c r="G65" i="14"/>
  <c r="G52" i="14"/>
  <c r="D59" i="14"/>
  <c r="G59" i="14" s="1"/>
  <c r="D58" i="14"/>
  <c r="G58" i="14" s="1"/>
  <c r="AG21" i="144"/>
  <c r="AG22" i="144"/>
  <c r="M32" i="142" s="1"/>
  <c r="X5" i="144"/>
  <c r="AG20" i="144"/>
  <c r="M29" i="142" s="1"/>
  <c r="AG23" i="144"/>
  <c r="AG24" i="144"/>
  <c r="M34" i="142" s="1"/>
  <c r="AG25" i="144"/>
  <c r="AG26" i="144"/>
  <c r="AG27" i="144"/>
  <c r="AG28" i="144"/>
  <c r="AG29" i="144"/>
  <c r="AG30" i="144"/>
  <c r="AG31" i="144"/>
  <c r="AG32" i="144"/>
  <c r="Y5" i="144"/>
  <c r="Z5" i="144" s="1"/>
  <c r="AA5" i="144" s="1"/>
  <c r="AB5" i="144" s="1"/>
  <c r="G45" i="14"/>
  <c r="G46" i="14"/>
  <c r="G47" i="14"/>
  <c r="G49" i="14"/>
  <c r="G50" i="14"/>
  <c r="G51" i="14"/>
  <c r="G56" i="14"/>
  <c r="G35" i="21"/>
  <c r="F35" i="21"/>
  <c r="D5" i="144"/>
  <c r="E5" i="144" s="1"/>
  <c r="F5" i="144" s="1"/>
  <c r="G5" i="144" s="1"/>
  <c r="H5" i="144" s="1"/>
  <c r="I5" i="144" s="1"/>
  <c r="L5" i="144" s="1"/>
  <c r="M5" i="144" s="1"/>
  <c r="N5" i="144" s="1"/>
  <c r="O5" i="144" s="1"/>
  <c r="P5" i="144" s="1"/>
  <c r="Q5" i="144" s="1"/>
  <c r="R5" i="144" s="1"/>
  <c r="S5" i="144" s="1"/>
  <c r="T5" i="144" s="1"/>
  <c r="U5" i="144" s="1"/>
  <c r="V5" i="144" s="1"/>
  <c r="H50" i="20" l="1"/>
  <c r="H37" i="20"/>
  <c r="H42" i="20"/>
  <c r="T42" i="20" s="1"/>
  <c r="H52" i="20"/>
  <c r="T52" i="20" s="1"/>
  <c r="H16" i="20"/>
  <c r="H23" i="20"/>
  <c r="H28" i="20"/>
  <c r="H35" i="20"/>
  <c r="H44" i="20"/>
  <c r="L13" i="20"/>
  <c r="M13" i="20" s="1"/>
  <c r="L28" i="20"/>
  <c r="M28" i="20" s="1"/>
  <c r="AE37" i="144"/>
  <c r="AE36" i="144"/>
  <c r="AE35" i="144"/>
  <c r="AE34" i="144"/>
  <c r="M25" i="142" s="1"/>
  <c r="AE33" i="144"/>
  <c r="M10" i="142"/>
  <c r="D69" i="13"/>
  <c r="G69" i="13" s="1"/>
  <c r="G68" i="13"/>
  <c r="F47" i="77"/>
  <c r="G47" i="77" s="1"/>
  <c r="I47" i="77" s="1"/>
  <c r="G46" i="77"/>
  <c r="I46" i="77" s="1"/>
  <c r="L29" i="20"/>
  <c r="M29" i="20" s="1"/>
  <c r="P27" i="20"/>
  <c r="T27" i="20" s="1"/>
  <c r="T39" i="20"/>
  <c r="T40" i="20"/>
  <c r="T29" i="20"/>
  <c r="T32" i="20"/>
  <c r="T38" i="20"/>
  <c r="T37" i="20"/>
  <c r="T25" i="20"/>
  <c r="T26" i="20"/>
  <c r="T53" i="20"/>
  <c r="AE19" i="144"/>
  <c r="AE22" i="144"/>
  <c r="T22" i="20"/>
  <c r="T15" i="20"/>
  <c r="T16" i="20"/>
  <c r="T20" i="20"/>
  <c r="T21" i="20"/>
  <c r="T23" i="20"/>
  <c r="T35" i="20"/>
  <c r="T44" i="20"/>
  <c r="T45" i="20"/>
  <c r="T46" i="20"/>
  <c r="T47" i="20"/>
  <c r="T18" i="20"/>
  <c r="T50" i="20"/>
  <c r="T48" i="20"/>
  <c r="G62" i="30"/>
  <c r="F63" i="30"/>
  <c r="G63" i="30" s="1"/>
  <c r="D124" i="142"/>
  <c r="L41" i="20"/>
  <c r="M41" i="20" s="1"/>
  <c r="L31" i="20"/>
  <c r="M31" i="20" s="1"/>
  <c r="H34" i="20"/>
  <c r="H13" i="20"/>
  <c r="H54" i="20"/>
  <c r="I55" i="26"/>
  <c r="I57" i="26" s="1"/>
  <c r="I59" i="26" s="1"/>
  <c r="I201" i="14"/>
  <c r="H49" i="20"/>
  <c r="AF5" i="144"/>
  <c r="AE21" i="144"/>
  <c r="M11" i="142" s="1"/>
  <c r="AE23" i="144"/>
  <c r="AE24" i="144"/>
  <c r="M15" i="142" s="1"/>
  <c r="AE25" i="144"/>
  <c r="M19" i="142" s="1"/>
  <c r="AE26" i="144"/>
  <c r="M20" i="142" s="1"/>
  <c r="AE27" i="144"/>
  <c r="M22" i="142" s="1"/>
  <c r="AE28" i="144"/>
  <c r="M23" i="142" s="1"/>
  <c r="AE29" i="144"/>
  <c r="M24" i="142" s="1"/>
  <c r="AE30" i="144"/>
  <c r="AE31" i="144"/>
  <c r="M27" i="142" s="1"/>
  <c r="AE32" i="144"/>
  <c r="M26" i="142" s="1"/>
  <c r="J4" i="142"/>
  <c r="I41" i="141"/>
  <c r="I11" i="141"/>
  <c r="I12" i="141"/>
  <c r="I13" i="141"/>
  <c r="I14" i="141"/>
  <c r="J14" i="141"/>
  <c r="I15" i="141"/>
  <c r="I16" i="141"/>
  <c r="I17" i="141"/>
  <c r="I18" i="141"/>
  <c r="I19" i="141"/>
  <c r="I20" i="141"/>
  <c r="I21" i="141"/>
  <c r="I22" i="141"/>
  <c r="I23" i="141"/>
  <c r="J23" i="141"/>
  <c r="I24" i="141"/>
  <c r="I25" i="141"/>
  <c r="I26" i="141"/>
  <c r="I27" i="141"/>
  <c r="I28" i="141"/>
  <c r="J28" i="141"/>
  <c r="I29" i="141"/>
  <c r="I30" i="141"/>
  <c r="I31" i="141"/>
  <c r="I32" i="141"/>
  <c r="I33" i="141"/>
  <c r="I34" i="141"/>
  <c r="I35" i="141"/>
  <c r="I36" i="141"/>
  <c r="I37" i="141"/>
  <c r="J37" i="141"/>
  <c r="I38" i="141"/>
  <c r="I39" i="141"/>
  <c r="I40" i="141"/>
  <c r="I10" i="141"/>
  <c r="E41" i="141"/>
  <c r="J6" i="21"/>
  <c r="A6" i="20"/>
  <c r="B134" i="143"/>
  <c r="B133" i="143"/>
  <c r="B132" i="143"/>
  <c r="B131" i="143"/>
  <c r="R101" i="143"/>
  <c r="R100" i="143"/>
  <c r="S95" i="143"/>
  <c r="Q95" i="143"/>
  <c r="O95" i="143"/>
  <c r="M95" i="143"/>
  <c r="K95" i="143"/>
  <c r="I95" i="143"/>
  <c r="I97" i="143" s="1"/>
  <c r="B19" i="143"/>
  <c r="B18" i="143"/>
  <c r="B17" i="143"/>
  <c r="B16" i="143"/>
  <c r="B15" i="143"/>
  <c r="B14" i="143"/>
  <c r="B13" i="143"/>
  <c r="B12" i="143"/>
  <c r="B11" i="143"/>
  <c r="C7" i="47"/>
  <c r="A7" i="47"/>
  <c r="C1" i="142"/>
  <c r="O15" i="142"/>
  <c r="F15" i="142" s="1"/>
  <c r="G15" i="142" s="1"/>
  <c r="L15" i="142" s="1"/>
  <c r="O14" i="142"/>
  <c r="F14" i="142" s="1"/>
  <c r="G14" i="142" s="1"/>
  <c r="L14" i="142" s="1"/>
  <c r="O33" i="142"/>
  <c r="K157" i="142"/>
  <c r="L157" i="142"/>
  <c r="K156" i="142"/>
  <c r="L156" i="142"/>
  <c r="K155" i="142"/>
  <c r="L155" i="142"/>
  <c r="L154" i="142"/>
  <c r="K153" i="142"/>
  <c r="L153" i="142"/>
  <c r="K152" i="142"/>
  <c r="L152" i="142"/>
  <c r="K151" i="142"/>
  <c r="L151" i="142"/>
  <c r="K150" i="142"/>
  <c r="L150" i="142"/>
  <c r="L149" i="142"/>
  <c r="K148" i="142"/>
  <c r="L148" i="142"/>
  <c r="K147" i="142"/>
  <c r="L147" i="142"/>
  <c r="K146" i="142"/>
  <c r="L146" i="142"/>
  <c r="K145" i="142"/>
  <c r="L145" i="142"/>
  <c r="L144" i="142"/>
  <c r="K143" i="142"/>
  <c r="L143" i="142"/>
  <c r="K142" i="142"/>
  <c r="L142" i="142"/>
  <c r="K141" i="142"/>
  <c r="L141" i="142"/>
  <c r="L140" i="142"/>
  <c r="I137" i="142"/>
  <c r="L137" i="142"/>
  <c r="K136" i="142"/>
  <c r="L136" i="142"/>
  <c r="K135" i="142"/>
  <c r="L135" i="142"/>
  <c r="K133" i="142"/>
  <c r="L133" i="142"/>
  <c r="K132" i="142"/>
  <c r="L132" i="142"/>
  <c r="K131" i="142"/>
  <c r="L131" i="142"/>
  <c r="D128" i="142"/>
  <c r="K128" i="142"/>
  <c r="L128" i="142"/>
  <c r="K126" i="142"/>
  <c r="L126" i="142"/>
  <c r="K124" i="142"/>
  <c r="L124" i="142"/>
  <c r="J123" i="142"/>
  <c r="K117" i="142"/>
  <c r="L117" i="142"/>
  <c r="K114" i="142"/>
  <c r="L114" i="142"/>
  <c r="K113" i="142"/>
  <c r="L113" i="142"/>
  <c r="K112" i="142"/>
  <c r="L112" i="142"/>
  <c r="K111" i="142"/>
  <c r="L111" i="142"/>
  <c r="K110" i="142"/>
  <c r="L110" i="142"/>
  <c r="K109" i="142"/>
  <c r="L109" i="142"/>
  <c r="K108" i="142"/>
  <c r="L108" i="142"/>
  <c r="K107" i="142"/>
  <c r="L107" i="142"/>
  <c r="K104" i="142"/>
  <c r="L104" i="142"/>
  <c r="K103" i="142"/>
  <c r="L103" i="142"/>
  <c r="K102" i="142"/>
  <c r="L102" i="142"/>
  <c r="K101" i="142"/>
  <c r="L101" i="142"/>
  <c r="K100" i="142"/>
  <c r="L100" i="142"/>
  <c r="K98" i="142"/>
  <c r="L98" i="142"/>
  <c r="K93" i="142"/>
  <c r="L93" i="142"/>
  <c r="K91" i="142"/>
  <c r="L91" i="142"/>
  <c r="K89" i="142"/>
  <c r="L89" i="142"/>
  <c r="K86" i="142"/>
  <c r="L86" i="142"/>
  <c r="K85" i="142"/>
  <c r="L85" i="142"/>
  <c r="K82" i="142"/>
  <c r="L82" i="142"/>
  <c r="K80" i="142"/>
  <c r="L80" i="142"/>
  <c r="K78" i="142"/>
  <c r="L78" i="142"/>
  <c r="K76" i="142"/>
  <c r="L76" i="142"/>
  <c r="K75" i="142"/>
  <c r="L75" i="142"/>
  <c r="K71" i="142"/>
  <c r="L71" i="142"/>
  <c r="K68" i="142"/>
  <c r="L68" i="142"/>
  <c r="K66" i="142"/>
  <c r="I63" i="142"/>
  <c r="L63" i="142"/>
  <c r="I62" i="142"/>
  <c r="L62" i="142"/>
  <c r="I59" i="142"/>
  <c r="L59" i="142"/>
  <c r="I58" i="142"/>
  <c r="L58" i="142"/>
  <c r="I54" i="142"/>
  <c r="L54" i="142"/>
  <c r="I51" i="142"/>
  <c r="L51" i="142"/>
  <c r="I45" i="142"/>
  <c r="X43" i="142"/>
  <c r="P43" i="142"/>
  <c r="X42" i="142"/>
  <c r="P42" i="142"/>
  <c r="X41" i="142"/>
  <c r="P41" i="142"/>
  <c r="M41" i="142"/>
  <c r="X40" i="142"/>
  <c r="P40" i="142"/>
  <c r="X39" i="142"/>
  <c r="P39" i="142"/>
  <c r="X38" i="142"/>
  <c r="P38" i="142"/>
  <c r="X37" i="142"/>
  <c r="P37" i="142"/>
  <c r="M37" i="142"/>
  <c r="X36" i="142"/>
  <c r="P36" i="142"/>
  <c r="M36" i="142"/>
  <c r="X35" i="142"/>
  <c r="P35" i="142"/>
  <c r="M35" i="142"/>
  <c r="X34" i="142"/>
  <c r="P34" i="142"/>
  <c r="X33" i="142"/>
  <c r="P33" i="142"/>
  <c r="M33" i="142"/>
  <c r="X32" i="142"/>
  <c r="P32" i="142"/>
  <c r="M31" i="142"/>
  <c r="X30" i="142"/>
  <c r="P30" i="142"/>
  <c r="M30" i="142"/>
  <c r="X29" i="142"/>
  <c r="P29" i="142"/>
  <c r="U8" i="142"/>
  <c r="U5" i="142"/>
  <c r="J5" i="142"/>
  <c r="F40" i="141"/>
  <c r="G40" i="141" s="1"/>
  <c r="J40" i="141" s="1"/>
  <c r="F39" i="141"/>
  <c r="G39" i="141" s="1"/>
  <c r="J39" i="141" s="1"/>
  <c r="F38" i="141"/>
  <c r="G38" i="141" s="1"/>
  <c r="J38" i="141" s="1"/>
  <c r="F37" i="141"/>
  <c r="G37" i="141"/>
  <c r="F36" i="141"/>
  <c r="G36" i="141" s="1"/>
  <c r="J36" i="141" s="1"/>
  <c r="F35" i="141"/>
  <c r="G35" i="141"/>
  <c r="J35" i="141" s="1"/>
  <c r="F34" i="141"/>
  <c r="G34" i="141" s="1"/>
  <c r="J34" i="141" s="1"/>
  <c r="F33" i="141"/>
  <c r="G33" i="141" s="1"/>
  <c r="J33" i="141" s="1"/>
  <c r="F32" i="141"/>
  <c r="G32" i="141"/>
  <c r="J32" i="141" s="1"/>
  <c r="F31" i="141"/>
  <c r="G31" i="141"/>
  <c r="J31" i="141" s="1"/>
  <c r="F30" i="141"/>
  <c r="G30" i="141" s="1"/>
  <c r="J30" i="141" s="1"/>
  <c r="F29" i="141"/>
  <c r="G29" i="141"/>
  <c r="J29" i="141" s="1"/>
  <c r="F28" i="141"/>
  <c r="G28" i="141"/>
  <c r="F27" i="141"/>
  <c r="G27" i="141" s="1"/>
  <c r="J27" i="141" s="1"/>
  <c r="F26" i="141"/>
  <c r="G26" i="141" s="1"/>
  <c r="F25" i="141"/>
  <c r="G25" i="141" s="1"/>
  <c r="J25" i="141" s="1"/>
  <c r="F24" i="141"/>
  <c r="G24" i="141" s="1"/>
  <c r="F23" i="141"/>
  <c r="G23" i="141"/>
  <c r="O25" i="142" s="1"/>
  <c r="F22" i="141"/>
  <c r="G22" i="141" s="1"/>
  <c r="F21" i="141"/>
  <c r="G21" i="141"/>
  <c r="O23" i="142" s="1"/>
  <c r="F20" i="141"/>
  <c r="G20" i="141" s="1"/>
  <c r="F19" i="141"/>
  <c r="G19" i="141" s="1"/>
  <c r="F18" i="141"/>
  <c r="G18" i="141"/>
  <c r="J18" i="141" s="1"/>
  <c r="F17" i="141"/>
  <c r="G17" i="141"/>
  <c r="J17" i="141" s="1"/>
  <c r="F16" i="141"/>
  <c r="G16" i="141" s="1"/>
  <c r="F15" i="141"/>
  <c r="G15" i="141"/>
  <c r="J15" i="141" s="1"/>
  <c r="F14" i="141"/>
  <c r="G14" i="141"/>
  <c r="F13" i="141"/>
  <c r="G13" i="141" s="1"/>
  <c r="F12" i="141"/>
  <c r="G12" i="141" s="1"/>
  <c r="F11" i="141"/>
  <c r="G11" i="141" s="1"/>
  <c r="F10" i="141"/>
  <c r="F41" i="141" s="1"/>
  <c r="C7" i="49"/>
  <c r="A7" i="49"/>
  <c r="AI51" i="20"/>
  <c r="S42" i="140"/>
  <c r="Q42" i="140"/>
  <c r="O42" i="140"/>
  <c r="M42" i="140"/>
  <c r="K42" i="140"/>
  <c r="I42" i="140"/>
  <c r="B19" i="140"/>
  <c r="B18" i="140"/>
  <c r="B17" i="140"/>
  <c r="B16" i="140"/>
  <c r="B15" i="140"/>
  <c r="B14" i="140"/>
  <c r="B13" i="140"/>
  <c r="B12" i="140"/>
  <c r="B11" i="140"/>
  <c r="B4" i="140"/>
  <c r="S41" i="139"/>
  <c r="Q41" i="139"/>
  <c r="O41" i="139"/>
  <c r="M41" i="139"/>
  <c r="K41" i="139"/>
  <c r="I41" i="139"/>
  <c r="B19" i="139"/>
  <c r="B18" i="139"/>
  <c r="B17" i="139"/>
  <c r="B16" i="139"/>
  <c r="B15" i="139"/>
  <c r="B14" i="139"/>
  <c r="B13" i="139"/>
  <c r="B12" i="139"/>
  <c r="B11" i="139"/>
  <c r="B4" i="139"/>
  <c r="S67" i="138"/>
  <c r="Q67" i="138"/>
  <c r="O67" i="138"/>
  <c r="M67" i="138"/>
  <c r="K67" i="138"/>
  <c r="I67" i="138"/>
  <c r="B19" i="138"/>
  <c r="B18" i="138"/>
  <c r="B17" i="138"/>
  <c r="B16" i="138"/>
  <c r="B15" i="138"/>
  <c r="B14" i="138"/>
  <c r="B13" i="138"/>
  <c r="B12" i="138"/>
  <c r="B11" i="138"/>
  <c r="B4" i="138"/>
  <c r="S56" i="137"/>
  <c r="Q56" i="137"/>
  <c r="O56" i="137"/>
  <c r="M56" i="137"/>
  <c r="K56" i="137"/>
  <c r="I56" i="137"/>
  <c r="B19" i="137"/>
  <c r="B18" i="137"/>
  <c r="B17" i="137"/>
  <c r="B16" i="137"/>
  <c r="B15" i="137"/>
  <c r="B14" i="137"/>
  <c r="B13" i="137"/>
  <c r="B12" i="137"/>
  <c r="B11" i="137"/>
  <c r="B4" i="137"/>
  <c r="S56" i="136"/>
  <c r="Q56" i="136"/>
  <c r="O56" i="136"/>
  <c r="M56" i="136"/>
  <c r="K56" i="136"/>
  <c r="I56" i="136"/>
  <c r="B19" i="136"/>
  <c r="B18" i="136"/>
  <c r="B17" i="136"/>
  <c r="B16" i="136"/>
  <c r="B15" i="136"/>
  <c r="B14" i="136"/>
  <c r="B13" i="136"/>
  <c r="B12" i="136"/>
  <c r="B11" i="136"/>
  <c r="B4" i="136"/>
  <c r="S74" i="135"/>
  <c r="S76" i="135" s="1"/>
  <c r="Q74" i="135"/>
  <c r="Q76" i="135" s="1"/>
  <c r="O74" i="135"/>
  <c r="O76" i="135" s="1"/>
  <c r="M74" i="135"/>
  <c r="M76" i="135" s="1"/>
  <c r="M78" i="135" s="1"/>
  <c r="K74" i="135"/>
  <c r="K76" i="135" s="1"/>
  <c r="K78" i="135" s="1"/>
  <c r="J8" i="135" s="1"/>
  <c r="I74" i="135"/>
  <c r="I76" i="135" s="1"/>
  <c r="I78" i="135" s="1"/>
  <c r="B19" i="135"/>
  <c r="B18" i="135"/>
  <c r="B17" i="135"/>
  <c r="B16" i="135"/>
  <c r="B15" i="135"/>
  <c r="B14" i="135"/>
  <c r="B13" i="135"/>
  <c r="B12" i="135"/>
  <c r="B11" i="135"/>
  <c r="B4" i="135"/>
  <c r="S56" i="134"/>
  <c r="Q56" i="134"/>
  <c r="O56" i="134"/>
  <c r="M56" i="134"/>
  <c r="K56" i="134"/>
  <c r="I56" i="134"/>
  <c r="B19" i="134"/>
  <c r="B18" i="134"/>
  <c r="B17" i="134"/>
  <c r="B16" i="134"/>
  <c r="B15" i="134"/>
  <c r="B14" i="134"/>
  <c r="B13" i="134"/>
  <c r="B12" i="134"/>
  <c r="B11" i="134"/>
  <c r="B4" i="134"/>
  <c r="S56" i="133"/>
  <c r="Q56" i="133"/>
  <c r="O56" i="133"/>
  <c r="M56" i="133"/>
  <c r="K56" i="133"/>
  <c r="I56" i="133"/>
  <c r="B19" i="133"/>
  <c r="B18" i="133"/>
  <c r="B17" i="133"/>
  <c r="B16" i="133"/>
  <c r="B15" i="133"/>
  <c r="B14" i="133"/>
  <c r="B13" i="133"/>
  <c r="B12" i="133"/>
  <c r="B11" i="133"/>
  <c r="B4" i="133"/>
  <c r="S57" i="132"/>
  <c r="S59" i="132" s="1"/>
  <c r="Q57" i="132"/>
  <c r="Q59" i="132" s="1"/>
  <c r="Q61" i="132" s="1"/>
  <c r="O57" i="132"/>
  <c r="O59" i="132" s="1"/>
  <c r="M57" i="132"/>
  <c r="M59" i="132" s="1"/>
  <c r="M61" i="132" s="1"/>
  <c r="K57" i="132"/>
  <c r="I57" i="132"/>
  <c r="I59" i="132" s="1"/>
  <c r="B19" i="132"/>
  <c r="B18" i="132"/>
  <c r="B17" i="132"/>
  <c r="B16" i="132"/>
  <c r="B15" i="132"/>
  <c r="B14" i="132"/>
  <c r="B13" i="132"/>
  <c r="B12" i="132"/>
  <c r="B11" i="132"/>
  <c r="B4" i="132"/>
  <c r="S56" i="131"/>
  <c r="Q56" i="131"/>
  <c r="O56" i="131"/>
  <c r="M56" i="131"/>
  <c r="K56" i="131"/>
  <c r="I56" i="131"/>
  <c r="B19" i="131"/>
  <c r="B18" i="131"/>
  <c r="B17" i="131"/>
  <c r="B16" i="131"/>
  <c r="B15" i="131"/>
  <c r="B14" i="131"/>
  <c r="B13" i="131"/>
  <c r="B12" i="131"/>
  <c r="B11" i="131"/>
  <c r="B4" i="131"/>
  <c r="S48" i="130"/>
  <c r="Q48" i="130"/>
  <c r="O48" i="130"/>
  <c r="M48" i="130"/>
  <c r="K48" i="130"/>
  <c r="I48" i="130"/>
  <c r="B19" i="130"/>
  <c r="B18" i="130"/>
  <c r="B17" i="130"/>
  <c r="B16" i="130"/>
  <c r="B15" i="130"/>
  <c r="B14" i="130"/>
  <c r="B13" i="130"/>
  <c r="B12" i="130"/>
  <c r="B11" i="130"/>
  <c r="B4" i="130"/>
  <c r="S57" i="129"/>
  <c r="Q57" i="129"/>
  <c r="O57" i="129"/>
  <c r="M57" i="129"/>
  <c r="K57" i="129"/>
  <c r="I57" i="129"/>
  <c r="B19" i="129"/>
  <c r="B18" i="129"/>
  <c r="B17" i="129"/>
  <c r="B16" i="129"/>
  <c r="B15" i="129"/>
  <c r="B14" i="129"/>
  <c r="B13" i="129"/>
  <c r="B12" i="129"/>
  <c r="B11" i="129"/>
  <c r="B4" i="129"/>
  <c r="S57" i="128"/>
  <c r="Q57" i="128"/>
  <c r="O57" i="128"/>
  <c r="M57" i="128"/>
  <c r="K57" i="128"/>
  <c r="I57" i="128"/>
  <c r="B19" i="128"/>
  <c r="B18" i="128"/>
  <c r="B17" i="128"/>
  <c r="B16" i="128"/>
  <c r="B15" i="128"/>
  <c r="B14" i="128"/>
  <c r="B13" i="128"/>
  <c r="B12" i="128"/>
  <c r="B11" i="128"/>
  <c r="B4" i="128"/>
  <c r="S56" i="127"/>
  <c r="Q56" i="127"/>
  <c r="O56" i="127"/>
  <c r="M56" i="127"/>
  <c r="K56" i="127"/>
  <c r="I56" i="127"/>
  <c r="B19" i="127"/>
  <c r="B18" i="127"/>
  <c r="B17" i="127"/>
  <c r="B16" i="127"/>
  <c r="B15" i="127"/>
  <c r="B14" i="127"/>
  <c r="B13" i="127"/>
  <c r="B12" i="127"/>
  <c r="B11" i="127"/>
  <c r="B4" i="127"/>
  <c r="S56" i="126"/>
  <c r="Q56" i="126"/>
  <c r="O56" i="126"/>
  <c r="M56" i="126"/>
  <c r="K56" i="126"/>
  <c r="I56" i="126"/>
  <c r="B19" i="126"/>
  <c r="B18" i="126"/>
  <c r="B17" i="126"/>
  <c r="B16" i="126"/>
  <c r="B15" i="126"/>
  <c r="B14" i="126"/>
  <c r="B13" i="126"/>
  <c r="B12" i="126"/>
  <c r="B11" i="126"/>
  <c r="B4" i="126"/>
  <c r="S50" i="125"/>
  <c r="Q50" i="125"/>
  <c r="O50" i="125"/>
  <c r="M50" i="125"/>
  <c r="K50" i="125"/>
  <c r="I50" i="125"/>
  <c r="B19" i="125"/>
  <c r="B18" i="125"/>
  <c r="B17" i="125"/>
  <c r="B16" i="125"/>
  <c r="B15" i="125"/>
  <c r="B14" i="125"/>
  <c r="B13" i="125"/>
  <c r="B12" i="125"/>
  <c r="B11" i="125"/>
  <c r="B4" i="125"/>
  <c r="S50" i="124"/>
  <c r="Q50" i="124"/>
  <c r="O50" i="124"/>
  <c r="M50" i="124"/>
  <c r="K50" i="124"/>
  <c r="I50" i="124"/>
  <c r="B19" i="124"/>
  <c r="B18" i="124"/>
  <c r="B17" i="124"/>
  <c r="B16" i="124"/>
  <c r="B15" i="124"/>
  <c r="B14" i="124"/>
  <c r="B13" i="124"/>
  <c r="B12" i="124"/>
  <c r="B11" i="124"/>
  <c r="B4" i="124"/>
  <c r="S54" i="123"/>
  <c r="Q54" i="123"/>
  <c r="O54" i="123"/>
  <c r="M54" i="123"/>
  <c r="K54" i="123"/>
  <c r="I54" i="123"/>
  <c r="B19" i="123"/>
  <c r="B18" i="123"/>
  <c r="B17" i="123"/>
  <c r="B16" i="123"/>
  <c r="B15" i="123"/>
  <c r="B14" i="123"/>
  <c r="B13" i="123"/>
  <c r="B12" i="123"/>
  <c r="B11" i="123"/>
  <c r="B4" i="123"/>
  <c r="S64" i="122"/>
  <c r="Q64" i="122"/>
  <c r="O64" i="122"/>
  <c r="M64" i="122"/>
  <c r="K64" i="122"/>
  <c r="I64" i="122"/>
  <c r="B19" i="122"/>
  <c r="B18" i="122"/>
  <c r="B17" i="122"/>
  <c r="B16" i="122"/>
  <c r="B15" i="122"/>
  <c r="B14" i="122"/>
  <c r="B13" i="122"/>
  <c r="B12" i="122"/>
  <c r="B11" i="122"/>
  <c r="B4" i="122"/>
  <c r="S53" i="121"/>
  <c r="Q53" i="121"/>
  <c r="O53" i="121"/>
  <c r="M53" i="121"/>
  <c r="K53" i="121"/>
  <c r="I53" i="121"/>
  <c r="B19" i="121"/>
  <c r="B18" i="121"/>
  <c r="B17" i="121"/>
  <c r="B16" i="121"/>
  <c r="B15" i="121"/>
  <c r="B14" i="121"/>
  <c r="B13" i="121"/>
  <c r="B12" i="121"/>
  <c r="B11" i="121"/>
  <c r="B4" i="121"/>
  <c r="S44" i="120"/>
  <c r="Q44" i="120"/>
  <c r="O44" i="120"/>
  <c r="M44" i="120"/>
  <c r="K44" i="120"/>
  <c r="I44" i="120"/>
  <c r="B19" i="120"/>
  <c r="B18" i="120"/>
  <c r="B17" i="120"/>
  <c r="B16" i="120"/>
  <c r="B15" i="120"/>
  <c r="B14" i="120"/>
  <c r="B13" i="120"/>
  <c r="B12" i="120"/>
  <c r="B11" i="120"/>
  <c r="B4" i="120"/>
  <c r="S60" i="119"/>
  <c r="Q60" i="119"/>
  <c r="O60" i="119"/>
  <c r="M60" i="119"/>
  <c r="K60" i="119"/>
  <c r="I60" i="119"/>
  <c r="B19" i="119"/>
  <c r="B18" i="119"/>
  <c r="B17" i="119"/>
  <c r="B16" i="119"/>
  <c r="B15" i="119"/>
  <c r="B14" i="119"/>
  <c r="B13" i="119"/>
  <c r="B12" i="119"/>
  <c r="B11" i="119"/>
  <c r="B4" i="119"/>
  <c r="S51" i="118"/>
  <c r="Q51" i="118"/>
  <c r="O51" i="118"/>
  <c r="M51" i="118"/>
  <c r="K51" i="118"/>
  <c r="I51" i="118"/>
  <c r="B19" i="118"/>
  <c r="B18" i="118"/>
  <c r="B17" i="118"/>
  <c r="B16" i="118"/>
  <c r="B15" i="118"/>
  <c r="B14" i="118"/>
  <c r="B13" i="118"/>
  <c r="B12" i="118"/>
  <c r="B11" i="118"/>
  <c r="B4" i="118"/>
  <c r="S51" i="117"/>
  <c r="Q51" i="117"/>
  <c r="O51" i="117"/>
  <c r="M51" i="117"/>
  <c r="K51" i="117"/>
  <c r="I51" i="117"/>
  <c r="B19" i="117"/>
  <c r="B18" i="117"/>
  <c r="B17" i="117"/>
  <c r="B16" i="117"/>
  <c r="B15" i="117"/>
  <c r="B14" i="117"/>
  <c r="B13" i="117"/>
  <c r="B12" i="117"/>
  <c r="B11" i="117"/>
  <c r="B4" i="117"/>
  <c r="S92" i="116"/>
  <c r="Q92" i="116"/>
  <c r="O92" i="116"/>
  <c r="M92" i="116"/>
  <c r="K92" i="116"/>
  <c r="I92" i="116"/>
  <c r="B19" i="116"/>
  <c r="B18" i="116"/>
  <c r="B17" i="116"/>
  <c r="B16" i="116"/>
  <c r="B15" i="116"/>
  <c r="B14" i="116"/>
  <c r="B13" i="116"/>
  <c r="B12" i="116"/>
  <c r="B11" i="116"/>
  <c r="B4" i="116"/>
  <c r="S92" i="115"/>
  <c r="Q92" i="115"/>
  <c r="O92" i="115"/>
  <c r="M92" i="115"/>
  <c r="K92" i="115"/>
  <c r="I92" i="115"/>
  <c r="B19" i="115"/>
  <c r="B18" i="115"/>
  <c r="B17" i="115"/>
  <c r="B16" i="115"/>
  <c r="B15" i="115"/>
  <c r="B14" i="115"/>
  <c r="B13" i="115"/>
  <c r="B12" i="115"/>
  <c r="B11" i="115"/>
  <c r="B4" i="115"/>
  <c r="S53" i="114"/>
  <c r="Q53" i="114"/>
  <c r="O53" i="114"/>
  <c r="M53" i="114"/>
  <c r="K53" i="114"/>
  <c r="I53" i="114"/>
  <c r="B19" i="114"/>
  <c r="B18" i="114"/>
  <c r="B17" i="114"/>
  <c r="B16" i="114"/>
  <c r="B15" i="114"/>
  <c r="B14" i="114"/>
  <c r="B13" i="114"/>
  <c r="B12" i="114"/>
  <c r="B11" i="114"/>
  <c r="B4" i="114"/>
  <c r="S66" i="112"/>
  <c r="Q66" i="112"/>
  <c r="O66" i="112"/>
  <c r="M66" i="112"/>
  <c r="K66" i="112"/>
  <c r="I66" i="112"/>
  <c r="B19" i="112"/>
  <c r="B18" i="112"/>
  <c r="B17" i="112"/>
  <c r="B16" i="112"/>
  <c r="B15" i="112"/>
  <c r="B14" i="112"/>
  <c r="B13" i="112"/>
  <c r="B12" i="112"/>
  <c r="B11" i="112"/>
  <c r="B4" i="112"/>
  <c r="K97" i="143"/>
  <c r="K99" i="143"/>
  <c r="M97" i="143"/>
  <c r="M99" i="143"/>
  <c r="O97" i="143"/>
  <c r="O99" i="143"/>
  <c r="Q97" i="143"/>
  <c r="Q99" i="143"/>
  <c r="S97" i="143"/>
  <c r="S99" i="143"/>
  <c r="L4" i="142"/>
  <c r="K4" i="142"/>
  <c r="D10" i="142"/>
  <c r="L5" i="142"/>
  <c r="K5" i="142"/>
  <c r="W5" i="142"/>
  <c r="V5" i="142"/>
  <c r="W8" i="142"/>
  <c r="V8" i="142"/>
  <c r="L45" i="142"/>
  <c r="L66" i="142"/>
  <c r="I44" i="140"/>
  <c r="I46" i="140"/>
  <c r="K44" i="140"/>
  <c r="K46" i="140"/>
  <c r="M44" i="140"/>
  <c r="M46" i="140"/>
  <c r="O44" i="140"/>
  <c r="O46" i="140"/>
  <c r="Q44" i="140"/>
  <c r="Q46" i="140"/>
  <c r="S44" i="140"/>
  <c r="S46" i="140"/>
  <c r="I43" i="139"/>
  <c r="I45" i="139"/>
  <c r="K43" i="139"/>
  <c r="K45" i="139"/>
  <c r="M43" i="139"/>
  <c r="M45" i="139"/>
  <c r="O43" i="139"/>
  <c r="O45" i="139"/>
  <c r="Q43" i="139"/>
  <c r="Q45" i="139"/>
  <c r="S43" i="139"/>
  <c r="S45" i="139"/>
  <c r="I69" i="138"/>
  <c r="I71" i="138"/>
  <c r="K69" i="138"/>
  <c r="K71" i="138"/>
  <c r="M69" i="138"/>
  <c r="M71" i="138"/>
  <c r="O69" i="138"/>
  <c r="O71" i="138"/>
  <c r="Q69" i="138"/>
  <c r="Q71" i="138"/>
  <c r="S69" i="138"/>
  <c r="S71" i="138"/>
  <c r="I58" i="137"/>
  <c r="I60" i="137"/>
  <c r="K58" i="137"/>
  <c r="K60" i="137"/>
  <c r="M58" i="137"/>
  <c r="M60" i="137"/>
  <c r="O58" i="137"/>
  <c r="O60" i="137"/>
  <c r="Q58" i="137"/>
  <c r="Q60" i="137"/>
  <c r="S58" i="137"/>
  <c r="S60" i="137"/>
  <c r="I58" i="136"/>
  <c r="I60" i="136"/>
  <c r="K58" i="136"/>
  <c r="K60" i="136"/>
  <c r="M58" i="136"/>
  <c r="M60" i="136"/>
  <c r="O58" i="136"/>
  <c r="O60" i="136"/>
  <c r="Q58" i="136"/>
  <c r="Q60" i="136"/>
  <c r="S58" i="136"/>
  <c r="S60" i="136"/>
  <c r="I58" i="134"/>
  <c r="I60" i="134"/>
  <c r="K58" i="134"/>
  <c r="K60" i="134"/>
  <c r="M58" i="134"/>
  <c r="M60" i="134"/>
  <c r="O58" i="134"/>
  <c r="O60" i="134"/>
  <c r="Q58" i="134"/>
  <c r="Q60" i="134"/>
  <c r="S58" i="134"/>
  <c r="S60" i="134"/>
  <c r="I58" i="133"/>
  <c r="I60" i="133"/>
  <c r="K58" i="133"/>
  <c r="K60" i="133"/>
  <c r="M58" i="133"/>
  <c r="M60" i="133"/>
  <c r="O58" i="133"/>
  <c r="O60" i="133"/>
  <c r="Q58" i="133"/>
  <c r="Q60" i="133"/>
  <c r="S58" i="133"/>
  <c r="S60" i="133"/>
  <c r="K59" i="132"/>
  <c r="K61" i="132" s="1"/>
  <c r="I58" i="131"/>
  <c r="I60" i="131"/>
  <c r="K58" i="131"/>
  <c r="K60" i="131"/>
  <c r="M58" i="131"/>
  <c r="M60" i="131"/>
  <c r="O58" i="131"/>
  <c r="O60" i="131"/>
  <c r="Q58" i="131"/>
  <c r="Q60" i="131"/>
  <c r="S58" i="131"/>
  <c r="S60" i="131"/>
  <c r="I50" i="130"/>
  <c r="I52" i="130"/>
  <c r="K50" i="130"/>
  <c r="K52" i="130"/>
  <c r="M50" i="130"/>
  <c r="M52" i="130"/>
  <c r="O50" i="130"/>
  <c r="O52" i="130"/>
  <c r="Q50" i="130"/>
  <c r="Q52" i="130"/>
  <c r="S50" i="130"/>
  <c r="S52" i="130"/>
  <c r="I59" i="129"/>
  <c r="I61" i="129"/>
  <c r="K59" i="129"/>
  <c r="K61" i="129"/>
  <c r="M59" i="129"/>
  <c r="M61" i="129"/>
  <c r="O59" i="129"/>
  <c r="O61" i="129"/>
  <c r="Q59" i="129"/>
  <c r="Q61" i="129"/>
  <c r="S59" i="129"/>
  <c r="S61" i="129"/>
  <c r="I59" i="128"/>
  <c r="I61" i="128"/>
  <c r="K59" i="128"/>
  <c r="K61" i="128"/>
  <c r="M59" i="128"/>
  <c r="M61" i="128"/>
  <c r="O59" i="128"/>
  <c r="O61" i="128"/>
  <c r="Q59" i="128"/>
  <c r="Q61" i="128"/>
  <c r="S59" i="128"/>
  <c r="S61" i="128"/>
  <c r="I58" i="127"/>
  <c r="I60" i="127"/>
  <c r="K58" i="127"/>
  <c r="K60" i="127"/>
  <c r="M58" i="127"/>
  <c r="M60" i="127"/>
  <c r="O58" i="127"/>
  <c r="O60" i="127"/>
  <c r="Q58" i="127"/>
  <c r="Q60" i="127"/>
  <c r="S58" i="127"/>
  <c r="S60" i="127"/>
  <c r="I58" i="126"/>
  <c r="I60" i="126"/>
  <c r="K58" i="126"/>
  <c r="K60" i="126"/>
  <c r="M58" i="126"/>
  <c r="M60" i="126"/>
  <c r="O58" i="126"/>
  <c r="O60" i="126"/>
  <c r="Q58" i="126"/>
  <c r="Q60" i="126"/>
  <c r="S58" i="126"/>
  <c r="S60" i="126"/>
  <c r="I52" i="125"/>
  <c r="I54" i="125"/>
  <c r="K52" i="125"/>
  <c r="K54" i="125"/>
  <c r="M52" i="125"/>
  <c r="M54" i="125"/>
  <c r="O52" i="125"/>
  <c r="O54" i="125"/>
  <c r="Q52" i="125"/>
  <c r="Q54" i="125"/>
  <c r="S52" i="125"/>
  <c r="S54" i="125"/>
  <c r="I52" i="124"/>
  <c r="I54" i="124"/>
  <c r="K52" i="124"/>
  <c r="K54" i="124"/>
  <c r="M52" i="124"/>
  <c r="M54" i="124"/>
  <c r="O52" i="124"/>
  <c r="O54" i="124"/>
  <c r="Q52" i="124"/>
  <c r="Q54" i="124"/>
  <c r="S52" i="124"/>
  <c r="S54" i="124"/>
  <c r="I56" i="123"/>
  <c r="I58" i="123"/>
  <c r="H8" i="123" s="1"/>
  <c r="B94" i="123" s="1"/>
  <c r="D36" i="20" s="1"/>
  <c r="K56" i="123"/>
  <c r="K58" i="123"/>
  <c r="M56" i="123"/>
  <c r="M58" i="123"/>
  <c r="O56" i="123"/>
  <c r="O58" i="123"/>
  <c r="Q56" i="123"/>
  <c r="Q58" i="123"/>
  <c r="S56" i="123"/>
  <c r="S58" i="123"/>
  <c r="I66" i="122"/>
  <c r="I68" i="122"/>
  <c r="K66" i="122"/>
  <c r="K68" i="122"/>
  <c r="M66" i="122"/>
  <c r="M68" i="122"/>
  <c r="O66" i="122"/>
  <c r="O68" i="122"/>
  <c r="Q66" i="122"/>
  <c r="Q68" i="122"/>
  <c r="S66" i="122"/>
  <c r="S68" i="122"/>
  <c r="I55" i="121"/>
  <c r="I57" i="121"/>
  <c r="H8" i="121" s="1"/>
  <c r="B93" i="121" s="1"/>
  <c r="D30" i="20" s="1"/>
  <c r="K55" i="121"/>
  <c r="K57" i="121"/>
  <c r="M55" i="121"/>
  <c r="M57" i="121"/>
  <c r="O55" i="121"/>
  <c r="O57" i="121"/>
  <c r="Q55" i="121"/>
  <c r="Q57" i="121"/>
  <c r="S55" i="121"/>
  <c r="S57" i="121"/>
  <c r="I46" i="120"/>
  <c r="I48" i="120"/>
  <c r="K46" i="120"/>
  <c r="K48" i="120"/>
  <c r="M46" i="120"/>
  <c r="M48" i="120"/>
  <c r="O46" i="120"/>
  <c r="O48" i="120"/>
  <c r="Q46" i="120"/>
  <c r="Q48" i="120"/>
  <c r="S46" i="120"/>
  <c r="I62" i="119"/>
  <c r="I64" i="119"/>
  <c r="K62" i="119"/>
  <c r="K64" i="119"/>
  <c r="M62" i="119"/>
  <c r="M64" i="119"/>
  <c r="O62" i="119"/>
  <c r="O64" i="119"/>
  <c r="Q62" i="119"/>
  <c r="Q64" i="119"/>
  <c r="S62" i="119"/>
  <c r="S64" i="119"/>
  <c r="I53" i="118"/>
  <c r="I55" i="118"/>
  <c r="K53" i="118"/>
  <c r="K55" i="118"/>
  <c r="M53" i="118"/>
  <c r="M55" i="118"/>
  <c r="O53" i="118"/>
  <c r="O55" i="118"/>
  <c r="Q53" i="118"/>
  <c r="Q55" i="118"/>
  <c r="S53" i="118"/>
  <c r="S55" i="118"/>
  <c r="I53" i="117"/>
  <c r="I55" i="117"/>
  <c r="K53" i="117"/>
  <c r="K55" i="117"/>
  <c r="M53" i="117"/>
  <c r="M55" i="117"/>
  <c r="O53" i="117"/>
  <c r="O55" i="117"/>
  <c r="Q53" i="117"/>
  <c r="Q55" i="117"/>
  <c r="S53" i="117"/>
  <c r="S55" i="117"/>
  <c r="I94" i="116"/>
  <c r="I96" i="116"/>
  <c r="K94" i="116"/>
  <c r="K96" i="116"/>
  <c r="M94" i="116"/>
  <c r="M96" i="116"/>
  <c r="O94" i="116"/>
  <c r="O96" i="116"/>
  <c r="Q94" i="116"/>
  <c r="Q96" i="116"/>
  <c r="S94" i="116"/>
  <c r="S96" i="116"/>
  <c r="I94" i="115"/>
  <c r="I96" i="115"/>
  <c r="K94" i="115"/>
  <c r="K96" i="115"/>
  <c r="M94" i="115"/>
  <c r="M96" i="115"/>
  <c r="O94" i="115"/>
  <c r="O96" i="115"/>
  <c r="Q94" i="115"/>
  <c r="Q96" i="115"/>
  <c r="S94" i="115"/>
  <c r="S96" i="115"/>
  <c r="I55" i="114"/>
  <c r="I57" i="114"/>
  <c r="K55" i="114"/>
  <c r="K57" i="114"/>
  <c r="M55" i="114"/>
  <c r="M57" i="114"/>
  <c r="O55" i="114"/>
  <c r="O57" i="114"/>
  <c r="Q55" i="114"/>
  <c r="Q57" i="114"/>
  <c r="S55" i="114"/>
  <c r="S57" i="114"/>
  <c r="I68" i="112"/>
  <c r="I70" i="112"/>
  <c r="K68" i="112"/>
  <c r="K70" i="112"/>
  <c r="M68" i="112"/>
  <c r="M70" i="112"/>
  <c r="O68" i="112"/>
  <c r="O70" i="112"/>
  <c r="Q68" i="112"/>
  <c r="Q70" i="112"/>
  <c r="S68" i="112"/>
  <c r="S70" i="112"/>
  <c r="S101" i="143"/>
  <c r="S100" i="143"/>
  <c r="R8" i="143"/>
  <c r="Q101" i="143"/>
  <c r="Q100" i="143"/>
  <c r="P8" i="143"/>
  <c r="O101" i="143"/>
  <c r="O100" i="143"/>
  <c r="N8" i="143"/>
  <c r="M101" i="143"/>
  <c r="M100" i="143"/>
  <c r="L8" i="143"/>
  <c r="K101" i="143"/>
  <c r="K100" i="143"/>
  <c r="J8" i="143"/>
  <c r="K120" i="142"/>
  <c r="L120" i="142"/>
  <c r="D43" i="142"/>
  <c r="D42" i="142"/>
  <c r="D41" i="142"/>
  <c r="D40" i="142"/>
  <c r="D39" i="142"/>
  <c r="D38" i="142"/>
  <c r="D37" i="142"/>
  <c r="D36" i="142"/>
  <c r="D35" i="142"/>
  <c r="D34" i="142"/>
  <c r="D33" i="142"/>
  <c r="D32" i="142"/>
  <c r="D31" i="142"/>
  <c r="D30" i="142"/>
  <c r="D29" i="142"/>
  <c r="K123" i="142"/>
  <c r="L123" i="142"/>
  <c r="D122" i="142"/>
  <c r="K122" i="142"/>
  <c r="L122" i="142"/>
  <c r="K119" i="142"/>
  <c r="L119" i="142"/>
  <c r="K106" i="142"/>
  <c r="L106" i="142"/>
  <c r="D27" i="142"/>
  <c r="D26" i="142"/>
  <c r="D25" i="142"/>
  <c r="D24" i="142"/>
  <c r="D18" i="142"/>
  <c r="D17" i="142"/>
  <c r="D16" i="142"/>
  <c r="D15" i="142"/>
  <c r="D14" i="142"/>
  <c r="D13" i="142"/>
  <c r="D12" i="142"/>
  <c r="D11" i="142"/>
  <c r="D94" i="142"/>
  <c r="K94" i="142"/>
  <c r="L94" i="142"/>
  <c r="D92" i="142"/>
  <c r="K92" i="142"/>
  <c r="L92" i="142"/>
  <c r="D87" i="142"/>
  <c r="K87" i="142"/>
  <c r="L87" i="142"/>
  <c r="D84" i="142"/>
  <c r="K84" i="142"/>
  <c r="L84" i="142"/>
  <c r="D83" i="142"/>
  <c r="K83" i="142"/>
  <c r="L83" i="142"/>
  <c r="D79" i="142"/>
  <c r="K79" i="142"/>
  <c r="L79" i="142"/>
  <c r="D77" i="142"/>
  <c r="K77" i="142"/>
  <c r="L77" i="142"/>
  <c r="D74" i="142"/>
  <c r="K74" i="142"/>
  <c r="L74" i="142"/>
  <c r="D73" i="142"/>
  <c r="K73" i="142"/>
  <c r="L73" i="142"/>
  <c r="D72" i="142"/>
  <c r="K72" i="142"/>
  <c r="L72" i="142"/>
  <c r="D70" i="142"/>
  <c r="K70" i="142"/>
  <c r="L70" i="142"/>
  <c r="D69" i="142"/>
  <c r="K69" i="142"/>
  <c r="L69" i="142"/>
  <c r="D67" i="142"/>
  <c r="K67" i="142"/>
  <c r="I61" i="142"/>
  <c r="L61" i="142"/>
  <c r="I60" i="142"/>
  <c r="L60" i="142"/>
  <c r="I50" i="142"/>
  <c r="L50" i="142"/>
  <c r="I49" i="142"/>
  <c r="L49" i="142"/>
  <c r="I47" i="142"/>
  <c r="L47" i="142"/>
  <c r="I46" i="142"/>
  <c r="R8" i="140"/>
  <c r="P8" i="140"/>
  <c r="N8" i="140"/>
  <c r="L8" i="140"/>
  <c r="J8" i="140"/>
  <c r="H8" i="140"/>
  <c r="R8" i="139"/>
  <c r="P8" i="139"/>
  <c r="N8" i="139"/>
  <c r="L8" i="139"/>
  <c r="J8" i="139"/>
  <c r="H8" i="139"/>
  <c r="R8" i="138"/>
  <c r="P8" i="138"/>
  <c r="N8" i="138"/>
  <c r="L8" i="138"/>
  <c r="J8" i="138"/>
  <c r="H8" i="138"/>
  <c r="R8" i="137"/>
  <c r="P8" i="137"/>
  <c r="N8" i="137"/>
  <c r="L8" i="137"/>
  <c r="J8" i="137"/>
  <c r="H8" i="137"/>
  <c r="R8" i="136"/>
  <c r="P8" i="136"/>
  <c r="N8" i="136"/>
  <c r="L8" i="136"/>
  <c r="J8" i="136"/>
  <c r="H8" i="136"/>
  <c r="R8" i="134"/>
  <c r="P8" i="134"/>
  <c r="N8" i="134"/>
  <c r="L8" i="134"/>
  <c r="J8" i="134"/>
  <c r="H8" i="134"/>
  <c r="R8" i="133"/>
  <c r="P8" i="133"/>
  <c r="N8" i="133"/>
  <c r="L8" i="133"/>
  <c r="J8" i="133"/>
  <c r="H8" i="133"/>
  <c r="R8" i="131"/>
  <c r="P8" i="131"/>
  <c r="N8" i="131"/>
  <c r="L8" i="131"/>
  <c r="J8" i="131"/>
  <c r="H8" i="131"/>
  <c r="R8" i="130"/>
  <c r="P8" i="130"/>
  <c r="N8" i="130"/>
  <c r="L8" i="130"/>
  <c r="J8" i="130"/>
  <c r="H8" i="130"/>
  <c r="R8" i="129"/>
  <c r="P8" i="129"/>
  <c r="N8" i="129"/>
  <c r="L8" i="129"/>
  <c r="J8" i="129"/>
  <c r="H8" i="129"/>
  <c r="R8" i="128"/>
  <c r="P8" i="128"/>
  <c r="N8" i="128"/>
  <c r="L8" i="128"/>
  <c r="J8" i="128"/>
  <c r="H8" i="128"/>
  <c r="R8" i="127"/>
  <c r="P8" i="127"/>
  <c r="N8" i="127"/>
  <c r="L8" i="127"/>
  <c r="J8" i="127"/>
  <c r="H8" i="127"/>
  <c r="R8" i="126"/>
  <c r="P8" i="126"/>
  <c r="N8" i="126"/>
  <c r="L8" i="126"/>
  <c r="J8" i="126"/>
  <c r="H8" i="126"/>
  <c r="R8" i="125"/>
  <c r="P8" i="125"/>
  <c r="N8" i="125"/>
  <c r="L8" i="125"/>
  <c r="J8" i="125"/>
  <c r="H8" i="125"/>
  <c r="R8" i="124"/>
  <c r="P8" i="124"/>
  <c r="N8" i="124"/>
  <c r="L8" i="124"/>
  <c r="J8" i="124"/>
  <c r="H8" i="124"/>
  <c r="L8" i="122"/>
  <c r="J8" i="122"/>
  <c r="H8" i="122"/>
  <c r="R8" i="120"/>
  <c r="S48" i="120"/>
  <c r="P8" i="120"/>
  <c r="N8" i="120"/>
  <c r="L8" i="120"/>
  <c r="J8" i="120"/>
  <c r="H8" i="120"/>
  <c r="R8" i="119"/>
  <c r="P8" i="119"/>
  <c r="N8" i="119"/>
  <c r="L8" i="119"/>
  <c r="J8" i="119"/>
  <c r="H8" i="119"/>
  <c r="R8" i="118"/>
  <c r="P8" i="118"/>
  <c r="N8" i="118"/>
  <c r="L8" i="118"/>
  <c r="J8" i="118"/>
  <c r="H8" i="118"/>
  <c r="R8" i="117"/>
  <c r="P8" i="117"/>
  <c r="N8" i="117"/>
  <c r="L8" i="117"/>
  <c r="J8" i="117"/>
  <c r="H8" i="117"/>
  <c r="R8" i="116"/>
  <c r="P8" i="116"/>
  <c r="N8" i="116"/>
  <c r="L8" i="116"/>
  <c r="J8" i="116"/>
  <c r="H8" i="116"/>
  <c r="R8" i="115"/>
  <c r="P8" i="115"/>
  <c r="N8" i="115"/>
  <c r="L8" i="115"/>
  <c r="J8" i="115"/>
  <c r="H8" i="115"/>
  <c r="R8" i="114"/>
  <c r="P8" i="114"/>
  <c r="N8" i="114"/>
  <c r="L8" i="114"/>
  <c r="J8" i="114"/>
  <c r="H8" i="114"/>
  <c r="R8" i="112"/>
  <c r="P8" i="112"/>
  <c r="N8" i="112"/>
  <c r="L8" i="112"/>
  <c r="J8" i="112"/>
  <c r="H8" i="112"/>
  <c r="L46" i="142"/>
  <c r="L67" i="142"/>
  <c r="N65" i="142"/>
  <c r="A7" i="20"/>
  <c r="E35" i="21"/>
  <c r="J5" i="21" s="1"/>
  <c r="H35" i="21"/>
  <c r="J4" i="21" s="1"/>
  <c r="I16" i="21"/>
  <c r="I17" i="21"/>
  <c r="I20" i="21"/>
  <c r="I21" i="21"/>
  <c r="I22" i="21"/>
  <c r="I23" i="21"/>
  <c r="I24" i="21"/>
  <c r="I25" i="21"/>
  <c r="I26" i="21"/>
  <c r="I19" i="21"/>
  <c r="I18" i="21"/>
  <c r="I14" i="21"/>
  <c r="I33" i="21"/>
  <c r="I34" i="21"/>
  <c r="I72" i="138"/>
  <c r="M61" i="133"/>
  <c r="Q62" i="128"/>
  <c r="I55" i="124"/>
  <c r="I49" i="120"/>
  <c r="M97" i="115"/>
  <c r="O46" i="139"/>
  <c r="S61" i="134"/>
  <c r="K53" i="130"/>
  <c r="O55" i="125"/>
  <c r="S97" i="116"/>
  <c r="M61" i="136"/>
  <c r="Q61" i="131"/>
  <c r="I61" i="127"/>
  <c r="S58" i="121"/>
  <c r="M56" i="118"/>
  <c r="Q71" i="112"/>
  <c r="S61" i="137"/>
  <c r="K61" i="133"/>
  <c r="O62" i="128"/>
  <c r="S59" i="123"/>
  <c r="S65" i="119"/>
  <c r="K97" i="115"/>
  <c r="M46" i="139"/>
  <c r="Q61" i="134"/>
  <c r="I53" i="130"/>
  <c r="M55" i="125"/>
  <c r="Q58" i="121"/>
  <c r="Q97" i="116"/>
  <c r="S47" i="140"/>
  <c r="K61" i="136"/>
  <c r="O61" i="131"/>
  <c r="S61" i="126"/>
  <c r="Q59" i="123"/>
  <c r="K56" i="118"/>
  <c r="O71" i="112"/>
  <c r="Q61" i="137"/>
  <c r="I61" i="133"/>
  <c r="M62" i="128"/>
  <c r="O58" i="121"/>
  <c r="Q65" i="119"/>
  <c r="I97" i="115"/>
  <c r="K46" i="139"/>
  <c r="Q47" i="140"/>
  <c r="I61" i="136"/>
  <c r="M61" i="131"/>
  <c r="Q61" i="126"/>
  <c r="M58" i="121"/>
  <c r="I56" i="118"/>
  <c r="M71" i="112"/>
  <c r="O61" i="137"/>
  <c r="K62" i="128"/>
  <c r="M59" i="123"/>
  <c r="O65" i="119"/>
  <c r="S58" i="114"/>
  <c r="I46" i="139"/>
  <c r="M61" i="134"/>
  <c r="Q62" i="129"/>
  <c r="I55" i="125"/>
  <c r="K58" i="121"/>
  <c r="M47" i="140"/>
  <c r="K61" i="137"/>
  <c r="S72" i="138"/>
  <c r="O53" i="130"/>
  <c r="M55" i="124"/>
  <c r="I58" i="121"/>
  <c r="I71" i="112"/>
  <c r="O61" i="134"/>
  <c r="Q72" i="138"/>
  <c r="Q61" i="136"/>
  <c r="K61" i="126"/>
  <c r="S56" i="118"/>
  <c r="I56" i="117"/>
  <c r="M53" i="130"/>
  <c r="I62" i="128"/>
  <c r="K55" i="124"/>
  <c r="Q58" i="114"/>
  <c r="Q49" i="120"/>
  <c r="O72" i="138"/>
  <c r="O61" i="136"/>
  <c r="K61" i="134"/>
  <c r="I61" i="126"/>
  <c r="Q56" i="118"/>
  <c r="S61" i="127"/>
  <c r="O97" i="116"/>
  <c r="O58" i="114"/>
  <c r="K72" i="138"/>
  <c r="S69" i="122"/>
  <c r="Q61" i="133"/>
  <c r="Q69" i="122"/>
  <c r="I97" i="116"/>
  <c r="M61" i="127"/>
  <c r="S53" i="130"/>
  <c r="Q55" i="124"/>
  <c r="O97" i="115"/>
  <c r="I61" i="137"/>
  <c r="O61" i="126"/>
  <c r="K71" i="112"/>
  <c r="K56" i="117"/>
  <c r="I69" i="122"/>
  <c r="O47" i="140"/>
  <c r="I61" i="134"/>
  <c r="S62" i="129"/>
  <c r="O59" i="123"/>
  <c r="O49" i="120"/>
  <c r="M97" i="116"/>
  <c r="M49" i="120"/>
  <c r="K58" i="114"/>
  <c r="S55" i="124"/>
  <c r="Q97" i="115"/>
  <c r="O56" i="117"/>
  <c r="O55" i="124"/>
  <c r="M61" i="126"/>
  <c r="M72" i="138"/>
  <c r="S55" i="125"/>
  <c r="K59" i="123"/>
  <c r="O56" i="118"/>
  <c r="Q61" i="127"/>
  <c r="M58" i="114"/>
  <c r="S61" i="133"/>
  <c r="S61" i="131"/>
  <c r="I59" i="123"/>
  <c r="O62" i="129"/>
  <c r="Q55" i="125"/>
  <c r="K97" i="116"/>
  <c r="K47" i="140"/>
  <c r="O61" i="127"/>
  <c r="K49" i="120"/>
  <c r="M62" i="129"/>
  <c r="I47" i="140"/>
  <c r="K55" i="125"/>
  <c r="S56" i="117"/>
  <c r="I58" i="114"/>
  <c r="S62" i="128"/>
  <c r="K65" i="119"/>
  <c r="S61" i="136"/>
  <c r="O61" i="133"/>
  <c r="K61" i="131"/>
  <c r="O69" i="122"/>
  <c r="K62" i="129"/>
  <c r="S97" i="115"/>
  <c r="S46" i="139"/>
  <c r="K61" i="127"/>
  <c r="M69" i="122"/>
  <c r="Q56" i="117"/>
  <c r="S71" i="112"/>
  <c r="M61" i="137"/>
  <c r="I61" i="131"/>
  <c r="I62" i="129"/>
  <c r="Q46" i="139"/>
  <c r="K69" i="122"/>
  <c r="M56" i="117"/>
  <c r="M65" i="119"/>
  <c r="Q53" i="130"/>
  <c r="I65" i="119"/>
  <c r="S49" i="120"/>
  <c r="O47" i="139"/>
  <c r="S62" i="134"/>
  <c r="K54" i="130"/>
  <c r="O56" i="125"/>
  <c r="S98" i="116"/>
  <c r="M62" i="136"/>
  <c r="Q62" i="131"/>
  <c r="I62" i="127"/>
  <c r="S59" i="121"/>
  <c r="M57" i="118"/>
  <c r="Q72" i="112"/>
  <c r="S62" i="137"/>
  <c r="K62" i="133"/>
  <c r="O63" i="128"/>
  <c r="S60" i="123"/>
  <c r="S66" i="119"/>
  <c r="K98" i="115"/>
  <c r="M47" i="139"/>
  <c r="Q62" i="134"/>
  <c r="I54" i="130"/>
  <c r="M56" i="125"/>
  <c r="Q59" i="121"/>
  <c r="Q98" i="116"/>
  <c r="S48" i="140"/>
  <c r="K62" i="136"/>
  <c r="O62" i="131"/>
  <c r="S62" i="126"/>
  <c r="Q60" i="123"/>
  <c r="K57" i="118"/>
  <c r="O72" i="112"/>
  <c r="Q62" i="137"/>
  <c r="I62" i="133"/>
  <c r="M63" i="128"/>
  <c r="O59" i="121"/>
  <c r="Q66" i="119"/>
  <c r="I98" i="115"/>
  <c r="K47" i="139"/>
  <c r="O62" i="134"/>
  <c r="S63" i="129"/>
  <c r="K56" i="125"/>
  <c r="O60" i="123"/>
  <c r="O98" i="116"/>
  <c r="I62" i="136"/>
  <c r="Q48" i="140"/>
  <c r="O62" i="137"/>
  <c r="K63" i="128"/>
  <c r="M60" i="123"/>
  <c r="O66" i="119"/>
  <c r="S59" i="114"/>
  <c r="I47" i="139"/>
  <c r="M62" i="134"/>
  <c r="Q63" i="129"/>
  <c r="I56" i="125"/>
  <c r="K59" i="121"/>
  <c r="M98" i="116"/>
  <c r="O48" i="140"/>
  <c r="K62" i="131"/>
  <c r="O62" i="126"/>
  <c r="K60" i="123"/>
  <c r="Q73" i="138"/>
  <c r="I62" i="134"/>
  <c r="Q62" i="136"/>
  <c r="K62" i="126"/>
  <c r="S57" i="118"/>
  <c r="I57" i="117"/>
  <c r="M54" i="130"/>
  <c r="I63" i="128"/>
  <c r="K56" i="124"/>
  <c r="Q59" i="114"/>
  <c r="Q50" i="120"/>
  <c r="O73" i="138"/>
  <c r="O62" i="136"/>
  <c r="K62" i="134"/>
  <c r="I62" i="126"/>
  <c r="Q57" i="118"/>
  <c r="S62" i="127"/>
  <c r="I56" i="124"/>
  <c r="O59" i="114"/>
  <c r="O50" i="120"/>
  <c r="K59" i="114"/>
  <c r="I98" i="116"/>
  <c r="I48" i="140"/>
  <c r="M62" i="131"/>
  <c r="Q98" i="115"/>
  <c r="O57" i="117"/>
  <c r="Q56" i="124"/>
  <c r="M72" i="112"/>
  <c r="I70" i="122"/>
  <c r="M57" i="117"/>
  <c r="I66" i="119"/>
  <c r="O56" i="124"/>
  <c r="K57" i="117"/>
  <c r="Q63" i="128"/>
  <c r="I72" i="112"/>
  <c r="M59" i="121"/>
  <c r="I59" i="121"/>
  <c r="M73" i="138"/>
  <c r="S56" i="125"/>
  <c r="O57" i="118"/>
  <c r="M59" i="114"/>
  <c r="S62" i="133"/>
  <c r="M50" i="120"/>
  <c r="O63" i="129"/>
  <c r="O62" i="127"/>
  <c r="Q62" i="133"/>
  <c r="K50" i="120"/>
  <c r="I57" i="118"/>
  <c r="Q70" i="122"/>
  <c r="M62" i="127"/>
  <c r="O62" i="133"/>
  <c r="I50" i="120"/>
  <c r="S54" i="130"/>
  <c r="O98" i="115"/>
  <c r="I62" i="137"/>
  <c r="K66" i="119"/>
  <c r="Q62" i="127"/>
  <c r="M48" i="140"/>
  <c r="S62" i="131"/>
  <c r="I60" i="123"/>
  <c r="K73" i="138"/>
  <c r="Q56" i="125"/>
  <c r="K98" i="116"/>
  <c r="K48" i="140"/>
  <c r="S70" i="122"/>
  <c r="I73" i="138"/>
  <c r="M63" i="129"/>
  <c r="S57" i="117"/>
  <c r="I59" i="114"/>
  <c r="O70" i="122"/>
  <c r="I63" i="129"/>
  <c r="Q47" i="139"/>
  <c r="M66" i="119"/>
  <c r="K62" i="137"/>
  <c r="Q62" i="126"/>
  <c r="Q54" i="130"/>
  <c r="K72" i="112"/>
  <c r="S73" i="138"/>
  <c r="M56" i="124"/>
  <c r="K63" i="129"/>
  <c r="S98" i="115"/>
  <c r="S47" i="139"/>
  <c r="K62" i="127"/>
  <c r="M70" i="122"/>
  <c r="Q57" i="117"/>
  <c r="S72" i="112"/>
  <c r="M62" i="137"/>
  <c r="M62" i="133"/>
  <c r="I62" i="131"/>
  <c r="S56" i="124"/>
  <c r="K70" i="122"/>
  <c r="S63" i="128"/>
  <c r="M98" i="115"/>
  <c r="S62" i="136"/>
  <c r="M62" i="126"/>
  <c r="O54" i="130"/>
  <c r="S50" i="120"/>
  <c r="S60" i="66"/>
  <c r="S59" i="66"/>
  <c r="Q60" i="66"/>
  <c r="Q59" i="66"/>
  <c r="O60" i="66"/>
  <c r="O59" i="66"/>
  <c r="M60" i="66"/>
  <c r="M59" i="66"/>
  <c r="K60" i="66"/>
  <c r="K59" i="66"/>
  <c r="I60" i="66"/>
  <c r="I59" i="66"/>
  <c r="S47" i="68"/>
  <c r="S46" i="68"/>
  <c r="Q47" i="68"/>
  <c r="Q46" i="68"/>
  <c r="O47" i="68"/>
  <c r="O46" i="68"/>
  <c r="M47" i="68"/>
  <c r="M46" i="68"/>
  <c r="K47" i="68"/>
  <c r="K46" i="68"/>
  <c r="I47" i="68"/>
  <c r="I46" i="68"/>
  <c r="Q72" i="82"/>
  <c r="Q70" i="82"/>
  <c r="P8" i="82"/>
  <c r="S66" i="82"/>
  <c r="Q68" i="82"/>
  <c r="Q66" i="82"/>
  <c r="O72" i="82"/>
  <c r="O71" i="82"/>
  <c r="M72" i="82"/>
  <c r="M71" i="82"/>
  <c r="K72" i="82"/>
  <c r="K71" i="82"/>
  <c r="I72" i="82"/>
  <c r="I71" i="82"/>
  <c r="S72" i="79"/>
  <c r="S71" i="79"/>
  <c r="Q72" i="79"/>
  <c r="Q71" i="79"/>
  <c r="O72" i="79"/>
  <c r="O71" i="79"/>
  <c r="M72" i="79"/>
  <c r="M71" i="79"/>
  <c r="K72" i="79"/>
  <c r="K71" i="79"/>
  <c r="I72" i="79"/>
  <c r="I71" i="79"/>
  <c r="S73" i="83"/>
  <c r="S75" i="83" s="1"/>
  <c r="Q73" i="83"/>
  <c r="Q75" i="83" s="1"/>
  <c r="S53" i="85"/>
  <c r="S52" i="85"/>
  <c r="Q53" i="85"/>
  <c r="Q52" i="85"/>
  <c r="O53" i="85"/>
  <c r="O52" i="85"/>
  <c r="M53" i="85"/>
  <c r="M52" i="85"/>
  <c r="K53" i="85"/>
  <c r="K52" i="85"/>
  <c r="I53" i="85"/>
  <c r="I52" i="85"/>
  <c r="S54" i="92"/>
  <c r="S53" i="92"/>
  <c r="Q54" i="92"/>
  <c r="Q53" i="92"/>
  <c r="O54" i="92"/>
  <c r="O53" i="92"/>
  <c r="M54" i="92"/>
  <c r="M53" i="92"/>
  <c r="K54" i="92"/>
  <c r="K53" i="92"/>
  <c r="I54" i="92"/>
  <c r="I53" i="92"/>
  <c r="S60" i="90"/>
  <c r="S59" i="90"/>
  <c r="Q60" i="90"/>
  <c r="Q59" i="90"/>
  <c r="O60" i="90"/>
  <c r="O59" i="90"/>
  <c r="M60" i="90"/>
  <c r="M59" i="90"/>
  <c r="K60" i="90"/>
  <c r="K59" i="90"/>
  <c r="I60" i="90"/>
  <c r="I59" i="90"/>
  <c r="S75" i="109"/>
  <c r="S74" i="109"/>
  <c r="Q75" i="109"/>
  <c r="Q74" i="109"/>
  <c r="O75" i="109"/>
  <c r="O74" i="109"/>
  <c r="M75" i="109"/>
  <c r="M74" i="109"/>
  <c r="K75" i="109"/>
  <c r="K74" i="109"/>
  <c r="I75" i="109"/>
  <c r="I74" i="109"/>
  <c r="B4" i="109"/>
  <c r="B4" i="36"/>
  <c r="B4" i="15"/>
  <c r="B4" i="31"/>
  <c r="B4" i="104"/>
  <c r="B4" i="102"/>
  <c r="B4" i="100"/>
  <c r="B4" i="99"/>
  <c r="B4" i="90"/>
  <c r="B4" i="94"/>
  <c r="B4" i="25"/>
  <c r="B4" i="92"/>
  <c r="B4" i="89"/>
  <c r="B4" i="85"/>
  <c r="B4" i="87"/>
  <c r="B4" i="83"/>
  <c r="B4" i="79"/>
  <c r="B4" i="82"/>
  <c r="B4" i="73"/>
  <c r="B4" i="77"/>
  <c r="B4" i="68"/>
  <c r="B4" i="66"/>
  <c r="B4" i="64"/>
  <c r="B4" i="63"/>
  <c r="B4" i="61"/>
  <c r="B4" i="59"/>
  <c r="B4" i="56"/>
  <c r="B4" i="4"/>
  <c r="B4" i="32"/>
  <c r="B4" i="55"/>
  <c r="B4" i="53"/>
  <c r="B4" i="54"/>
  <c r="B4" i="52"/>
  <c r="B4" i="51"/>
  <c r="B4" i="50"/>
  <c r="B4" i="28"/>
  <c r="B4" i="14"/>
  <c r="B4" i="13"/>
  <c r="B4" i="16"/>
  <c r="B4" i="95"/>
  <c r="B4" i="46"/>
  <c r="B4" i="35"/>
  <c r="B4" i="93"/>
  <c r="B4" i="84"/>
  <c r="B4" i="110"/>
  <c r="B4" i="86"/>
  <c r="B4" i="78"/>
  <c r="B4" i="80"/>
  <c r="B4" i="81"/>
  <c r="B4" i="41"/>
  <c r="B4" i="30"/>
  <c r="B4" i="74"/>
  <c r="B4" i="75"/>
  <c r="B4" i="76"/>
  <c r="B4" i="10"/>
  <c r="B4" i="69"/>
  <c r="B4" i="71"/>
  <c r="B4" i="9"/>
  <c r="B4" i="29"/>
  <c r="B4" i="8"/>
  <c r="B4" i="7"/>
  <c r="S70" i="82"/>
  <c r="S68" i="82"/>
  <c r="Q71" i="82"/>
  <c r="B4" i="5"/>
  <c r="R64" i="2"/>
  <c r="R63" i="2"/>
  <c r="B4" i="60"/>
  <c r="B4" i="58"/>
  <c r="B4" i="57"/>
  <c r="B4" i="3"/>
  <c r="B4" i="2"/>
  <c r="B4" i="38"/>
  <c r="I74" i="16"/>
  <c r="I76" i="16" s="1"/>
  <c r="S72" i="82"/>
  <c r="S71" i="82"/>
  <c r="C28" i="47"/>
  <c r="K68" i="95"/>
  <c r="K70" i="95" s="1"/>
  <c r="K72" i="95" s="1"/>
  <c r="S74" i="16"/>
  <c r="S78" i="16" s="1"/>
  <c r="I68" i="95"/>
  <c r="I70" i="95" s="1"/>
  <c r="I72" i="95" s="1"/>
  <c r="O74" i="16"/>
  <c r="O76" i="16" s="1"/>
  <c r="AG60" i="20"/>
  <c r="AG64" i="20" s="1"/>
  <c r="AG73" i="20" s="1"/>
  <c r="AG76" i="20" s="1"/>
  <c r="A9" i="20"/>
  <c r="S54" i="110"/>
  <c r="S56" i="110" s="1"/>
  <c r="Q54" i="110"/>
  <c r="Q56" i="110" s="1"/>
  <c r="O54" i="110"/>
  <c r="O56" i="110" s="1"/>
  <c r="O58" i="110" s="1"/>
  <c r="M54" i="110"/>
  <c r="M56" i="110" s="1"/>
  <c r="M58" i="110" s="1"/>
  <c r="K54" i="110"/>
  <c r="K56" i="110" s="1"/>
  <c r="K58" i="110" s="1"/>
  <c r="I54" i="110"/>
  <c r="I56" i="110" s="1"/>
  <c r="B19" i="110"/>
  <c r="B18" i="110"/>
  <c r="B17" i="110"/>
  <c r="B16" i="110"/>
  <c r="B15" i="110"/>
  <c r="B14" i="110"/>
  <c r="B13" i="110"/>
  <c r="B12" i="110"/>
  <c r="B11" i="110"/>
  <c r="I86" i="30"/>
  <c r="I88" i="30" s="1"/>
  <c r="S69" i="109"/>
  <c r="S71" i="109"/>
  <c r="S73" i="109"/>
  <c r="Q69" i="109"/>
  <c r="Q71" i="109"/>
  <c r="Q73" i="109"/>
  <c r="O69" i="109"/>
  <c r="M69" i="109"/>
  <c r="M71" i="109"/>
  <c r="M73" i="109"/>
  <c r="K69" i="109"/>
  <c r="I69" i="109"/>
  <c r="B19" i="109"/>
  <c r="B18" i="109"/>
  <c r="B17" i="109"/>
  <c r="B16" i="109"/>
  <c r="B15" i="109"/>
  <c r="B14" i="109"/>
  <c r="B13" i="109"/>
  <c r="B12" i="109"/>
  <c r="B11" i="109"/>
  <c r="K55" i="10"/>
  <c r="K57" i="10" s="1"/>
  <c r="K59" i="10" s="1"/>
  <c r="O71" i="109"/>
  <c r="O73" i="109"/>
  <c r="P8" i="109"/>
  <c r="L8" i="109"/>
  <c r="R8" i="109"/>
  <c r="I71" i="109"/>
  <c r="I73" i="109"/>
  <c r="K71" i="109"/>
  <c r="K73" i="109"/>
  <c r="U201" i="14"/>
  <c r="U203" i="14" s="1"/>
  <c r="U205" i="14" s="1"/>
  <c r="S201" i="14"/>
  <c r="S203" i="14" s="1"/>
  <c r="Q201" i="14"/>
  <c r="Q203" i="14" s="1"/>
  <c r="Q205" i="14" s="1"/>
  <c r="O201" i="14"/>
  <c r="O203" i="14" s="1"/>
  <c r="O205" i="14" s="1"/>
  <c r="K201" i="14"/>
  <c r="K203" i="14" s="1"/>
  <c r="K205" i="14" s="1"/>
  <c r="I203" i="14"/>
  <c r="I205" i="14" s="1"/>
  <c r="S48" i="56"/>
  <c r="Q48" i="56"/>
  <c r="O48" i="56"/>
  <c r="M48" i="56"/>
  <c r="S52" i="32"/>
  <c r="S54" i="32"/>
  <c r="Q52" i="32"/>
  <c r="O52" i="32"/>
  <c r="M52" i="32"/>
  <c r="K52" i="32"/>
  <c r="I52" i="32"/>
  <c r="I54" i="32"/>
  <c r="N8" i="109"/>
  <c r="J8" i="109"/>
  <c r="H8" i="109"/>
  <c r="S56" i="32"/>
  <c r="Q54" i="32"/>
  <c r="Q56" i="32"/>
  <c r="O54" i="32"/>
  <c r="O56" i="32"/>
  <c r="M54" i="32"/>
  <c r="M56" i="32"/>
  <c r="K54" i="32"/>
  <c r="K56" i="32"/>
  <c r="I56" i="32"/>
  <c r="K64" i="3"/>
  <c r="K66" i="3" s="1"/>
  <c r="I66" i="51"/>
  <c r="S53" i="63"/>
  <c r="S48" i="61"/>
  <c r="Q48" i="61"/>
  <c r="O48" i="61"/>
  <c r="M48" i="61"/>
  <c r="K48" i="61"/>
  <c r="K50" i="61"/>
  <c r="CR46" i="108"/>
  <c r="CJ46" i="108"/>
  <c r="CB46" i="108"/>
  <c r="BT46" i="108"/>
  <c r="BL46" i="108"/>
  <c r="BD46" i="108"/>
  <c r="AV46" i="108"/>
  <c r="AN46" i="108"/>
  <c r="AF46" i="108"/>
  <c r="X46" i="108"/>
  <c r="P46" i="108"/>
  <c r="H46" i="108"/>
  <c r="CU46" i="108"/>
  <c r="CR45" i="108"/>
  <c r="CJ45" i="108"/>
  <c r="CU45" i="108"/>
  <c r="CB45" i="108"/>
  <c r="BT45" i="108"/>
  <c r="BL45" i="108"/>
  <c r="BD45" i="108"/>
  <c r="AV45" i="108"/>
  <c r="AN45" i="108"/>
  <c r="AF45" i="108"/>
  <c r="X45" i="108"/>
  <c r="P45" i="108"/>
  <c r="H45" i="108"/>
  <c r="CR44" i="108"/>
  <c r="CJ44" i="108"/>
  <c r="CB44" i="108"/>
  <c r="BT44" i="108"/>
  <c r="BL44" i="108"/>
  <c r="CU44" i="108"/>
  <c r="BD44" i="108"/>
  <c r="AV44" i="108"/>
  <c r="AN44" i="108"/>
  <c r="AF44" i="108"/>
  <c r="X44" i="108"/>
  <c r="P44" i="108"/>
  <c r="H44" i="108"/>
  <c r="CR43" i="108"/>
  <c r="CJ43" i="108"/>
  <c r="CB43" i="108"/>
  <c r="BT43" i="108"/>
  <c r="BL43" i="108"/>
  <c r="BD43" i="108"/>
  <c r="AV43" i="108"/>
  <c r="CU43" i="108"/>
  <c r="AN43" i="108"/>
  <c r="AF43" i="108"/>
  <c r="X43" i="108"/>
  <c r="P43" i="108"/>
  <c r="H43" i="108"/>
  <c r="CR41" i="108"/>
  <c r="CJ41" i="108"/>
  <c r="CB41" i="108"/>
  <c r="BT41" i="108"/>
  <c r="BL41" i="108"/>
  <c r="BD41" i="108"/>
  <c r="AV41" i="108"/>
  <c r="AN41" i="108"/>
  <c r="AF41" i="108"/>
  <c r="X41" i="108"/>
  <c r="P41" i="108"/>
  <c r="CU41" i="108"/>
  <c r="H41" i="108"/>
  <c r="CR40" i="108"/>
  <c r="CJ40" i="108"/>
  <c r="CB40" i="108"/>
  <c r="BT40" i="108"/>
  <c r="BL40" i="108"/>
  <c r="BD40" i="108"/>
  <c r="AV40" i="108"/>
  <c r="AN40" i="108"/>
  <c r="AF40" i="108"/>
  <c r="X40" i="108"/>
  <c r="P40" i="108"/>
  <c r="H40" i="108"/>
  <c r="CU40" i="108"/>
  <c r="CR38" i="108"/>
  <c r="CU38" i="108"/>
  <c r="CJ38" i="108"/>
  <c r="CB38" i="108"/>
  <c r="BT38" i="108"/>
  <c r="BL38" i="108"/>
  <c r="BD38" i="108"/>
  <c r="AV38" i="108"/>
  <c r="AN38" i="108"/>
  <c r="AF38" i="108"/>
  <c r="X38" i="108"/>
  <c r="P38" i="108"/>
  <c r="H38" i="108"/>
  <c r="CR36" i="108"/>
  <c r="CJ36" i="108"/>
  <c r="CB36" i="108"/>
  <c r="BT36" i="108"/>
  <c r="CU36" i="108"/>
  <c r="BL36" i="108"/>
  <c r="BD36" i="108"/>
  <c r="AV36" i="108"/>
  <c r="AN36" i="108"/>
  <c r="AF36" i="108"/>
  <c r="X36" i="108"/>
  <c r="P36" i="108"/>
  <c r="H36" i="108"/>
  <c r="CR35" i="108"/>
  <c r="CJ35" i="108"/>
  <c r="CB35" i="108"/>
  <c r="BT35" i="108"/>
  <c r="BL35" i="108"/>
  <c r="BD35" i="108"/>
  <c r="AV35" i="108"/>
  <c r="CU35" i="108"/>
  <c r="AN35" i="108"/>
  <c r="AF35" i="108"/>
  <c r="X35" i="108"/>
  <c r="P35" i="108"/>
  <c r="H35" i="108"/>
  <c r="CR34" i="108"/>
  <c r="CJ34" i="108"/>
  <c r="CB34" i="108"/>
  <c r="BT34" i="108"/>
  <c r="BL34" i="108"/>
  <c r="BD34" i="108"/>
  <c r="AV34" i="108"/>
  <c r="AN34" i="108"/>
  <c r="AF34" i="108"/>
  <c r="X34" i="108"/>
  <c r="CU34" i="108"/>
  <c r="P34" i="108"/>
  <c r="H34" i="108"/>
  <c r="CR33" i="108"/>
  <c r="CJ33" i="108"/>
  <c r="CB33" i="108"/>
  <c r="BT33" i="108"/>
  <c r="BL33" i="108"/>
  <c r="BD33" i="108"/>
  <c r="AV33" i="108"/>
  <c r="AN33" i="108"/>
  <c r="AF33" i="108"/>
  <c r="X33" i="108"/>
  <c r="P33" i="108"/>
  <c r="H33" i="108"/>
  <c r="CU33" i="108"/>
  <c r="CP31" i="108"/>
  <c r="CR31" i="108"/>
  <c r="CH31" i="108"/>
  <c r="CJ31" i="108"/>
  <c r="BZ31" i="108"/>
  <c r="CB31" i="108"/>
  <c r="BT31" i="108"/>
  <c r="BR31" i="108"/>
  <c r="BJ31" i="108"/>
  <c r="BL31" i="108"/>
  <c r="BB31" i="108"/>
  <c r="BD31" i="108"/>
  <c r="AT31" i="108"/>
  <c r="AV31" i="108"/>
  <c r="AL31" i="108"/>
  <c r="AN31" i="108"/>
  <c r="AD31" i="108"/>
  <c r="AF31" i="108"/>
  <c r="V31" i="108"/>
  <c r="X31" i="108"/>
  <c r="N31" i="108"/>
  <c r="P31" i="108"/>
  <c r="CU31" i="108"/>
  <c r="H31" i="108"/>
  <c r="F31" i="108"/>
  <c r="CP30" i="108"/>
  <c r="CR30" i="108"/>
  <c r="CH30" i="108"/>
  <c r="CJ30" i="108"/>
  <c r="BZ30" i="108"/>
  <c r="CB30" i="108"/>
  <c r="BT30" i="108"/>
  <c r="BR30" i="108"/>
  <c r="BJ30" i="108"/>
  <c r="BL30" i="108"/>
  <c r="BB30" i="108"/>
  <c r="BD30" i="108"/>
  <c r="AT30" i="108"/>
  <c r="AV30" i="108"/>
  <c r="AL30" i="108"/>
  <c r="AN30" i="108"/>
  <c r="AD30" i="108"/>
  <c r="AF30" i="108"/>
  <c r="V30" i="108"/>
  <c r="X30" i="108"/>
  <c r="N30" i="108"/>
  <c r="P30" i="108"/>
  <c r="H30" i="108"/>
  <c r="CU30" i="108"/>
  <c r="F30" i="108"/>
  <c r="CP29" i="108"/>
  <c r="CR29" i="108"/>
  <c r="CH29" i="108"/>
  <c r="CJ29" i="108"/>
  <c r="CB29" i="108"/>
  <c r="BZ29" i="108"/>
  <c r="BR29" i="108"/>
  <c r="BT29" i="108"/>
  <c r="BJ29" i="108"/>
  <c r="BL29" i="108"/>
  <c r="BB29" i="108"/>
  <c r="BD29" i="108"/>
  <c r="AT29" i="108"/>
  <c r="AV29" i="108"/>
  <c r="AL29" i="108"/>
  <c r="AN29" i="108"/>
  <c r="AD29" i="108"/>
  <c r="AF29" i="108"/>
  <c r="V29" i="108"/>
  <c r="X29" i="108"/>
  <c r="P29" i="108"/>
  <c r="N29" i="108"/>
  <c r="F29" i="108"/>
  <c r="H29" i="108"/>
  <c r="CU29" i="108"/>
  <c r="CP28" i="108"/>
  <c r="CR28" i="108"/>
  <c r="CH28" i="108"/>
  <c r="CJ28" i="108"/>
  <c r="CB28" i="108"/>
  <c r="BZ28" i="108"/>
  <c r="BT28" i="108"/>
  <c r="BR28" i="108"/>
  <c r="BJ28" i="108"/>
  <c r="BL28" i="108"/>
  <c r="BB28" i="108"/>
  <c r="BD28" i="108"/>
  <c r="AT28" i="108"/>
  <c r="AV28" i="108"/>
  <c r="AL28" i="108"/>
  <c r="AN28" i="108"/>
  <c r="AD28" i="108"/>
  <c r="AF28" i="108"/>
  <c r="V28" i="108"/>
  <c r="X28" i="108"/>
  <c r="P28" i="108"/>
  <c r="N28" i="108"/>
  <c r="H28" i="108"/>
  <c r="F28" i="108"/>
  <c r="CP27" i="108"/>
  <c r="CR27" i="108"/>
  <c r="CJ27" i="108"/>
  <c r="CH27" i="108"/>
  <c r="BZ27" i="108"/>
  <c r="CB27" i="108"/>
  <c r="BR27" i="108"/>
  <c r="BR7" i="108"/>
  <c r="BT7" i="108"/>
  <c r="BJ27" i="108"/>
  <c r="BJ7" i="108"/>
  <c r="BL7" i="108"/>
  <c r="BB27" i="108"/>
  <c r="BD27" i="108"/>
  <c r="AT27" i="108"/>
  <c r="AV27" i="108"/>
  <c r="AL27" i="108"/>
  <c r="AN27" i="108"/>
  <c r="AD27" i="108"/>
  <c r="AF27" i="108"/>
  <c r="X27" i="108"/>
  <c r="V27" i="108"/>
  <c r="N27" i="108"/>
  <c r="P27" i="108"/>
  <c r="F27" i="108"/>
  <c r="H27" i="108"/>
  <c r="CP26" i="108"/>
  <c r="CR26" i="108"/>
  <c r="CJ26" i="108"/>
  <c r="CH26" i="108"/>
  <c r="CB26" i="108"/>
  <c r="BZ26" i="108"/>
  <c r="BR26" i="108"/>
  <c r="BT26" i="108"/>
  <c r="BJ26" i="108"/>
  <c r="BL26" i="108"/>
  <c r="BB26" i="108"/>
  <c r="BD26" i="108"/>
  <c r="AT26" i="108"/>
  <c r="AV26" i="108"/>
  <c r="AL26" i="108"/>
  <c r="AN26" i="108"/>
  <c r="AD26" i="108"/>
  <c r="AF26" i="108"/>
  <c r="X26" i="108"/>
  <c r="V26" i="108"/>
  <c r="P26" i="108"/>
  <c r="N26" i="108"/>
  <c r="F26" i="108"/>
  <c r="H26" i="108"/>
  <c r="CR25" i="108"/>
  <c r="CJ25" i="108"/>
  <c r="CB25" i="108"/>
  <c r="BT25" i="108"/>
  <c r="BL25" i="108"/>
  <c r="BD25" i="108"/>
  <c r="AV25" i="108"/>
  <c r="AN25" i="108"/>
  <c r="AF25" i="108"/>
  <c r="X25" i="108"/>
  <c r="CU25" i="108"/>
  <c r="P25" i="108"/>
  <c r="H25" i="108"/>
  <c r="CR24" i="108"/>
  <c r="CJ24" i="108"/>
  <c r="CB24" i="108"/>
  <c r="BT24" i="108"/>
  <c r="BL24" i="108"/>
  <c r="BD24" i="108"/>
  <c r="AV24" i="108"/>
  <c r="AN24" i="108"/>
  <c r="AF24" i="108"/>
  <c r="X24" i="108"/>
  <c r="P24" i="108"/>
  <c r="H24" i="108"/>
  <c r="CU24" i="108"/>
  <c r="CU23" i="108"/>
  <c r="CR23" i="108"/>
  <c r="CJ23" i="108"/>
  <c r="CB23" i="108"/>
  <c r="BT23" i="108"/>
  <c r="BL23" i="108"/>
  <c r="BD23" i="108"/>
  <c r="AV23" i="108"/>
  <c r="AN23" i="108"/>
  <c r="AF23" i="108"/>
  <c r="X23" i="108"/>
  <c r="P23" i="108"/>
  <c r="H23" i="108"/>
  <c r="CR21" i="108"/>
  <c r="CJ21" i="108"/>
  <c r="CB21" i="108"/>
  <c r="CU21" i="108"/>
  <c r="BT21" i="108"/>
  <c r="BL21" i="108"/>
  <c r="BD21" i="108"/>
  <c r="AV21" i="108"/>
  <c r="AN21" i="108"/>
  <c r="AF21" i="108"/>
  <c r="X21" i="108"/>
  <c r="P21" i="108"/>
  <c r="H21" i="108"/>
  <c r="CR20" i="108"/>
  <c r="CJ20" i="108"/>
  <c r="CB20" i="108"/>
  <c r="BT20" i="108"/>
  <c r="BL20" i="108"/>
  <c r="BD20" i="108"/>
  <c r="CU20" i="108"/>
  <c r="AV20" i="108"/>
  <c r="AN20" i="108"/>
  <c r="AF20" i="108"/>
  <c r="X20" i="108"/>
  <c r="P20" i="108"/>
  <c r="H20" i="108"/>
  <c r="CR19" i="108"/>
  <c r="CJ19" i="108"/>
  <c r="CB19" i="108"/>
  <c r="BT19" i="108"/>
  <c r="BL19" i="108"/>
  <c r="BD19" i="108"/>
  <c r="AV19" i="108"/>
  <c r="AN19" i="108"/>
  <c r="AF19" i="108"/>
  <c r="CU19" i="108"/>
  <c r="X19" i="108"/>
  <c r="CR18" i="108"/>
  <c r="CJ18" i="108"/>
  <c r="CB18" i="108"/>
  <c r="BT18" i="108"/>
  <c r="BL18" i="108"/>
  <c r="BD18" i="108"/>
  <c r="AV18" i="108"/>
  <c r="AN18" i="108"/>
  <c r="AF18" i="108"/>
  <c r="X18" i="108"/>
  <c r="P18" i="108"/>
  <c r="H18" i="108"/>
  <c r="CU18" i="108"/>
  <c r="CR17" i="108"/>
  <c r="CU17" i="108"/>
  <c r="CJ17" i="108"/>
  <c r="CB17" i="108"/>
  <c r="BT17" i="108"/>
  <c r="BL17" i="108"/>
  <c r="BD17" i="108"/>
  <c r="AV17" i="108"/>
  <c r="AN17" i="108"/>
  <c r="AF17" i="108"/>
  <c r="X17" i="108"/>
  <c r="P17" i="108"/>
  <c r="H17" i="108"/>
  <c r="CR15" i="108"/>
  <c r="CJ15" i="108"/>
  <c r="CB15" i="108"/>
  <c r="BT15" i="108"/>
  <c r="CU15" i="108"/>
  <c r="BL15" i="108"/>
  <c r="BD15" i="108"/>
  <c r="AV15" i="108"/>
  <c r="AN15" i="108"/>
  <c r="AF15" i="108"/>
  <c r="X15" i="108"/>
  <c r="P15" i="108"/>
  <c r="H15" i="108"/>
  <c r="CR14" i="108"/>
  <c r="CJ14" i="108"/>
  <c r="CB14" i="108"/>
  <c r="BT14" i="108"/>
  <c r="BL14" i="108"/>
  <c r="BD14" i="108"/>
  <c r="AV14" i="108"/>
  <c r="CU14" i="108"/>
  <c r="AN14" i="108"/>
  <c r="AF14" i="108"/>
  <c r="X14" i="108"/>
  <c r="P14" i="108"/>
  <c r="H14" i="108"/>
  <c r="CR13" i="108"/>
  <c r="CJ13" i="108"/>
  <c r="CB13" i="108"/>
  <c r="BT13" i="108"/>
  <c r="BL13" i="108"/>
  <c r="BD13" i="108"/>
  <c r="AV13" i="108"/>
  <c r="AN13" i="108"/>
  <c r="AF13" i="108"/>
  <c r="X13" i="108"/>
  <c r="CU13" i="108"/>
  <c r="P13" i="108"/>
  <c r="H13" i="108"/>
  <c r="CR12" i="108"/>
  <c r="CJ12" i="108"/>
  <c r="CB12" i="108"/>
  <c r="BT12" i="108"/>
  <c r="BL12" i="108"/>
  <c r="BD12" i="108"/>
  <c r="AV12" i="108"/>
  <c r="AN12" i="108"/>
  <c r="AF12" i="108"/>
  <c r="X12" i="108"/>
  <c r="P12" i="108"/>
  <c r="H12" i="108"/>
  <c r="CU12" i="108"/>
  <c r="CU11" i="108"/>
  <c r="CR11" i="108"/>
  <c r="CJ11" i="108"/>
  <c r="CB11" i="108"/>
  <c r="BT11" i="108"/>
  <c r="BL11" i="108"/>
  <c r="BD11" i="108"/>
  <c r="AV11" i="108"/>
  <c r="AN11" i="108"/>
  <c r="AF11" i="108"/>
  <c r="X11" i="108"/>
  <c r="P11" i="108"/>
  <c r="H11" i="108"/>
  <c r="CR10" i="108"/>
  <c r="CJ10" i="108"/>
  <c r="CB10" i="108"/>
  <c r="CU10" i="108"/>
  <c r="BT10" i="108"/>
  <c r="BL10" i="108"/>
  <c r="BD10" i="108"/>
  <c r="AV10" i="108"/>
  <c r="AN10" i="108"/>
  <c r="AF10" i="108"/>
  <c r="X10" i="108"/>
  <c r="P10" i="108"/>
  <c r="H10" i="108"/>
  <c r="CP7" i="108"/>
  <c r="CR7" i="108"/>
  <c r="CH7" i="108"/>
  <c r="CJ7" i="108"/>
  <c r="BZ7" i="108"/>
  <c r="CB7" i="108"/>
  <c r="AV7" i="108"/>
  <c r="AT7" i="108"/>
  <c r="AL7" i="108"/>
  <c r="AN7" i="108"/>
  <c r="AD7" i="108"/>
  <c r="AF7" i="108"/>
  <c r="V7" i="108"/>
  <c r="X7" i="108"/>
  <c r="N7" i="108"/>
  <c r="P7" i="108"/>
  <c r="CR6" i="108"/>
  <c r="CJ6" i="108"/>
  <c r="CB6" i="108"/>
  <c r="BT6" i="108"/>
  <c r="BL6" i="108"/>
  <c r="BD6" i="108"/>
  <c r="AV6" i="108"/>
  <c r="AN6" i="108"/>
  <c r="AF6" i="108"/>
  <c r="X6" i="108"/>
  <c r="P6" i="108"/>
  <c r="H6" i="108"/>
  <c r="CU6" i="108"/>
  <c r="CU5" i="108"/>
  <c r="CR5" i="108"/>
  <c r="CJ5" i="108"/>
  <c r="CB5" i="108"/>
  <c r="BT5" i="108"/>
  <c r="BL5" i="108"/>
  <c r="BD5" i="108"/>
  <c r="AV5" i="108"/>
  <c r="AN5" i="108"/>
  <c r="AF5" i="108"/>
  <c r="X5" i="108"/>
  <c r="P5" i="108"/>
  <c r="H5" i="108"/>
  <c r="CR4" i="108"/>
  <c r="CJ4" i="108"/>
  <c r="CB4" i="108"/>
  <c r="CU4" i="108"/>
  <c r="BT4" i="108"/>
  <c r="BL4" i="108"/>
  <c r="BD4" i="108"/>
  <c r="AV4" i="108"/>
  <c r="AN4" i="108"/>
  <c r="AF4" i="108"/>
  <c r="X4" i="108"/>
  <c r="P4" i="108"/>
  <c r="H4" i="108"/>
  <c r="CR2" i="108"/>
  <c r="CJ2" i="108"/>
  <c r="CB2" i="108"/>
  <c r="BT2" i="108"/>
  <c r="BL2" i="108"/>
  <c r="BD2" i="108"/>
  <c r="CU2" i="108"/>
  <c r="AV2" i="108"/>
  <c r="AN2" i="108"/>
  <c r="AF2" i="108"/>
  <c r="X2" i="108"/>
  <c r="P2" i="108"/>
  <c r="H2" i="108"/>
  <c r="G206" i="107"/>
  <c r="G205" i="107"/>
  <c r="G204" i="107"/>
  <c r="G203" i="107"/>
  <c r="G202" i="107"/>
  <c r="G201" i="107"/>
  <c r="G200" i="107"/>
  <c r="G197" i="107"/>
  <c r="G196" i="107"/>
  <c r="G195" i="107"/>
  <c r="G194" i="107"/>
  <c r="G193" i="107"/>
  <c r="G192" i="107"/>
  <c r="G191" i="107"/>
  <c r="G190" i="107"/>
  <c r="G189" i="107"/>
  <c r="G188" i="107"/>
  <c r="G187" i="107"/>
  <c r="G184" i="107"/>
  <c r="G183" i="107"/>
  <c r="G182" i="107"/>
  <c r="G181" i="107"/>
  <c r="G180" i="107"/>
  <c r="G177" i="107"/>
  <c r="G176" i="107"/>
  <c r="G175" i="107"/>
  <c r="G174" i="107"/>
  <c r="G173" i="107"/>
  <c r="G172" i="107"/>
  <c r="G171" i="107"/>
  <c r="G170" i="107"/>
  <c r="G169" i="107"/>
  <c r="H8" i="32"/>
  <c r="B92" i="32" s="1"/>
  <c r="I57" i="32"/>
  <c r="I58" i="32"/>
  <c r="J8" i="32"/>
  <c r="K58" i="32"/>
  <c r="K57" i="32"/>
  <c r="P8" i="32"/>
  <c r="Q57" i="32"/>
  <c r="Q58" i="32"/>
  <c r="L8" i="32"/>
  <c r="M58" i="32"/>
  <c r="M57" i="32"/>
  <c r="N8" i="32"/>
  <c r="O58" i="32"/>
  <c r="O57" i="32"/>
  <c r="R8" i="32"/>
  <c r="S58" i="32"/>
  <c r="S57" i="32"/>
  <c r="S55" i="63"/>
  <c r="S57" i="63"/>
  <c r="S59" i="63"/>
  <c r="S50" i="61"/>
  <c r="S52" i="61"/>
  <c r="Q50" i="61"/>
  <c r="Q52" i="61"/>
  <c r="O50" i="61"/>
  <c r="O52" i="61"/>
  <c r="M50" i="61"/>
  <c r="M52" i="61"/>
  <c r="K52" i="61"/>
  <c r="CU28" i="108"/>
  <c r="CU26" i="108"/>
  <c r="BL27" i="108"/>
  <c r="CU27" i="108"/>
  <c r="BT27" i="108"/>
  <c r="BB7" i="108"/>
  <c r="BD7" i="108"/>
  <c r="F7" i="108"/>
  <c r="H7" i="108"/>
  <c r="CU7" i="108"/>
  <c r="K54" i="61"/>
  <c r="K53" i="61"/>
  <c r="M54" i="61"/>
  <c r="M53" i="61"/>
  <c r="O54" i="61"/>
  <c r="O53" i="61"/>
  <c r="Q54" i="61"/>
  <c r="Q53" i="61"/>
  <c r="S54" i="61"/>
  <c r="S53" i="61"/>
  <c r="S58" i="63"/>
  <c r="S52" i="36"/>
  <c r="Q52" i="36"/>
  <c r="O52" i="36"/>
  <c r="M52" i="36"/>
  <c r="K52" i="36"/>
  <c r="S55" i="26"/>
  <c r="S57" i="26" s="1"/>
  <c r="S59" i="26" s="1"/>
  <c r="Q55" i="26"/>
  <c r="Q57" i="26" s="1"/>
  <c r="O55" i="26"/>
  <c r="O57" i="26" s="1"/>
  <c r="M55" i="26"/>
  <c r="M57" i="26" s="1"/>
  <c r="K55" i="26"/>
  <c r="K57" i="26" s="1"/>
  <c r="K59" i="26" s="1"/>
  <c r="B19" i="15"/>
  <c r="B18" i="15"/>
  <c r="B17" i="15"/>
  <c r="B16" i="15"/>
  <c r="B15" i="15"/>
  <c r="B14" i="15"/>
  <c r="B13" i="15"/>
  <c r="B12" i="15"/>
  <c r="B11" i="15"/>
  <c r="S41" i="15"/>
  <c r="Q41" i="15"/>
  <c r="Q43" i="15"/>
  <c r="O41" i="15"/>
  <c r="O43" i="15"/>
  <c r="O45" i="15"/>
  <c r="M41" i="15"/>
  <c r="K41" i="15"/>
  <c r="K43" i="15"/>
  <c r="S55" i="31"/>
  <c r="S48" i="31"/>
  <c r="Q55" i="31"/>
  <c r="Q48" i="31"/>
  <c r="Q50" i="31"/>
  <c r="O55" i="31"/>
  <c r="O48" i="31"/>
  <c r="O50" i="31"/>
  <c r="M55" i="31"/>
  <c r="M48" i="31"/>
  <c r="K55" i="31"/>
  <c r="K48" i="31"/>
  <c r="K50" i="31"/>
  <c r="S56" i="104"/>
  <c r="S58" i="104" s="1"/>
  <c r="S60" i="104" s="1"/>
  <c r="Q56" i="104"/>
  <c r="Q58" i="104" s="1"/>
  <c r="Q60" i="104" s="1"/>
  <c r="O56" i="104"/>
  <c r="O58" i="104" s="1"/>
  <c r="O60" i="104" s="1"/>
  <c r="M56" i="104"/>
  <c r="M58" i="104" s="1"/>
  <c r="M60" i="104" s="1"/>
  <c r="K56" i="104"/>
  <c r="K58" i="104" s="1"/>
  <c r="S58" i="102"/>
  <c r="Q58" i="102"/>
  <c r="Q60" i="102" s="1"/>
  <c r="Q62" i="102" s="1"/>
  <c r="O58" i="102"/>
  <c r="O60" i="102" s="1"/>
  <c r="O62" i="102" s="1"/>
  <c r="M58" i="102"/>
  <c r="M60" i="102" s="1"/>
  <c r="K58" i="102"/>
  <c r="K60" i="102" s="1"/>
  <c r="K62" i="102" s="1"/>
  <c r="S43" i="101"/>
  <c r="S45" i="101"/>
  <c r="Q43" i="101"/>
  <c r="O43" i="101"/>
  <c r="M43" i="101"/>
  <c r="M45" i="101"/>
  <c r="K43" i="101"/>
  <c r="K45" i="101"/>
  <c r="S44" i="100"/>
  <c r="Q44" i="100"/>
  <c r="O44" i="100"/>
  <c r="O46" i="100"/>
  <c r="M44" i="100"/>
  <c r="K44" i="100"/>
  <c r="S43" i="99"/>
  <c r="Q43" i="99"/>
  <c r="O43" i="99"/>
  <c r="M43" i="99"/>
  <c r="K43" i="99"/>
  <c r="K45" i="99"/>
  <c r="S77" i="17"/>
  <c r="Q77" i="17"/>
  <c r="O77" i="17"/>
  <c r="M77" i="17"/>
  <c r="K77" i="17"/>
  <c r="Q86" i="13"/>
  <c r="Q88" i="13" s="1"/>
  <c r="Q90" i="13" s="1"/>
  <c r="O86" i="13"/>
  <c r="O88" i="13" s="1"/>
  <c r="I86" i="13"/>
  <c r="I88" i="13" s="1"/>
  <c r="I90" i="13" s="1"/>
  <c r="K86" i="13"/>
  <c r="K88" i="13" s="1"/>
  <c r="S68" i="95"/>
  <c r="S70" i="95" s="1"/>
  <c r="S72" i="95" s="1"/>
  <c r="Q68" i="95"/>
  <c r="Q70" i="95" s="1"/>
  <c r="Q72" i="95" s="1"/>
  <c r="O68" i="95"/>
  <c r="O70" i="95" s="1"/>
  <c r="O72" i="95" s="1"/>
  <c r="S55" i="46"/>
  <c r="S57" i="46" s="1"/>
  <c r="Q55" i="46"/>
  <c r="Q57" i="46" s="1"/>
  <c r="O55" i="46"/>
  <c r="O57" i="46" s="1"/>
  <c r="O59" i="46" s="1"/>
  <c r="M55" i="46"/>
  <c r="K55" i="46"/>
  <c r="K57" i="46" s="1"/>
  <c r="K59" i="46" s="1"/>
  <c r="S39" i="35"/>
  <c r="Q39" i="35"/>
  <c r="S54" i="90"/>
  <c r="Q54" i="90"/>
  <c r="Q56" i="90"/>
  <c r="O54" i="90"/>
  <c r="M54" i="90"/>
  <c r="M56" i="90"/>
  <c r="K54" i="90"/>
  <c r="S56" i="94"/>
  <c r="Q56" i="94"/>
  <c r="O56" i="94"/>
  <c r="M56" i="94"/>
  <c r="K56" i="94"/>
  <c r="S52" i="93"/>
  <c r="S54" i="93"/>
  <c r="S56" i="93"/>
  <c r="Q52" i="93"/>
  <c r="O52" i="93"/>
  <c r="M52" i="93"/>
  <c r="K52" i="93"/>
  <c r="S72" i="25"/>
  <c r="Q72" i="25"/>
  <c r="O72" i="25"/>
  <c r="M72" i="25"/>
  <c r="K72" i="25"/>
  <c r="S50" i="92"/>
  <c r="S48" i="92"/>
  <c r="Q48" i="92"/>
  <c r="O48" i="92"/>
  <c r="M48" i="92"/>
  <c r="M50" i="92"/>
  <c r="K48" i="92"/>
  <c r="K50" i="92"/>
  <c r="S57" i="89"/>
  <c r="Q57" i="89"/>
  <c r="O57" i="89"/>
  <c r="M57" i="89"/>
  <c r="K57" i="89"/>
  <c r="S57" i="84"/>
  <c r="S59" i="84"/>
  <c r="Q57" i="84"/>
  <c r="O57" i="84"/>
  <c r="M57" i="84"/>
  <c r="M59" i="84"/>
  <c r="M61" i="84"/>
  <c r="K57" i="84"/>
  <c r="S47" i="85"/>
  <c r="Q47" i="85"/>
  <c r="O47" i="85"/>
  <c r="M47" i="85"/>
  <c r="M49" i="85"/>
  <c r="K47" i="85"/>
  <c r="K49" i="85"/>
  <c r="K51" i="85"/>
  <c r="S55" i="87"/>
  <c r="S57" i="87" s="1"/>
  <c r="S59" i="87" s="1"/>
  <c r="Q55" i="87"/>
  <c r="Q57" i="87" s="1"/>
  <c r="Q59" i="87" s="1"/>
  <c r="O55" i="87"/>
  <c r="O57" i="87" s="1"/>
  <c r="O59" i="87" s="1"/>
  <c r="M55" i="87"/>
  <c r="M57" i="87" s="1"/>
  <c r="M59" i="87" s="1"/>
  <c r="L8" i="87" s="1"/>
  <c r="K55" i="87"/>
  <c r="K57" i="87" s="1"/>
  <c r="S56" i="86"/>
  <c r="Q56" i="86"/>
  <c r="O56" i="86"/>
  <c r="O58" i="86"/>
  <c r="O60" i="86"/>
  <c r="M56" i="86"/>
  <c r="K56" i="86"/>
  <c r="S55" i="78"/>
  <c r="S57" i="78" s="1"/>
  <c r="Q55" i="78"/>
  <c r="Q57" i="78" s="1"/>
  <c r="Q59" i="78" s="1"/>
  <c r="O55" i="78"/>
  <c r="O57" i="78" s="1"/>
  <c r="M55" i="78"/>
  <c r="K55" i="78"/>
  <c r="K57" i="78" s="1"/>
  <c r="K59" i="78" s="1"/>
  <c r="S66" i="79"/>
  <c r="Q66" i="79"/>
  <c r="Q68" i="79"/>
  <c r="Q70" i="79"/>
  <c r="O66" i="79"/>
  <c r="O68" i="79"/>
  <c r="M66" i="79"/>
  <c r="K66" i="79"/>
  <c r="S68" i="80"/>
  <c r="Q68" i="80"/>
  <c r="Q70" i="80"/>
  <c r="O66" i="82"/>
  <c r="O68" i="82"/>
  <c r="M66" i="82"/>
  <c r="M68" i="82"/>
  <c r="K66" i="82"/>
  <c r="S62" i="81"/>
  <c r="S64" i="81" s="1"/>
  <c r="Q62" i="81"/>
  <c r="Q64" i="81" s="1"/>
  <c r="Q66" i="81" s="1"/>
  <c r="O62" i="81"/>
  <c r="O64" i="81" s="1"/>
  <c r="M62" i="81"/>
  <c r="M64" i="81" s="1"/>
  <c r="K62" i="81"/>
  <c r="K64" i="81" s="1"/>
  <c r="K66" i="81" s="1"/>
  <c r="S55" i="41"/>
  <c r="S57" i="41" s="1"/>
  <c r="S59" i="41" s="1"/>
  <c r="Q55" i="41"/>
  <c r="Q57" i="41" s="1"/>
  <c r="O55" i="41"/>
  <c r="O57" i="41" s="1"/>
  <c r="O59" i="41" s="1"/>
  <c r="O61" i="41" s="1"/>
  <c r="M55" i="41"/>
  <c r="M57" i="41" s="1"/>
  <c r="K55" i="41"/>
  <c r="K57" i="41" s="1"/>
  <c r="S57" i="69"/>
  <c r="S59" i="69" s="1"/>
  <c r="Q57" i="69"/>
  <c r="Q59" i="69" s="1"/>
  <c r="Q61" i="69" s="1"/>
  <c r="P8" i="69" s="1"/>
  <c r="M57" i="69"/>
  <c r="M59" i="69" s="1"/>
  <c r="M61" i="69" s="1"/>
  <c r="O57" i="69"/>
  <c r="O59" i="69" s="1"/>
  <c r="O61" i="69" s="1"/>
  <c r="I57" i="69"/>
  <c r="I59" i="69" s="1"/>
  <c r="K57" i="69"/>
  <c r="K59" i="69" s="1"/>
  <c r="K61" i="69" s="1"/>
  <c r="S39" i="29"/>
  <c r="Q39" i="29"/>
  <c r="Q41" i="29"/>
  <c r="O39" i="29"/>
  <c r="M39" i="29"/>
  <c r="K39" i="29"/>
  <c r="S55" i="8"/>
  <c r="Q55" i="8"/>
  <c r="Q57" i="8" s="1"/>
  <c r="O55" i="8"/>
  <c r="O57" i="8" s="1"/>
  <c r="M55" i="8"/>
  <c r="M57" i="8" s="1"/>
  <c r="M59" i="8" s="1"/>
  <c r="M61" i="8" s="1"/>
  <c r="K55" i="8"/>
  <c r="K57" i="8" s="1"/>
  <c r="I55" i="8"/>
  <c r="I57" i="8" s="1"/>
  <c r="I59" i="8" s="1"/>
  <c r="M63" i="84"/>
  <c r="M62" i="84"/>
  <c r="O62" i="86"/>
  <c r="O61" i="86"/>
  <c r="O47" i="15"/>
  <c r="O46" i="15"/>
  <c r="R8" i="93"/>
  <c r="S58" i="93"/>
  <c r="S57" i="93"/>
  <c r="Q58" i="86"/>
  <c r="Q60" i="86"/>
  <c r="S70" i="80"/>
  <c r="S72" i="80"/>
  <c r="K59" i="84"/>
  <c r="K61" i="84"/>
  <c r="K59" i="89"/>
  <c r="K61" i="89"/>
  <c r="S59" i="89"/>
  <c r="S61" i="89"/>
  <c r="S52" i="92"/>
  <c r="K52" i="92"/>
  <c r="M74" i="25"/>
  <c r="M76" i="25"/>
  <c r="O74" i="25"/>
  <c r="O76" i="25"/>
  <c r="Q54" i="93"/>
  <c r="Q56" i="93"/>
  <c r="K54" i="93"/>
  <c r="K56" i="93"/>
  <c r="M58" i="94"/>
  <c r="M60" i="94"/>
  <c r="Q58" i="94"/>
  <c r="Q60" i="94"/>
  <c r="S58" i="94"/>
  <c r="S60" i="94"/>
  <c r="K56" i="90"/>
  <c r="K58" i="90"/>
  <c r="O56" i="90"/>
  <c r="O58" i="90"/>
  <c r="Q58" i="90"/>
  <c r="S54" i="36"/>
  <c r="S56" i="36"/>
  <c r="Q54" i="36"/>
  <c r="Q56" i="36"/>
  <c r="O54" i="36"/>
  <c r="O56" i="36"/>
  <c r="M54" i="36"/>
  <c r="M56" i="36"/>
  <c r="K54" i="36"/>
  <c r="K56" i="36"/>
  <c r="S43" i="15"/>
  <c r="S45" i="15"/>
  <c r="Q45" i="15"/>
  <c r="M43" i="15"/>
  <c r="M45" i="15"/>
  <c r="K45" i="15"/>
  <c r="S50" i="31"/>
  <c r="S52" i="31"/>
  <c r="Q52" i="31"/>
  <c r="O52" i="31"/>
  <c r="M50" i="31"/>
  <c r="M52" i="31"/>
  <c r="K52" i="31"/>
  <c r="S47" i="101"/>
  <c r="Q45" i="101"/>
  <c r="Q47" i="101"/>
  <c r="O45" i="101"/>
  <c r="O47" i="101"/>
  <c r="M47" i="101"/>
  <c r="K47" i="101"/>
  <c r="S46" i="100"/>
  <c r="S48" i="100"/>
  <c r="Q46" i="100"/>
  <c r="Q48" i="100"/>
  <c r="O48" i="100"/>
  <c r="M46" i="100"/>
  <c r="M48" i="100"/>
  <c r="K46" i="100"/>
  <c r="K48" i="100"/>
  <c r="S45" i="99"/>
  <c r="S47" i="99"/>
  <c r="Q45" i="99"/>
  <c r="Q47" i="99"/>
  <c r="O45" i="99"/>
  <c r="O47" i="99"/>
  <c r="M45" i="99"/>
  <c r="M47" i="99"/>
  <c r="K47" i="99"/>
  <c r="S79" i="17"/>
  <c r="S81" i="17"/>
  <c r="Q79" i="17"/>
  <c r="Q81" i="17"/>
  <c r="O79" i="17"/>
  <c r="O81" i="17"/>
  <c r="M79" i="17"/>
  <c r="M81" i="17"/>
  <c r="K79" i="17"/>
  <c r="K81" i="17"/>
  <c r="S41" i="35"/>
  <c r="S43" i="35"/>
  <c r="Q41" i="35"/>
  <c r="Q43" i="35"/>
  <c r="S56" i="90"/>
  <c r="S58" i="90"/>
  <c r="M58" i="90"/>
  <c r="O58" i="94"/>
  <c r="O60" i="94"/>
  <c r="K58" i="94"/>
  <c r="K60" i="94"/>
  <c r="O54" i="93"/>
  <c r="O56" i="93"/>
  <c r="M54" i="93"/>
  <c r="M56" i="93"/>
  <c r="S74" i="25"/>
  <c r="S76" i="25"/>
  <c r="Q74" i="25"/>
  <c r="Q76" i="25"/>
  <c r="K74" i="25"/>
  <c r="K76" i="25"/>
  <c r="Q50" i="92"/>
  <c r="Q52" i="92"/>
  <c r="O50" i="92"/>
  <c r="O52" i="92"/>
  <c r="M52" i="92"/>
  <c r="Q59" i="89"/>
  <c r="Q61" i="89"/>
  <c r="O59" i="89"/>
  <c r="O61" i="89"/>
  <c r="M59" i="89"/>
  <c r="M61" i="89"/>
  <c r="S61" i="84"/>
  <c r="Q59" i="84"/>
  <c r="Q61" i="84"/>
  <c r="O59" i="84"/>
  <c r="O61" i="84"/>
  <c r="S49" i="85"/>
  <c r="S51" i="85"/>
  <c r="Q49" i="85"/>
  <c r="Q51" i="85"/>
  <c r="O49" i="85"/>
  <c r="O51" i="85"/>
  <c r="M51" i="85"/>
  <c r="S58" i="86"/>
  <c r="S60" i="86"/>
  <c r="M58" i="86"/>
  <c r="M60" i="86"/>
  <c r="K58" i="86"/>
  <c r="K60" i="86"/>
  <c r="S68" i="79"/>
  <c r="S70" i="79"/>
  <c r="O70" i="79"/>
  <c r="M68" i="79"/>
  <c r="M70" i="79"/>
  <c r="K68" i="79"/>
  <c r="K70" i="79"/>
  <c r="Q72" i="80"/>
  <c r="O70" i="82"/>
  <c r="M70" i="82"/>
  <c r="K68" i="82"/>
  <c r="K70" i="82"/>
  <c r="S41" i="29"/>
  <c r="S43" i="29"/>
  <c r="Q43" i="29"/>
  <c r="O41" i="29"/>
  <c r="O43" i="29"/>
  <c r="M41" i="29"/>
  <c r="M43" i="29"/>
  <c r="K41" i="29"/>
  <c r="K43" i="29"/>
  <c r="K78" i="25"/>
  <c r="K77" i="25"/>
  <c r="S78" i="25"/>
  <c r="S77" i="25"/>
  <c r="O78" i="25"/>
  <c r="O77" i="25"/>
  <c r="M78" i="25"/>
  <c r="M77" i="25"/>
  <c r="O63" i="84"/>
  <c r="O62" i="84"/>
  <c r="Q63" i="84"/>
  <c r="Q62" i="84"/>
  <c r="S63" i="84"/>
  <c r="S62" i="84"/>
  <c r="K63" i="84"/>
  <c r="K62" i="84"/>
  <c r="M63" i="89"/>
  <c r="M62" i="89"/>
  <c r="O63" i="89"/>
  <c r="O62" i="89"/>
  <c r="Q63" i="89"/>
  <c r="Q62" i="89"/>
  <c r="S63" i="89"/>
  <c r="S62" i="89"/>
  <c r="K62" i="86"/>
  <c r="K61" i="86"/>
  <c r="M62" i="86"/>
  <c r="M61" i="86"/>
  <c r="S62" i="86"/>
  <c r="S61" i="86"/>
  <c r="Q62" i="86"/>
  <c r="Q61" i="86"/>
  <c r="Q74" i="80"/>
  <c r="Q73" i="80"/>
  <c r="S74" i="80"/>
  <c r="S73" i="80"/>
  <c r="K45" i="29"/>
  <c r="K44" i="29"/>
  <c r="M45" i="29"/>
  <c r="M44" i="29"/>
  <c r="O45" i="29"/>
  <c r="O44" i="29"/>
  <c r="Q45" i="29"/>
  <c r="Q44" i="29"/>
  <c r="S45" i="29"/>
  <c r="S44" i="29"/>
  <c r="Q45" i="35"/>
  <c r="Q44" i="35"/>
  <c r="S45" i="35"/>
  <c r="S44" i="35"/>
  <c r="K62" i="94"/>
  <c r="K61" i="94"/>
  <c r="O62" i="94"/>
  <c r="O61" i="94"/>
  <c r="S62" i="94"/>
  <c r="S61" i="94"/>
  <c r="Q62" i="94"/>
  <c r="Q61" i="94"/>
  <c r="M62" i="94"/>
  <c r="M61" i="94"/>
  <c r="K54" i="31"/>
  <c r="K53" i="31"/>
  <c r="M54" i="31"/>
  <c r="M53" i="31"/>
  <c r="O54" i="31"/>
  <c r="O53" i="31"/>
  <c r="Q54" i="31"/>
  <c r="Q53" i="31"/>
  <c r="S54" i="31"/>
  <c r="S53" i="31"/>
  <c r="K83" i="17"/>
  <c r="K82" i="17"/>
  <c r="M83" i="17"/>
  <c r="M82" i="17"/>
  <c r="O83" i="17"/>
  <c r="O82" i="17"/>
  <c r="S83" i="17"/>
  <c r="S82" i="17"/>
  <c r="M49" i="99"/>
  <c r="M48" i="99"/>
  <c r="O49" i="99"/>
  <c r="O48" i="99"/>
  <c r="Q49" i="99"/>
  <c r="Q48" i="99"/>
  <c r="S49" i="99"/>
  <c r="S48" i="99"/>
  <c r="K50" i="100"/>
  <c r="K49" i="100"/>
  <c r="M50" i="100"/>
  <c r="M49" i="100"/>
  <c r="O50" i="100"/>
  <c r="O49" i="100"/>
  <c r="Q50" i="100"/>
  <c r="Q49" i="100"/>
  <c r="S50" i="100"/>
  <c r="S49" i="100"/>
  <c r="K49" i="101"/>
  <c r="K48" i="101"/>
  <c r="M49" i="101"/>
  <c r="M48" i="101"/>
  <c r="O49" i="101"/>
  <c r="O48" i="101"/>
  <c r="Q49" i="101"/>
  <c r="Q48" i="101"/>
  <c r="S49" i="101"/>
  <c r="S48" i="101"/>
  <c r="J8" i="36"/>
  <c r="K58" i="36"/>
  <c r="K57" i="36"/>
  <c r="L8" i="36"/>
  <c r="M58" i="36"/>
  <c r="M57" i="36"/>
  <c r="N8" i="36"/>
  <c r="O58" i="36"/>
  <c r="O57" i="36"/>
  <c r="P8" i="36"/>
  <c r="Q58" i="36"/>
  <c r="Q57" i="36"/>
  <c r="R8" i="36"/>
  <c r="S58" i="36"/>
  <c r="S57" i="36"/>
  <c r="K63" i="89"/>
  <c r="K62" i="89"/>
  <c r="Q78" i="25"/>
  <c r="Q77" i="25"/>
  <c r="Q83" i="17"/>
  <c r="Q82" i="17"/>
  <c r="K49" i="99"/>
  <c r="K48" i="99"/>
  <c r="K46" i="15"/>
  <c r="K47" i="15"/>
  <c r="M47" i="15"/>
  <c r="M46" i="15"/>
  <c r="S47" i="15"/>
  <c r="S46" i="15"/>
  <c r="Q47" i="15"/>
  <c r="Q46" i="15"/>
  <c r="J8" i="93"/>
  <c r="K58" i="93"/>
  <c r="K57" i="93"/>
  <c r="L8" i="93"/>
  <c r="M58" i="93"/>
  <c r="M57" i="93"/>
  <c r="P8" i="93"/>
  <c r="Q58" i="93"/>
  <c r="Q57" i="93"/>
  <c r="N8" i="93"/>
  <c r="O58" i="93"/>
  <c r="O57" i="93"/>
  <c r="S55" i="64"/>
  <c r="S57" i="64"/>
  <c r="S78" i="6"/>
  <c r="S80" i="6" s="1"/>
  <c r="S82" i="6" s="1"/>
  <c r="Q78" i="6"/>
  <c r="Q80" i="6" s="1"/>
  <c r="O78" i="6"/>
  <c r="M78" i="6"/>
  <c r="M80" i="6" s="1"/>
  <c r="M82" i="6" s="1"/>
  <c r="K78" i="6"/>
  <c r="K80" i="6" s="1"/>
  <c r="S56" i="4"/>
  <c r="Q56" i="4"/>
  <c r="O56" i="4"/>
  <c r="M56" i="4"/>
  <c r="K56" i="4"/>
  <c r="S82" i="55"/>
  <c r="Q82" i="55"/>
  <c r="S92" i="53"/>
  <c r="Q92" i="53"/>
  <c r="S46" i="54"/>
  <c r="Q46" i="54"/>
  <c r="S42" i="52"/>
  <c r="Q42" i="52"/>
  <c r="M64" i="3"/>
  <c r="M66" i="3" s="1"/>
  <c r="M68" i="3" s="1"/>
  <c r="L8" i="3" s="1"/>
  <c r="S64" i="3"/>
  <c r="S66" i="3" s="1"/>
  <c r="Q64" i="3"/>
  <c r="Q66" i="3" s="1"/>
  <c r="Q68" i="3" s="1"/>
  <c r="I55" i="10"/>
  <c r="M55" i="10"/>
  <c r="M57" i="10" s="1"/>
  <c r="M59" i="10" s="1"/>
  <c r="O55" i="10"/>
  <c r="O57" i="10" s="1"/>
  <c r="O59" i="10" s="1"/>
  <c r="Q55" i="10"/>
  <c r="Q57" i="10" s="1"/>
  <c r="Q59" i="10" s="1"/>
  <c r="S55" i="10"/>
  <c r="S57" i="10" s="1"/>
  <c r="S59" i="10" s="1"/>
  <c r="S44" i="52"/>
  <c r="S46" i="52"/>
  <c r="S59" i="64"/>
  <c r="Q84" i="55"/>
  <c r="Q86" i="55"/>
  <c r="S84" i="55"/>
  <c r="S86" i="55"/>
  <c r="Q94" i="53"/>
  <c r="Q96" i="53"/>
  <c r="S94" i="53"/>
  <c r="S96" i="53"/>
  <c r="Q48" i="54"/>
  <c r="Q50" i="54"/>
  <c r="S48" i="54"/>
  <c r="S50" i="54"/>
  <c r="R8" i="52"/>
  <c r="Q44" i="52"/>
  <c r="Q46" i="52"/>
  <c r="I60" i="50"/>
  <c r="I62" i="50" s="1"/>
  <c r="S52" i="54"/>
  <c r="S51" i="54"/>
  <c r="Q52" i="54"/>
  <c r="Q51" i="54"/>
  <c r="Q48" i="52"/>
  <c r="Q47" i="52"/>
  <c r="S48" i="52"/>
  <c r="S47" i="52"/>
  <c r="S98" i="53"/>
  <c r="S97" i="53"/>
  <c r="Q98" i="53"/>
  <c r="Q97" i="53"/>
  <c r="S88" i="55"/>
  <c r="S87" i="55"/>
  <c r="Q88" i="55"/>
  <c r="Q87" i="55"/>
  <c r="S61" i="64"/>
  <c r="S60" i="64"/>
  <c r="R8" i="55"/>
  <c r="P8" i="55"/>
  <c r="R8" i="53"/>
  <c r="P8" i="53"/>
  <c r="R8" i="54"/>
  <c r="P8" i="54"/>
  <c r="P8" i="52"/>
  <c r="I56" i="104"/>
  <c r="I58" i="104" s="1"/>
  <c r="I60" i="104" s="1"/>
  <c r="H8" i="104" s="1"/>
  <c r="B96" i="104" s="1"/>
  <c r="D53" i="20" s="1"/>
  <c r="B19" i="104"/>
  <c r="B18" i="104"/>
  <c r="B17" i="104"/>
  <c r="B16" i="104"/>
  <c r="B15" i="104"/>
  <c r="B14" i="104"/>
  <c r="B13" i="104"/>
  <c r="B12" i="104"/>
  <c r="B11" i="104"/>
  <c r="I58" i="102"/>
  <c r="I60" i="102" s="1"/>
  <c r="I62" i="102" s="1"/>
  <c r="B19" i="102"/>
  <c r="B18" i="102"/>
  <c r="B17" i="102"/>
  <c r="B16" i="102"/>
  <c r="B15" i="102"/>
  <c r="B14" i="102"/>
  <c r="B13" i="102"/>
  <c r="B12" i="102"/>
  <c r="B11" i="102"/>
  <c r="I43" i="101"/>
  <c r="I45" i="101"/>
  <c r="B19" i="101"/>
  <c r="B18" i="101"/>
  <c r="B17" i="101"/>
  <c r="B16" i="101"/>
  <c r="B15" i="101"/>
  <c r="B14" i="101"/>
  <c r="B13" i="101"/>
  <c r="B12" i="101"/>
  <c r="B11" i="101"/>
  <c r="B4" i="101"/>
  <c r="I44" i="100"/>
  <c r="I46" i="100"/>
  <c r="B19" i="100"/>
  <c r="B18" i="100"/>
  <c r="B17" i="100"/>
  <c r="B16" i="100"/>
  <c r="B15" i="100"/>
  <c r="B14" i="100"/>
  <c r="B13" i="100"/>
  <c r="B12" i="100"/>
  <c r="B11" i="100"/>
  <c r="I43" i="99"/>
  <c r="I45" i="99"/>
  <c r="B19" i="99"/>
  <c r="B18" i="99"/>
  <c r="B17" i="99"/>
  <c r="B16" i="99"/>
  <c r="B15" i="99"/>
  <c r="B14" i="99"/>
  <c r="B13" i="99"/>
  <c r="B12" i="99"/>
  <c r="B11" i="99"/>
  <c r="M68" i="95"/>
  <c r="B19" i="95"/>
  <c r="B18" i="95"/>
  <c r="B17" i="95"/>
  <c r="B16" i="95"/>
  <c r="B15" i="95"/>
  <c r="B14" i="95"/>
  <c r="B13" i="95"/>
  <c r="B12" i="95"/>
  <c r="B11" i="95"/>
  <c r="I55" i="46"/>
  <c r="I57" i="46" s="1"/>
  <c r="B19" i="46"/>
  <c r="B18" i="46"/>
  <c r="B17" i="46"/>
  <c r="B16" i="46"/>
  <c r="B15" i="46"/>
  <c r="B14" i="46"/>
  <c r="B13" i="46"/>
  <c r="B12" i="46"/>
  <c r="B11" i="46"/>
  <c r="O39" i="35"/>
  <c r="O41" i="35"/>
  <c r="O43" i="35"/>
  <c r="M39" i="35"/>
  <c r="M41" i="35"/>
  <c r="M43" i="35"/>
  <c r="K39" i="35"/>
  <c r="K41" i="35"/>
  <c r="K43" i="35"/>
  <c r="I39" i="35"/>
  <c r="I41" i="35"/>
  <c r="I43" i="35"/>
  <c r="B19" i="35"/>
  <c r="B18" i="35"/>
  <c r="B17" i="35"/>
  <c r="B16" i="35"/>
  <c r="B15" i="35"/>
  <c r="B14" i="35"/>
  <c r="B13" i="35"/>
  <c r="B12" i="35"/>
  <c r="B11" i="35"/>
  <c r="R8" i="35"/>
  <c r="P8" i="35"/>
  <c r="I54" i="90"/>
  <c r="B19" i="90"/>
  <c r="B18" i="90"/>
  <c r="B17" i="90"/>
  <c r="B16" i="90"/>
  <c r="B15" i="90"/>
  <c r="B14" i="90"/>
  <c r="B13" i="90"/>
  <c r="B12" i="90"/>
  <c r="B11" i="90"/>
  <c r="R8" i="90"/>
  <c r="P8" i="90"/>
  <c r="I56" i="94"/>
  <c r="I58" i="94"/>
  <c r="I60" i="94"/>
  <c r="B19" i="94"/>
  <c r="B18" i="94"/>
  <c r="B17" i="94"/>
  <c r="B16" i="94"/>
  <c r="B15" i="94"/>
  <c r="B14" i="94"/>
  <c r="B13" i="94"/>
  <c r="B12" i="94"/>
  <c r="B11" i="94"/>
  <c r="R8" i="94"/>
  <c r="P8" i="94"/>
  <c r="I52" i="93"/>
  <c r="I54" i="93"/>
  <c r="I56" i="93"/>
  <c r="B19" i="93"/>
  <c r="B18" i="93"/>
  <c r="B17" i="93"/>
  <c r="B16" i="93"/>
  <c r="B15" i="93"/>
  <c r="B14" i="93"/>
  <c r="B13" i="93"/>
  <c r="B12" i="93"/>
  <c r="B11" i="93"/>
  <c r="I72" i="25"/>
  <c r="B19" i="25"/>
  <c r="B18" i="25"/>
  <c r="B17" i="25"/>
  <c r="B16" i="25"/>
  <c r="B15" i="25"/>
  <c r="B14" i="25"/>
  <c r="B13" i="25"/>
  <c r="B12" i="25"/>
  <c r="B11" i="25"/>
  <c r="R8" i="25"/>
  <c r="P8" i="25"/>
  <c r="I45" i="35"/>
  <c r="I44" i="35"/>
  <c r="K45" i="35"/>
  <c r="K44" i="35"/>
  <c r="M45" i="35"/>
  <c r="M44" i="35"/>
  <c r="O45" i="35"/>
  <c r="O44" i="35"/>
  <c r="I62" i="94"/>
  <c r="I61" i="94"/>
  <c r="H8" i="93"/>
  <c r="B92" i="93" s="1"/>
  <c r="D43" i="20" s="1"/>
  <c r="I58" i="93"/>
  <c r="I57" i="93"/>
  <c r="J8" i="100"/>
  <c r="I47" i="99"/>
  <c r="I47" i="101"/>
  <c r="P8" i="100"/>
  <c r="I48" i="100"/>
  <c r="H8" i="35"/>
  <c r="J8" i="35"/>
  <c r="L8" i="35"/>
  <c r="N8" i="35"/>
  <c r="L8" i="90"/>
  <c r="N8" i="90"/>
  <c r="J8" i="90"/>
  <c r="I56" i="90"/>
  <c r="I58" i="90"/>
  <c r="H8" i="94"/>
  <c r="J8" i="94"/>
  <c r="L8" i="94"/>
  <c r="N8" i="94"/>
  <c r="J8" i="25"/>
  <c r="I74" i="25"/>
  <c r="I76" i="25"/>
  <c r="N8" i="25"/>
  <c r="I48" i="92"/>
  <c r="B19" i="92"/>
  <c r="B18" i="92"/>
  <c r="B17" i="92"/>
  <c r="B16" i="92"/>
  <c r="B15" i="92"/>
  <c r="B14" i="92"/>
  <c r="B13" i="92"/>
  <c r="B12" i="92"/>
  <c r="B11" i="92"/>
  <c r="R8" i="92"/>
  <c r="P8" i="92"/>
  <c r="I57" i="89"/>
  <c r="I59" i="89"/>
  <c r="I61" i="89"/>
  <c r="B19" i="89"/>
  <c r="B18" i="89"/>
  <c r="B17" i="89"/>
  <c r="B16" i="89"/>
  <c r="B15" i="89"/>
  <c r="B14" i="89"/>
  <c r="B13" i="89"/>
  <c r="B12" i="89"/>
  <c r="B11" i="89"/>
  <c r="R8" i="89"/>
  <c r="P8" i="89"/>
  <c r="I47" i="85"/>
  <c r="B19" i="85"/>
  <c r="B18" i="85"/>
  <c r="B17" i="85"/>
  <c r="B16" i="85"/>
  <c r="B15" i="85"/>
  <c r="B14" i="85"/>
  <c r="B13" i="85"/>
  <c r="B12" i="85"/>
  <c r="B11" i="85"/>
  <c r="R8" i="85"/>
  <c r="P8" i="85"/>
  <c r="I57" i="84"/>
  <c r="B19" i="84"/>
  <c r="B18" i="84"/>
  <c r="B17" i="84"/>
  <c r="B16" i="84"/>
  <c r="B15" i="84"/>
  <c r="B14" i="84"/>
  <c r="B13" i="84"/>
  <c r="B12" i="84"/>
  <c r="B11" i="84"/>
  <c r="R8" i="84"/>
  <c r="P8" i="84"/>
  <c r="I55" i="87"/>
  <c r="I57" i="87" s="1"/>
  <c r="I59" i="87" s="1"/>
  <c r="B19" i="87"/>
  <c r="B18" i="87"/>
  <c r="B17" i="87"/>
  <c r="B16" i="87"/>
  <c r="B15" i="87"/>
  <c r="B14" i="87"/>
  <c r="B13" i="87"/>
  <c r="B12" i="87"/>
  <c r="B11" i="87"/>
  <c r="I56" i="86"/>
  <c r="I58" i="86"/>
  <c r="I60" i="86"/>
  <c r="B19" i="86"/>
  <c r="B18" i="86"/>
  <c r="B17" i="86"/>
  <c r="B16" i="86"/>
  <c r="B15" i="86"/>
  <c r="B14" i="86"/>
  <c r="B13" i="86"/>
  <c r="B12" i="86"/>
  <c r="B11" i="86"/>
  <c r="R8" i="86"/>
  <c r="P8" i="86"/>
  <c r="O73" i="83"/>
  <c r="O75" i="83" s="1"/>
  <c r="O77" i="83" s="1"/>
  <c r="M73" i="83"/>
  <c r="M75" i="83" s="1"/>
  <c r="M77" i="83" s="1"/>
  <c r="K73" i="83"/>
  <c r="K75" i="83" s="1"/>
  <c r="K77" i="83" s="1"/>
  <c r="I73" i="83"/>
  <c r="I75" i="83" s="1"/>
  <c r="I77" i="83" s="1"/>
  <c r="H8" i="83" s="1"/>
  <c r="B113" i="83" s="1"/>
  <c r="B19" i="83"/>
  <c r="B18" i="83"/>
  <c r="B17" i="83"/>
  <c r="B16" i="83"/>
  <c r="B15" i="83"/>
  <c r="B14" i="83"/>
  <c r="B13" i="83"/>
  <c r="B12" i="83"/>
  <c r="B11" i="83"/>
  <c r="I55" i="78"/>
  <c r="I57" i="78" s="1"/>
  <c r="B19" i="78"/>
  <c r="B18" i="78"/>
  <c r="B17" i="78"/>
  <c r="B16" i="78"/>
  <c r="B15" i="78"/>
  <c r="B14" i="78"/>
  <c r="B13" i="78"/>
  <c r="B12" i="78"/>
  <c r="B11" i="78"/>
  <c r="I66" i="79"/>
  <c r="B19" i="79"/>
  <c r="B18" i="79"/>
  <c r="B17" i="79"/>
  <c r="B16" i="79"/>
  <c r="B15" i="79"/>
  <c r="B14" i="79"/>
  <c r="B13" i="79"/>
  <c r="B12" i="79"/>
  <c r="B11" i="79"/>
  <c r="R8" i="79"/>
  <c r="P8" i="79"/>
  <c r="O68" i="80"/>
  <c r="O70" i="80"/>
  <c r="O72" i="80"/>
  <c r="M68" i="80"/>
  <c r="M70" i="80"/>
  <c r="M72" i="80"/>
  <c r="K68" i="80"/>
  <c r="K70" i="80"/>
  <c r="K72" i="80"/>
  <c r="I68" i="80"/>
  <c r="B19" i="80"/>
  <c r="B18" i="80"/>
  <c r="B17" i="80"/>
  <c r="B16" i="80"/>
  <c r="B15" i="80"/>
  <c r="B14" i="80"/>
  <c r="B13" i="80"/>
  <c r="B12" i="80"/>
  <c r="B11" i="80"/>
  <c r="R8" i="80"/>
  <c r="P8" i="80"/>
  <c r="I66" i="82"/>
  <c r="B19" i="82"/>
  <c r="B18" i="82"/>
  <c r="B17" i="82"/>
  <c r="B16" i="82"/>
  <c r="B15" i="82"/>
  <c r="B14" i="82"/>
  <c r="B13" i="82"/>
  <c r="B12" i="82"/>
  <c r="B11" i="82"/>
  <c r="R8" i="82"/>
  <c r="I62" i="81"/>
  <c r="I64" i="81" s="1"/>
  <c r="B19" i="81"/>
  <c r="B18" i="81"/>
  <c r="B17" i="81"/>
  <c r="B16" i="81"/>
  <c r="B15" i="81"/>
  <c r="B14" i="81"/>
  <c r="B13" i="81"/>
  <c r="B12" i="81"/>
  <c r="B11" i="81"/>
  <c r="S63" i="73"/>
  <c r="O63" i="73"/>
  <c r="O65" i="73"/>
  <c r="M63" i="73"/>
  <c r="K63" i="73"/>
  <c r="K65" i="73"/>
  <c r="I63" i="73"/>
  <c r="I65" i="73"/>
  <c r="Q63" i="73"/>
  <c r="Q65" i="73"/>
  <c r="B19" i="73"/>
  <c r="B18" i="73"/>
  <c r="B17" i="73"/>
  <c r="B16" i="73"/>
  <c r="B15" i="73"/>
  <c r="B14" i="73"/>
  <c r="B13" i="73"/>
  <c r="B12" i="73"/>
  <c r="B11" i="73"/>
  <c r="S114" i="74"/>
  <c r="S116" i="74" s="1"/>
  <c r="S118" i="74" s="1"/>
  <c r="O114" i="74"/>
  <c r="O116" i="74" s="1"/>
  <c r="O118" i="74" s="1"/>
  <c r="M114" i="74"/>
  <c r="M116" i="74" s="1"/>
  <c r="M118" i="74" s="1"/>
  <c r="K114" i="74"/>
  <c r="K116" i="74" s="1"/>
  <c r="K118" i="74" s="1"/>
  <c r="I114" i="74"/>
  <c r="I116" i="74" s="1"/>
  <c r="I118" i="74" s="1"/>
  <c r="I120" i="74" s="1"/>
  <c r="Q114" i="74"/>
  <c r="B19" i="74"/>
  <c r="B18" i="74"/>
  <c r="B17" i="74"/>
  <c r="B16" i="74"/>
  <c r="B15" i="74"/>
  <c r="B14" i="74"/>
  <c r="B13" i="74"/>
  <c r="B12" i="74"/>
  <c r="B11" i="74"/>
  <c r="S131" i="75"/>
  <c r="S133" i="75" s="1"/>
  <c r="S135" i="75" s="1"/>
  <c r="O131" i="75"/>
  <c r="O133" i="75" s="1"/>
  <c r="M131" i="75"/>
  <c r="M133" i="75" s="1"/>
  <c r="M135" i="75" s="1"/>
  <c r="K131" i="75"/>
  <c r="K133" i="75" s="1"/>
  <c r="K135" i="75" s="1"/>
  <c r="I131" i="75"/>
  <c r="I133" i="75" s="1"/>
  <c r="I135" i="75" s="1"/>
  <c r="Q131" i="75"/>
  <c r="Q133" i="75" s="1"/>
  <c r="Q135" i="75" s="1"/>
  <c r="B19" i="75"/>
  <c r="B18" i="75"/>
  <c r="B17" i="75"/>
  <c r="B16" i="75"/>
  <c r="B15" i="75"/>
  <c r="B14" i="75"/>
  <c r="B13" i="75"/>
  <c r="B12" i="75"/>
  <c r="B11" i="75"/>
  <c r="S60" i="77"/>
  <c r="O60" i="77"/>
  <c r="O62" i="77" s="1"/>
  <c r="O64" i="77" s="1"/>
  <c r="M60" i="77"/>
  <c r="M62" i="77" s="1"/>
  <c r="M64" i="77" s="1"/>
  <c r="K60" i="77"/>
  <c r="K62" i="77" s="1"/>
  <c r="K64" i="77" s="1"/>
  <c r="I60" i="77"/>
  <c r="I62" i="77" s="1"/>
  <c r="I64" i="77" s="1"/>
  <c r="Q60" i="77"/>
  <c r="B19" i="77"/>
  <c r="B18" i="77"/>
  <c r="B17" i="77"/>
  <c r="B16" i="77"/>
  <c r="B15" i="77"/>
  <c r="B14" i="77"/>
  <c r="B13" i="77"/>
  <c r="B12" i="77"/>
  <c r="B11" i="77"/>
  <c r="S65" i="76"/>
  <c r="S67" i="76"/>
  <c r="O65" i="76"/>
  <c r="O67" i="76"/>
  <c r="M65" i="76"/>
  <c r="M67" i="76"/>
  <c r="K65" i="76"/>
  <c r="I65" i="76"/>
  <c r="I67" i="76"/>
  <c r="Q65" i="76"/>
  <c r="B19" i="76"/>
  <c r="B18" i="76"/>
  <c r="B17" i="76"/>
  <c r="B16" i="76"/>
  <c r="B15" i="76"/>
  <c r="B14" i="76"/>
  <c r="B13" i="76"/>
  <c r="B12" i="76"/>
  <c r="B11" i="76"/>
  <c r="B19" i="69"/>
  <c r="B18" i="69"/>
  <c r="B17" i="69"/>
  <c r="B16" i="69"/>
  <c r="B15" i="69"/>
  <c r="B14" i="69"/>
  <c r="B13" i="69"/>
  <c r="B12" i="69"/>
  <c r="B11" i="69"/>
  <c r="S44" i="71"/>
  <c r="S46" i="71"/>
  <c r="R8" i="71"/>
  <c r="O44" i="71"/>
  <c r="O46" i="71"/>
  <c r="M44" i="71"/>
  <c r="K44" i="71"/>
  <c r="K46" i="71"/>
  <c r="I44" i="71"/>
  <c r="I46" i="71"/>
  <c r="Q44" i="71"/>
  <c r="Q46" i="71"/>
  <c r="B19" i="71"/>
  <c r="B18" i="71"/>
  <c r="B17" i="71"/>
  <c r="B16" i="71"/>
  <c r="B15" i="71"/>
  <c r="B14" i="71"/>
  <c r="B13" i="71"/>
  <c r="B12" i="71"/>
  <c r="B11" i="71"/>
  <c r="I78" i="25"/>
  <c r="I77" i="25"/>
  <c r="I63" i="89"/>
  <c r="I62" i="89"/>
  <c r="I62" i="86"/>
  <c r="I61" i="86"/>
  <c r="K74" i="80"/>
  <c r="K73" i="80"/>
  <c r="M74" i="80"/>
  <c r="M73" i="80"/>
  <c r="O74" i="80"/>
  <c r="O73" i="80"/>
  <c r="I48" i="99"/>
  <c r="I49" i="99"/>
  <c r="I50" i="100"/>
  <c r="I49" i="100"/>
  <c r="I49" i="101"/>
  <c r="I48" i="101"/>
  <c r="H8" i="99"/>
  <c r="L8" i="100"/>
  <c r="N8" i="101"/>
  <c r="L8" i="101"/>
  <c r="J8" i="101"/>
  <c r="R8" i="100"/>
  <c r="P8" i="99"/>
  <c r="N8" i="99"/>
  <c r="L8" i="99"/>
  <c r="J8" i="99"/>
  <c r="L8" i="25"/>
  <c r="S65" i="73"/>
  <c r="S67" i="73"/>
  <c r="S69" i="76"/>
  <c r="R8" i="101"/>
  <c r="H8" i="101"/>
  <c r="P8" i="101"/>
  <c r="H8" i="100"/>
  <c r="N8" i="100"/>
  <c r="R8" i="99"/>
  <c r="H8" i="90"/>
  <c r="H8" i="25"/>
  <c r="B112" i="25" s="1"/>
  <c r="D41" i="20" s="1"/>
  <c r="J8" i="92"/>
  <c r="L8" i="92"/>
  <c r="N8" i="92"/>
  <c r="I50" i="92"/>
  <c r="I52" i="92"/>
  <c r="L8" i="89"/>
  <c r="N8" i="89"/>
  <c r="H8" i="89"/>
  <c r="J8" i="89"/>
  <c r="I49" i="85"/>
  <c r="I51" i="85"/>
  <c r="N8" i="84"/>
  <c r="J8" i="84"/>
  <c r="L8" i="84"/>
  <c r="I59" i="84"/>
  <c r="I61" i="84"/>
  <c r="L8" i="86"/>
  <c r="N8" i="86"/>
  <c r="H8" i="86"/>
  <c r="J8" i="86"/>
  <c r="J8" i="79"/>
  <c r="L8" i="79"/>
  <c r="N8" i="79"/>
  <c r="I68" i="79"/>
  <c r="I70" i="79"/>
  <c r="J8" i="80"/>
  <c r="L8" i="80"/>
  <c r="N8" i="80"/>
  <c r="I70" i="80"/>
  <c r="I72" i="80"/>
  <c r="L8" i="82"/>
  <c r="N8" i="82"/>
  <c r="J8" i="82"/>
  <c r="I68" i="82"/>
  <c r="I70" i="82"/>
  <c r="S48" i="71"/>
  <c r="I67" i="73"/>
  <c r="H8" i="73" s="1"/>
  <c r="B103" i="73" s="1"/>
  <c r="D33" i="20" s="1"/>
  <c r="K67" i="73"/>
  <c r="O67" i="73"/>
  <c r="M65" i="73"/>
  <c r="M67" i="73"/>
  <c r="Q67" i="73"/>
  <c r="Q67" i="76"/>
  <c r="Q69" i="76"/>
  <c r="I69" i="76"/>
  <c r="M69" i="76"/>
  <c r="O69" i="76"/>
  <c r="K67" i="76"/>
  <c r="K69" i="76"/>
  <c r="I48" i="71"/>
  <c r="K48" i="71"/>
  <c r="O48" i="71"/>
  <c r="Q48" i="71"/>
  <c r="M46" i="71"/>
  <c r="M48" i="71"/>
  <c r="I63" i="84"/>
  <c r="I62" i="84"/>
  <c r="I74" i="80"/>
  <c r="I73" i="80"/>
  <c r="Q69" i="73"/>
  <c r="Q68" i="73"/>
  <c r="M69" i="73"/>
  <c r="M68" i="73"/>
  <c r="O69" i="73"/>
  <c r="O68" i="73"/>
  <c r="K69" i="73"/>
  <c r="K68" i="73"/>
  <c r="I69" i="73"/>
  <c r="I68" i="73"/>
  <c r="L8" i="71"/>
  <c r="M50" i="71"/>
  <c r="M49" i="71"/>
  <c r="P8" i="71"/>
  <c r="Q50" i="71"/>
  <c r="Q49" i="71"/>
  <c r="N8" i="71"/>
  <c r="O50" i="71"/>
  <c r="O49" i="71"/>
  <c r="J8" i="71"/>
  <c r="K50" i="71"/>
  <c r="K49" i="71"/>
  <c r="H8" i="71"/>
  <c r="I50" i="71"/>
  <c r="I49" i="71"/>
  <c r="S50" i="71"/>
  <c r="S49" i="71"/>
  <c r="O70" i="76"/>
  <c r="O71" i="76"/>
  <c r="S70" i="76"/>
  <c r="S71" i="76"/>
  <c r="M71" i="76"/>
  <c r="M70" i="76"/>
  <c r="I71" i="76"/>
  <c r="I70" i="76"/>
  <c r="Q71" i="76"/>
  <c r="Q70" i="76"/>
  <c r="K71" i="76"/>
  <c r="K70" i="76"/>
  <c r="S69" i="73"/>
  <c r="S68" i="73"/>
  <c r="H8" i="92"/>
  <c r="H8" i="85"/>
  <c r="N8" i="85"/>
  <c r="L8" i="85"/>
  <c r="J8" i="85"/>
  <c r="H8" i="84"/>
  <c r="H8" i="79"/>
  <c r="H8" i="80"/>
  <c r="H8" i="82"/>
  <c r="B12" i="29"/>
  <c r="B13" i="29"/>
  <c r="B14" i="29"/>
  <c r="B15" i="29"/>
  <c r="B16" i="29"/>
  <c r="B17" i="29"/>
  <c r="B18" i="29"/>
  <c r="B19" i="29"/>
  <c r="B11" i="29"/>
  <c r="S41" i="68"/>
  <c r="S43" i="68"/>
  <c r="S45" i="68"/>
  <c r="Q41" i="68"/>
  <c r="Q43" i="68"/>
  <c r="Q45" i="68"/>
  <c r="O41" i="68"/>
  <c r="O43" i="68"/>
  <c r="O45" i="68"/>
  <c r="M41" i="68"/>
  <c r="M43" i="68"/>
  <c r="M45" i="68"/>
  <c r="K41" i="68"/>
  <c r="K43" i="68"/>
  <c r="I41" i="68"/>
  <c r="B19" i="68"/>
  <c r="B18" i="68"/>
  <c r="B17" i="68"/>
  <c r="B16" i="68"/>
  <c r="B15" i="68"/>
  <c r="B14" i="68"/>
  <c r="B13" i="68"/>
  <c r="B12" i="68"/>
  <c r="B11" i="68"/>
  <c r="S54" i="66"/>
  <c r="S56" i="66"/>
  <c r="Q54" i="66"/>
  <c r="Q56" i="66"/>
  <c r="O54" i="66"/>
  <c r="M54" i="66"/>
  <c r="M56" i="66"/>
  <c r="K54" i="66"/>
  <c r="I54" i="66"/>
  <c r="I56" i="66"/>
  <c r="B23" i="66"/>
  <c r="B22" i="66"/>
  <c r="B21" i="66"/>
  <c r="B20" i="66"/>
  <c r="B19" i="66"/>
  <c r="B18" i="66"/>
  <c r="B17" i="66"/>
  <c r="B16" i="66"/>
  <c r="B15" i="66"/>
  <c r="B14" i="66"/>
  <c r="B13" i="66"/>
  <c r="B12" i="66"/>
  <c r="B11" i="66"/>
  <c r="Q55" i="64"/>
  <c r="O55" i="64"/>
  <c r="O57" i="64"/>
  <c r="M55" i="64"/>
  <c r="M57" i="64"/>
  <c r="K55" i="64"/>
  <c r="K57" i="64"/>
  <c r="I55" i="64"/>
  <c r="I57" i="64"/>
  <c r="I59" i="64"/>
  <c r="B23" i="64"/>
  <c r="B22" i="64"/>
  <c r="B21" i="64"/>
  <c r="B20" i="64"/>
  <c r="B19" i="64"/>
  <c r="B18" i="64"/>
  <c r="B17" i="64"/>
  <c r="B16" i="64"/>
  <c r="B15" i="64"/>
  <c r="B14" i="64"/>
  <c r="B13" i="64"/>
  <c r="B12" i="64"/>
  <c r="B11" i="64"/>
  <c r="R8" i="64"/>
  <c r="Q53" i="63"/>
  <c r="Q55" i="63"/>
  <c r="Q57" i="63"/>
  <c r="O53" i="63"/>
  <c r="M53" i="63"/>
  <c r="K53" i="63"/>
  <c r="K55" i="63"/>
  <c r="K57" i="63"/>
  <c r="I53" i="63"/>
  <c r="B19" i="63"/>
  <c r="B18" i="63"/>
  <c r="B17" i="63"/>
  <c r="B16" i="63"/>
  <c r="B15" i="63"/>
  <c r="B14" i="63"/>
  <c r="B13" i="63"/>
  <c r="B12" i="63"/>
  <c r="B11" i="63"/>
  <c r="R8" i="63"/>
  <c r="I48" i="61"/>
  <c r="I50" i="61"/>
  <c r="B19" i="61"/>
  <c r="B18" i="61"/>
  <c r="B17" i="61"/>
  <c r="B16" i="61"/>
  <c r="B15" i="61"/>
  <c r="B14" i="61"/>
  <c r="B13" i="61"/>
  <c r="B12" i="61"/>
  <c r="B11" i="61"/>
  <c r="S60" i="60"/>
  <c r="Q60" i="60"/>
  <c r="O60" i="60"/>
  <c r="O62" i="60"/>
  <c r="M60" i="60"/>
  <c r="M62" i="60"/>
  <c r="K60" i="60"/>
  <c r="K62" i="60"/>
  <c r="I60" i="60"/>
  <c r="B19" i="60"/>
  <c r="B18" i="60"/>
  <c r="B17" i="60"/>
  <c r="B16" i="60"/>
  <c r="B15" i="60"/>
  <c r="B14" i="60"/>
  <c r="B13" i="60"/>
  <c r="B12" i="60"/>
  <c r="B11" i="60"/>
  <c r="S54" i="59"/>
  <c r="Q54" i="59"/>
  <c r="O54" i="59"/>
  <c r="O56" i="59"/>
  <c r="M54" i="59"/>
  <c r="M56" i="59"/>
  <c r="K54" i="59"/>
  <c r="I54" i="59"/>
  <c r="I56" i="59" s="1"/>
  <c r="B19" i="59"/>
  <c r="B18" i="59"/>
  <c r="B17" i="59"/>
  <c r="B16" i="59"/>
  <c r="B15" i="59"/>
  <c r="B14" i="59"/>
  <c r="B13" i="59"/>
  <c r="B12" i="59"/>
  <c r="B11" i="59"/>
  <c r="S63" i="58"/>
  <c r="S65" i="58" s="1"/>
  <c r="Q63" i="58"/>
  <c r="Q65" i="58" s="1"/>
  <c r="Q67" i="58" s="1"/>
  <c r="O63" i="58"/>
  <c r="O65" i="58" s="1"/>
  <c r="O67" i="58" s="1"/>
  <c r="M63" i="58"/>
  <c r="M65" i="58" s="1"/>
  <c r="K63" i="58"/>
  <c r="K65" i="58" s="1"/>
  <c r="K67" i="58" s="1"/>
  <c r="B19" i="58"/>
  <c r="B18" i="58"/>
  <c r="B17" i="58"/>
  <c r="B16" i="58"/>
  <c r="B15" i="58"/>
  <c r="B14" i="58"/>
  <c r="B13" i="58"/>
  <c r="B12" i="58"/>
  <c r="B11" i="58"/>
  <c r="S59" i="57"/>
  <c r="S61" i="57" s="1"/>
  <c r="S63" i="57" s="1"/>
  <c r="Q59" i="57"/>
  <c r="Q61" i="57" s="1"/>
  <c r="O59" i="57"/>
  <c r="O61" i="57" s="1"/>
  <c r="M59" i="57"/>
  <c r="K59" i="57"/>
  <c r="K61" i="57" s="1"/>
  <c r="K63" i="57" s="1"/>
  <c r="I59" i="57"/>
  <c r="I61" i="57" s="1"/>
  <c r="I63" i="57" s="1"/>
  <c r="B19" i="57"/>
  <c r="B18" i="57"/>
  <c r="B17" i="57"/>
  <c r="B16" i="57"/>
  <c r="B15" i="57"/>
  <c r="B14" i="57"/>
  <c r="B13" i="57"/>
  <c r="B12" i="57"/>
  <c r="B11" i="57"/>
  <c r="K48" i="56"/>
  <c r="I48" i="56"/>
  <c r="I50" i="56"/>
  <c r="B19" i="56"/>
  <c r="B18" i="56"/>
  <c r="B17" i="56"/>
  <c r="B16" i="56"/>
  <c r="B15" i="56"/>
  <c r="B14" i="56"/>
  <c r="B13" i="56"/>
  <c r="B12" i="56"/>
  <c r="B11" i="56"/>
  <c r="O82" i="55"/>
  <c r="O84" i="55"/>
  <c r="O86" i="55"/>
  <c r="M82" i="55"/>
  <c r="M84" i="55"/>
  <c r="M86" i="55"/>
  <c r="K82" i="55"/>
  <c r="K84" i="55"/>
  <c r="K86" i="55"/>
  <c r="I82" i="55"/>
  <c r="I84" i="55"/>
  <c r="I86" i="55"/>
  <c r="B19" i="55"/>
  <c r="B18" i="55"/>
  <c r="B17" i="55"/>
  <c r="B16" i="55"/>
  <c r="B15" i="55"/>
  <c r="B14" i="55"/>
  <c r="B13" i="55"/>
  <c r="B12" i="55"/>
  <c r="B11" i="55"/>
  <c r="O46" i="54"/>
  <c r="O48" i="54"/>
  <c r="O50" i="54"/>
  <c r="M46" i="54"/>
  <c r="M48" i="54"/>
  <c r="M50" i="54"/>
  <c r="K46" i="54"/>
  <c r="K48" i="54"/>
  <c r="K50" i="54"/>
  <c r="I46" i="54"/>
  <c r="I48" i="54"/>
  <c r="I50" i="54"/>
  <c r="B19" i="54"/>
  <c r="B18" i="54"/>
  <c r="B17" i="54"/>
  <c r="B16" i="54"/>
  <c r="B15" i="54"/>
  <c r="B14" i="54"/>
  <c r="B13" i="54"/>
  <c r="B12" i="54"/>
  <c r="B11" i="54"/>
  <c r="O92" i="53"/>
  <c r="O94" i="53"/>
  <c r="M92" i="53"/>
  <c r="M94" i="53"/>
  <c r="K92" i="53"/>
  <c r="K94" i="53"/>
  <c r="K96" i="53"/>
  <c r="I92" i="53"/>
  <c r="B19" i="53"/>
  <c r="B18" i="53"/>
  <c r="B17" i="53"/>
  <c r="B16" i="53"/>
  <c r="B15" i="53"/>
  <c r="B14" i="53"/>
  <c r="B13" i="53"/>
  <c r="B12" i="53"/>
  <c r="B11" i="53"/>
  <c r="O42" i="52"/>
  <c r="M42" i="52"/>
  <c r="K42" i="52"/>
  <c r="K44" i="52"/>
  <c r="K46" i="52"/>
  <c r="I42" i="52"/>
  <c r="I44" i="52"/>
  <c r="I46" i="52"/>
  <c r="B19" i="52"/>
  <c r="B18" i="52"/>
  <c r="B17" i="52"/>
  <c r="B16" i="52"/>
  <c r="B15" i="52"/>
  <c r="B14" i="52"/>
  <c r="B13" i="52"/>
  <c r="B12" i="52"/>
  <c r="B11" i="52"/>
  <c r="S66" i="51"/>
  <c r="Q66" i="51"/>
  <c r="Q68" i="51"/>
  <c r="O66" i="51"/>
  <c r="O68" i="51"/>
  <c r="O70" i="51"/>
  <c r="M66" i="51"/>
  <c r="M68" i="51"/>
  <c r="M70" i="51"/>
  <c r="K66" i="51"/>
  <c r="K68" i="51"/>
  <c r="K70" i="51"/>
  <c r="I68" i="51"/>
  <c r="I70" i="51"/>
  <c r="B19" i="51"/>
  <c r="B18" i="51"/>
  <c r="B17" i="51"/>
  <c r="B16" i="51"/>
  <c r="B15" i="51"/>
  <c r="B14" i="51"/>
  <c r="B13" i="51"/>
  <c r="B12" i="51"/>
  <c r="B11" i="51"/>
  <c r="S60" i="50"/>
  <c r="S62" i="50" s="1"/>
  <c r="Q60" i="50"/>
  <c r="Q62" i="50" s="1"/>
  <c r="Q64" i="50" s="1"/>
  <c r="O60" i="50"/>
  <c r="O62" i="50" s="1"/>
  <c r="O64" i="50" s="1"/>
  <c r="M60" i="50"/>
  <c r="M62" i="50" s="1"/>
  <c r="M64" i="50" s="1"/>
  <c r="K60" i="50"/>
  <c r="K62" i="50" s="1"/>
  <c r="B19" i="50"/>
  <c r="B18" i="50"/>
  <c r="B17" i="50"/>
  <c r="B16" i="50"/>
  <c r="B15" i="50"/>
  <c r="B14" i="50"/>
  <c r="B13" i="50"/>
  <c r="B12" i="50"/>
  <c r="B11" i="50"/>
  <c r="A14" i="49"/>
  <c r="A15" i="49"/>
  <c r="A16" i="49"/>
  <c r="A17" i="49"/>
  <c r="A18" i="49"/>
  <c r="A19" i="49"/>
  <c r="A20" i="49"/>
  <c r="A21" i="49"/>
  <c r="A22" i="49"/>
  <c r="A23" i="49"/>
  <c r="A24" i="49"/>
  <c r="A25" i="49"/>
  <c r="A26" i="49"/>
  <c r="A27" i="49"/>
  <c r="A28" i="49"/>
  <c r="A29" i="49"/>
  <c r="A30" i="49"/>
  <c r="A31" i="49"/>
  <c r="A10" i="49"/>
  <c r="A10" i="47"/>
  <c r="B10" i="39"/>
  <c r="D10" i="39"/>
  <c r="F12" i="39"/>
  <c r="H11" i="39"/>
  <c r="D11" i="39"/>
  <c r="H10" i="39"/>
  <c r="H9" i="39"/>
  <c r="H8" i="39"/>
  <c r="H7" i="39"/>
  <c r="H6" i="39"/>
  <c r="H12" i="39"/>
  <c r="H13" i="39"/>
  <c r="I55" i="63"/>
  <c r="I57" i="63"/>
  <c r="I61" i="64"/>
  <c r="I60" i="64"/>
  <c r="Q57" i="64"/>
  <c r="Q59" i="64"/>
  <c r="I52" i="54"/>
  <c r="I51" i="54"/>
  <c r="K52" i="54"/>
  <c r="K51" i="54"/>
  <c r="M52" i="54"/>
  <c r="M51" i="54"/>
  <c r="O52" i="54"/>
  <c r="O51" i="54"/>
  <c r="I48" i="52"/>
  <c r="I47" i="52"/>
  <c r="K48" i="52"/>
  <c r="K47" i="52"/>
  <c r="K98" i="53"/>
  <c r="K97" i="53"/>
  <c r="I88" i="55"/>
  <c r="I87" i="55"/>
  <c r="K88" i="55"/>
  <c r="K87" i="55"/>
  <c r="M88" i="55"/>
  <c r="M87" i="55"/>
  <c r="O88" i="55"/>
  <c r="O87" i="55"/>
  <c r="Q61" i="64"/>
  <c r="Q60" i="64"/>
  <c r="J8" i="51"/>
  <c r="K72" i="51"/>
  <c r="K71" i="51"/>
  <c r="H8" i="51"/>
  <c r="I72" i="51"/>
  <c r="I71" i="51"/>
  <c r="N8" i="51"/>
  <c r="O72" i="51"/>
  <c r="O71" i="51"/>
  <c r="L8" i="51"/>
  <c r="M71" i="51"/>
  <c r="M72" i="51"/>
  <c r="Q58" i="63"/>
  <c r="Q59" i="63"/>
  <c r="K59" i="63"/>
  <c r="K58" i="63"/>
  <c r="I62" i="60"/>
  <c r="I64" i="60"/>
  <c r="K50" i="56"/>
  <c r="K52" i="56"/>
  <c r="S50" i="56"/>
  <c r="S52" i="56"/>
  <c r="O50" i="56"/>
  <c r="O52" i="56"/>
  <c r="Q50" i="56"/>
  <c r="Q52" i="56"/>
  <c r="M50" i="56"/>
  <c r="M52" i="56"/>
  <c r="I94" i="53"/>
  <c r="I96" i="53"/>
  <c r="M96" i="53"/>
  <c r="O96" i="53"/>
  <c r="S68" i="51"/>
  <c r="S70" i="51"/>
  <c r="B8" i="39"/>
  <c r="D8" i="39"/>
  <c r="B9" i="39"/>
  <c r="D9" i="39"/>
  <c r="K56" i="59"/>
  <c r="K58" i="59"/>
  <c r="Q56" i="59"/>
  <c r="Q58" i="59"/>
  <c r="P8" i="59"/>
  <c r="S56" i="59"/>
  <c r="S58" i="59"/>
  <c r="R8" i="59"/>
  <c r="K59" i="64"/>
  <c r="K45" i="68"/>
  <c r="M58" i="59"/>
  <c r="L8" i="59"/>
  <c r="O58" i="59"/>
  <c r="N8" i="59"/>
  <c r="I43" i="68"/>
  <c r="I45" i="68"/>
  <c r="M58" i="66"/>
  <c r="Q58" i="66"/>
  <c r="O56" i="66"/>
  <c r="O58" i="66"/>
  <c r="I58" i="66"/>
  <c r="S58" i="66"/>
  <c r="K56" i="66"/>
  <c r="K58" i="66"/>
  <c r="P8" i="64"/>
  <c r="H8" i="64"/>
  <c r="M59" i="64"/>
  <c r="O59" i="64"/>
  <c r="P8" i="63"/>
  <c r="M55" i="63"/>
  <c r="M57" i="63"/>
  <c r="J8" i="63"/>
  <c r="O55" i="63"/>
  <c r="O57" i="63"/>
  <c r="I52" i="61"/>
  <c r="K64" i="60"/>
  <c r="M64" i="60"/>
  <c r="O64" i="60"/>
  <c r="Q62" i="60"/>
  <c r="Q64" i="60"/>
  <c r="S62" i="60"/>
  <c r="S64" i="60"/>
  <c r="I52" i="56"/>
  <c r="J8" i="55"/>
  <c r="L8" i="55"/>
  <c r="N8" i="55"/>
  <c r="H8" i="55"/>
  <c r="H8" i="54"/>
  <c r="L8" i="54"/>
  <c r="N8" i="54"/>
  <c r="J8" i="54"/>
  <c r="J8" i="53"/>
  <c r="M44" i="52"/>
  <c r="M46" i="52"/>
  <c r="H8" i="52"/>
  <c r="J8" i="52"/>
  <c r="O44" i="52"/>
  <c r="O46" i="52"/>
  <c r="Q70" i="51"/>
  <c r="B6" i="39"/>
  <c r="I58" i="63"/>
  <c r="I59" i="63"/>
  <c r="I54" i="61"/>
  <c r="I53" i="61"/>
  <c r="J8" i="59"/>
  <c r="K60" i="59"/>
  <c r="K59" i="59"/>
  <c r="O48" i="52"/>
  <c r="O47" i="52"/>
  <c r="M48" i="52"/>
  <c r="M47" i="52"/>
  <c r="O98" i="53"/>
  <c r="O97" i="53"/>
  <c r="M98" i="53"/>
  <c r="M97" i="53"/>
  <c r="I98" i="53"/>
  <c r="I97" i="53"/>
  <c r="I54" i="56"/>
  <c r="I53" i="56"/>
  <c r="M54" i="56"/>
  <c r="M53" i="56"/>
  <c r="Q54" i="56"/>
  <c r="Q53" i="56"/>
  <c r="O54" i="56"/>
  <c r="O53" i="56"/>
  <c r="S54" i="56"/>
  <c r="S53" i="56"/>
  <c r="K54" i="56"/>
  <c r="K53" i="56"/>
  <c r="M60" i="59"/>
  <c r="M59" i="59"/>
  <c r="O60" i="59"/>
  <c r="O59" i="59"/>
  <c r="S60" i="59"/>
  <c r="S59" i="59"/>
  <c r="Q60" i="59"/>
  <c r="Q59" i="59"/>
  <c r="O60" i="64"/>
  <c r="O61" i="64"/>
  <c r="M61" i="64"/>
  <c r="M60" i="64"/>
  <c r="K61" i="64"/>
  <c r="K60" i="64"/>
  <c r="R8" i="51"/>
  <c r="S72" i="51"/>
  <c r="S71" i="51"/>
  <c r="P8" i="51"/>
  <c r="Q72" i="51"/>
  <c r="Q71" i="51"/>
  <c r="J8" i="60"/>
  <c r="K66" i="60"/>
  <c r="K65" i="60"/>
  <c r="O58" i="63"/>
  <c r="O59" i="63"/>
  <c r="M59" i="63"/>
  <c r="M58" i="63"/>
  <c r="L8" i="60"/>
  <c r="M66" i="60"/>
  <c r="M65" i="60"/>
  <c r="N8" i="60"/>
  <c r="O66" i="60"/>
  <c r="O65" i="60"/>
  <c r="P8" i="60"/>
  <c r="Q66" i="60"/>
  <c r="Q65" i="60"/>
  <c r="R8" i="60"/>
  <c r="S66" i="60"/>
  <c r="S65" i="60"/>
  <c r="H8" i="60"/>
  <c r="I65" i="60"/>
  <c r="I66" i="60"/>
  <c r="H8" i="56"/>
  <c r="L8" i="56"/>
  <c r="P8" i="56"/>
  <c r="J8" i="56"/>
  <c r="N8" i="56"/>
  <c r="R8" i="56"/>
  <c r="L8" i="53"/>
  <c r="N8" i="53"/>
  <c r="J8" i="64"/>
  <c r="H8" i="63"/>
  <c r="B93" i="63" s="1"/>
  <c r="D24" i="20" s="1"/>
  <c r="H8" i="53"/>
  <c r="R8" i="61"/>
  <c r="P8" i="61"/>
  <c r="N8" i="61"/>
  <c r="J8" i="66"/>
  <c r="N8" i="66"/>
  <c r="H8" i="66"/>
  <c r="L8" i="66"/>
  <c r="R8" i="66"/>
  <c r="P8" i="66"/>
  <c r="N8" i="64"/>
  <c r="L8" i="64"/>
  <c r="N8" i="63"/>
  <c r="L8" i="63"/>
  <c r="J8" i="61"/>
  <c r="H8" i="61"/>
  <c r="L8" i="61"/>
  <c r="L8" i="52"/>
  <c r="N8" i="52"/>
  <c r="D6" i="39"/>
  <c r="B7" i="39"/>
  <c r="D7" i="39"/>
  <c r="D12" i="39"/>
  <c r="I55" i="31"/>
  <c r="I55" i="9"/>
  <c r="I57" i="9" s="1"/>
  <c r="M55" i="9"/>
  <c r="M57" i="9" s="1"/>
  <c r="M59" i="9" s="1"/>
  <c r="L8" i="9" s="1"/>
  <c r="M74" i="16"/>
  <c r="M78" i="16" s="1"/>
  <c r="K74" i="16"/>
  <c r="K76" i="16" s="1"/>
  <c r="K78" i="16" s="1"/>
  <c r="Q74" i="16"/>
  <c r="Q78" i="16" s="1"/>
  <c r="P8" i="16" s="1"/>
  <c r="B17" i="16"/>
  <c r="M58" i="28"/>
  <c r="M60" i="28" s="1"/>
  <c r="B12" i="2"/>
  <c r="B13" i="2"/>
  <c r="B14" i="2"/>
  <c r="B15" i="2"/>
  <c r="B16" i="2"/>
  <c r="B17" i="2"/>
  <c r="B18" i="2"/>
  <c r="B19" i="2"/>
  <c r="B11" i="2"/>
  <c r="B12" i="26"/>
  <c r="B13" i="26"/>
  <c r="B14" i="26"/>
  <c r="B15" i="26"/>
  <c r="B16" i="26"/>
  <c r="B17" i="26"/>
  <c r="B18" i="26"/>
  <c r="B19" i="26"/>
  <c r="B11" i="26"/>
  <c r="B12" i="28"/>
  <c r="B13" i="28"/>
  <c r="B14" i="28"/>
  <c r="B15" i="28"/>
  <c r="B16" i="28"/>
  <c r="B17" i="28"/>
  <c r="B18" i="28"/>
  <c r="B19" i="28"/>
  <c r="B11" i="28"/>
  <c r="B12" i="14"/>
  <c r="B13" i="14"/>
  <c r="B14" i="14"/>
  <c r="B15" i="14"/>
  <c r="B16" i="14"/>
  <c r="B17" i="14"/>
  <c r="B18" i="14"/>
  <c r="B19" i="14"/>
  <c r="B11" i="14"/>
  <c r="B12" i="31"/>
  <c r="B13" i="31"/>
  <c r="B14" i="31"/>
  <c r="B15" i="31"/>
  <c r="B16" i="31"/>
  <c r="B17" i="31"/>
  <c r="B18" i="31"/>
  <c r="B19" i="31"/>
  <c r="B11" i="31"/>
  <c r="B12" i="13"/>
  <c r="B13" i="13"/>
  <c r="B14" i="13"/>
  <c r="B15" i="13"/>
  <c r="B16" i="13"/>
  <c r="B17" i="13"/>
  <c r="B18" i="13"/>
  <c r="B19" i="13"/>
  <c r="B11" i="13"/>
  <c r="B12" i="41"/>
  <c r="B13" i="41"/>
  <c r="B14" i="41"/>
  <c r="B15" i="41"/>
  <c r="B16" i="41"/>
  <c r="B17" i="41"/>
  <c r="B18" i="41"/>
  <c r="B19" i="41"/>
  <c r="B11" i="41"/>
  <c r="B12" i="17"/>
  <c r="B13" i="17"/>
  <c r="B14" i="17"/>
  <c r="B15" i="17"/>
  <c r="B16" i="17"/>
  <c r="B17" i="17"/>
  <c r="B18" i="17"/>
  <c r="B19" i="17"/>
  <c r="B11" i="17"/>
  <c r="B12" i="30"/>
  <c r="B13" i="30"/>
  <c r="B14" i="30"/>
  <c r="B15" i="30"/>
  <c r="B16" i="30"/>
  <c r="B17" i="30"/>
  <c r="B18" i="30"/>
  <c r="B19" i="30"/>
  <c r="B11" i="30"/>
  <c r="B12" i="8"/>
  <c r="B13" i="8"/>
  <c r="B14" i="8"/>
  <c r="B15" i="8"/>
  <c r="B16" i="8"/>
  <c r="B17" i="8"/>
  <c r="B18" i="8"/>
  <c r="B19" i="8"/>
  <c r="B11" i="8"/>
  <c r="B12" i="9"/>
  <c r="B13" i="9"/>
  <c r="B14" i="9"/>
  <c r="B15" i="9"/>
  <c r="B16" i="9"/>
  <c r="B17" i="9"/>
  <c r="B18" i="9"/>
  <c r="B19" i="9"/>
  <c r="B11" i="9"/>
  <c r="B12" i="7"/>
  <c r="B13" i="7"/>
  <c r="B14" i="7"/>
  <c r="B15" i="7"/>
  <c r="B16" i="7"/>
  <c r="B17" i="7"/>
  <c r="B18" i="7"/>
  <c r="B19" i="7"/>
  <c r="B11" i="7"/>
  <c r="B12" i="10"/>
  <c r="B13" i="10"/>
  <c r="B14" i="10"/>
  <c r="B15" i="10"/>
  <c r="B16" i="10"/>
  <c r="B17" i="10"/>
  <c r="B18" i="10"/>
  <c r="B11" i="10"/>
  <c r="B12" i="38"/>
  <c r="B13" i="38"/>
  <c r="B14" i="38"/>
  <c r="B15" i="38"/>
  <c r="B16" i="38"/>
  <c r="B17" i="38"/>
  <c r="B18" i="38"/>
  <c r="B11" i="38"/>
  <c r="B12" i="6"/>
  <c r="B13" i="6"/>
  <c r="B14" i="6"/>
  <c r="B15" i="6"/>
  <c r="B16" i="6"/>
  <c r="B17" i="6"/>
  <c r="B18" i="6"/>
  <c r="B19" i="6"/>
  <c r="B20" i="6"/>
  <c r="B11" i="6"/>
  <c r="B12" i="5"/>
  <c r="B13" i="5"/>
  <c r="B14" i="5"/>
  <c r="B15" i="5"/>
  <c r="B16" i="5"/>
  <c r="B17" i="5"/>
  <c r="B18" i="5"/>
  <c r="B19" i="5"/>
  <c r="B20" i="5"/>
  <c r="B11" i="5"/>
  <c r="B12" i="4"/>
  <c r="B13" i="4"/>
  <c r="B14" i="4"/>
  <c r="B15" i="4"/>
  <c r="B16" i="4"/>
  <c r="B17" i="4"/>
  <c r="B18" i="4"/>
  <c r="B19" i="4"/>
  <c r="B11" i="4"/>
  <c r="B12" i="32"/>
  <c r="B13" i="32"/>
  <c r="B14" i="32"/>
  <c r="B15" i="32"/>
  <c r="B16" i="32"/>
  <c r="B17" i="32"/>
  <c r="B18" i="32"/>
  <c r="B19" i="32"/>
  <c r="B11" i="32"/>
  <c r="B12" i="3"/>
  <c r="B13" i="3"/>
  <c r="B14" i="3"/>
  <c r="B15" i="3"/>
  <c r="B16" i="3"/>
  <c r="B17" i="3"/>
  <c r="B18" i="3"/>
  <c r="B19" i="3"/>
  <c r="B11" i="3"/>
  <c r="I52" i="36"/>
  <c r="B4" i="26"/>
  <c r="S58" i="28"/>
  <c r="S60" i="28" s="1"/>
  <c r="Q58" i="28"/>
  <c r="Q60" i="28" s="1"/>
  <c r="O58" i="28"/>
  <c r="O60" i="28" s="1"/>
  <c r="K58" i="28"/>
  <c r="K60" i="28" s="1"/>
  <c r="I58" i="28"/>
  <c r="I41" i="15"/>
  <c r="I43" i="15"/>
  <c r="M201" i="14"/>
  <c r="M205" i="14" s="1"/>
  <c r="I48" i="31"/>
  <c r="I50" i="31"/>
  <c r="I52" i="31"/>
  <c r="M86" i="13"/>
  <c r="M88" i="13" s="1"/>
  <c r="M90" i="13" s="1"/>
  <c r="L8" i="13" s="1"/>
  <c r="I55" i="41"/>
  <c r="I57" i="41" s="1"/>
  <c r="I77" i="17"/>
  <c r="I79" i="17"/>
  <c r="I81" i="17"/>
  <c r="H8" i="17" s="1"/>
  <c r="B117" i="17" s="1"/>
  <c r="B4" i="17"/>
  <c r="S86" i="30"/>
  <c r="S88" i="30" s="1"/>
  <c r="Q86" i="30"/>
  <c r="Q88" i="30" s="1"/>
  <c r="Q90" i="30" s="1"/>
  <c r="O86" i="30"/>
  <c r="O88" i="30" s="1"/>
  <c r="M86" i="30"/>
  <c r="M88" i="30" s="1"/>
  <c r="K86" i="30"/>
  <c r="K88" i="30" s="1"/>
  <c r="K90" i="30" s="1"/>
  <c r="S55" i="9"/>
  <c r="S57" i="9" s="1"/>
  <c r="Q55" i="9"/>
  <c r="Q57" i="9" s="1"/>
  <c r="Q59" i="9" s="1"/>
  <c r="K55" i="9"/>
  <c r="K57" i="9" s="1"/>
  <c r="K59" i="9" s="1"/>
  <c r="O55" i="9"/>
  <c r="O57" i="9" s="1"/>
  <c r="I39" i="29"/>
  <c r="R8" i="29"/>
  <c r="P8" i="29"/>
  <c r="N8" i="29"/>
  <c r="S58" i="7"/>
  <c r="Q58" i="7"/>
  <c r="O58" i="7"/>
  <c r="O60" i="7" s="1"/>
  <c r="O62" i="7" s="1"/>
  <c r="M58" i="7"/>
  <c r="M60" i="7" s="1"/>
  <c r="K58" i="7"/>
  <c r="I58" i="7"/>
  <c r="I60" i="7" s="1"/>
  <c r="S45" i="38"/>
  <c r="S47" i="38"/>
  <c r="S49" i="38"/>
  <c r="Q45" i="38"/>
  <c r="Q47" i="38"/>
  <c r="O45" i="38"/>
  <c r="O47" i="38"/>
  <c r="O49" i="38"/>
  <c r="N8" i="38"/>
  <c r="M45" i="38"/>
  <c r="M47" i="38"/>
  <c r="M49" i="38"/>
  <c r="L8" i="38"/>
  <c r="K45" i="38"/>
  <c r="K47" i="38"/>
  <c r="K49" i="38"/>
  <c r="J8" i="38"/>
  <c r="I45" i="38"/>
  <c r="I78" i="6"/>
  <c r="I80" i="6" s="1"/>
  <c r="I82" i="6" s="1"/>
  <c r="B4" i="6"/>
  <c r="S78" i="5"/>
  <c r="S80" i="5" s="1"/>
  <c r="Q78" i="5"/>
  <c r="Q80" i="5" s="1"/>
  <c r="O78" i="5"/>
  <c r="O80" i="5" s="1"/>
  <c r="M78" i="5"/>
  <c r="M80" i="5" s="1"/>
  <c r="M82" i="5" s="1"/>
  <c r="K78" i="5"/>
  <c r="K80" i="5" s="1"/>
  <c r="K82" i="5" s="1"/>
  <c r="I78" i="5"/>
  <c r="I80" i="5" s="1"/>
  <c r="I56" i="4"/>
  <c r="S58" i="4" s="1"/>
  <c r="S60" i="4" s="1"/>
  <c r="O64" i="3"/>
  <c r="O66" i="3" s="1"/>
  <c r="O68" i="3" s="1"/>
  <c r="I64" i="3"/>
  <c r="I66" i="3" s="1"/>
  <c r="S58" i="2"/>
  <c r="S60" i="2" s="1"/>
  <c r="Q58" i="2"/>
  <c r="Q60" i="2" s="1"/>
  <c r="O58" i="2"/>
  <c r="O60" i="2" s="1"/>
  <c r="M58" i="2"/>
  <c r="M60" i="2" s="1"/>
  <c r="M62" i="2" s="1"/>
  <c r="K58" i="2"/>
  <c r="K60" i="2" s="1"/>
  <c r="I58" i="2"/>
  <c r="I60" i="2" s="1"/>
  <c r="H93" i="21"/>
  <c r="J91" i="21"/>
  <c r="J90" i="21"/>
  <c r="H60" i="21"/>
  <c r="J57" i="21"/>
  <c r="H51" i="21"/>
  <c r="E51" i="21"/>
  <c r="J49" i="21"/>
  <c r="J48" i="21"/>
  <c r="J47" i="21"/>
  <c r="I46" i="21"/>
  <c r="J45" i="21"/>
  <c r="J44" i="21"/>
  <c r="J43" i="21"/>
  <c r="J42" i="21"/>
  <c r="J41" i="21"/>
  <c r="I40" i="21"/>
  <c r="B9" i="21"/>
  <c r="S51" i="38"/>
  <c r="S50" i="38"/>
  <c r="R8" i="38"/>
  <c r="I54" i="31"/>
  <c r="I53" i="31"/>
  <c r="J93" i="21"/>
  <c r="O51" i="38"/>
  <c r="O50" i="38"/>
  <c r="M51" i="38"/>
  <c r="M50" i="38"/>
  <c r="K50" i="38"/>
  <c r="K51" i="38"/>
  <c r="I47" i="38"/>
  <c r="I48" i="38"/>
  <c r="I49" i="38"/>
  <c r="H8" i="38"/>
  <c r="Q58" i="4"/>
  <c r="Q60" i="4" s="1"/>
  <c r="Q62" i="4" s="1"/>
  <c r="I54" i="36"/>
  <c r="I56" i="36"/>
  <c r="R8" i="15"/>
  <c r="N8" i="15"/>
  <c r="P8" i="15"/>
  <c r="J8" i="15"/>
  <c r="L8" i="15"/>
  <c r="I45" i="15"/>
  <c r="L8" i="29"/>
  <c r="I41" i="29"/>
  <c r="I43" i="29"/>
  <c r="Q49" i="38"/>
  <c r="I32" i="21"/>
  <c r="J56" i="21"/>
  <c r="I31" i="21"/>
  <c r="I30" i="21"/>
  <c r="J58" i="21"/>
  <c r="I29" i="21"/>
  <c r="I28" i="21"/>
  <c r="I27" i="21"/>
  <c r="I15" i="21"/>
  <c r="J51" i="21"/>
  <c r="I35" i="21"/>
  <c r="I45" i="29"/>
  <c r="I44" i="29"/>
  <c r="Q51" i="38"/>
  <c r="Q50" i="38"/>
  <c r="P8" i="38"/>
  <c r="I46" i="15"/>
  <c r="I47" i="15"/>
  <c r="H8" i="36"/>
  <c r="I58" i="36"/>
  <c r="I57" i="36"/>
  <c r="I50" i="38"/>
  <c r="I51" i="38"/>
  <c r="H8" i="15"/>
  <c r="N8" i="17"/>
  <c r="R8" i="17"/>
  <c r="P8" i="17"/>
  <c r="H8" i="29"/>
  <c r="J8" i="29"/>
  <c r="J60" i="21"/>
  <c r="C31" i="49"/>
  <c r="I58" i="59" l="1"/>
  <c r="I58" i="4"/>
  <c r="I60" i="4" s="1"/>
  <c r="S62" i="4"/>
  <c r="S61" i="4"/>
  <c r="R8" i="4"/>
  <c r="Q61" i="4"/>
  <c r="M58" i="4"/>
  <c r="M60" i="4" s="1"/>
  <c r="I82" i="17"/>
  <c r="I83" i="17"/>
  <c r="P8" i="4"/>
  <c r="K58" i="4"/>
  <c r="K60" i="4" s="1"/>
  <c r="O58" i="4"/>
  <c r="O60" i="4" s="1"/>
  <c r="J13" i="141"/>
  <c r="O13" i="142"/>
  <c r="J16" i="141"/>
  <c r="O16" i="142"/>
  <c r="O19" i="142"/>
  <c r="J19" i="141"/>
  <c r="O20" i="142"/>
  <c r="F20" i="142" s="1"/>
  <c r="G20" i="142" s="1"/>
  <c r="L20" i="142" s="1"/>
  <c r="O21" i="142"/>
  <c r="J20" i="141"/>
  <c r="J22" i="141"/>
  <c r="O24" i="142"/>
  <c r="F24" i="142" s="1"/>
  <c r="G24" i="142" s="1"/>
  <c r="L24" i="142" s="1"/>
  <c r="O41" i="142"/>
  <c r="F25" i="142"/>
  <c r="G25" i="142" s="1"/>
  <c r="L25" i="142" s="1"/>
  <c r="O26" i="142"/>
  <c r="J24" i="141"/>
  <c r="O27" i="142"/>
  <c r="J26" i="141"/>
  <c r="O11" i="142"/>
  <c r="J11" i="141"/>
  <c r="O12" i="142"/>
  <c r="J12" i="141"/>
  <c r="O34" i="142"/>
  <c r="F34" i="142" s="1"/>
  <c r="G34" i="142" s="1"/>
  <c r="L34" i="142" s="1"/>
  <c r="J21" i="141"/>
  <c r="F33" i="142"/>
  <c r="G33" i="142" s="1"/>
  <c r="L33" i="142" s="1"/>
  <c r="F23" i="142"/>
  <c r="G23" i="142" s="1"/>
  <c r="L23" i="142" s="1"/>
  <c r="G10" i="141"/>
  <c r="O17" i="142"/>
  <c r="O18" i="142"/>
  <c r="F41" i="142"/>
  <c r="G41" i="142" s="1"/>
  <c r="L41" i="142" s="1"/>
  <c r="O22" i="142"/>
  <c r="F39" i="58"/>
  <c r="G39" i="58" s="1"/>
  <c r="I39" i="58" s="1"/>
  <c r="F46" i="58"/>
  <c r="G46" i="58" s="1"/>
  <c r="I46" i="58" s="1"/>
  <c r="L19" i="20" s="1"/>
  <c r="M19" i="20" s="1"/>
  <c r="F53" i="58"/>
  <c r="G53" i="58" s="1"/>
  <c r="I53" i="58" s="1"/>
  <c r="P19" i="20" s="1"/>
  <c r="Q19" i="20" s="1"/>
  <c r="I99" i="143"/>
  <c r="T28" i="20"/>
  <c r="D48" i="20"/>
  <c r="AI36" i="20"/>
  <c r="U36" i="20"/>
  <c r="AI24" i="20"/>
  <c r="U24" i="20"/>
  <c r="AI43" i="20"/>
  <c r="U43" i="20"/>
  <c r="AI30" i="20"/>
  <c r="U30" i="20"/>
  <c r="AI33" i="20"/>
  <c r="U33" i="20"/>
  <c r="Q27" i="20"/>
  <c r="T13" i="20"/>
  <c r="T54" i="20"/>
  <c r="T49" i="20"/>
  <c r="L34" i="20"/>
  <c r="M34" i="20" s="1"/>
  <c r="M60" i="20" s="1"/>
  <c r="AI41" i="20"/>
  <c r="T41" i="20"/>
  <c r="U41" i="20" s="1"/>
  <c r="I65" i="77"/>
  <c r="H8" i="77"/>
  <c r="B100" i="77" s="1"/>
  <c r="D29" i="20" s="1"/>
  <c r="U29" i="20" s="1"/>
  <c r="T31" i="20"/>
  <c r="D121" i="142"/>
  <c r="K121" i="142" s="1"/>
  <c r="L121" i="142" s="1"/>
  <c r="L118" i="142" s="1"/>
  <c r="D19" i="142"/>
  <c r="D48" i="142"/>
  <c r="I48" i="142" s="1"/>
  <c r="D139" i="142"/>
  <c r="I139" i="142" s="1"/>
  <c r="L139" i="142" s="1"/>
  <c r="D138" i="142"/>
  <c r="I138" i="142" s="1"/>
  <c r="L138" i="142" s="1"/>
  <c r="L134" i="142" s="1"/>
  <c r="D130" i="142"/>
  <c r="K130" i="142" s="1"/>
  <c r="L130" i="142" s="1"/>
  <c r="D129" i="142"/>
  <c r="K129" i="142" s="1"/>
  <c r="L129" i="142" s="1"/>
  <c r="D127" i="142"/>
  <c r="K127" i="142" s="1"/>
  <c r="L127" i="142" s="1"/>
  <c r="L125" i="142" s="1"/>
  <c r="D116" i="142"/>
  <c r="K116" i="142" s="1"/>
  <c r="L116" i="142" s="1"/>
  <c r="D115" i="142"/>
  <c r="K115" i="142" s="1"/>
  <c r="L115" i="142" s="1"/>
  <c r="D105" i="142"/>
  <c r="K105" i="142" s="1"/>
  <c r="L105" i="142" s="1"/>
  <c r="L99" i="142" s="1"/>
  <c r="D97" i="142"/>
  <c r="K97" i="142" s="1"/>
  <c r="L97" i="142" s="1"/>
  <c r="D96" i="142"/>
  <c r="K96" i="142" s="1"/>
  <c r="L96" i="142" s="1"/>
  <c r="L95" i="142" s="1"/>
  <c r="D90" i="142"/>
  <c r="K90" i="142" s="1"/>
  <c r="L90" i="142" s="1"/>
  <c r="D88" i="142"/>
  <c r="K88" i="142" s="1"/>
  <c r="D64" i="142"/>
  <c r="I64" i="142" s="1"/>
  <c r="L64" i="142" s="1"/>
  <c r="D57" i="142"/>
  <c r="I57" i="142" s="1"/>
  <c r="L57" i="142" s="1"/>
  <c r="D56" i="142"/>
  <c r="I56" i="142" s="1"/>
  <c r="L56" i="142" s="1"/>
  <c r="D55" i="142"/>
  <c r="I55" i="142" s="1"/>
  <c r="L55" i="142" s="1"/>
  <c r="D52" i="142"/>
  <c r="I52" i="142" s="1"/>
  <c r="L52" i="142" s="1"/>
  <c r="D53" i="142"/>
  <c r="I53" i="142" s="1"/>
  <c r="L53" i="142" s="1"/>
  <c r="AI48" i="20"/>
  <c r="U48" i="20"/>
  <c r="AI53" i="20"/>
  <c r="U53" i="20"/>
  <c r="K62" i="132"/>
  <c r="S62" i="77"/>
  <c r="S64" i="77" s="1"/>
  <c r="O78" i="16"/>
  <c r="N8" i="16" s="1"/>
  <c r="S66" i="81"/>
  <c r="S68" i="81" s="1"/>
  <c r="AI29" i="20"/>
  <c r="Q62" i="28"/>
  <c r="Q63" i="28" s="1"/>
  <c r="K62" i="2"/>
  <c r="J8" i="2" s="1"/>
  <c r="I61" i="69"/>
  <c r="H8" i="69" s="1"/>
  <c r="B97" i="69" s="1"/>
  <c r="D27" i="20" s="1"/>
  <c r="M59" i="26"/>
  <c r="M60" i="26" s="1"/>
  <c r="S61" i="132"/>
  <c r="S63" i="132" s="1"/>
  <c r="M67" i="58"/>
  <c r="L8" i="58" s="1"/>
  <c r="K90" i="13"/>
  <c r="J8" i="13" s="1"/>
  <c r="M62" i="102"/>
  <c r="M63" i="102" s="1"/>
  <c r="S57" i="8"/>
  <c r="S59" i="8" s="1"/>
  <c r="S61" i="8" s="1"/>
  <c r="O59" i="9"/>
  <c r="O60" i="9" s="1"/>
  <c r="S59" i="46"/>
  <c r="R8" i="46" s="1"/>
  <c r="I78" i="16"/>
  <c r="H8" i="16" s="1"/>
  <c r="B114" i="16" s="1"/>
  <c r="D46" i="20" s="1"/>
  <c r="O90" i="30"/>
  <c r="O92" i="30" s="1"/>
  <c r="K79" i="135"/>
  <c r="S62" i="28"/>
  <c r="S63" i="28" s="1"/>
  <c r="M62" i="28"/>
  <c r="K80" i="135"/>
  <c r="O63" i="57"/>
  <c r="N8" i="57" s="1"/>
  <c r="Q59" i="8"/>
  <c r="O63" i="102"/>
  <c r="O64" i="102"/>
  <c r="N8" i="102"/>
  <c r="M79" i="16"/>
  <c r="L8" i="16"/>
  <c r="M80" i="16"/>
  <c r="M65" i="50"/>
  <c r="M66" i="50"/>
  <c r="L8" i="50"/>
  <c r="R8" i="104"/>
  <c r="S61" i="104"/>
  <c r="Q61" i="9"/>
  <c r="P8" i="9"/>
  <c r="S82" i="5"/>
  <c r="R8" i="5" s="1"/>
  <c r="Q82" i="5"/>
  <c r="Q84" i="5" s="1"/>
  <c r="Q116" i="74"/>
  <c r="Q118" i="74" s="1"/>
  <c r="S62" i="2"/>
  <c r="R8" i="2" s="1"/>
  <c r="I59" i="46"/>
  <c r="I61" i="46" s="1"/>
  <c r="M62" i="7"/>
  <c r="M63" i="7" s="1"/>
  <c r="K59" i="8"/>
  <c r="K61" i="8" s="1"/>
  <c r="S59" i="9"/>
  <c r="S60" i="9" s="1"/>
  <c r="S67" i="58"/>
  <c r="S69" i="58" s="1"/>
  <c r="I60" i="28"/>
  <c r="I62" i="28" s="1"/>
  <c r="I64" i="50"/>
  <c r="I66" i="50" s="1"/>
  <c r="I61" i="132"/>
  <c r="I63" i="132" s="1"/>
  <c r="K62" i="28"/>
  <c r="K63" i="28" s="1"/>
  <c r="O78" i="135"/>
  <c r="O80" i="135" s="1"/>
  <c r="O82" i="5"/>
  <c r="O83" i="5" s="1"/>
  <c r="Q58" i="110"/>
  <c r="Q59" i="110" s="1"/>
  <c r="O61" i="132"/>
  <c r="N8" i="132" s="1"/>
  <c r="K60" i="7"/>
  <c r="K62" i="7" s="1"/>
  <c r="K64" i="50"/>
  <c r="J8" i="50" s="1"/>
  <c r="Q59" i="41"/>
  <c r="Q61" i="41" s="1"/>
  <c r="S60" i="7"/>
  <c r="S62" i="7" s="1"/>
  <c r="M61" i="57"/>
  <c r="M63" i="57" s="1"/>
  <c r="M57" i="46"/>
  <c r="M59" i="46" s="1"/>
  <c r="L8" i="46" s="1"/>
  <c r="S64" i="50"/>
  <c r="S66" i="50" s="1"/>
  <c r="I62" i="2"/>
  <c r="H8" i="2" s="1"/>
  <c r="B98" i="2" s="1"/>
  <c r="O62" i="28"/>
  <c r="N8" i="28" s="1"/>
  <c r="S68" i="3"/>
  <c r="R8" i="3" s="1"/>
  <c r="Q62" i="2"/>
  <c r="Q64" i="2" s="1"/>
  <c r="Q59" i="46"/>
  <c r="Q61" i="46" s="1"/>
  <c r="S73" i="95"/>
  <c r="S74" i="95"/>
  <c r="R8" i="95"/>
  <c r="N8" i="95"/>
  <c r="O74" i="95"/>
  <c r="O73" i="95"/>
  <c r="Q74" i="95"/>
  <c r="P8" i="95"/>
  <c r="Q73" i="95"/>
  <c r="J8" i="58"/>
  <c r="K68" i="58"/>
  <c r="K69" i="58"/>
  <c r="S136" i="75"/>
  <c r="S137" i="75"/>
  <c r="I61" i="8"/>
  <c r="H8" i="8"/>
  <c r="B95" i="8" s="1"/>
  <c r="Q63" i="132"/>
  <c r="P8" i="132"/>
  <c r="Q62" i="132"/>
  <c r="O120" i="74"/>
  <c r="O119" i="74"/>
  <c r="M66" i="77"/>
  <c r="M65" i="77"/>
  <c r="O65" i="77"/>
  <c r="O66" i="77"/>
  <c r="M206" i="14"/>
  <c r="M207" i="14"/>
  <c r="L8" i="14"/>
  <c r="O68" i="58"/>
  <c r="N8" i="58"/>
  <c r="J8" i="14"/>
  <c r="K207" i="14"/>
  <c r="K206" i="14"/>
  <c r="U207" i="14"/>
  <c r="T8" i="14"/>
  <c r="U206" i="14"/>
  <c r="Q206" i="14"/>
  <c r="Q207" i="14"/>
  <c r="P8" i="14"/>
  <c r="I64" i="57"/>
  <c r="H8" i="57"/>
  <c r="B99" i="57" s="1"/>
  <c r="I65" i="57"/>
  <c r="K91" i="30"/>
  <c r="K92" i="30"/>
  <c r="H8" i="87"/>
  <c r="B95" i="87" s="1"/>
  <c r="D38" i="20" s="1"/>
  <c r="I61" i="87"/>
  <c r="R8" i="16"/>
  <c r="S80" i="16"/>
  <c r="M84" i="6"/>
  <c r="L8" i="6"/>
  <c r="M83" i="6"/>
  <c r="L8" i="10"/>
  <c r="M60" i="10"/>
  <c r="M61" i="10"/>
  <c r="L8" i="132"/>
  <c r="M62" i="132"/>
  <c r="M63" i="132"/>
  <c r="L8" i="135"/>
  <c r="M79" i="135"/>
  <c r="M80" i="135"/>
  <c r="Q61" i="87"/>
  <c r="Q60" i="87"/>
  <c r="P8" i="87"/>
  <c r="O61" i="10"/>
  <c r="O60" i="10"/>
  <c r="O63" i="7"/>
  <c r="N8" i="7"/>
  <c r="O64" i="7"/>
  <c r="S61" i="87"/>
  <c r="S60" i="87"/>
  <c r="R8" i="26"/>
  <c r="S61" i="26"/>
  <c r="S60" i="26"/>
  <c r="N8" i="50"/>
  <c r="O66" i="50"/>
  <c r="O65" i="50"/>
  <c r="I80" i="135"/>
  <c r="H8" i="135"/>
  <c r="I79" i="135"/>
  <c r="Q65" i="50"/>
  <c r="Q66" i="50"/>
  <c r="P8" i="50"/>
  <c r="I84" i="6"/>
  <c r="H8" i="6"/>
  <c r="B118" i="6" s="1"/>
  <c r="I83" i="6"/>
  <c r="P8" i="102"/>
  <c r="Q63" i="102"/>
  <c r="L8" i="2"/>
  <c r="M63" i="2"/>
  <c r="M64" i="2"/>
  <c r="M62" i="104"/>
  <c r="M61" i="104"/>
  <c r="L8" i="104"/>
  <c r="I79" i="83"/>
  <c r="Q60" i="9"/>
  <c r="I62" i="7"/>
  <c r="Q79" i="16"/>
  <c r="O80" i="6"/>
  <c r="O82" i="6" s="1"/>
  <c r="AI46" i="20"/>
  <c r="Q80" i="16"/>
  <c r="Q82" i="6"/>
  <c r="I78" i="83"/>
  <c r="P8" i="28"/>
  <c r="M57" i="78"/>
  <c r="M59" i="78" s="1"/>
  <c r="S62" i="104"/>
  <c r="I90" i="30"/>
  <c r="O62" i="2"/>
  <c r="I119" i="74"/>
  <c r="M59" i="41"/>
  <c r="M90" i="30"/>
  <c r="L8" i="30" s="1"/>
  <c r="K63" i="2"/>
  <c r="H8" i="74"/>
  <c r="B154" i="74" s="1"/>
  <c r="D32" i="20" s="1"/>
  <c r="O59" i="8"/>
  <c r="S77" i="83"/>
  <c r="S79" i="83" s="1"/>
  <c r="Q60" i="7"/>
  <c r="Q62" i="7" s="1"/>
  <c r="I59" i="78"/>
  <c r="I61" i="104"/>
  <c r="O59" i="78"/>
  <c r="O61" i="78" s="1"/>
  <c r="S78" i="135"/>
  <c r="M66" i="81"/>
  <c r="Q78" i="135"/>
  <c r="S59" i="78"/>
  <c r="I66" i="77"/>
  <c r="M60" i="9"/>
  <c r="I59" i="9"/>
  <c r="I66" i="81"/>
  <c r="I68" i="81" s="1"/>
  <c r="O66" i="81"/>
  <c r="O68" i="81" s="1"/>
  <c r="I58" i="110"/>
  <c r="S58" i="110"/>
  <c r="S60" i="110" s="1"/>
  <c r="Q77" i="83"/>
  <c r="P8" i="83" s="1"/>
  <c r="K64" i="2"/>
  <c r="S90" i="30"/>
  <c r="S61" i="69"/>
  <c r="K59" i="87"/>
  <c r="I57" i="10"/>
  <c r="I59" i="10" s="1"/>
  <c r="K68" i="3"/>
  <c r="Q62" i="77"/>
  <c r="Q64" i="77" s="1"/>
  <c r="M70" i="95"/>
  <c r="M72" i="95" s="1"/>
  <c r="K82" i="6"/>
  <c r="J8" i="6" s="1"/>
  <c r="O90" i="13"/>
  <c r="N8" i="13" s="1"/>
  <c r="S60" i="102"/>
  <c r="S62" i="102" s="1"/>
  <c r="O59" i="26"/>
  <c r="I59" i="41"/>
  <c r="H8" i="41" s="1"/>
  <c r="B95" i="41" s="1"/>
  <c r="Q63" i="57"/>
  <c r="K60" i="104"/>
  <c r="K59" i="41"/>
  <c r="K61" i="41" s="1"/>
  <c r="I68" i="3"/>
  <c r="Q59" i="26"/>
  <c r="S205" i="14"/>
  <c r="S206" i="14" s="1"/>
  <c r="I82" i="5"/>
  <c r="I83" i="5" s="1"/>
  <c r="O135" i="75"/>
  <c r="J8" i="57"/>
  <c r="K64" i="57"/>
  <c r="K65" i="57"/>
  <c r="J8" i="78"/>
  <c r="K61" i="78"/>
  <c r="K60" i="78"/>
  <c r="J8" i="74"/>
  <c r="K120" i="74"/>
  <c r="K119" i="74"/>
  <c r="N8" i="69"/>
  <c r="O63" i="69"/>
  <c r="O62" i="69"/>
  <c r="H8" i="13"/>
  <c r="B126" i="13" s="1"/>
  <c r="D47" i="20" s="1"/>
  <c r="I92" i="13"/>
  <c r="I91" i="13"/>
  <c r="J8" i="16"/>
  <c r="K80" i="16"/>
  <c r="K79" i="16"/>
  <c r="S120" i="74"/>
  <c r="S119" i="74"/>
  <c r="S61" i="10"/>
  <c r="S60" i="10"/>
  <c r="J8" i="69"/>
  <c r="K63" i="69"/>
  <c r="K62" i="69"/>
  <c r="Q92" i="13"/>
  <c r="Q91" i="13"/>
  <c r="P8" i="13"/>
  <c r="M59" i="110"/>
  <c r="L8" i="110"/>
  <c r="M60" i="110"/>
  <c r="Q61" i="10"/>
  <c r="Q60" i="10"/>
  <c r="O60" i="110"/>
  <c r="O59" i="110"/>
  <c r="N8" i="110"/>
  <c r="M79" i="83"/>
  <c r="M78" i="83"/>
  <c r="L8" i="83"/>
  <c r="L8" i="69"/>
  <c r="M63" i="69"/>
  <c r="M62" i="69"/>
  <c r="P8" i="58"/>
  <c r="Q69" i="58"/>
  <c r="Q68" i="58"/>
  <c r="K67" i="81"/>
  <c r="K68" i="81"/>
  <c r="J8" i="81"/>
  <c r="J8" i="5"/>
  <c r="K84" i="5"/>
  <c r="K83" i="5"/>
  <c r="I64" i="102"/>
  <c r="I63" i="102"/>
  <c r="H8" i="102"/>
  <c r="B98" i="102" s="1"/>
  <c r="D50" i="20" s="1"/>
  <c r="U50" i="20" s="1"/>
  <c r="N8" i="46"/>
  <c r="O61" i="46"/>
  <c r="O60" i="46"/>
  <c r="S65" i="57"/>
  <c r="R8" i="57"/>
  <c r="S64" i="57"/>
  <c r="O78" i="83"/>
  <c r="O79" i="83"/>
  <c r="N8" i="83"/>
  <c r="P8" i="78"/>
  <c r="Q61" i="78"/>
  <c r="Q60" i="78"/>
  <c r="K64" i="102"/>
  <c r="K63" i="102"/>
  <c r="J8" i="102"/>
  <c r="K61" i="46"/>
  <c r="K60" i="46"/>
  <c r="J8" i="46"/>
  <c r="Q91" i="30"/>
  <c r="Q92" i="30"/>
  <c r="K60" i="110"/>
  <c r="K59" i="110"/>
  <c r="J8" i="110"/>
  <c r="H8" i="95"/>
  <c r="B109" i="95" s="1"/>
  <c r="D45" i="20" s="1"/>
  <c r="I73" i="95"/>
  <c r="I74" i="95"/>
  <c r="S61" i="41"/>
  <c r="S60" i="41"/>
  <c r="K79" i="83"/>
  <c r="J8" i="83"/>
  <c r="K78" i="83"/>
  <c r="J8" i="9"/>
  <c r="K60" i="9"/>
  <c r="K61" i="9"/>
  <c r="J8" i="26"/>
  <c r="K61" i="26"/>
  <c r="K60" i="26"/>
  <c r="Q137" i="75"/>
  <c r="Q136" i="75"/>
  <c r="K61" i="10"/>
  <c r="K60" i="10"/>
  <c r="J8" i="10"/>
  <c r="H8" i="14"/>
  <c r="B241" i="14" s="1"/>
  <c r="D49" i="20" s="1"/>
  <c r="I207" i="14"/>
  <c r="I206" i="14"/>
  <c r="O70" i="3"/>
  <c r="N8" i="3"/>
  <c r="O69" i="3"/>
  <c r="P8" i="81"/>
  <c r="Q67" i="81"/>
  <c r="Q68" i="81"/>
  <c r="H8" i="26"/>
  <c r="B95" i="26" s="1"/>
  <c r="D54" i="20" s="1"/>
  <c r="I61" i="26"/>
  <c r="I60" i="26"/>
  <c r="H8" i="75"/>
  <c r="B171" i="75" s="1"/>
  <c r="D31" i="20" s="1"/>
  <c r="I137" i="75"/>
  <c r="I136" i="75"/>
  <c r="L8" i="74"/>
  <c r="M120" i="74"/>
  <c r="M119" i="74"/>
  <c r="K73" i="95"/>
  <c r="K74" i="95"/>
  <c r="J8" i="95"/>
  <c r="P8" i="3"/>
  <c r="Q69" i="3"/>
  <c r="Q70" i="3"/>
  <c r="S84" i="6"/>
  <c r="S83" i="6"/>
  <c r="R8" i="6"/>
  <c r="N8" i="14"/>
  <c r="O207" i="14"/>
  <c r="O206" i="14"/>
  <c r="L8" i="5"/>
  <c r="M83" i="5"/>
  <c r="M84" i="5"/>
  <c r="K66" i="77"/>
  <c r="K65" i="77"/>
  <c r="M137" i="75"/>
  <c r="M136" i="75"/>
  <c r="O62" i="104"/>
  <c r="O61" i="104"/>
  <c r="N8" i="104"/>
  <c r="N8" i="87"/>
  <c r="O61" i="87"/>
  <c r="O60" i="87"/>
  <c r="P8" i="104"/>
  <c r="Q62" i="104"/>
  <c r="Q61" i="104"/>
  <c r="M61" i="9"/>
  <c r="R8" i="87"/>
  <c r="Q64" i="102"/>
  <c r="S79" i="16"/>
  <c r="I60" i="8"/>
  <c r="I60" i="87"/>
  <c r="M69" i="3"/>
  <c r="M70" i="3"/>
  <c r="Q62" i="69"/>
  <c r="Q63" i="69"/>
  <c r="I62" i="104"/>
  <c r="M60" i="87"/>
  <c r="K63" i="132"/>
  <c r="M91" i="13"/>
  <c r="M61" i="87"/>
  <c r="M92" i="13"/>
  <c r="O69" i="58"/>
  <c r="J8" i="132"/>
  <c r="M60" i="8"/>
  <c r="O60" i="41"/>
  <c r="K136" i="75"/>
  <c r="J8" i="30"/>
  <c r="K137" i="75"/>
  <c r="I63" i="7"/>
  <c r="I63" i="69" l="1"/>
  <c r="Q60" i="20"/>
  <c r="I59" i="59"/>
  <c r="I60" i="59"/>
  <c r="H8" i="59"/>
  <c r="B94" i="59" s="1"/>
  <c r="D20" i="20" s="1"/>
  <c r="I62" i="4"/>
  <c r="H8" i="4"/>
  <c r="B96" i="4" s="1"/>
  <c r="D17" i="20" s="1"/>
  <c r="I61" i="4"/>
  <c r="N8" i="4"/>
  <c r="O62" i="4"/>
  <c r="O61" i="4"/>
  <c r="M61" i="4"/>
  <c r="L8" i="4"/>
  <c r="M62" i="4"/>
  <c r="P60" i="20"/>
  <c r="P63" i="20" s="1"/>
  <c r="Q63" i="20" s="1"/>
  <c r="J8" i="4"/>
  <c r="K62" i="4"/>
  <c r="K61" i="4"/>
  <c r="F19" i="142"/>
  <c r="G19" i="142" s="1"/>
  <c r="L19" i="142" s="1"/>
  <c r="O38" i="142"/>
  <c r="F38" i="142" s="1"/>
  <c r="G38" i="142" s="1"/>
  <c r="L38" i="142" s="1"/>
  <c r="I63" i="58"/>
  <c r="I65" i="58" s="1"/>
  <c r="I67" i="58" s="1"/>
  <c r="H19" i="20"/>
  <c r="O40" i="142"/>
  <c r="F40" i="142" s="1"/>
  <c r="G40" i="142" s="1"/>
  <c r="L40" i="142" s="1"/>
  <c r="F22" i="142"/>
  <c r="G22" i="142" s="1"/>
  <c r="L22" i="142" s="1"/>
  <c r="F16" i="142"/>
  <c r="G16" i="142" s="1"/>
  <c r="L16" i="142" s="1"/>
  <c r="O35" i="142"/>
  <c r="F35" i="142" s="1"/>
  <c r="G35" i="142" s="1"/>
  <c r="L35" i="142" s="1"/>
  <c r="F13" i="142"/>
  <c r="G13" i="142" s="1"/>
  <c r="L13" i="142" s="1"/>
  <c r="O32" i="142"/>
  <c r="F32" i="142" s="1"/>
  <c r="G32" i="142" s="1"/>
  <c r="L32" i="142" s="1"/>
  <c r="O36" i="142"/>
  <c r="F36" i="142" s="1"/>
  <c r="G36" i="142" s="1"/>
  <c r="L36" i="142" s="1"/>
  <c r="F17" i="142"/>
  <c r="G17" i="142" s="1"/>
  <c r="L17" i="142" s="1"/>
  <c r="O37" i="142"/>
  <c r="F37" i="142" s="1"/>
  <c r="G37" i="142" s="1"/>
  <c r="L37" i="142" s="1"/>
  <c r="F18" i="142"/>
  <c r="G18" i="142" s="1"/>
  <c r="L18" i="142" s="1"/>
  <c r="J10" i="141"/>
  <c r="J41" i="141" s="1"/>
  <c r="I42" i="141" s="1"/>
  <c r="G41" i="141"/>
  <c r="G42" i="141" s="1"/>
  <c r="O10" i="142"/>
  <c r="F12" i="142"/>
  <c r="G12" i="142" s="1"/>
  <c r="L12" i="142" s="1"/>
  <c r="O31" i="142"/>
  <c r="F31" i="142" s="1"/>
  <c r="G31" i="142" s="1"/>
  <c r="L31" i="142" s="1"/>
  <c r="O30" i="142"/>
  <c r="F30" i="142" s="1"/>
  <c r="G30" i="142" s="1"/>
  <c r="L30" i="142" s="1"/>
  <c r="F11" i="142"/>
  <c r="G11" i="142" s="1"/>
  <c r="L11" i="142" s="1"/>
  <c r="O43" i="142"/>
  <c r="F43" i="142" s="1"/>
  <c r="G43" i="142" s="1"/>
  <c r="L43" i="142" s="1"/>
  <c r="F27" i="142"/>
  <c r="G27" i="142" s="1"/>
  <c r="L27" i="142" s="1"/>
  <c r="F26" i="142"/>
  <c r="G26" i="142" s="1"/>
  <c r="L26" i="142" s="1"/>
  <c r="O42" i="142"/>
  <c r="F42" i="142" s="1"/>
  <c r="G42" i="142" s="1"/>
  <c r="L42" i="142" s="1"/>
  <c r="F21" i="142"/>
  <c r="G21" i="142" s="1"/>
  <c r="L21" i="142" s="1"/>
  <c r="O39" i="142"/>
  <c r="F39" i="142" s="1"/>
  <c r="G39" i="142" s="1"/>
  <c r="L39" i="142" s="1"/>
  <c r="U49" i="20"/>
  <c r="L60" i="20"/>
  <c r="L63" i="20" s="1"/>
  <c r="M63" i="20" s="1"/>
  <c r="H8" i="143"/>
  <c r="B135" i="143" s="1"/>
  <c r="D67" i="20" s="1"/>
  <c r="I101" i="143"/>
  <c r="I100" i="143"/>
  <c r="D35" i="20"/>
  <c r="AI35" i="20" s="1"/>
  <c r="D23" i="20"/>
  <c r="AI23" i="20" s="1"/>
  <c r="D18" i="20"/>
  <c r="D25" i="20"/>
  <c r="D13" i="20"/>
  <c r="AI13" i="20" s="1"/>
  <c r="T34" i="20"/>
  <c r="AI38" i="20"/>
  <c r="U38" i="20"/>
  <c r="AI27" i="20"/>
  <c r="U27" i="20"/>
  <c r="AI25" i="20"/>
  <c r="U25" i="20"/>
  <c r="AI18" i="20"/>
  <c r="U18" i="20"/>
  <c r="Q83" i="5"/>
  <c r="L88" i="142"/>
  <c r="L81" i="142" s="1"/>
  <c r="K158" i="142"/>
  <c r="L48" i="142"/>
  <c r="L44" i="142" s="1"/>
  <c r="I158" i="142"/>
  <c r="AI31" i="20"/>
  <c r="U31" i="20"/>
  <c r="AI32" i="20"/>
  <c r="U32" i="20"/>
  <c r="AI45" i="20"/>
  <c r="U45" i="20"/>
  <c r="U46" i="20"/>
  <c r="AI54" i="20"/>
  <c r="U54" i="20"/>
  <c r="U47" i="20"/>
  <c r="AI47" i="20"/>
  <c r="AI50" i="20"/>
  <c r="AI49" i="20"/>
  <c r="I62" i="69"/>
  <c r="K84" i="6"/>
  <c r="K83" i="6"/>
  <c r="K92" i="13"/>
  <c r="O91" i="30"/>
  <c r="N8" i="9"/>
  <c r="R8" i="81"/>
  <c r="I62" i="132"/>
  <c r="K64" i="28"/>
  <c r="J8" i="28"/>
  <c r="I60" i="46"/>
  <c r="H8" i="46"/>
  <c r="B95" i="46" s="1"/>
  <c r="O80" i="16"/>
  <c r="I67" i="81"/>
  <c r="S67" i="81"/>
  <c r="H8" i="132"/>
  <c r="B97" i="132" s="1"/>
  <c r="D42" i="20" s="1"/>
  <c r="U42" i="20" s="1"/>
  <c r="O79" i="16"/>
  <c r="S65" i="77"/>
  <c r="S66" i="77"/>
  <c r="O64" i="57"/>
  <c r="I80" i="16"/>
  <c r="L8" i="26"/>
  <c r="M69" i="58"/>
  <c r="M61" i="26"/>
  <c r="R8" i="132"/>
  <c r="P8" i="110"/>
  <c r="S60" i="46"/>
  <c r="S62" i="132"/>
  <c r="Q64" i="28"/>
  <c r="K65" i="50"/>
  <c r="S61" i="46"/>
  <c r="K66" i="50"/>
  <c r="P8" i="5"/>
  <c r="L8" i="102"/>
  <c r="K91" i="13"/>
  <c r="M68" i="58"/>
  <c r="I79" i="16"/>
  <c r="M91" i="30"/>
  <c r="R8" i="50"/>
  <c r="M64" i="102"/>
  <c r="O63" i="132"/>
  <c r="O62" i="132"/>
  <c r="R8" i="9"/>
  <c r="S65" i="50"/>
  <c r="Q60" i="41"/>
  <c r="O61" i="9"/>
  <c r="Q120" i="74"/>
  <c r="Q119" i="74"/>
  <c r="Q60" i="46"/>
  <c r="S78" i="83"/>
  <c r="R8" i="110"/>
  <c r="R8" i="58"/>
  <c r="I65" i="50"/>
  <c r="H8" i="50"/>
  <c r="B100" i="50" s="1"/>
  <c r="D15" i="20" s="1"/>
  <c r="K60" i="8"/>
  <c r="I63" i="2"/>
  <c r="R8" i="28"/>
  <c r="S64" i="28"/>
  <c r="S61" i="9"/>
  <c r="Q79" i="83"/>
  <c r="I64" i="2"/>
  <c r="S69" i="3"/>
  <c r="S60" i="8"/>
  <c r="S68" i="58"/>
  <c r="S70" i="3"/>
  <c r="L8" i="28"/>
  <c r="M63" i="28"/>
  <c r="O65" i="57"/>
  <c r="S59" i="110"/>
  <c r="Q63" i="2"/>
  <c r="P8" i="2"/>
  <c r="O60" i="78"/>
  <c r="Q78" i="83"/>
  <c r="S64" i="2"/>
  <c r="O84" i="5"/>
  <c r="O67" i="81"/>
  <c r="N8" i="5"/>
  <c r="R8" i="83"/>
  <c r="Q60" i="8"/>
  <c r="Q61" i="8"/>
  <c r="M64" i="28"/>
  <c r="H8" i="28"/>
  <c r="B98" i="28" s="1"/>
  <c r="I64" i="28"/>
  <c r="I63" i="28"/>
  <c r="S63" i="7"/>
  <c r="R8" i="7"/>
  <c r="S64" i="7"/>
  <c r="L8" i="57"/>
  <c r="M65" i="57"/>
  <c r="M64" i="57"/>
  <c r="K64" i="7"/>
  <c r="K63" i="7"/>
  <c r="J8" i="7"/>
  <c r="O63" i="28"/>
  <c r="O64" i="28"/>
  <c r="M64" i="7"/>
  <c r="L8" i="7"/>
  <c r="M92" i="30"/>
  <c r="K60" i="41"/>
  <c r="N8" i="78"/>
  <c r="M61" i="46"/>
  <c r="N8" i="81"/>
  <c r="S84" i="5"/>
  <c r="S83" i="5"/>
  <c r="O79" i="135"/>
  <c r="N8" i="135"/>
  <c r="P8" i="46"/>
  <c r="S63" i="2"/>
  <c r="Q60" i="110"/>
  <c r="M60" i="46"/>
  <c r="L8" i="95"/>
  <c r="M73" i="95"/>
  <c r="M74" i="95"/>
  <c r="N8" i="6"/>
  <c r="O84" i="6"/>
  <c r="O83" i="6"/>
  <c r="Q64" i="7"/>
  <c r="Q63" i="7"/>
  <c r="P8" i="7"/>
  <c r="L8" i="78"/>
  <c r="M61" i="78"/>
  <c r="M60" i="78"/>
  <c r="Q65" i="77"/>
  <c r="Q66" i="77"/>
  <c r="H8" i="10"/>
  <c r="B95" i="10" s="1"/>
  <c r="I61" i="10"/>
  <c r="I60" i="10"/>
  <c r="N8" i="26"/>
  <c r="O61" i="26"/>
  <c r="O60" i="26"/>
  <c r="S64" i="102"/>
  <c r="R8" i="102"/>
  <c r="S63" i="102"/>
  <c r="M61" i="41"/>
  <c r="M60" i="41"/>
  <c r="O92" i="13"/>
  <c r="O91" i="13"/>
  <c r="S60" i="78"/>
  <c r="R8" i="78"/>
  <c r="S61" i="78"/>
  <c r="P8" i="135"/>
  <c r="Q79" i="135"/>
  <c r="Q80" i="135"/>
  <c r="O64" i="2"/>
  <c r="O63" i="2"/>
  <c r="N8" i="2"/>
  <c r="L8" i="81"/>
  <c r="M68" i="81"/>
  <c r="M67" i="81"/>
  <c r="I91" i="30"/>
  <c r="I92" i="30"/>
  <c r="H8" i="30"/>
  <c r="B126" i="30" s="1"/>
  <c r="R8" i="135"/>
  <c r="S79" i="135"/>
  <c r="H8" i="7"/>
  <c r="B98" i="7" s="1"/>
  <c r="D22" i="20" s="1"/>
  <c r="I64" i="7"/>
  <c r="O136" i="75"/>
  <c r="O137" i="75"/>
  <c r="K60" i="87"/>
  <c r="J8" i="87"/>
  <c r="K61" i="87"/>
  <c r="S80" i="135"/>
  <c r="H8" i="5"/>
  <c r="B118" i="5" s="1"/>
  <c r="I84" i="5"/>
  <c r="R8" i="69"/>
  <c r="S63" i="69"/>
  <c r="S62" i="69"/>
  <c r="K70" i="3"/>
  <c r="J8" i="3"/>
  <c r="K69" i="3"/>
  <c r="S92" i="30"/>
  <c r="S91" i="30"/>
  <c r="I61" i="78"/>
  <c r="I60" i="78"/>
  <c r="H8" i="78"/>
  <c r="B95" i="78" s="1"/>
  <c r="S207" i="14"/>
  <c r="R8" i="14"/>
  <c r="I69" i="3"/>
  <c r="I70" i="3"/>
  <c r="H8" i="3"/>
  <c r="B110" i="3" s="1"/>
  <c r="I60" i="110"/>
  <c r="H8" i="110"/>
  <c r="B94" i="110" s="1"/>
  <c r="I59" i="110"/>
  <c r="K62" i="104"/>
  <c r="K61" i="104"/>
  <c r="J8" i="104"/>
  <c r="Q65" i="57"/>
  <c r="P8" i="57"/>
  <c r="Q64" i="57"/>
  <c r="I61" i="41"/>
  <c r="I60" i="41"/>
  <c r="H8" i="9"/>
  <c r="B95" i="9" s="1"/>
  <c r="D26" i="20" s="1"/>
  <c r="I61" i="9"/>
  <c r="I60" i="9"/>
  <c r="Q84" i="6"/>
  <c r="Q83" i="6"/>
  <c r="P8" i="6"/>
  <c r="P8" i="26"/>
  <c r="Q61" i="26"/>
  <c r="Q60" i="26"/>
  <c r="O61" i="8"/>
  <c r="O60" i="8"/>
  <c r="H8" i="81"/>
  <c r="B102" i="81" s="1"/>
  <c r="D37" i="20" s="1"/>
  <c r="U13" i="20" l="1"/>
  <c r="U20" i="20"/>
  <c r="AI20" i="20"/>
  <c r="AI17" i="20"/>
  <c r="U17" i="20"/>
  <c r="U23" i="20"/>
  <c r="U35" i="20"/>
  <c r="P61" i="20"/>
  <c r="P64" i="20" s="1"/>
  <c r="P69" i="20" s="1"/>
  <c r="Q69" i="20" s="1"/>
  <c r="L161" i="142"/>
  <c r="D66" i="145" s="1"/>
  <c r="AI66" i="145" s="1"/>
  <c r="T19" i="20"/>
  <c r="H60" i="20"/>
  <c r="I68" i="58"/>
  <c r="H8" i="58"/>
  <c r="B103" i="58" s="1"/>
  <c r="D19" i="20" s="1"/>
  <c r="I69" i="58"/>
  <c r="O29" i="142"/>
  <c r="F29" i="142" s="1"/>
  <c r="G29" i="142" s="1"/>
  <c r="L29" i="142" s="1"/>
  <c r="L28" i="142" s="1"/>
  <c r="F10" i="142"/>
  <c r="G10" i="142" s="1"/>
  <c r="L61" i="20"/>
  <c r="M61" i="20" s="1"/>
  <c r="M64" i="20" s="1"/>
  <c r="E67" i="20"/>
  <c r="D40" i="20"/>
  <c r="AI40" i="20" s="1"/>
  <c r="D16" i="20"/>
  <c r="U16" i="20" s="1"/>
  <c r="D39" i="20"/>
  <c r="U39" i="20" s="1"/>
  <c r="D21" i="20"/>
  <c r="U21" i="20" s="1"/>
  <c r="D34" i="20"/>
  <c r="D28" i="20"/>
  <c r="AI28" i="20" s="1"/>
  <c r="D52" i="20"/>
  <c r="D44" i="20"/>
  <c r="AI44" i="20" s="1"/>
  <c r="AI15" i="20"/>
  <c r="U15" i="20"/>
  <c r="U52" i="20"/>
  <c r="AI52" i="20"/>
  <c r="U37" i="20"/>
  <c r="AI37" i="20"/>
  <c r="U26" i="20"/>
  <c r="AI26" i="20"/>
  <c r="U22" i="20"/>
  <c r="AI22" i="20"/>
  <c r="U34" i="20"/>
  <c r="AI34" i="20"/>
  <c r="L64" i="20" l="1"/>
  <c r="L69" i="20" s="1"/>
  <c r="M69" i="20" s="1"/>
  <c r="Q61" i="20"/>
  <c r="Q64" i="20" s="1"/>
  <c r="U28" i="20"/>
  <c r="U40" i="20"/>
  <c r="AI21" i="20"/>
  <c r="AI39" i="20"/>
  <c r="U44" i="20"/>
  <c r="D66" i="20"/>
  <c r="E66" i="20" s="1"/>
  <c r="E66" i="145"/>
  <c r="M161" i="142"/>
  <c r="L10" i="142"/>
  <c r="L9" i="142" s="1"/>
  <c r="L158" i="142" s="1"/>
  <c r="G158" i="142"/>
  <c r="L160" i="142" s="1"/>
  <c r="U19" i="20"/>
  <c r="AI19" i="20"/>
  <c r="H61" i="20"/>
  <c r="H63" i="20"/>
  <c r="AI16" i="20"/>
  <c r="H64" i="20" l="1"/>
  <c r="H69" i="20" s="1"/>
  <c r="AI66" i="20"/>
  <c r="D65" i="20"/>
  <c r="M160" i="142"/>
  <c r="L162" i="142"/>
  <c r="M162" i="142" s="1"/>
  <c r="T57" i="20"/>
  <c r="U57" i="20" s="1"/>
  <c r="AA60" i="20"/>
  <c r="AA61" i="20" s="1"/>
  <c r="T58" i="20"/>
  <c r="U58" i="20" s="1"/>
  <c r="AC60" i="20"/>
  <c r="AC61" i="20" s="1"/>
  <c r="T59" i="20"/>
  <c r="U59" i="20" s="1"/>
  <c r="AE60" i="20"/>
  <c r="AE61" i="20" s="1"/>
  <c r="T56" i="20"/>
  <c r="U56" i="20" s="1"/>
  <c r="Y60" i="20"/>
  <c r="Y63" i="20" s="1"/>
  <c r="W60" i="20"/>
  <c r="W61" i="20" s="1"/>
  <c r="Y61" i="20" l="1"/>
  <c r="Y64" i="20" s="1"/>
  <c r="Y69" i="20" s="1"/>
  <c r="AE63" i="20"/>
  <c r="AE64" i="20" s="1"/>
  <c r="AE69" i="20" s="1"/>
  <c r="AA63" i="20"/>
  <c r="AA64" i="20" s="1"/>
  <c r="AA69" i="20" s="1"/>
  <c r="W63" i="20"/>
  <c r="W64" i="20" s="1"/>
  <c r="W69" i="20" s="1"/>
  <c r="L163" i="142"/>
  <c r="E95" i="145"/>
  <c r="D95" i="145"/>
  <c r="AI65" i="145"/>
  <c r="E65" i="145"/>
  <c r="D91" i="20"/>
  <c r="AI65" i="20"/>
  <c r="E65" i="20"/>
  <c r="E91" i="20"/>
  <c r="AC63" i="20"/>
  <c r="AC64" i="20" s="1"/>
  <c r="T60" i="20"/>
  <c r="AI69" i="145"/>
  <c r="D55" i="20"/>
  <c r="T55" i="20"/>
  <c r="T63" i="20" l="1"/>
  <c r="T61" i="20"/>
  <c r="F91" i="20"/>
  <c r="F95" i="145"/>
  <c r="AC69" i="20"/>
  <c r="T69" i="20" s="1"/>
  <c r="T64" i="20"/>
  <c r="U55" i="20"/>
  <c r="D60" i="20"/>
  <c r="E60" i="20" l="1"/>
  <c r="U60" i="20"/>
  <c r="AI60" i="20"/>
  <c r="D61" i="20"/>
  <c r="D63" i="20"/>
  <c r="D64" i="20" l="1"/>
  <c r="D69" i="20" s="1"/>
  <c r="E63" i="20"/>
  <c r="U63" i="20"/>
  <c r="AI63" i="20"/>
  <c r="E61" i="20"/>
  <c r="U61" i="20"/>
  <c r="AI61" i="20"/>
  <c r="D92" i="20" l="1"/>
  <c r="AA67" i="20"/>
  <c r="W67" i="20"/>
  <c r="L67" i="20"/>
  <c r="AE66" i="20"/>
  <c r="AC66" i="20"/>
  <c r="W66" i="20"/>
  <c r="L66" i="20"/>
  <c r="M66" i="20" s="1"/>
  <c r="AE65" i="20"/>
  <c r="AC65" i="20"/>
  <c r="AA65" i="20"/>
  <c r="Y67" i="20"/>
  <c r="P67" i="20"/>
  <c r="H67" i="20"/>
  <c r="AA66" i="20"/>
  <c r="Y66" i="20"/>
  <c r="P66" i="20"/>
  <c r="H66" i="20"/>
  <c r="Y65" i="20"/>
  <c r="W65" i="20"/>
  <c r="P65" i="20"/>
  <c r="Q65" i="20" s="1"/>
  <c r="AE67" i="20"/>
  <c r="L65" i="20"/>
  <c r="M65" i="20" s="1"/>
  <c r="AC67" i="20"/>
  <c r="H65" i="20"/>
  <c r="U64" i="20"/>
  <c r="AI64" i="20"/>
  <c r="E64" i="20"/>
  <c r="E69" i="20"/>
  <c r="U69" i="20"/>
  <c r="AI69" i="20"/>
  <c r="E92" i="20"/>
  <c r="M67" i="20"/>
  <c r="AI70" i="145"/>
  <c r="AI51" i="145"/>
  <c r="F92" i="20" l="1"/>
  <c r="T65" i="20"/>
  <c r="U65" i="20" s="1"/>
  <c r="Q66" i="20"/>
  <c r="T67" i="20"/>
  <c r="U67" i="20" s="1"/>
  <c r="T66" i="20"/>
  <c r="U66" i="20" s="1"/>
  <c r="Q67" i="20"/>
  <c r="B12" i="39"/>
  <c r="D13" i="39"/>
  <c r="B14" i="39"/>
  <c r="N13" i="20"/>
  <c r="R13" i="20"/>
  <c r="N15" i="20"/>
  <c r="R15" i="20"/>
  <c r="N16" i="20"/>
  <c r="R16" i="20"/>
  <c r="N17" i="20"/>
  <c r="R17" i="20"/>
  <c r="N18" i="20"/>
  <c r="R18" i="20"/>
  <c r="N19" i="20"/>
  <c r="R19" i="20"/>
  <c r="N20" i="20"/>
  <c r="R20" i="20"/>
  <c r="N21" i="20"/>
  <c r="R21" i="20"/>
  <c r="N22" i="20"/>
  <c r="R22" i="20"/>
  <c r="N23" i="20"/>
  <c r="R23" i="20"/>
  <c r="N24" i="20"/>
  <c r="R24" i="20"/>
  <c r="N25" i="20"/>
  <c r="R25" i="20"/>
  <c r="N26" i="20"/>
  <c r="R26" i="20"/>
  <c r="N27" i="20"/>
  <c r="R27" i="20"/>
  <c r="N28" i="20"/>
  <c r="R28" i="20"/>
  <c r="N29" i="20"/>
  <c r="R29" i="20"/>
  <c r="N30" i="20"/>
  <c r="R30" i="20"/>
  <c r="N31" i="20"/>
  <c r="R31" i="20"/>
  <c r="N32" i="20"/>
  <c r="R32" i="20"/>
  <c r="N33" i="20"/>
  <c r="R33" i="20"/>
  <c r="N34" i="20"/>
  <c r="R34" i="20"/>
  <c r="N35" i="20"/>
  <c r="R35" i="20"/>
  <c r="N36" i="20"/>
  <c r="R36" i="20"/>
  <c r="N37" i="20"/>
  <c r="R37" i="20"/>
  <c r="N38" i="20"/>
  <c r="R38" i="20"/>
  <c r="N39" i="20"/>
  <c r="R39" i="20"/>
  <c r="N40" i="20"/>
  <c r="R40" i="20"/>
  <c r="N41" i="20"/>
  <c r="R41" i="20"/>
  <c r="N42" i="20"/>
  <c r="N43" i="20"/>
  <c r="R43" i="20"/>
  <c r="N44" i="20"/>
  <c r="R44" i="20"/>
  <c r="N45" i="20"/>
  <c r="R45" i="20"/>
  <c r="N46" i="20"/>
  <c r="R46" i="20"/>
  <c r="N47" i="20"/>
  <c r="R47" i="20"/>
  <c r="N48" i="20"/>
  <c r="R48" i="20"/>
  <c r="N49" i="20"/>
  <c r="R49" i="20"/>
  <c r="N50" i="20"/>
  <c r="R50" i="20"/>
  <c r="N52" i="20"/>
  <c r="R52" i="20"/>
  <c r="N53" i="20"/>
  <c r="R53" i="20"/>
  <c r="N54" i="20"/>
  <c r="R54" i="20"/>
  <c r="F60" i="20"/>
  <c r="N60" i="20"/>
  <c r="R60" i="20"/>
  <c r="F61" i="20"/>
  <c r="N61" i="20"/>
  <c r="R61" i="20"/>
  <c r="F63" i="20"/>
  <c r="N63" i="20"/>
  <c r="R63" i="20"/>
  <c r="F64" i="20"/>
  <c r="N64" i="20"/>
  <c r="R64" i="20"/>
  <c r="F65" i="20"/>
  <c r="N65" i="20"/>
  <c r="R65" i="20"/>
  <c r="AL65" i="20"/>
  <c r="F66" i="20"/>
  <c r="N66" i="20"/>
  <c r="R66" i="20"/>
  <c r="AL66" i="20"/>
  <c r="F67" i="20"/>
  <c r="N67" i="20"/>
  <c r="R67" i="20"/>
  <c r="F69" i="20"/>
  <c r="N69" i="20"/>
  <c r="R69" i="20"/>
  <c r="D70" i="20"/>
  <c r="E70" i="20"/>
  <c r="F70" i="20"/>
  <c r="H70" i="20"/>
  <c r="L70" i="20"/>
  <c r="M70" i="20"/>
  <c r="N70" i="20"/>
  <c r="P70" i="20"/>
  <c r="Q70" i="20"/>
  <c r="R70" i="20"/>
  <c r="T70" i="20"/>
  <c r="U70" i="20"/>
  <c r="W70" i="20"/>
  <c r="Y70" i="20"/>
  <c r="AA70" i="20"/>
  <c r="AC70" i="20"/>
  <c r="AE70" i="20"/>
  <c r="AI70" i="20"/>
  <c r="D71" i="20"/>
  <c r="E71" i="20"/>
  <c r="F71" i="20"/>
  <c r="H71" i="20"/>
  <c r="L71" i="20"/>
  <c r="M71" i="20"/>
  <c r="N71" i="20"/>
  <c r="P71" i="20"/>
  <c r="Q71" i="20"/>
  <c r="R71" i="20"/>
  <c r="T71" i="20"/>
  <c r="U71" i="20"/>
  <c r="W71" i="20"/>
  <c r="Y71" i="20"/>
  <c r="AA71" i="20"/>
  <c r="AC71" i="20"/>
  <c r="AE71" i="20"/>
  <c r="D72" i="20"/>
  <c r="E72" i="20"/>
  <c r="F72" i="20"/>
  <c r="H72" i="20"/>
  <c r="L72" i="20"/>
  <c r="M72" i="20"/>
  <c r="N72" i="20"/>
  <c r="P72" i="20"/>
  <c r="Q72" i="20"/>
  <c r="R72" i="20"/>
  <c r="T72" i="20"/>
  <c r="U72" i="20"/>
  <c r="W72" i="20"/>
  <c r="Y72" i="20"/>
  <c r="AA72" i="20"/>
  <c r="AC72" i="20"/>
  <c r="AE72" i="20"/>
  <c r="AI72" i="20"/>
  <c r="D73" i="20"/>
  <c r="E73" i="20"/>
  <c r="F73" i="20"/>
  <c r="H73" i="20"/>
  <c r="L73" i="20"/>
  <c r="M73" i="20"/>
  <c r="N73" i="20"/>
  <c r="P73" i="20"/>
  <c r="Q73" i="20"/>
  <c r="R73" i="20"/>
  <c r="T73" i="20"/>
  <c r="U73" i="20"/>
  <c r="W73" i="20"/>
  <c r="Y73" i="20"/>
  <c r="AA73" i="20"/>
  <c r="AC73" i="20"/>
  <c r="AE73" i="20"/>
  <c r="AI73" i="20"/>
  <c r="D74" i="20"/>
  <c r="E74" i="20"/>
  <c r="F74" i="20"/>
  <c r="H74" i="20"/>
  <c r="L74" i="20"/>
  <c r="M74" i="20"/>
  <c r="N74" i="20"/>
  <c r="P74" i="20"/>
  <c r="Q74" i="20"/>
  <c r="R74" i="20"/>
  <c r="T74" i="20"/>
  <c r="U74" i="20"/>
  <c r="W74" i="20"/>
  <c r="Y74" i="20"/>
  <c r="AA74" i="20"/>
  <c r="AC74" i="20"/>
  <c r="AE74" i="20"/>
  <c r="AI74" i="20"/>
  <c r="D75" i="20"/>
  <c r="E75" i="20"/>
  <c r="F75" i="20"/>
  <c r="H75" i="20"/>
  <c r="L75" i="20"/>
  <c r="M75" i="20"/>
  <c r="N75" i="20"/>
  <c r="P75" i="20"/>
  <c r="Q75" i="20"/>
  <c r="R75" i="20"/>
  <c r="T75" i="20"/>
  <c r="U75" i="20"/>
  <c r="W75" i="20"/>
  <c r="Y75" i="20"/>
  <c r="AA75" i="20"/>
  <c r="AC75" i="20"/>
  <c r="AE75" i="20"/>
  <c r="AI75" i="20"/>
  <c r="D76" i="20"/>
  <c r="E76" i="20"/>
  <c r="F76" i="20"/>
  <c r="H76" i="20"/>
  <c r="L76" i="20"/>
  <c r="M76" i="20"/>
  <c r="N76" i="20"/>
  <c r="P76" i="20"/>
  <c r="Q76" i="20"/>
  <c r="R76" i="20"/>
  <c r="T76" i="20"/>
  <c r="U76" i="20"/>
  <c r="W76" i="20"/>
  <c r="Y76" i="20"/>
  <c r="AA76" i="20"/>
  <c r="AC76" i="20"/>
  <c r="AE76" i="20"/>
  <c r="AI76" i="20"/>
  <c r="D80" i="20"/>
  <c r="E80" i="20"/>
  <c r="F80" i="20"/>
  <c r="H80" i="20"/>
  <c r="L80" i="20"/>
  <c r="M80" i="20"/>
  <c r="N80" i="20"/>
  <c r="P80" i="20"/>
  <c r="Q80" i="20"/>
  <c r="R80" i="20"/>
  <c r="D82" i="20"/>
  <c r="H82" i="20"/>
  <c r="L82" i="20"/>
  <c r="P82" i="20"/>
  <c r="W82" i="20"/>
  <c r="Y82" i="20"/>
  <c r="AA82" i="20"/>
  <c r="AC82" i="20"/>
  <c r="AE82" i="20"/>
  <c r="D83" i="20"/>
  <c r="H83" i="20"/>
  <c r="L83" i="20"/>
  <c r="P83" i="20"/>
  <c r="W83" i="20"/>
  <c r="Y83" i="20"/>
  <c r="AA83" i="20"/>
  <c r="AC83" i="20"/>
  <c r="AE83" i="20"/>
  <c r="R86" i="20"/>
  <c r="D93" i="20"/>
  <c r="E93" i="20"/>
  <c r="F93" i="20"/>
  <c r="F94" i="20"/>
  <c r="F95" i="20"/>
  <c r="H95" i="20"/>
  <c r="D13" i="145"/>
  <c r="H13" i="145"/>
  <c r="L13" i="145"/>
  <c r="M13" i="145"/>
  <c r="N13" i="145"/>
  <c r="P13" i="145"/>
  <c r="Q13" i="145"/>
  <c r="R13" i="145"/>
  <c r="T13" i="145"/>
  <c r="U13" i="145"/>
  <c r="AI13" i="145"/>
  <c r="D15" i="145"/>
  <c r="H15" i="145"/>
  <c r="L15" i="145"/>
  <c r="M15" i="145"/>
  <c r="N15" i="145"/>
  <c r="P15" i="145"/>
  <c r="Q15" i="145"/>
  <c r="R15" i="145"/>
  <c r="T15" i="145"/>
  <c r="U15" i="145"/>
  <c r="AI15" i="145"/>
  <c r="D16" i="145"/>
  <c r="H16" i="145"/>
  <c r="L16" i="145"/>
  <c r="M16" i="145"/>
  <c r="N16" i="145"/>
  <c r="P16" i="145"/>
  <c r="Q16" i="145"/>
  <c r="R16" i="145"/>
  <c r="T16" i="145"/>
  <c r="U16" i="145"/>
  <c r="AI16" i="145"/>
  <c r="D17" i="145"/>
  <c r="H17" i="145"/>
  <c r="L17" i="145"/>
  <c r="M17" i="145"/>
  <c r="N17" i="145"/>
  <c r="P17" i="145"/>
  <c r="Q17" i="145"/>
  <c r="R17" i="145"/>
  <c r="T17" i="145"/>
  <c r="U17" i="145"/>
  <c r="AI17" i="145"/>
  <c r="D18" i="145"/>
  <c r="H18" i="145"/>
  <c r="L18" i="145"/>
  <c r="M18" i="145"/>
  <c r="N18" i="145"/>
  <c r="P18" i="145"/>
  <c r="Q18" i="145"/>
  <c r="R18" i="145"/>
  <c r="T18" i="145"/>
  <c r="U18" i="145"/>
  <c r="AI18" i="145"/>
  <c r="D19" i="145"/>
  <c r="H19" i="145"/>
  <c r="L19" i="145"/>
  <c r="M19" i="145"/>
  <c r="N19" i="145"/>
  <c r="P19" i="145"/>
  <c r="Q19" i="145"/>
  <c r="R19" i="145"/>
  <c r="T19" i="145"/>
  <c r="U19" i="145"/>
  <c r="AI19" i="145"/>
  <c r="D20" i="145"/>
  <c r="H20" i="145"/>
  <c r="L20" i="145"/>
  <c r="M20" i="145"/>
  <c r="N20" i="145"/>
  <c r="P20" i="145"/>
  <c r="Q20" i="145"/>
  <c r="R20" i="145"/>
  <c r="T20" i="145"/>
  <c r="U20" i="145"/>
  <c r="AI20" i="145"/>
  <c r="D21" i="145"/>
  <c r="H21" i="145"/>
  <c r="L21" i="145"/>
  <c r="M21" i="145"/>
  <c r="N21" i="145"/>
  <c r="P21" i="145"/>
  <c r="Q21" i="145"/>
  <c r="R21" i="145"/>
  <c r="T21" i="145"/>
  <c r="U21" i="145"/>
  <c r="AI21" i="145"/>
  <c r="D22" i="145"/>
  <c r="H22" i="145"/>
  <c r="L22" i="145"/>
  <c r="M22" i="145"/>
  <c r="N22" i="145"/>
  <c r="P22" i="145"/>
  <c r="Q22" i="145"/>
  <c r="R22" i="145"/>
  <c r="T22" i="145"/>
  <c r="U22" i="145"/>
  <c r="AI22" i="145"/>
  <c r="D23" i="145"/>
  <c r="H23" i="145"/>
  <c r="L23" i="145"/>
  <c r="M23" i="145"/>
  <c r="N23" i="145"/>
  <c r="P23" i="145"/>
  <c r="Q23" i="145"/>
  <c r="R23" i="145"/>
  <c r="T23" i="145"/>
  <c r="U23" i="145"/>
  <c r="AI23" i="145"/>
  <c r="D24" i="145"/>
  <c r="H24" i="145"/>
  <c r="L24" i="145"/>
  <c r="M24" i="145"/>
  <c r="N24" i="145"/>
  <c r="P24" i="145"/>
  <c r="Q24" i="145"/>
  <c r="R24" i="145"/>
  <c r="T24" i="145"/>
  <c r="U24" i="145"/>
  <c r="AI24" i="145"/>
  <c r="D25" i="145"/>
  <c r="H25" i="145"/>
  <c r="L25" i="145"/>
  <c r="M25" i="145"/>
  <c r="N25" i="145"/>
  <c r="P25" i="145"/>
  <c r="Q25" i="145"/>
  <c r="R25" i="145"/>
  <c r="T25" i="145"/>
  <c r="U25" i="145"/>
  <c r="AI25" i="145"/>
  <c r="D26" i="145"/>
  <c r="H26" i="145"/>
  <c r="L26" i="145"/>
  <c r="M26" i="145"/>
  <c r="N26" i="145"/>
  <c r="P26" i="145"/>
  <c r="Q26" i="145"/>
  <c r="R26" i="145"/>
  <c r="T26" i="145"/>
  <c r="U26" i="145"/>
  <c r="AI26" i="145"/>
  <c r="D27" i="145"/>
  <c r="H27" i="145"/>
  <c r="L27" i="145"/>
  <c r="M27" i="145"/>
  <c r="N27" i="145"/>
  <c r="P27" i="145"/>
  <c r="Q27" i="145"/>
  <c r="R27" i="145"/>
  <c r="T27" i="145"/>
  <c r="U27" i="145"/>
  <c r="AI27" i="145"/>
  <c r="D28" i="145"/>
  <c r="H28" i="145"/>
  <c r="L28" i="145"/>
  <c r="M28" i="145"/>
  <c r="N28" i="145"/>
  <c r="P28" i="145"/>
  <c r="Q28" i="145"/>
  <c r="R28" i="145"/>
  <c r="T28" i="145"/>
  <c r="U28" i="145"/>
  <c r="AI28" i="145"/>
  <c r="D29" i="145"/>
  <c r="H29" i="145"/>
  <c r="L29" i="145"/>
  <c r="M29" i="145"/>
  <c r="N29" i="145"/>
  <c r="P29" i="145"/>
  <c r="Q29" i="145"/>
  <c r="R29" i="145"/>
  <c r="T29" i="145"/>
  <c r="U29" i="145"/>
  <c r="AI29" i="145"/>
  <c r="D30" i="145"/>
  <c r="H30" i="145"/>
  <c r="L30" i="145"/>
  <c r="M30" i="145"/>
  <c r="N30" i="145"/>
  <c r="P30" i="145"/>
  <c r="Q30" i="145"/>
  <c r="R30" i="145"/>
  <c r="T30" i="145"/>
  <c r="U30" i="145"/>
  <c r="AI30" i="145"/>
  <c r="D31" i="145"/>
  <c r="H31" i="145"/>
  <c r="L31" i="145"/>
  <c r="M31" i="145"/>
  <c r="N31" i="145"/>
  <c r="P31" i="145"/>
  <c r="Q31" i="145"/>
  <c r="R31" i="145"/>
  <c r="T31" i="145"/>
  <c r="U31" i="145"/>
  <c r="AI31" i="145"/>
  <c r="D32" i="145"/>
  <c r="H32" i="145"/>
  <c r="L32" i="145"/>
  <c r="M32" i="145"/>
  <c r="N32" i="145"/>
  <c r="P32" i="145"/>
  <c r="Q32" i="145"/>
  <c r="R32" i="145"/>
  <c r="T32" i="145"/>
  <c r="U32" i="145"/>
  <c r="AI32" i="145"/>
  <c r="D33" i="145"/>
  <c r="H33" i="145"/>
  <c r="L33" i="145"/>
  <c r="M33" i="145"/>
  <c r="N33" i="145"/>
  <c r="P33" i="145"/>
  <c r="Q33" i="145"/>
  <c r="R33" i="145"/>
  <c r="T33" i="145"/>
  <c r="U33" i="145"/>
  <c r="AI33" i="145"/>
  <c r="D34" i="145"/>
  <c r="H34" i="145"/>
  <c r="L34" i="145"/>
  <c r="M34" i="145"/>
  <c r="N34" i="145"/>
  <c r="P34" i="145"/>
  <c r="Q34" i="145"/>
  <c r="R34" i="145"/>
  <c r="T34" i="145"/>
  <c r="U34" i="145"/>
  <c r="AI34" i="145"/>
  <c r="D35" i="145"/>
  <c r="H35" i="145"/>
  <c r="L35" i="145"/>
  <c r="M35" i="145"/>
  <c r="N35" i="145"/>
  <c r="P35" i="145"/>
  <c r="Q35" i="145"/>
  <c r="R35" i="145"/>
  <c r="T35" i="145"/>
  <c r="U35" i="145"/>
  <c r="AI35" i="145"/>
  <c r="D36" i="145"/>
  <c r="H36" i="145"/>
  <c r="L36" i="145"/>
  <c r="M36" i="145"/>
  <c r="N36" i="145"/>
  <c r="P36" i="145"/>
  <c r="Q36" i="145"/>
  <c r="R36" i="145"/>
  <c r="T36" i="145"/>
  <c r="U36" i="145"/>
  <c r="AI36" i="145"/>
  <c r="D37" i="145"/>
  <c r="H37" i="145"/>
  <c r="L37" i="145"/>
  <c r="M37" i="145"/>
  <c r="N37" i="145"/>
  <c r="P37" i="145"/>
  <c r="Q37" i="145"/>
  <c r="R37" i="145"/>
  <c r="T37" i="145"/>
  <c r="U37" i="145"/>
  <c r="AI37" i="145"/>
  <c r="D38" i="145"/>
  <c r="H38" i="145"/>
  <c r="L38" i="145"/>
  <c r="M38" i="145"/>
  <c r="N38" i="145"/>
  <c r="P38" i="145"/>
  <c r="Q38" i="145"/>
  <c r="R38" i="145"/>
  <c r="T38" i="145"/>
  <c r="U38" i="145"/>
  <c r="AI38" i="145"/>
  <c r="D39" i="145"/>
  <c r="H39" i="145"/>
  <c r="L39" i="145"/>
  <c r="M39" i="145"/>
  <c r="N39" i="145"/>
  <c r="P39" i="145"/>
  <c r="Q39" i="145"/>
  <c r="R39" i="145"/>
  <c r="T39" i="145"/>
  <c r="U39" i="145"/>
  <c r="AI39" i="145"/>
  <c r="D40" i="145"/>
  <c r="H40" i="145"/>
  <c r="L40" i="145"/>
  <c r="M40" i="145"/>
  <c r="N40" i="145"/>
  <c r="P40" i="145"/>
  <c r="Q40" i="145"/>
  <c r="R40" i="145"/>
  <c r="T40" i="145"/>
  <c r="U40" i="145"/>
  <c r="AI40" i="145"/>
  <c r="D41" i="145"/>
  <c r="H41" i="145"/>
  <c r="L41" i="145"/>
  <c r="M41" i="145"/>
  <c r="N41" i="145"/>
  <c r="P41" i="145"/>
  <c r="Q41" i="145"/>
  <c r="R41" i="145"/>
  <c r="T41" i="145"/>
  <c r="U41" i="145"/>
  <c r="AI41" i="145"/>
  <c r="D42" i="145"/>
  <c r="H42" i="145"/>
  <c r="L42" i="145"/>
  <c r="M42" i="145"/>
  <c r="N42" i="145"/>
  <c r="P42" i="145"/>
  <c r="T42" i="145"/>
  <c r="U42" i="145"/>
  <c r="D43" i="145"/>
  <c r="H43" i="145"/>
  <c r="L43" i="145"/>
  <c r="M43" i="145"/>
  <c r="N43" i="145"/>
  <c r="P43" i="145"/>
  <c r="Q43" i="145"/>
  <c r="R43" i="145"/>
  <c r="T43" i="145"/>
  <c r="U43" i="145"/>
  <c r="AI43" i="145"/>
  <c r="D44" i="145"/>
  <c r="H44" i="145"/>
  <c r="L44" i="145"/>
  <c r="M44" i="145"/>
  <c r="N44" i="145"/>
  <c r="P44" i="145"/>
  <c r="Q44" i="145"/>
  <c r="R44" i="145"/>
  <c r="T44" i="145"/>
  <c r="U44" i="145"/>
  <c r="AI44" i="145"/>
  <c r="D45" i="145"/>
  <c r="H45" i="145"/>
  <c r="L45" i="145"/>
  <c r="M45" i="145"/>
  <c r="N45" i="145"/>
  <c r="P45" i="145"/>
  <c r="Q45" i="145"/>
  <c r="R45" i="145"/>
  <c r="T45" i="145"/>
  <c r="U45" i="145"/>
  <c r="AI45" i="145"/>
  <c r="D46" i="145"/>
  <c r="H46" i="145"/>
  <c r="L46" i="145"/>
  <c r="M46" i="145"/>
  <c r="N46" i="145"/>
  <c r="P46" i="145"/>
  <c r="Q46" i="145"/>
  <c r="R46" i="145"/>
  <c r="T46" i="145"/>
  <c r="U46" i="145"/>
  <c r="AI46" i="145"/>
  <c r="D47" i="145"/>
  <c r="H47" i="145"/>
  <c r="L47" i="145"/>
  <c r="M47" i="145"/>
  <c r="N47" i="145"/>
  <c r="P47" i="145"/>
  <c r="Q47" i="145"/>
  <c r="R47" i="145"/>
  <c r="T47" i="145"/>
  <c r="U47" i="145"/>
  <c r="AI47" i="145"/>
  <c r="D48" i="145"/>
  <c r="H48" i="145"/>
  <c r="L48" i="145"/>
  <c r="M48" i="145"/>
  <c r="N48" i="145"/>
  <c r="P48" i="145"/>
  <c r="Q48" i="145"/>
  <c r="R48" i="145"/>
  <c r="T48" i="145"/>
  <c r="U48" i="145"/>
  <c r="AI48" i="145"/>
  <c r="D49" i="145"/>
  <c r="H49" i="145"/>
  <c r="L49" i="145"/>
  <c r="M49" i="145"/>
  <c r="N49" i="145"/>
  <c r="P49" i="145"/>
  <c r="Q49" i="145"/>
  <c r="R49" i="145"/>
  <c r="T49" i="145"/>
  <c r="U49" i="145"/>
  <c r="AI49" i="145"/>
  <c r="D50" i="145"/>
  <c r="H50" i="145"/>
  <c r="L50" i="145"/>
  <c r="M50" i="145"/>
  <c r="N50" i="145"/>
  <c r="P50" i="145"/>
  <c r="Q50" i="145"/>
  <c r="R50" i="145"/>
  <c r="T50" i="145"/>
  <c r="U50" i="145"/>
  <c r="AI50" i="145"/>
  <c r="D52" i="145"/>
  <c r="H52" i="145"/>
  <c r="L52" i="145"/>
  <c r="M52" i="145"/>
  <c r="N52" i="145"/>
  <c r="P52" i="145"/>
  <c r="Q52" i="145"/>
  <c r="R52" i="145"/>
  <c r="T52" i="145"/>
  <c r="U52" i="145"/>
  <c r="AI52" i="145"/>
  <c r="D53" i="145"/>
  <c r="H53" i="145"/>
  <c r="L53" i="145"/>
  <c r="M53" i="145"/>
  <c r="N53" i="145"/>
  <c r="P53" i="145"/>
  <c r="Q53" i="145"/>
  <c r="R53" i="145"/>
  <c r="T53" i="145"/>
  <c r="U53" i="145"/>
  <c r="AI53" i="145"/>
  <c r="D54" i="145"/>
  <c r="H54" i="145"/>
  <c r="L54" i="145"/>
  <c r="M54" i="145"/>
  <c r="N54" i="145"/>
  <c r="P54" i="145"/>
  <c r="Q54" i="145"/>
  <c r="R54" i="145"/>
  <c r="T54" i="145"/>
  <c r="U54" i="145"/>
  <c r="AI54" i="145"/>
  <c r="D55" i="145"/>
  <c r="T55" i="145"/>
  <c r="U55" i="145"/>
  <c r="W55" i="145"/>
  <c r="D56" i="145"/>
  <c r="T56" i="145"/>
  <c r="U56" i="145"/>
  <c r="Y56" i="145"/>
  <c r="D57" i="145"/>
  <c r="T57" i="145"/>
  <c r="U57" i="145"/>
  <c r="AA57" i="145"/>
  <c r="D58" i="145"/>
  <c r="T58" i="145"/>
  <c r="U58" i="145"/>
  <c r="AC58" i="145"/>
  <c r="D59" i="145"/>
  <c r="T59" i="145"/>
  <c r="U59" i="145"/>
  <c r="AE59" i="145"/>
  <c r="D60" i="145"/>
  <c r="E60" i="145"/>
  <c r="F60" i="145"/>
  <c r="H60" i="145"/>
  <c r="L60" i="145"/>
  <c r="M60" i="145"/>
  <c r="N60" i="145"/>
  <c r="P60" i="145"/>
  <c r="Q60" i="145"/>
  <c r="R60" i="145"/>
  <c r="T60" i="145"/>
  <c r="U60" i="145"/>
  <c r="W60" i="145"/>
  <c r="Y60" i="145"/>
  <c r="AA60" i="145"/>
  <c r="AC60" i="145"/>
  <c r="AE60" i="145"/>
  <c r="AI60" i="145"/>
  <c r="D61" i="145"/>
  <c r="E61" i="145"/>
  <c r="F61" i="145"/>
  <c r="H61" i="145"/>
  <c r="L61" i="145"/>
  <c r="M61" i="145"/>
  <c r="N61" i="145"/>
  <c r="P61" i="145"/>
  <c r="Q61" i="145"/>
  <c r="R61" i="145"/>
  <c r="T61" i="145"/>
  <c r="U61" i="145"/>
  <c r="W61" i="145"/>
  <c r="Y61" i="145"/>
  <c r="AA61" i="145"/>
  <c r="AC61" i="145"/>
  <c r="AE61" i="145"/>
  <c r="AI61" i="145"/>
  <c r="D63" i="145"/>
  <c r="E63" i="145"/>
  <c r="F63" i="145"/>
  <c r="H63" i="145"/>
  <c r="L63" i="145"/>
  <c r="M63" i="145"/>
  <c r="N63" i="145"/>
  <c r="P63" i="145"/>
  <c r="Q63" i="145"/>
  <c r="R63" i="145"/>
  <c r="T63" i="145"/>
  <c r="U63" i="145"/>
  <c r="W63" i="145"/>
  <c r="Y63" i="145"/>
  <c r="AA63" i="145"/>
  <c r="AC63" i="145"/>
  <c r="AE63" i="145"/>
  <c r="AI63" i="145"/>
  <c r="D64" i="145"/>
  <c r="E64" i="145"/>
  <c r="F64" i="145"/>
  <c r="H64" i="145"/>
  <c r="L64" i="145"/>
  <c r="M64" i="145"/>
  <c r="N64" i="145"/>
  <c r="P64" i="145"/>
  <c r="Q64" i="145"/>
  <c r="R64" i="145"/>
  <c r="T64" i="145"/>
  <c r="U64" i="145"/>
  <c r="W64" i="145"/>
  <c r="Y64" i="145"/>
  <c r="AA64" i="145"/>
  <c r="AC64" i="145"/>
  <c r="AE64" i="145"/>
  <c r="AI64" i="145"/>
  <c r="F65" i="145"/>
  <c r="H65" i="145"/>
  <c r="L65" i="145"/>
  <c r="M65" i="145"/>
  <c r="N65" i="145"/>
  <c r="P65" i="145"/>
  <c r="Q65" i="145"/>
  <c r="R65" i="145"/>
  <c r="T65" i="145"/>
  <c r="U65" i="145"/>
  <c r="W65" i="145"/>
  <c r="Y65" i="145"/>
  <c r="AA65" i="145"/>
  <c r="AC65" i="145"/>
  <c r="AE65" i="145"/>
  <c r="AL65" i="145"/>
  <c r="F66" i="145"/>
  <c r="H66" i="145"/>
  <c r="L66" i="145"/>
  <c r="M66" i="145"/>
  <c r="N66" i="145"/>
  <c r="P66" i="145"/>
  <c r="Q66" i="145"/>
  <c r="R66" i="145"/>
  <c r="T66" i="145"/>
  <c r="U66" i="145"/>
  <c r="W66" i="145"/>
  <c r="Y66" i="145"/>
  <c r="AA66" i="145"/>
  <c r="AC66" i="145"/>
  <c r="AE66" i="145"/>
  <c r="AL66" i="145"/>
  <c r="D72" i="145"/>
  <c r="E72" i="145"/>
  <c r="F72" i="145"/>
  <c r="H72" i="145"/>
  <c r="L72" i="145"/>
  <c r="M72" i="145"/>
  <c r="N72" i="145"/>
  <c r="P72" i="145"/>
  <c r="Q72" i="145"/>
  <c r="R72" i="145"/>
  <c r="W72" i="145"/>
  <c r="Y72" i="145"/>
  <c r="AA72" i="145"/>
  <c r="AC72" i="145"/>
  <c r="AE72" i="145"/>
  <c r="AI72" i="145"/>
  <c r="D73" i="145"/>
  <c r="E73" i="145"/>
  <c r="F73" i="145"/>
  <c r="H73" i="145"/>
  <c r="L73" i="145"/>
  <c r="M73" i="145"/>
  <c r="N73" i="145"/>
  <c r="P73" i="145"/>
  <c r="Q73" i="145"/>
  <c r="R73" i="145"/>
  <c r="T73" i="145"/>
  <c r="U73" i="145"/>
  <c r="W73" i="145"/>
  <c r="Y73" i="145"/>
  <c r="AA73" i="145"/>
  <c r="AC73" i="145"/>
  <c r="AE73" i="145"/>
  <c r="AI73" i="145"/>
  <c r="D74" i="145"/>
  <c r="E74" i="145"/>
  <c r="F74" i="145"/>
  <c r="H74" i="145"/>
  <c r="L74" i="145"/>
  <c r="M74" i="145"/>
  <c r="N74" i="145"/>
  <c r="P74" i="145"/>
  <c r="Q74" i="145"/>
  <c r="R74" i="145"/>
  <c r="T74" i="145"/>
  <c r="U74" i="145"/>
  <c r="W74" i="145"/>
  <c r="Y74" i="145"/>
  <c r="AA74" i="145"/>
  <c r="AC74" i="145"/>
  <c r="AE74" i="145"/>
  <c r="AI74" i="145"/>
  <c r="D75" i="145"/>
  <c r="E75" i="145"/>
  <c r="F75" i="145"/>
  <c r="H75" i="145"/>
  <c r="L75" i="145"/>
  <c r="M75" i="145"/>
  <c r="N75" i="145"/>
  <c r="P75" i="145"/>
  <c r="Q75" i="145"/>
  <c r="R75" i="145"/>
  <c r="T75" i="145"/>
  <c r="U75" i="145"/>
  <c r="W75" i="145"/>
  <c r="Y75" i="145"/>
  <c r="AA75" i="145"/>
  <c r="AC75" i="145"/>
  <c r="AE75" i="145"/>
  <c r="AI75" i="145"/>
  <c r="D76" i="145"/>
  <c r="E76" i="145"/>
  <c r="F76" i="145"/>
  <c r="H76" i="145"/>
  <c r="L76" i="145"/>
  <c r="M76" i="145"/>
  <c r="N76" i="145"/>
  <c r="P76" i="145"/>
  <c r="Q76" i="145"/>
  <c r="R76" i="145"/>
  <c r="T76" i="145"/>
  <c r="U76" i="145"/>
  <c r="W76" i="145"/>
  <c r="Y76" i="145"/>
  <c r="AA76" i="145"/>
  <c r="AC76" i="145"/>
  <c r="AE76" i="145"/>
  <c r="AI76" i="145"/>
  <c r="D79" i="145"/>
  <c r="H79" i="145"/>
  <c r="L79" i="145"/>
  <c r="P79" i="145"/>
  <c r="T79" i="145"/>
  <c r="U79" i="145"/>
  <c r="W79" i="145"/>
  <c r="Y79" i="145"/>
  <c r="AA79" i="145"/>
  <c r="AC79" i="145"/>
  <c r="AE79" i="145"/>
  <c r="D80" i="145"/>
  <c r="H80" i="145"/>
  <c r="L80" i="145"/>
  <c r="P80" i="145"/>
  <c r="W80" i="145"/>
  <c r="Y80" i="145"/>
  <c r="AA80" i="145"/>
  <c r="AC80" i="145"/>
  <c r="AE80" i="145"/>
  <c r="D82" i="145"/>
  <c r="E82" i="145"/>
  <c r="F82" i="145"/>
  <c r="H82" i="145"/>
  <c r="L82" i="145"/>
  <c r="M82" i="145"/>
  <c r="N82" i="145"/>
  <c r="P82" i="145"/>
  <c r="Q82" i="145"/>
  <c r="R82" i="145"/>
  <c r="D84" i="145"/>
  <c r="H84" i="145"/>
  <c r="L84" i="145"/>
  <c r="P84" i="145"/>
  <c r="W84" i="145"/>
  <c r="Y84" i="145"/>
  <c r="AA84" i="145"/>
  <c r="AC84" i="145"/>
  <c r="AE84" i="145"/>
  <c r="D85" i="145"/>
  <c r="H85" i="145"/>
  <c r="L85" i="145"/>
  <c r="P85" i="145"/>
  <c r="W85" i="145"/>
  <c r="Y85" i="145"/>
  <c r="AA85" i="145"/>
  <c r="AC85" i="145"/>
  <c r="AE85" i="145"/>
  <c r="D96" i="145"/>
  <c r="E96" i="145"/>
  <c r="F96" i="145"/>
  <c r="D97" i="145"/>
  <c r="E97" i="145"/>
  <c r="F97" i="145"/>
  <c r="F98" i="145"/>
  <c r="F99" i="145"/>
  <c r="H99" i="1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Hutchins</author>
  </authors>
  <commentList>
    <comment ref="N63" authorId="0" shapeId="0" xr:uid="{D39D0BF1-CB9C-4732-B2CE-D558BF1760CF}">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Vito Carbone</author>
  </authors>
  <commentList>
    <comment ref="J7" authorId="0" shapeId="0" xr:uid="{4740121A-E64E-4674-9679-DFDDCCD38F1D}">
      <text>
        <r>
          <rPr>
            <sz val="11"/>
            <color theme="1"/>
            <rFont val="Calibri"/>
            <family val="2"/>
            <scheme val="minor"/>
          </rPr>
          <t>Vito Carbone:
From AE100 see Clarifications</t>
        </r>
      </text>
    </comment>
    <comment ref="N7" authorId="0" shapeId="0" xr:uid="{B938DB30-517D-44DD-9DF8-7ACFD1AA9E5B}">
      <text>
        <r>
          <rPr>
            <sz val="11"/>
            <color theme="1"/>
            <rFont val="Calibri"/>
            <family val="2"/>
            <scheme val="minor"/>
          </rPr>
          <t>Vito Carbone:
On AE101</t>
        </r>
      </text>
    </comment>
    <comment ref="R7" authorId="0" shapeId="0" xr:uid="{926C541B-9B51-4524-8D82-3ED946B7A2C6}">
      <text>
        <r>
          <rPr>
            <sz val="11"/>
            <color theme="1"/>
            <rFont val="Calibri"/>
            <family val="2"/>
            <scheme val="minor"/>
          </rPr>
          <t>Vito Carbone:
From Gl007</t>
        </r>
      </text>
    </comment>
    <comment ref="W7" authorId="0" shapeId="0" xr:uid="{675AB9C9-A3A1-49FD-A412-2EC273736D4B}">
      <text>
        <r>
          <rPr>
            <sz val="11"/>
            <color theme="1"/>
            <rFont val="Calibri"/>
            <family val="2"/>
            <scheme val="minor"/>
          </rPr>
          <t>Vito Carbone:
Both Floors</t>
        </r>
      </text>
    </comment>
    <comment ref="Y7" authorId="0" shapeId="0" xr:uid="{F150F22C-2970-48B0-9A5F-418B9321346D}">
      <text>
        <r>
          <rPr>
            <sz val="11"/>
            <color theme="1"/>
            <rFont val="Calibri"/>
            <family val="2"/>
            <scheme val="minor"/>
          </rPr>
          <t>Vito Carbone:
From AE101</t>
        </r>
      </text>
    </comment>
    <comment ref="AA7" authorId="0" shapeId="0" xr:uid="{7D1D6487-12DB-4FEF-8D34-C51CA0046454}">
      <text>
        <r>
          <rPr>
            <sz val="11"/>
            <color theme="1"/>
            <rFont val="Calibri"/>
            <family val="2"/>
            <scheme val="minor"/>
          </rPr>
          <t>Vito Carbone:
From Gl006</t>
        </r>
      </text>
    </comment>
    <comment ref="AC7" authorId="0" shapeId="0" xr:uid="{E4342354-2E0F-45FF-BDC8-AE03EA86F4CA}">
      <text>
        <r>
          <rPr>
            <sz val="11"/>
            <color theme="1"/>
            <rFont val="Calibri"/>
            <family val="2"/>
            <scheme val="minor"/>
          </rPr>
          <t xml:space="preserve">Vito Carbone:
From Gl006
</t>
        </r>
      </text>
    </comment>
    <comment ref="AE7" authorId="0" shapeId="0" xr:uid="{ECB75EA5-7C05-45AB-BAC7-2AE416F29C9E}">
      <text>
        <r>
          <rPr>
            <sz val="11"/>
            <color theme="1"/>
            <rFont val="Calibri"/>
            <family val="2"/>
            <scheme val="minor"/>
          </rPr>
          <t>Vito Carbone:
From Gl006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Vito Carbone</author>
  </authors>
  <commentList>
    <comment ref="J7" authorId="0" shapeId="0" xr:uid="{0F6880EF-F37A-4033-B643-22D924811A8F}">
      <text>
        <r>
          <rPr>
            <sz val="11"/>
            <color theme="1"/>
            <rFont val="Calibri"/>
            <family val="2"/>
            <scheme val="minor"/>
          </rPr>
          <t>Vito Carbone:
From AE100 see Clarifications</t>
        </r>
      </text>
    </comment>
    <comment ref="N7" authorId="0" shapeId="0" xr:uid="{1B98D163-B09B-40EC-984B-9F2C83BEF50B}">
      <text>
        <r>
          <rPr>
            <sz val="11"/>
            <color theme="1"/>
            <rFont val="Calibri"/>
            <family val="2"/>
            <scheme val="minor"/>
          </rPr>
          <t>Vito Carbone:
On AE101</t>
        </r>
      </text>
    </comment>
    <comment ref="R7" authorId="0" shapeId="0" xr:uid="{B757CAA9-63DC-462F-86A1-EF4D9BB1A2D5}">
      <text>
        <r>
          <rPr>
            <sz val="11"/>
            <color theme="1"/>
            <rFont val="Calibri"/>
            <family val="2"/>
            <scheme val="minor"/>
          </rPr>
          <t>Vito Carbone:
From Gl007</t>
        </r>
      </text>
    </comment>
    <comment ref="W7" authorId="0" shapeId="0" xr:uid="{9175A345-F568-4A45-BB84-4A8F4C925E20}">
      <text>
        <r>
          <rPr>
            <sz val="11"/>
            <color theme="1"/>
            <rFont val="Calibri"/>
            <family val="2"/>
            <scheme val="minor"/>
          </rPr>
          <t>Vito Carbone:
Both Floors</t>
        </r>
      </text>
    </comment>
    <comment ref="Y7" authorId="0" shapeId="0" xr:uid="{EB8E576F-ACD0-41AA-976C-668C90C66B90}">
      <text>
        <r>
          <rPr>
            <sz val="11"/>
            <color theme="1"/>
            <rFont val="Calibri"/>
            <family val="2"/>
            <scheme val="minor"/>
          </rPr>
          <t>Vito Carbone:
From AE101</t>
        </r>
      </text>
    </comment>
    <comment ref="AA7" authorId="0" shapeId="0" xr:uid="{59062ABE-B589-4390-A090-333E98273865}">
      <text>
        <r>
          <rPr>
            <sz val="11"/>
            <color theme="1"/>
            <rFont val="Calibri"/>
            <family val="2"/>
            <scheme val="minor"/>
          </rPr>
          <t>Vito Carbone:
From Gl006</t>
        </r>
      </text>
    </comment>
    <comment ref="AC7" authorId="0" shapeId="0" xr:uid="{0DB1CFD7-E80E-4D51-A56F-37FC602652AE}">
      <text>
        <r>
          <rPr>
            <sz val="11"/>
            <color theme="1"/>
            <rFont val="Calibri"/>
            <family val="2"/>
            <scheme val="minor"/>
          </rPr>
          <t xml:space="preserve">Vito Carbone:
From Gl006
</t>
        </r>
      </text>
    </comment>
    <comment ref="AE7" authorId="0" shapeId="0" xr:uid="{77CAA89B-8E75-49E2-A076-05B25386E474}">
      <text>
        <r>
          <rPr>
            <sz val="11"/>
            <color theme="1"/>
            <rFont val="Calibri"/>
            <family val="2"/>
            <scheme val="minor"/>
          </rPr>
          <t>Vito Carbone:
From Gl006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Vito Carbone</author>
  </authors>
  <commentList>
    <comment ref="B39" authorId="0" shapeId="0" xr:uid="{6F79C9BC-7672-4AB3-8DDE-C0124F185426}">
      <text>
        <r>
          <rPr>
            <sz val="11"/>
            <color theme="1"/>
            <rFont val="Calibri"/>
            <family val="2"/>
            <scheme val="minor"/>
          </rPr>
          <t>Vito Carbone:
Carpenter @ 10%</t>
        </r>
      </text>
    </comment>
    <comment ref="B46" authorId="0" shapeId="0" xr:uid="{C1BF9387-FB33-47AB-B1FF-8D405D7BB757}">
      <text>
        <r>
          <rPr>
            <sz val="11"/>
            <color theme="1"/>
            <rFont val="Calibri"/>
            <family val="2"/>
            <scheme val="minor"/>
          </rPr>
          <t>Vito Carbone:
Carpenter @ 50%</t>
        </r>
      </text>
    </comment>
    <comment ref="B53" authorId="0" shapeId="0" xr:uid="{649C0C91-C636-43D5-A231-E970CE4D6151}">
      <text>
        <r>
          <rPr>
            <sz val="11"/>
            <color theme="1"/>
            <rFont val="Calibri"/>
            <family val="2"/>
            <scheme val="minor"/>
          </rPr>
          <t>Vito Carbone:
Carpenter @ 50%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Vito Carbone</author>
  </authors>
  <commentList>
    <comment ref="D42" authorId="0" shapeId="0" xr:uid="{DC80ED4C-0E57-46CC-9BC7-B23C4C8FABC0}">
      <text>
        <r>
          <rPr>
            <sz val="11"/>
            <color theme="1"/>
            <rFont val="Calibri"/>
            <family val="2"/>
            <scheme val="minor"/>
          </rPr>
          <t>Vito Carbone:
takeoff less storefronts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Vito Carbone</author>
  </authors>
  <commentList>
    <comment ref="I59" authorId="0" shapeId="0" xr:uid="{B85B14B2-2704-454A-949C-5D7182F1FB22}">
      <text>
        <r>
          <rPr>
            <sz val="11"/>
            <color theme="1"/>
            <rFont val="Calibri"/>
            <family val="2"/>
            <scheme val="minor"/>
          </rPr>
          <t>Vito Carbone:
Conso Floors</t>
        </r>
      </text>
    </comment>
    <comment ref="I65" authorId="0" shapeId="0" xr:uid="{D85C4369-A843-41EF-8388-6CE02DE0B5E9}">
      <text>
        <r>
          <rPr>
            <sz val="11"/>
            <color theme="1"/>
            <rFont val="Calibri"/>
            <family val="2"/>
            <scheme val="minor"/>
          </rPr>
          <t>Vito Carbone:
Conso Floors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Vito Carbone</author>
    <author>Safwat Fahmy</author>
  </authors>
  <commentList>
    <comment ref="I49" authorId="0" shapeId="0" xr:uid="{1F754D2A-B541-415A-8647-718C6C8009A8}">
      <text>
        <r>
          <rPr>
            <sz val="11"/>
            <color theme="1"/>
            <rFont val="Calibri"/>
            <family val="2"/>
            <scheme val="minor"/>
          </rPr>
          <t>Vito Carbone:
not shown on civils</t>
        </r>
      </text>
    </comment>
    <comment ref="M149" authorId="1" shapeId="0" xr:uid="{AD481285-7A9D-4BF6-BA51-A1A005D7198B}">
      <text>
        <r>
          <rPr>
            <b/>
            <sz val="9"/>
            <color indexed="81"/>
            <rFont val="Tahoma"/>
            <family val="2"/>
          </rPr>
          <t>Safwat Fahmy:</t>
        </r>
        <r>
          <rPr>
            <sz val="9"/>
            <color indexed="81"/>
            <rFont val="Tahoma"/>
            <family val="2"/>
          </rPr>
          <t xml:space="preserve">
add $18,000 if required</t>
        </r>
      </text>
    </comment>
    <comment ref="M174" authorId="1" shapeId="0" xr:uid="{89463A84-C176-4597-9BB3-ED831DB0E703}">
      <text>
        <r>
          <rPr>
            <b/>
            <sz val="9"/>
            <color indexed="81"/>
            <rFont val="Tahoma"/>
            <family val="2"/>
          </rPr>
          <t>Safwat Fahmy:</t>
        </r>
        <r>
          <rPr>
            <sz val="9"/>
            <color indexed="81"/>
            <rFont val="Tahoma"/>
            <family val="2"/>
          </rPr>
          <t xml:space="preserve">
add $4750 if required</t>
        </r>
      </text>
    </comment>
    <comment ref="M177" authorId="1" shapeId="0" xr:uid="{34FB21F3-D75D-4EE3-8C53-305565461720}">
      <text>
        <r>
          <rPr>
            <b/>
            <sz val="9"/>
            <color indexed="81"/>
            <rFont val="Tahoma"/>
            <family val="2"/>
          </rPr>
          <t>Safwat Fahmy:</t>
        </r>
        <r>
          <rPr>
            <sz val="9"/>
            <color indexed="81"/>
            <rFont val="Tahoma"/>
            <family val="2"/>
          </rPr>
          <t xml:space="preserve">
add $18,000 if required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<sst xmlns="http://schemas.openxmlformats.org/spreadsheetml/2006/main" count="14272" uniqueCount="1736">
  <si>
    <t xml:space="preserve">Hedrick Brothers Construction </t>
  </si>
  <si>
    <t xml:space="preserve">Performance / Payment Bond </t>
  </si>
  <si>
    <t xml:space="preserve">General Construction </t>
  </si>
  <si>
    <t xml:space="preserve">Design Build </t>
  </si>
  <si>
    <t>Contract Value</t>
  </si>
  <si>
    <t xml:space="preserve">Total </t>
  </si>
  <si>
    <t>Cost Summary</t>
  </si>
  <si>
    <t>Allowances</t>
  </si>
  <si>
    <t>NO.</t>
  </si>
  <si>
    <t>DESCRIPTION</t>
  </si>
  <si>
    <t>VALUE</t>
  </si>
  <si>
    <t>Total</t>
  </si>
  <si>
    <t>*All ALLOWANCES IN BID TABS MUST BE LISTED HERE</t>
  </si>
  <si>
    <t>Alternates</t>
  </si>
  <si>
    <t>ALT. #1</t>
  </si>
  <si>
    <t>Description</t>
  </si>
  <si>
    <t>ALT. #2</t>
  </si>
  <si>
    <t>ALT. #3</t>
  </si>
  <si>
    <t>ALT. #4</t>
  </si>
  <si>
    <t>ALT. #5</t>
  </si>
  <si>
    <t>ALT. #6</t>
  </si>
  <si>
    <t>ALT. #7</t>
  </si>
  <si>
    <t>ALT. #8</t>
  </si>
  <si>
    <t>ALT. #9</t>
  </si>
  <si>
    <t>ALT. #10</t>
  </si>
  <si>
    <t>ALT. #11</t>
  </si>
  <si>
    <t>ALT. #12</t>
  </si>
  <si>
    <t>ALT. #13</t>
  </si>
  <si>
    <t>ALT. #14</t>
  </si>
  <si>
    <t>ALT. #15</t>
  </si>
  <si>
    <t>Hedrick Brothers Construction Co., Inc.</t>
  </si>
  <si>
    <t>Salaries and Burden Calculations</t>
  </si>
  <si>
    <t>As of 8/22/24</t>
  </si>
  <si>
    <t xml:space="preserve">MARK-UP </t>
  </si>
  <si>
    <t>Burdened Rate</t>
  </si>
  <si>
    <t xml:space="preserve">Mark-up </t>
  </si>
  <si>
    <t>ANNUAL BURDENED AMOUNT</t>
  </si>
  <si>
    <t>ANNUAL BURDENED AMOUNT (W/ M/U)</t>
  </si>
  <si>
    <t>Proj Exec</t>
  </si>
  <si>
    <t>Sr PM</t>
  </si>
  <si>
    <t>PM 3</t>
  </si>
  <si>
    <t>PM 2</t>
  </si>
  <si>
    <t>PM 1</t>
  </si>
  <si>
    <t>Proj Admin</t>
  </si>
  <si>
    <t>Proj Acct</t>
  </si>
  <si>
    <t>Asst PM</t>
  </si>
  <si>
    <t>Supt 3</t>
  </si>
  <si>
    <t>Supt 2</t>
  </si>
  <si>
    <t>Supt 1</t>
  </si>
  <si>
    <t>Asst Supt</t>
  </si>
  <si>
    <t>QC</t>
  </si>
  <si>
    <t>Foreman</t>
  </si>
  <si>
    <t>Acctg</t>
  </si>
  <si>
    <t>VDC</t>
  </si>
  <si>
    <t>Safety</t>
  </si>
  <si>
    <t>Labor</t>
  </si>
  <si>
    <t>Apprentice</t>
  </si>
  <si>
    <t>Carpenter</t>
  </si>
  <si>
    <t>Driver</t>
  </si>
  <si>
    <t>Leadman</t>
  </si>
  <si>
    <t>Supt MEP</t>
  </si>
  <si>
    <t>Gen Supt</t>
  </si>
  <si>
    <t>Cons Mgr</t>
  </si>
  <si>
    <t>Proj Coor</t>
  </si>
  <si>
    <t>Mktg</t>
  </si>
  <si>
    <t>Bus Dev</t>
  </si>
  <si>
    <t>Chief, 3 &amp; 2</t>
  </si>
  <si>
    <t>Coord &amp; Jrs</t>
  </si>
  <si>
    <t>Exec Asst</t>
  </si>
  <si>
    <t xml:space="preserve">TOTAL </t>
  </si>
  <si>
    <t>PROJECT AREA CALCULATIONS</t>
  </si>
  <si>
    <t>The Club at Ibis Conceptual Estimate</t>
  </si>
  <si>
    <t>Gross (sf)</t>
  </si>
  <si>
    <t>FORMULA OFF GCS</t>
  </si>
  <si>
    <t>West Palm Beach, FL</t>
  </si>
  <si>
    <t>AC (sf)</t>
  </si>
  <si>
    <t>Rentable (sf)</t>
  </si>
  <si>
    <t>Site (acres)</t>
  </si>
  <si>
    <t>Parking Spaces</t>
  </si>
  <si>
    <t>Build Duration (months)</t>
  </si>
  <si>
    <t>Drawings Date</t>
  </si>
  <si>
    <t>I.</t>
  </si>
  <si>
    <t>Floor</t>
  </si>
  <si>
    <t>Building</t>
  </si>
  <si>
    <t>Room</t>
  </si>
  <si>
    <t>ACSF</t>
  </si>
  <si>
    <t>RSF</t>
  </si>
  <si>
    <t>Acres</t>
  </si>
  <si>
    <t>Gross SF</t>
  </si>
  <si>
    <t>GROSS%</t>
  </si>
  <si>
    <t>Racquet</t>
  </si>
  <si>
    <t>Spa Building</t>
  </si>
  <si>
    <t>New Fitness Building</t>
  </si>
  <si>
    <t>TOTAL</t>
  </si>
  <si>
    <t>II.</t>
  </si>
  <si>
    <t>Units</t>
  </si>
  <si>
    <t>Site SF</t>
  </si>
  <si>
    <t>Site(acres)</t>
  </si>
  <si>
    <t>%</t>
  </si>
  <si>
    <t>Levels</t>
  </si>
  <si>
    <t>GSF</t>
  </si>
  <si>
    <t>TOTAL GSF</t>
  </si>
  <si>
    <t>Design Team</t>
  </si>
  <si>
    <t>Architectural Drawings  by</t>
  </si>
  <si>
    <t>Structural Drawings by</t>
  </si>
  <si>
    <t>MEP FA FP Drawings by</t>
  </si>
  <si>
    <t xml:space="preserve">Civil Drawings by </t>
  </si>
  <si>
    <t>Land scape Drawings by</t>
  </si>
  <si>
    <t>Kitchen Drawings by</t>
  </si>
  <si>
    <t>Storefront Designer by</t>
  </si>
  <si>
    <t>Geotech report by</t>
  </si>
  <si>
    <t>Specifications</t>
  </si>
  <si>
    <t>IV.</t>
  </si>
  <si>
    <t>SITE AREAS</t>
  </si>
  <si>
    <t>$ /UNIT</t>
  </si>
  <si>
    <t xml:space="preserve">Site Perimeter </t>
  </si>
  <si>
    <t>LF</t>
  </si>
  <si>
    <t>Walk Gates</t>
  </si>
  <si>
    <t>Drive Gates</t>
  </si>
  <si>
    <t>Tire Grates / Truck Wash</t>
  </si>
  <si>
    <t>III.</t>
  </si>
  <si>
    <t xml:space="preserve">Sidewalks </t>
  </si>
  <si>
    <t>Drives</t>
  </si>
  <si>
    <t>Asphalt Parking</t>
  </si>
  <si>
    <t xml:space="preserve">Fill CY </t>
  </si>
  <si>
    <t>Barking Spaces</t>
  </si>
  <si>
    <t>FLOOR BREAKDOWN</t>
  </si>
  <si>
    <t>QTY.</t>
  </si>
  <si>
    <t>TOTAL Units</t>
  </si>
  <si>
    <t>Subcontractor List</t>
  </si>
  <si>
    <t>CSI</t>
  </si>
  <si>
    <t>CSI DESCRIPTION</t>
  </si>
  <si>
    <t>Sub 1</t>
  </si>
  <si>
    <t>Sub 2</t>
  </si>
  <si>
    <t>Sub 3</t>
  </si>
  <si>
    <t>02A</t>
  </si>
  <si>
    <t>Demolition</t>
  </si>
  <si>
    <t>N&amp;P</t>
  </si>
  <si>
    <t>Wildcat</t>
  </si>
  <si>
    <t>Rapid Removal</t>
  </si>
  <si>
    <t>03A</t>
  </si>
  <si>
    <t>Concrete / CMU</t>
  </si>
  <si>
    <t>Victory</t>
  </si>
  <si>
    <t>De Celis</t>
  </si>
  <si>
    <t>Proshell</t>
  </si>
  <si>
    <t>05A</t>
  </si>
  <si>
    <t>Structural Steel</t>
  </si>
  <si>
    <t>Suncor</t>
  </si>
  <si>
    <t>VMI</t>
  </si>
  <si>
    <t>Steel Fabricators</t>
  </si>
  <si>
    <t>06F</t>
  </si>
  <si>
    <t>Millwork</t>
  </si>
  <si>
    <t>Borgzinner</t>
  </si>
  <si>
    <t>JC Wood</t>
  </si>
  <si>
    <t>Premier Architectural</t>
  </si>
  <si>
    <t>07D</t>
  </si>
  <si>
    <t>Roofing</t>
  </si>
  <si>
    <t>Campany</t>
  </si>
  <si>
    <t>Crown</t>
  </si>
  <si>
    <t>Assurance</t>
  </si>
  <si>
    <t>08C</t>
  </si>
  <si>
    <t>Glass and Glazing</t>
  </si>
  <si>
    <t>Performance</t>
  </si>
  <si>
    <t>A.Christian</t>
  </si>
  <si>
    <t>A.Crystal</t>
  </si>
  <si>
    <t>09A</t>
  </si>
  <si>
    <t>Stucco</t>
  </si>
  <si>
    <t>Dorado</t>
  </si>
  <si>
    <t>Welch</t>
  </si>
  <si>
    <t>Lion</t>
  </si>
  <si>
    <t>09B</t>
  </si>
  <si>
    <t>Drywall / Framing</t>
  </si>
  <si>
    <t>Everlast</t>
  </si>
  <si>
    <t>K&amp;S</t>
  </si>
  <si>
    <t>09E</t>
  </si>
  <si>
    <t>Tile</t>
  </si>
  <si>
    <t>Concolidated</t>
  </si>
  <si>
    <t>Jack Walsh</t>
  </si>
  <si>
    <t>O'Neil</t>
  </si>
  <si>
    <t>09F</t>
  </si>
  <si>
    <t>Flooring: Carpet and Resilient Flooring</t>
  </si>
  <si>
    <t>09I</t>
  </si>
  <si>
    <t>Painting</t>
  </si>
  <si>
    <t>Phoenix</t>
  </si>
  <si>
    <t>Talbot</t>
  </si>
  <si>
    <t>10B</t>
  </si>
  <si>
    <t>Operable Partitions</t>
  </si>
  <si>
    <t xml:space="preserve">Value Adde </t>
  </si>
  <si>
    <t>SSE</t>
  </si>
  <si>
    <t>Acousti</t>
  </si>
  <si>
    <t>13B</t>
  </si>
  <si>
    <t>Swimming Pools</t>
  </si>
  <si>
    <t>Atlantic</t>
  </si>
  <si>
    <t>Royal Palm</t>
  </si>
  <si>
    <t>RDC</t>
  </si>
  <si>
    <t>13C</t>
  </si>
  <si>
    <t>Covered Structures</t>
  </si>
  <si>
    <t>Hoover</t>
  </si>
  <si>
    <t>Instatech</t>
  </si>
  <si>
    <t>Walker Design</t>
  </si>
  <si>
    <t>14A</t>
  </si>
  <si>
    <t>Elevators</t>
  </si>
  <si>
    <t>TKE</t>
  </si>
  <si>
    <t>Otis</t>
  </si>
  <si>
    <t>Schindler</t>
  </si>
  <si>
    <t>21A</t>
  </si>
  <si>
    <t>Fire Sprinkler</t>
  </si>
  <si>
    <t>Brothers Fire</t>
  </si>
  <si>
    <t>Polaris</t>
  </si>
  <si>
    <t>Southern</t>
  </si>
  <si>
    <t>22A</t>
  </si>
  <si>
    <t>Plumbing</t>
  </si>
  <si>
    <t>Everest</t>
  </si>
  <si>
    <t>Custom</t>
  </si>
  <si>
    <t>Renco</t>
  </si>
  <si>
    <t>23A</t>
  </si>
  <si>
    <t>HVAC</t>
  </si>
  <si>
    <t>Mechanicool</t>
  </si>
  <si>
    <t>Complete Cooling</t>
  </si>
  <si>
    <t>26A</t>
  </si>
  <si>
    <t>Electrical &amp; Fire Alarm</t>
  </si>
  <si>
    <t>Volt</t>
  </si>
  <si>
    <t>Fineline</t>
  </si>
  <si>
    <t>Kasper</t>
  </si>
  <si>
    <t>31A</t>
  </si>
  <si>
    <t>Sitework</t>
  </si>
  <si>
    <t>American Engineering</t>
  </si>
  <si>
    <t>BiG D</t>
  </si>
  <si>
    <t>Princeland</t>
  </si>
  <si>
    <t>32E</t>
  </si>
  <si>
    <t>Synthetic Fields</t>
  </si>
  <si>
    <t>Fast Dry</t>
  </si>
  <si>
    <t>Papico</t>
  </si>
  <si>
    <t>IBIS</t>
  </si>
  <si>
    <t>STAFFING SCHEDULE</t>
  </si>
  <si>
    <t>YEAR</t>
  </si>
  <si>
    <t>MONTHS</t>
  </si>
  <si>
    <t>MAY</t>
  </si>
  <si>
    <t>JUN</t>
  </si>
  <si>
    <t>JULY</t>
  </si>
  <si>
    <t>AUG</t>
  </si>
  <si>
    <t>SEPT</t>
  </si>
  <si>
    <t>OCT</t>
  </si>
  <si>
    <t>NOV</t>
  </si>
  <si>
    <t>DEC</t>
  </si>
  <si>
    <t>JAN</t>
  </si>
  <si>
    <t>FEB</t>
  </si>
  <si>
    <t>MAR</t>
  </si>
  <si>
    <t>APR</t>
  </si>
  <si>
    <t>SEP</t>
  </si>
  <si>
    <t>PHASE 1 - CLUBHOUSE PARCEL</t>
  </si>
  <si>
    <t>CLUBHOUSE</t>
  </si>
  <si>
    <t>RACQUET ADDITIONS</t>
  </si>
  <si>
    <t>PHASE 2 - NORTH &amp; CLUBHOUSE PARCEL</t>
  </si>
  <si>
    <t>NORTH PARCEL - BOCCE, BASKETBALL, &amp; SITE IMPROVEMENTS</t>
  </si>
  <si>
    <t>NORTH PARCEL - NEW 11,000SF SPA BUILDING</t>
  </si>
  <si>
    <t>NORTH PARCEL - EXPANSION &amp; RENOVATION EXISTING POA</t>
  </si>
  <si>
    <t>CLUBHOUSE PARCEL - NEW FITNESS BUILDING/OUTDOOR TERRACE</t>
  </si>
  <si>
    <t>PHASE 3 - CLUBHOUSE PARCEL</t>
  </si>
  <si>
    <t>19TH HOLE RESTAURANT</t>
  </si>
  <si>
    <t>RENOVATION OF EXISTING FITNESS BUILDING</t>
  </si>
  <si>
    <t>CLOSEOUT</t>
  </si>
  <si>
    <t>STAFFING</t>
  </si>
  <si>
    <t>AVERAGE</t>
  </si>
  <si>
    <t>Average</t>
  </si>
  <si>
    <t>PRESIDENT - LUX RESIDENTIAL</t>
  </si>
  <si>
    <t>N/A</t>
  </si>
  <si>
    <t>PROJECT EXECUTIVE</t>
  </si>
  <si>
    <t>Art</t>
  </si>
  <si>
    <t>SENIOR PROJECT MANAGER</t>
  </si>
  <si>
    <t>PROJECT MANAGER</t>
  </si>
  <si>
    <t>Dave Rawdon</t>
  </si>
  <si>
    <t>ASSISTANT PROJECT MANAGER</t>
  </si>
  <si>
    <t>TBD</t>
  </si>
  <si>
    <t>PROJECT ADMIN</t>
  </si>
  <si>
    <t>SUPERINTENDENT - LEVEL 2</t>
  </si>
  <si>
    <t>Brad</t>
  </si>
  <si>
    <t>SUPERINTENDENT - LEVEL 1</t>
  </si>
  <si>
    <t>ASSISTANT SUPERINTENDENT</t>
  </si>
  <si>
    <t xml:space="preserve">ASSISTANT SUPERINTENDENT  </t>
  </si>
  <si>
    <t>Quality Control</t>
  </si>
  <si>
    <t>General Super</t>
  </si>
  <si>
    <t>ACCOUNTING</t>
  </si>
  <si>
    <t>Scheduling Consultant w/ weekly updates</t>
  </si>
  <si>
    <t>FOREMAN</t>
  </si>
  <si>
    <t>Job Cost</t>
  </si>
  <si>
    <t>CARPENTER</t>
  </si>
  <si>
    <t>LABORER</t>
  </si>
  <si>
    <t xml:space="preserve"> </t>
  </si>
  <si>
    <t xml:space="preserve">Contract Reference </t>
  </si>
  <si>
    <t>General Condition Ref.</t>
  </si>
  <si>
    <t xml:space="preserve">Construction </t>
  </si>
  <si>
    <t xml:space="preserve">Activity </t>
  </si>
  <si>
    <t xml:space="preserve">Start </t>
  </si>
  <si>
    <t xml:space="preserve">Finish </t>
  </si>
  <si>
    <t>Days</t>
  </si>
  <si>
    <t xml:space="preserve">Weeks </t>
  </si>
  <si>
    <t xml:space="preserve">Months </t>
  </si>
  <si>
    <t>% Time</t>
  </si>
  <si>
    <t xml:space="preserve">Remarks </t>
  </si>
  <si>
    <t>Demo to building pad</t>
  </si>
  <si>
    <t>Per RFP Schedule</t>
  </si>
  <si>
    <t xml:space="preserve">Close Out </t>
  </si>
  <si>
    <t>General Conditions</t>
  </si>
  <si>
    <t>General Req. - Field Office</t>
  </si>
  <si>
    <t>General Req.</t>
  </si>
  <si>
    <t xml:space="preserve">Description </t>
  </si>
  <si>
    <t>Qty.</t>
  </si>
  <si>
    <t>U</t>
  </si>
  <si>
    <t xml:space="preserve">Unit </t>
  </si>
  <si>
    <t>Const.</t>
  </si>
  <si>
    <t xml:space="preserve">General </t>
  </si>
  <si>
    <t>LABOR RATE                  FY 2025               *Updated 09.26.24</t>
  </si>
  <si>
    <t>LABOR RATE (MIAMI/FT. LAUDERDALE)</t>
  </si>
  <si>
    <t>LABOR RATE (MF CENTRAL FLORIDA)</t>
  </si>
  <si>
    <t xml:space="preserve">Cost </t>
  </si>
  <si>
    <t>Cond.</t>
  </si>
  <si>
    <t>Req.</t>
  </si>
  <si>
    <t xml:space="preserve">Field Labor - Construction </t>
  </si>
  <si>
    <t xml:space="preserve">Project Executive </t>
  </si>
  <si>
    <t>wks</t>
  </si>
  <si>
    <t>Senior Project Manager</t>
  </si>
  <si>
    <t>Project Manager - Level 3</t>
  </si>
  <si>
    <t>Project Manager - Level 2</t>
  </si>
  <si>
    <t>Project Manager - Level 1</t>
  </si>
  <si>
    <t>Project Administator</t>
  </si>
  <si>
    <t>Project Accountant</t>
  </si>
  <si>
    <t xml:space="preserve">Assistant Project Manager </t>
  </si>
  <si>
    <t>Superintendent - Level 3</t>
  </si>
  <si>
    <t>Superintendent - Level 2</t>
  </si>
  <si>
    <t>Brad Harrison</t>
  </si>
  <si>
    <t>Superintendent - Level 1</t>
  </si>
  <si>
    <t>TBD for phase 2 only</t>
  </si>
  <si>
    <t>Assistant Superintendent</t>
  </si>
  <si>
    <t>Quality Control Manager</t>
  </si>
  <si>
    <t xml:space="preserve">Accounting </t>
  </si>
  <si>
    <t>Safety Supervisor/Inspector</t>
  </si>
  <si>
    <t xml:space="preserve">Field Labor - Close Out </t>
  </si>
  <si>
    <t xml:space="preserve">Project Coordinator </t>
  </si>
  <si>
    <t>Assistant Superinterndent</t>
  </si>
  <si>
    <t xml:space="preserve">Field Office - Contractor </t>
  </si>
  <si>
    <t>Field Office Set Up / Removal - Double Wide</t>
  </si>
  <si>
    <t>ea</t>
  </si>
  <si>
    <t>`</t>
  </si>
  <si>
    <t>Field Office - Double Wide</t>
  </si>
  <si>
    <t>mos</t>
  </si>
  <si>
    <t>Field Office Set Up / Removal - Single Wide</t>
  </si>
  <si>
    <t>WILLSCOT 4/16/2024 (36x10 mobile office)</t>
  </si>
  <si>
    <t>Field Office - Single Wide</t>
  </si>
  <si>
    <t>Field Office Set Up / Removal - Connex</t>
  </si>
  <si>
    <t>WILLSCOT 20' COMBO W/10' OFFICE</t>
  </si>
  <si>
    <t>Field Office - Conex</t>
  </si>
  <si>
    <t>Connect Telephone Lines</t>
  </si>
  <si>
    <t xml:space="preserve">Telephone </t>
  </si>
  <si>
    <t>Cellular Telephones</t>
  </si>
  <si>
    <t>In labor rates</t>
  </si>
  <si>
    <t xml:space="preserve">Furniture </t>
  </si>
  <si>
    <t>ls</t>
  </si>
  <si>
    <t>Office Supplies</t>
  </si>
  <si>
    <t>Drinking Water</t>
  </si>
  <si>
    <t>Janitor Supplies/Cleaning</t>
  </si>
  <si>
    <t xml:space="preserve">Computers </t>
  </si>
  <si>
    <t xml:space="preserve">Printers </t>
  </si>
  <si>
    <t>Copy Machine</t>
  </si>
  <si>
    <t xml:space="preserve">Alarm System </t>
  </si>
  <si>
    <t xml:space="preserve">Installation Office Equip. </t>
  </si>
  <si>
    <t xml:space="preserve">Storage Trailers Set Up / Removal </t>
  </si>
  <si>
    <t>willscot 40' trailer</t>
  </si>
  <si>
    <t xml:space="preserve">Storage Trailers </t>
  </si>
  <si>
    <t>Rate - $1200 ea. per month</t>
  </si>
  <si>
    <t xml:space="preserve">Field Office - Owner </t>
  </si>
  <si>
    <t xml:space="preserve">Field Office Set Up / Removal </t>
  </si>
  <si>
    <t xml:space="preserve">assume not required </t>
  </si>
  <si>
    <t xml:space="preserve">Field Office </t>
  </si>
  <si>
    <t>Telephone</t>
  </si>
  <si>
    <t>Janitor Supplies</t>
  </si>
  <si>
    <t>Fax Machine</t>
  </si>
  <si>
    <t>Temporary Utilities</t>
  </si>
  <si>
    <t xml:space="preserve">Temp. Electrical Service </t>
  </si>
  <si>
    <t>by elect sub</t>
  </si>
  <si>
    <t>Temp. Electrical - Const. Phase</t>
  </si>
  <si>
    <t xml:space="preserve">by owner </t>
  </si>
  <si>
    <t>Temp.  Electrical - Operate Phase</t>
  </si>
  <si>
    <t>Temp. Wiring &amp; Lighting</t>
  </si>
  <si>
    <t>sf</t>
  </si>
  <si>
    <t xml:space="preserve">by elect sub </t>
  </si>
  <si>
    <t>Temporary Water - Service</t>
  </si>
  <si>
    <t xml:space="preserve">Temporary Water  </t>
  </si>
  <si>
    <t>Temporary Toilets</t>
  </si>
  <si>
    <t>04/15/2024 united site services</t>
  </si>
  <si>
    <t xml:space="preserve">Temporary Toilet Set Up / Removal </t>
  </si>
  <si>
    <t>Temporary Washing Station</t>
  </si>
  <si>
    <t xml:space="preserve">Temporary Washing Station Set Up / Removal </t>
  </si>
  <si>
    <t>Temporary Holding Tanks</t>
  </si>
  <si>
    <t xml:space="preserve">Temporary Ventilation </t>
  </si>
  <si>
    <t xml:space="preserve">Temporary Cooling </t>
  </si>
  <si>
    <t xml:space="preserve">Equipment </t>
  </si>
  <si>
    <t xml:space="preserve">Small Tools </t>
  </si>
  <si>
    <t xml:space="preserve">Equipment Rental </t>
  </si>
  <si>
    <t>Engineering Instruments</t>
  </si>
  <si>
    <t xml:space="preserve">Security </t>
  </si>
  <si>
    <t>Temporary Fence - 6' Post Driven w/ windscreen</t>
  </si>
  <si>
    <t>lf</t>
  </si>
  <si>
    <t>rent national 4/15/2024</t>
  </si>
  <si>
    <t>Temporary Fence - 8' Post Driven w/ windscreen</t>
  </si>
  <si>
    <t>Temporary Fence - 6' Panels w/ windscreen</t>
  </si>
  <si>
    <t>Temporary Fence - 8' Panels w/ windscreen</t>
  </si>
  <si>
    <t>Temporary Fence - Gates 8'x24'</t>
  </si>
  <si>
    <t xml:space="preserve">Temporary Fence Maintain </t>
  </si>
  <si>
    <t>Security Service</t>
  </si>
  <si>
    <t>Additional Safety Material/Modifications</t>
  </si>
  <si>
    <t>Protection Floor &amp; Roof Openings</t>
  </si>
  <si>
    <t>Protection Existing Floors &amp; Walls</t>
  </si>
  <si>
    <t>Protection Service Elevator</t>
  </si>
  <si>
    <t>Temporary Enclosures</t>
  </si>
  <si>
    <t>Temporary Ladders</t>
  </si>
  <si>
    <t>Building Barricades</t>
  </si>
  <si>
    <t>Site Barricades</t>
  </si>
  <si>
    <t xml:space="preserve">Fire Protection </t>
  </si>
  <si>
    <t>First Aid</t>
  </si>
  <si>
    <t xml:space="preserve">Drug Testing </t>
  </si>
  <si>
    <t xml:space="preserve">Cleaning </t>
  </si>
  <si>
    <t>Trash Removal - 10yd dumpsters</t>
  </si>
  <si>
    <t>4/15/2024 Coastal Waste *see 02 10 Site Prep</t>
  </si>
  <si>
    <t>Trash Removal - 20yd dumpsters</t>
  </si>
  <si>
    <t>Trash Removal - 30yd dumpsters</t>
  </si>
  <si>
    <t xml:space="preserve">Trash Removal - Field Offices </t>
  </si>
  <si>
    <t xml:space="preserve">General Building Cleaning </t>
  </si>
  <si>
    <t xml:space="preserve">Final Building Clean </t>
  </si>
  <si>
    <t>add different categories - check with operations</t>
  </si>
  <si>
    <t xml:space="preserve">Services </t>
  </si>
  <si>
    <t xml:space="preserve">CMP Schedule - Set Up </t>
  </si>
  <si>
    <t>Call Assaf Newmark (Spectrum Consulting) to confirm 404-819-4663</t>
  </si>
  <si>
    <t>CPM Schedule - Updates (Standard Reports)</t>
  </si>
  <si>
    <t>Call Assaf Newmark (Spectrum Consulting) to confirm 404-819-4664</t>
  </si>
  <si>
    <t>CPM Schedule - Updates (Bifurcated Reports)</t>
  </si>
  <si>
    <t>Call Assaf Newmark (Spectrum Consulting) to confirm 404-819-4665</t>
  </si>
  <si>
    <t>Progress Photos Bldg. - Ground</t>
  </si>
  <si>
    <t>Progress Photos Bldg. - Aerial</t>
  </si>
  <si>
    <t>Video - Existing Conditions</t>
  </si>
  <si>
    <t xml:space="preserve">Video - Owner O&amp;M Demo. </t>
  </si>
  <si>
    <t>Legal</t>
  </si>
  <si>
    <t xml:space="preserve">Drawings </t>
  </si>
  <si>
    <t>As Built Survey</t>
  </si>
  <si>
    <t xml:space="preserve">As Built Drawings </t>
  </si>
  <si>
    <t>Plan/Copy Expense</t>
  </si>
  <si>
    <t>Postage - USPS</t>
  </si>
  <si>
    <t>Postage - Fed-X</t>
  </si>
  <si>
    <t xml:space="preserve">Testing </t>
  </si>
  <si>
    <t xml:space="preserve">Concrete Testing </t>
  </si>
  <si>
    <t>by owner</t>
  </si>
  <si>
    <t xml:space="preserve">Steel Testing </t>
  </si>
  <si>
    <t>Special Inspectors</t>
  </si>
  <si>
    <t xml:space="preserve">Permits </t>
  </si>
  <si>
    <t xml:space="preserve">Building Permits </t>
  </si>
  <si>
    <t>Impact Fees</t>
  </si>
  <si>
    <t>Trailer Permits</t>
  </si>
  <si>
    <t>Off Site Permits</t>
  </si>
  <si>
    <t>Travel</t>
  </si>
  <si>
    <t>Airfare</t>
  </si>
  <si>
    <t>round trip</t>
  </si>
  <si>
    <t>Hotel</t>
  </si>
  <si>
    <t>per night</t>
  </si>
  <si>
    <t>2 nights</t>
  </si>
  <si>
    <t>Per Diem</t>
  </si>
  <si>
    <t>per day</t>
  </si>
  <si>
    <t xml:space="preserve">Other </t>
  </si>
  <si>
    <t xml:space="preserve">Project Sign </t>
  </si>
  <si>
    <t xml:space="preserve">Temporary Parking </t>
  </si>
  <si>
    <t>Legal Notices</t>
  </si>
  <si>
    <t>Total GCs</t>
  </si>
  <si>
    <t>Total GRs</t>
  </si>
  <si>
    <t>Total GCs &amp; GRs</t>
  </si>
  <si>
    <t>per month</t>
  </si>
  <si>
    <t>Hedrick Plug</t>
  </si>
  <si>
    <t>X</t>
  </si>
  <si>
    <t>Excluded</t>
  </si>
  <si>
    <t>BACK TO SUMMARY SHEET</t>
  </si>
  <si>
    <t>I</t>
  </si>
  <si>
    <t>Included</t>
  </si>
  <si>
    <t>Bidder 1</t>
  </si>
  <si>
    <t>Bidder 2</t>
  </si>
  <si>
    <t>Bidder 3</t>
  </si>
  <si>
    <t>Bidder 4</t>
  </si>
  <si>
    <t>Bidder5</t>
  </si>
  <si>
    <t>Bidder6</t>
  </si>
  <si>
    <t xml:space="preserve">Project: </t>
  </si>
  <si>
    <t>Company</t>
  </si>
  <si>
    <t>HB Construction</t>
  </si>
  <si>
    <t xml:space="preserve">Trade:   </t>
  </si>
  <si>
    <t>IDS Services</t>
  </si>
  <si>
    <t>Contact</t>
  </si>
  <si>
    <t>Butch Carmichael</t>
  </si>
  <si>
    <t xml:space="preserve">CSI Code:   </t>
  </si>
  <si>
    <t>Phone</t>
  </si>
  <si>
    <t>561-225-4868</t>
  </si>
  <si>
    <t xml:space="preserve">Date: </t>
  </si>
  <si>
    <t xml:space="preserve">Email </t>
  </si>
  <si>
    <t xml:space="preserve"> &lt;bcarmichael@hedrickbrothers.com&gt;</t>
  </si>
  <si>
    <t>Adjusted Bid</t>
  </si>
  <si>
    <t>BID DOCUMENTS:</t>
  </si>
  <si>
    <t>Plan/ Spec. Package</t>
  </si>
  <si>
    <t>QTY</t>
  </si>
  <si>
    <t>U/M</t>
  </si>
  <si>
    <t>Unit Cost</t>
  </si>
  <si>
    <t>Subtotal</t>
  </si>
  <si>
    <t>Yes/No</t>
  </si>
  <si>
    <t>Price</t>
  </si>
  <si>
    <t>Plans By Division</t>
  </si>
  <si>
    <t>P</t>
  </si>
  <si>
    <t>Survey</t>
  </si>
  <si>
    <t>OCIP Insurance per exhibit</t>
  </si>
  <si>
    <t>GENERAL INCLUSIONS</t>
  </si>
  <si>
    <t>INCLUDES ALL SALES TAX</t>
  </si>
  <si>
    <t>ALL HOISTING &amp; RIGGING REQUIRED TO COMPLETE THIS SCOPE</t>
  </si>
  <si>
    <t>PROVIDE P&amp;P BONDS</t>
  </si>
  <si>
    <t>FLORIDA STATE CONTRACTORS LIC.</t>
  </si>
  <si>
    <t>GENERAL LIABILITY AND WORKERS COMP. INSURANCE LIMITS</t>
  </si>
  <si>
    <t>STATE AND LOCAL TAXES</t>
  </si>
  <si>
    <t>SPECIFIC TRADE SCOPE OF WORK REQUIREMENTS</t>
  </si>
  <si>
    <t>BASE BID</t>
  </si>
  <si>
    <t>Pre-construction Modeling/BIM Execution Plan Meetings</t>
  </si>
  <si>
    <t>BIM Execution Plan Meeting including writing of BEP</t>
  </si>
  <si>
    <t>Initial Jobsite Visit</t>
  </si>
  <si>
    <t>Model Architectural</t>
  </si>
  <si>
    <t>Model Structural</t>
  </si>
  <si>
    <t>Model Mechanical/HVAC</t>
  </si>
  <si>
    <t>Model Plumbing</t>
  </si>
  <si>
    <t>Model Electrical</t>
  </si>
  <si>
    <t>Model Fire Sprinkler</t>
  </si>
  <si>
    <t>Model Civil</t>
  </si>
  <si>
    <t>Model FF&amp;E</t>
  </si>
  <si>
    <t>Pre-construction - Digital Scanning</t>
  </si>
  <si>
    <t>Drone Mapping</t>
  </si>
  <si>
    <t>Laser Scan of Existing Building after Demo</t>
  </si>
  <si>
    <t>Photos of Existing Furniture to be Modeled</t>
  </si>
  <si>
    <t>Pre-construction - BIM Coordination Meetings/ Clash Meetings</t>
  </si>
  <si>
    <t>Coordination/ Clash Meetings</t>
  </si>
  <si>
    <t>Modification of Architectural Model</t>
  </si>
  <si>
    <t>Modification of Structural Model</t>
  </si>
  <si>
    <t>Modification of Mechanical/HVAC Model</t>
  </si>
  <si>
    <t>Modification of Plumbing Model</t>
  </si>
  <si>
    <t>Modification of Electrical Model</t>
  </si>
  <si>
    <t>Modification of Fire Sprinkler Model</t>
  </si>
  <si>
    <t>Modification of Civil Model</t>
  </si>
  <si>
    <t>Modification of FF&amp;E Model</t>
  </si>
  <si>
    <t>Construction - BIM Coordination Meetings/ Clash Meetings</t>
  </si>
  <si>
    <t>As-Built Digital Scanning</t>
  </si>
  <si>
    <t>Pre-Drywall Laser Scan</t>
  </si>
  <si>
    <t>Laser Scan to Verify Installation</t>
  </si>
  <si>
    <t>Closeout Documents/ As-Builts</t>
  </si>
  <si>
    <t>Link RFIs to Model</t>
  </si>
  <si>
    <t>Link Submittals to Model</t>
  </si>
  <si>
    <t>Link O&amp;M Documents to Model</t>
  </si>
  <si>
    <t>Link Warranties &amp; Guarantees to Model</t>
  </si>
  <si>
    <t>Additional Services</t>
  </si>
  <si>
    <t>Additional Jobsite Visits</t>
  </si>
  <si>
    <t>Interior Renderings</t>
  </si>
  <si>
    <t>Exterior Renderings</t>
  </si>
  <si>
    <t>3D Fly Through</t>
  </si>
  <si>
    <t>4D Simulation</t>
  </si>
  <si>
    <t>VR Presentations</t>
  </si>
  <si>
    <t>Full Virtual Tour</t>
  </si>
  <si>
    <t>Site Logistics</t>
  </si>
  <si>
    <t>5D Quantity Take-Off</t>
  </si>
  <si>
    <t>Space Planning</t>
  </si>
  <si>
    <t>Other:</t>
  </si>
  <si>
    <t>SUBTOTAL</t>
  </si>
  <si>
    <t>BOND RATE</t>
  </si>
  <si>
    <t>BOND AMOUNT</t>
  </si>
  <si>
    <t xml:space="preserve">ADJUSTED TOTAL </t>
  </si>
  <si>
    <t>Cost per SF</t>
  </si>
  <si>
    <t>Cost per Unit</t>
  </si>
  <si>
    <t>QUALIFICATIONS</t>
  </si>
  <si>
    <t>EXCLUSIONS/OWNER PROVIDED ITEMS:</t>
  </si>
  <si>
    <t>ALTERNATES:</t>
  </si>
  <si>
    <t>PROPOSED VE (Provide Clear Description):</t>
  </si>
  <si>
    <t>FULLY LOADED LABOR RATES</t>
  </si>
  <si>
    <t>Laborer</t>
  </si>
  <si>
    <t>Mechanic</t>
  </si>
  <si>
    <t>Superintendent</t>
  </si>
  <si>
    <t>Project Manager</t>
  </si>
  <si>
    <t xml:space="preserve">SCHEDULE </t>
  </si>
  <si>
    <t>Prepared shop drawings/submittals</t>
  </si>
  <si>
    <t>Mobilization</t>
  </si>
  <si>
    <t>Total duration to complete scope of work</t>
  </si>
  <si>
    <t>Winner</t>
  </si>
  <si>
    <t>Base Bid</t>
  </si>
  <si>
    <t>Need Prequalification</t>
  </si>
  <si>
    <t>Prequalified</t>
  </si>
  <si>
    <t>COST ESTIMATE (ROM)</t>
  </si>
  <si>
    <t>GRAND TOTAL</t>
  </si>
  <si>
    <t>$ /GSF</t>
  </si>
  <si>
    <t>Phase 1B Racquet Courts</t>
  </si>
  <si>
    <t>Phase 2
New Spa Building</t>
  </si>
  <si>
    <t>Phase 2A 
New Fitness Build. + Pav.</t>
  </si>
  <si>
    <t>Verif</t>
  </si>
  <si>
    <t>Delta</t>
  </si>
  <si>
    <t>Phase 1A Interior Club House Renos</t>
  </si>
  <si>
    <t>Phase 2 Bocce&amp; Basketball</t>
  </si>
  <si>
    <t>Phase 2 
POA building</t>
  </si>
  <si>
    <t>Phase 3
19th Hole Restaurant</t>
  </si>
  <si>
    <t>Phase 3 Reno Existing Fitness Building</t>
  </si>
  <si>
    <t>Prev.</t>
  </si>
  <si>
    <t>Notes</t>
  </si>
  <si>
    <t>01A</t>
  </si>
  <si>
    <t>Surveying</t>
  </si>
  <si>
    <t>01B</t>
  </si>
  <si>
    <t>Materials Testing</t>
  </si>
  <si>
    <t>By Owner</t>
  </si>
  <si>
    <t>05C</t>
  </si>
  <si>
    <t>Misc. Metals</t>
  </si>
  <si>
    <t>06A</t>
  </si>
  <si>
    <t>Rough Carpentry</t>
  </si>
  <si>
    <t>06C</t>
  </si>
  <si>
    <t>Wood Trusses</t>
  </si>
  <si>
    <t>07E</t>
  </si>
  <si>
    <t>Caulking &amp; Waterproofing</t>
  </si>
  <si>
    <t>07H</t>
  </si>
  <si>
    <t>Panelized Exterior Skin</t>
  </si>
  <si>
    <t>08A</t>
  </si>
  <si>
    <t>Doors, Frames, &amp; Hardware</t>
  </si>
  <si>
    <t>09C</t>
  </si>
  <si>
    <t>Acoustical Ceilings</t>
  </si>
  <si>
    <t>09D</t>
  </si>
  <si>
    <t>Acoustical Treatment</t>
  </si>
  <si>
    <t>09G</t>
  </si>
  <si>
    <t>Sports Flooring</t>
  </si>
  <si>
    <t>10A</t>
  </si>
  <si>
    <t>Signage</t>
  </si>
  <si>
    <t>10C</t>
  </si>
  <si>
    <t>Toilet Partitions &amp; Bathroom Accessories</t>
  </si>
  <si>
    <t>10F</t>
  </si>
  <si>
    <t>Lockers</t>
  </si>
  <si>
    <t>10I</t>
  </si>
  <si>
    <t>Fire Extinguishers&amp; Cabinets</t>
  </si>
  <si>
    <t>12A</t>
  </si>
  <si>
    <t>Window Treatment</t>
  </si>
  <si>
    <t>28A</t>
  </si>
  <si>
    <r>
      <rPr>
        <sz val="11"/>
        <color rgb="FF000000"/>
        <rFont val="Calibri"/>
      </rPr>
      <t xml:space="preserve">Low Voltage - </t>
    </r>
    <r>
      <rPr>
        <i/>
        <sz val="11"/>
        <color rgb="FF000000"/>
        <rFont val="Calibri"/>
      </rPr>
      <t>Conduits included in Electrical</t>
    </r>
  </si>
  <si>
    <t>32A</t>
  </si>
  <si>
    <t>Pavers</t>
  </si>
  <si>
    <t>32B</t>
  </si>
  <si>
    <t>Site Furnishings</t>
  </si>
  <si>
    <t>32C</t>
  </si>
  <si>
    <t>Landscape and Irrigation</t>
  </si>
  <si>
    <t>32D</t>
  </si>
  <si>
    <t>Fencing</t>
  </si>
  <si>
    <t>Phase 1 Interior Clubhouse Renovations</t>
  </si>
  <si>
    <t>Phase 2 Bocce &amp; Basketball</t>
  </si>
  <si>
    <t>Phase 2 POA</t>
  </si>
  <si>
    <t>Phase 3 19th Hole</t>
  </si>
  <si>
    <t>Phase 3 Existing Fitness Building</t>
  </si>
  <si>
    <t xml:space="preserve"> SUB-TOTAL 1 (Cost of Work)Building</t>
  </si>
  <si>
    <t>GC Contingency</t>
  </si>
  <si>
    <t>Owner Contingency</t>
  </si>
  <si>
    <t>By owner</t>
  </si>
  <si>
    <t>Escalation Contingency</t>
  </si>
  <si>
    <t xml:space="preserve"> SUB-TOTAL 2 (Contingency)</t>
  </si>
  <si>
    <t>General Requirements</t>
  </si>
  <si>
    <t>Innovation &amp; Digital Services (IDS)</t>
  </si>
  <si>
    <t>Builders Risk Insurance &amp; Deductibles</t>
  </si>
  <si>
    <t>Subcontractor Default Insurance</t>
  </si>
  <si>
    <t>Procore</t>
  </si>
  <si>
    <t>Warranty</t>
  </si>
  <si>
    <t>General Liability Insurance</t>
  </si>
  <si>
    <t>SUB-TOTAL 3 (Bonds, Insurances, &amp; GC's)</t>
  </si>
  <si>
    <t>Overhead</t>
  </si>
  <si>
    <t>Contractor's Fee</t>
  </si>
  <si>
    <t xml:space="preserve">ESTIMATE TOTAL </t>
  </si>
  <si>
    <t>CONSTRUCTION CONCEPTUAL BUDGET RANGE</t>
  </si>
  <si>
    <t>$31 - 35 Million</t>
  </si>
  <si>
    <t>From Original cost summary</t>
  </si>
  <si>
    <t>Performance &amp; Payment Bond</t>
  </si>
  <si>
    <t xml:space="preserve">GROSS MARGIN </t>
  </si>
  <si>
    <t>COST %</t>
  </si>
  <si>
    <t>COST $</t>
  </si>
  <si>
    <t>BILLABLE</t>
  </si>
  <si>
    <t>MARGIN</t>
  </si>
  <si>
    <t xml:space="preserve">POTENTIAL BUYOUT SAVINGS </t>
  </si>
  <si>
    <t>50/50 SPLIT OR LUMP SUM</t>
  </si>
  <si>
    <t>GENERAL CONDITIONS</t>
  </si>
  <si>
    <t>SDI</t>
  </si>
  <si>
    <t>GENERAL LIABILITY INSURANCE</t>
  </si>
  <si>
    <t>FEE</t>
  </si>
  <si>
    <t>KEEP THIS TO ONE PAGE !!!!</t>
  </si>
  <si>
    <t>p</t>
  </si>
  <si>
    <t>GC Fee (OH)</t>
  </si>
  <si>
    <t>GC Fee (P)</t>
  </si>
  <si>
    <t>RFP Budget $34,000,000.00</t>
  </si>
  <si>
    <t>IDS, SDI, Procore, Warranty</t>
  </si>
  <si>
    <t>Budgeted</t>
  </si>
  <si>
    <t>$/SF</t>
  </si>
  <si>
    <t>COMPASS</t>
  </si>
  <si>
    <t>Phase 1 Interior Club House Renovations</t>
  </si>
  <si>
    <t>Phase 1 Racquet Courts</t>
  </si>
  <si>
    <t>Restroom</t>
  </si>
  <si>
    <t>AE100</t>
  </si>
  <si>
    <t>LS</t>
  </si>
  <si>
    <t>AC</t>
  </si>
  <si>
    <t>Phase 2 New Spa Building</t>
  </si>
  <si>
    <t>Area</t>
  </si>
  <si>
    <t>AE101</t>
  </si>
  <si>
    <t>Phase 2 POA Building</t>
  </si>
  <si>
    <t>Phase 2 New Fitness Building</t>
  </si>
  <si>
    <t>Phase 3 19th Hole Restaurant</t>
  </si>
  <si>
    <t>Material Testing</t>
  </si>
  <si>
    <t>Final Cleaning</t>
  </si>
  <si>
    <t>01C</t>
  </si>
  <si>
    <t>x</t>
  </si>
  <si>
    <t>i</t>
  </si>
  <si>
    <t>=sum(</t>
  </si>
  <si>
    <t>Tennis Canopies (193SF/EA)</t>
  </si>
  <si>
    <t>C1.1</t>
  </si>
  <si>
    <t>EA</t>
  </si>
  <si>
    <t>Shed (215SF)</t>
  </si>
  <si>
    <t>Bathroom Building (311SF)</t>
  </si>
  <si>
    <t>ADD</t>
  </si>
  <si>
    <t>Padle court canopy per RFI SD011</t>
  </si>
  <si>
    <t>Demo Create openings in existing exterior walls (1) First floor &amp; (1) 2nd floor</t>
  </si>
  <si>
    <t>AD101,AD102</t>
  </si>
  <si>
    <t>Demo Exterior wall finishes</t>
  </si>
  <si>
    <t>AD101, AD102
2/AD301</t>
  </si>
  <si>
    <t>SF</t>
  </si>
  <si>
    <t>Abatement</t>
  </si>
  <si>
    <t>02B</t>
  </si>
  <si>
    <t>Bidder2</t>
  </si>
  <si>
    <t>Bidder 5</t>
  </si>
  <si>
    <t>Bidder 6</t>
  </si>
  <si>
    <t>Concrete</t>
  </si>
  <si>
    <t>New Restroom Building</t>
  </si>
  <si>
    <t>C2.1</t>
  </si>
  <si>
    <t>Precast Lintels</t>
  </si>
  <si>
    <t>Covered Pickleball courts</t>
  </si>
  <si>
    <t>5 areas per RFI SD007</t>
  </si>
  <si>
    <t>Covered Seating area 22'x78' West of Tennis courts</t>
  </si>
  <si>
    <t>SP</t>
  </si>
  <si>
    <t>Covered Seating area 15'x30' West of Pickleball Courts per RFI SD007</t>
  </si>
  <si>
    <t>Covered Seating area 35'x55' East of Pickleball Courts per RFI SD007</t>
  </si>
  <si>
    <t>Padel Courts Seating area</t>
  </si>
  <si>
    <t>Area (including Pavilion)</t>
  </si>
  <si>
    <t>AE101, AE102</t>
  </si>
  <si>
    <t>Site steps to cart path (4 steps)</t>
  </si>
  <si>
    <t>Retaining wall 4' height</t>
  </si>
  <si>
    <t>UNIT  RATES</t>
  </si>
  <si>
    <t>Bidder1</t>
  </si>
  <si>
    <t>Precast Hollow Core</t>
  </si>
  <si>
    <t>03B</t>
  </si>
  <si>
    <t>Building SF</t>
  </si>
  <si>
    <t>Architectural Precast</t>
  </si>
  <si>
    <t>03C</t>
  </si>
  <si>
    <t>Concrete Tilt Up</t>
  </si>
  <si>
    <t>Structural Precast</t>
  </si>
  <si>
    <t>03D</t>
  </si>
  <si>
    <t>Slabs-psi</t>
  </si>
  <si>
    <t>Under slab vapor barriers-.</t>
  </si>
  <si>
    <t>6" Concrete Slab</t>
  </si>
  <si>
    <t xml:space="preserve">4" Concrete Slab </t>
  </si>
  <si>
    <t xml:space="preserve">Thickend Slab </t>
  </si>
  <si>
    <t>Elevator pit</t>
  </si>
  <si>
    <t>Add for 4000 psi Moisture sensitive concrete</t>
  </si>
  <si>
    <t>Dumpster Enclosure</t>
  </si>
  <si>
    <t>Monument Sign -</t>
  </si>
  <si>
    <t>SLAB-ON-GRADE</t>
  </si>
  <si>
    <t>5"  Slab w/ WWF 6x6 w.2.9xw2.9</t>
  </si>
  <si>
    <t xml:space="preserve">  a. Soil poisoning and pre-treat</t>
  </si>
  <si>
    <t xml:space="preserve">  b. Fine grading building pad</t>
  </si>
  <si>
    <t xml:space="preserve">  d. F&amp;I rebar, as per plans</t>
  </si>
  <si>
    <t xml:space="preserve">  e. F&amp;I wire mesh, as per plans</t>
  </si>
  <si>
    <t xml:space="preserve">  f. 4,000 PSI</t>
  </si>
  <si>
    <t xml:space="preserve">  g. Sawcut constr. / control joints</t>
  </si>
  <si>
    <t xml:space="preserve">  h. Finish slab to FF25/FL17</t>
  </si>
  <si>
    <t xml:space="preserve">  i. Leave out strip, compact</t>
  </si>
  <si>
    <t xml:space="preserve">  j. Patch slab after tilt operations</t>
  </si>
  <si>
    <t xml:space="preserve">  k. Provide curing compound</t>
  </si>
  <si>
    <t xml:space="preserve">TILT-UP WALL PANELS - </t>
  </si>
  <si>
    <t xml:space="preserve">  a. Provide lifting and bracing eng.</t>
  </si>
  <si>
    <t xml:space="preserve">  b. Provide panel shop drawings</t>
  </si>
  <si>
    <t xml:space="preserve">  c. Provide rebar shop drawings</t>
  </si>
  <si>
    <t xml:space="preserve">   1) Structural panel engineering</t>
  </si>
  <si>
    <t xml:space="preserve">   2) Added rebar for panels, as req.</t>
  </si>
  <si>
    <t xml:space="preserve">  d. Form panels to ACI tolerances</t>
  </si>
  <si>
    <t xml:space="preserve">  e. F&amp;I panel inserts, rebar and accessories</t>
  </si>
  <si>
    <t xml:space="preserve">  f. All reveals, recesses, rustif.</t>
  </si>
  <si>
    <t xml:space="preserve">  g. Provide PT at top of panels</t>
  </si>
  <si>
    <t xml:space="preserve">  h. Install Only: HM frames</t>
  </si>
  <si>
    <t xml:space="preserve">  i. Install embeds for struct. steel</t>
  </si>
  <si>
    <t xml:space="preserve">  j. concrete to be 4,000 PSI </t>
  </si>
  <si>
    <t xml:space="preserve">  k. Furnish all panel connections - Corners Only</t>
  </si>
  <si>
    <t xml:space="preserve">  l. Weld all panel connections</t>
  </si>
  <si>
    <t xml:space="preserve">  m. Erection of panels to ACI tol.</t>
  </si>
  <si>
    <t xml:space="preserve">  n. Solid grouting of panels</t>
  </si>
  <si>
    <t xml:space="preserve">  o. Grind, patch, rub-out panels</t>
  </si>
  <si>
    <t xml:space="preserve">  p. Provide brace rental for 28 days</t>
  </si>
  <si>
    <t xml:space="preserve">   1) ADD for additional 28 days</t>
  </si>
  <si>
    <t xml:space="preserve">  q. Install/remove deadmen, as req.</t>
  </si>
  <si>
    <t xml:space="preserve">  r. Provide casting beds, as req.</t>
  </si>
  <si>
    <t xml:space="preserve">  s. Provide leave-out panel for steel erection</t>
  </si>
  <si>
    <t>Total panel concrete</t>
  </si>
  <si>
    <t>Lull for duration of job including - Operator</t>
  </si>
  <si>
    <t xml:space="preserve">Additional dumpsters for casting bed </t>
  </si>
  <si>
    <t>Panel structural engineering</t>
  </si>
  <si>
    <t>Cranes and Hoisting</t>
  </si>
  <si>
    <t>03E</t>
  </si>
  <si>
    <t>Concrete Restoration</t>
  </si>
  <si>
    <t>03F</t>
  </si>
  <si>
    <t xml:space="preserve">Project:   </t>
  </si>
  <si>
    <t>Masonry</t>
  </si>
  <si>
    <t>04A</t>
  </si>
  <si>
    <t>CMU, Incl.: 8" &amp; 12"</t>
  </si>
  <si>
    <t xml:space="preserve">  a. Layout and formwork</t>
  </si>
  <si>
    <t xml:space="preserve">  b. Reinf., as scheduled/detailed</t>
  </si>
  <si>
    <t xml:space="preserve">  c. ?-psi concrete grout; 0.? w/c</t>
  </si>
  <si>
    <t xml:space="preserve">  d. Pumping as required</t>
  </si>
  <si>
    <t xml:space="preserve">  e. Horizontal Reinf.</t>
  </si>
  <si>
    <t xml:space="preserve">  f. Lintels, ladder wire and accessories</t>
  </si>
  <si>
    <t xml:space="preserve">  g. Setting of Joist Embeds &amp; door frames</t>
  </si>
  <si>
    <t xml:space="preserve">  h. Above scope included for:</t>
  </si>
  <si>
    <t xml:space="preserve">      1)</t>
  </si>
  <si>
    <t xml:space="preserve">      2)</t>
  </si>
  <si>
    <t xml:space="preserve">      3)</t>
  </si>
  <si>
    <t>Cast Stone, Stone Veneer</t>
  </si>
  <si>
    <t>04B</t>
  </si>
  <si>
    <t>(5) Covered Pickleball courts</t>
  </si>
  <si>
    <t>Steel Columns</t>
  </si>
  <si>
    <t>Elevated roof Structure - Cold Form Metal Framing</t>
  </si>
  <si>
    <t>AE102</t>
  </si>
  <si>
    <t>Metal Trusses</t>
  </si>
  <si>
    <t>05B</t>
  </si>
  <si>
    <t>Structural Steel , incl.:</t>
  </si>
  <si>
    <t xml:space="preserve">  a. Equipment, cranes, etc.</t>
  </si>
  <si>
    <t xml:space="preserve">  b. scheduled/detailed shop drawings.</t>
  </si>
  <si>
    <t xml:space="preserve">  c. Steel Columns, W-Beams, Joists and Metal Decking as scheduled.</t>
  </si>
  <si>
    <t xml:space="preserve">  d. Steel connections, angle iron, steel beam at elevator.</t>
  </si>
  <si>
    <t xml:space="preserve">  e. Roof top equipment structural requirements.</t>
  </si>
  <si>
    <t xml:space="preserve">  f. Above scope included for:</t>
  </si>
  <si>
    <t>Decortative Columns - Metal Artisan Panels</t>
  </si>
  <si>
    <t>AE301</t>
  </si>
  <si>
    <t>Stair S103 - Railings</t>
  </si>
  <si>
    <t>Stair S104 - Railings</t>
  </si>
  <si>
    <t>Handrailings &amp; Railings</t>
  </si>
  <si>
    <t>05D</t>
  </si>
  <si>
    <t>Glass Railings</t>
  </si>
  <si>
    <t>05E</t>
  </si>
  <si>
    <t xml:space="preserve">Misc. Rough Carpentry </t>
  </si>
  <si>
    <t>Floor protection</t>
  </si>
  <si>
    <t>Trash Removal</t>
  </si>
  <si>
    <t>Temp protection at openings</t>
  </si>
  <si>
    <t>Trusses - Restrooms</t>
  </si>
  <si>
    <t>Addition only</t>
  </si>
  <si>
    <t>AE103</t>
  </si>
  <si>
    <t>Interior Finish Carpentry</t>
  </si>
  <si>
    <t>06D</t>
  </si>
  <si>
    <t>Install Doors:</t>
  </si>
  <si>
    <t>Interior Doors:</t>
  </si>
  <si>
    <t xml:space="preserve">  a. single leaf</t>
  </si>
  <si>
    <t xml:space="preserve">  b. 2 leaf</t>
  </si>
  <si>
    <t>Exterior Doors:</t>
  </si>
  <si>
    <t>Base Molding:</t>
  </si>
  <si>
    <t xml:space="preserve">  a. base (material)</t>
  </si>
  <si>
    <t xml:space="preserve">  b. base (install) - Paint Grade $1.75 LF and Stain Grade $2.50 LF</t>
  </si>
  <si>
    <t>Chair Rail:</t>
  </si>
  <si>
    <t xml:space="preserve">  a. chair rail (material)</t>
  </si>
  <si>
    <t xml:space="preserve">  b. chair rail (install)</t>
  </si>
  <si>
    <t>Crown Molding:</t>
  </si>
  <si>
    <t xml:space="preserve">  a. crown molding (material)</t>
  </si>
  <si>
    <t xml:space="preserve">  b. crown molding (install)</t>
  </si>
  <si>
    <t xml:space="preserve">  c. crown molding backing</t>
  </si>
  <si>
    <t>Bidder4</t>
  </si>
  <si>
    <t>Heavy Timber Construction</t>
  </si>
  <si>
    <t>06E</t>
  </si>
  <si>
    <t xml:space="preserve">This Subcontractor is responsible to supply and install a complete U.L. listed firestopping system for each penetration of their work through any fire rated assembly in order to maintain the fire rating of that work. Subcontractor to provide affidavit form their qualifier indicating all fire caulking is complete for the entire project. </t>
  </si>
  <si>
    <t>Exterior Finish Carpentry</t>
  </si>
  <si>
    <t>06G</t>
  </si>
  <si>
    <t>Sprayed Insulation</t>
  </si>
  <si>
    <t>07B</t>
  </si>
  <si>
    <t>Fireproofing &amp; Firestopping</t>
  </si>
  <si>
    <t>07C</t>
  </si>
  <si>
    <t>Penetartions for MEP FP</t>
  </si>
  <si>
    <t>Fire-rated head of walls and partitions</t>
  </si>
  <si>
    <t>Permits</t>
  </si>
  <si>
    <t>Davis Bacon</t>
  </si>
  <si>
    <t>Restroom Vanities</t>
  </si>
  <si>
    <t>Base &amp; trim</t>
  </si>
  <si>
    <t>Lobby 101 - Reception Desk - Polished stone slab allowance $65/SF</t>
  </si>
  <si>
    <t>Lobby 101 - Retail Display Millwork - specialty material allowance $35/SY</t>
  </si>
  <si>
    <t>Hair Salon 102 - Millwork Polished stone slab allowance $65/SF</t>
  </si>
  <si>
    <t>Retail 104 - Millwork stone slab allowance $65/SF</t>
  </si>
  <si>
    <t>Retail 104 - Specialty material allowance $50/SF</t>
  </si>
  <si>
    <t>Treatment rooms 105A, 105B, 105C, 105D, 105E, &amp; 105F - Polished stone slab allowance $65/SF</t>
  </si>
  <si>
    <t>Treatment rooms 105A, 105B, 105C, 105D, 105E, &amp; 105F - Specialty material allowance $50/SF</t>
  </si>
  <si>
    <t>Unsiex Restroom 108 - Millwork - Polished stone slab allowance $65/SF</t>
  </si>
  <si>
    <t>Employee Lounge 109 - PLAM and PLAM counter</t>
  </si>
  <si>
    <t>Steam Room 110A- Bench</t>
  </si>
  <si>
    <t>Steam Room 110B- Bench</t>
  </si>
  <si>
    <t>Office 113C - Shelving</t>
  </si>
  <si>
    <t>Prep Room/Storage 114 - PLAM and PLAM Counter</t>
  </si>
  <si>
    <t>Men's Lockeroom 115 - Vanity w/ADA - Polished stone allowance $65/SF</t>
  </si>
  <si>
    <t>Women's Lockeroom 116 - Vanity w/ADA - Polished stone allowance $65/SF</t>
  </si>
  <si>
    <t>Evaluation 118 - PLAM and Polished Stone slab Counter allowance $65/SF</t>
  </si>
  <si>
    <t>Storage 119A - PLAM Shelving on Heavy Duty Brackets</t>
  </si>
  <si>
    <t>Storage 119B - PLAM Shelving on Heavy Duty Brackets</t>
  </si>
  <si>
    <t>Storage 125 - PLAM Shelving on Heavy Duty Brackets</t>
  </si>
  <si>
    <t>Men's ADA Water Closet 119 - Vanity - Polished stone allowance $65/SF</t>
  </si>
  <si>
    <t>Men's ADA Restroom 201 - Vanity - Polished stone allowance $65/SF</t>
  </si>
  <si>
    <t>AE201</t>
  </si>
  <si>
    <t>Trainers Group Office - Millwork - PLAM and stone slab allowance $65/SF</t>
  </si>
  <si>
    <t>Concrete tiles</t>
  </si>
  <si>
    <t>Flat Roof area</t>
  </si>
  <si>
    <t>Elevated roof Structure</t>
  </si>
  <si>
    <t>Flat roof - Pavilion</t>
  </si>
  <si>
    <t>Flat Roof - Addition</t>
  </si>
  <si>
    <t>Concrete tiles - Addition</t>
  </si>
  <si>
    <t>Waterproofing</t>
  </si>
  <si>
    <t xml:space="preserve">Waterproofing, incl.: </t>
  </si>
  <si>
    <t xml:space="preserve">  a. specified waterproofing products as scheduled</t>
  </si>
  <si>
    <t xml:space="preserve">  b. equipment, lifts, sprayers, etc.</t>
  </si>
  <si>
    <t xml:space="preserve">  c. certified installers of product</t>
  </si>
  <si>
    <t xml:space="preserve">  d. protection for adjacent work</t>
  </si>
  <si>
    <t xml:space="preserve">  e. OSHA requirements</t>
  </si>
  <si>
    <t xml:space="preserve">  f. daily cleaup </t>
  </si>
  <si>
    <t xml:space="preserve">  g. Above scope included for:</t>
  </si>
  <si>
    <t>Window and Door Openings:</t>
  </si>
  <si>
    <t xml:space="preserve">Specified or Provided Waterproofing System: </t>
  </si>
  <si>
    <t xml:space="preserve">  a. door openings</t>
  </si>
  <si>
    <t xml:space="preserve">  b. window openings</t>
  </si>
  <si>
    <t xml:space="preserve">  c. exterior louvers, etc.</t>
  </si>
  <si>
    <t>Elevator Pit:</t>
  </si>
  <si>
    <t xml:space="preserve">  a. number of elevator pits</t>
  </si>
  <si>
    <t>Siding</t>
  </si>
  <si>
    <t>07F</t>
  </si>
  <si>
    <t>Elevated roof Structure - Alucobond Panels</t>
  </si>
  <si>
    <t>HM door, frames, &amp; Hardware</t>
  </si>
  <si>
    <t>Leafs</t>
  </si>
  <si>
    <t>Retractable Screens</t>
  </si>
  <si>
    <t>08 30</t>
  </si>
  <si>
    <t>Overhead Coiling Doors</t>
  </si>
  <si>
    <t>08B</t>
  </si>
  <si>
    <t>Storefronts area</t>
  </si>
  <si>
    <t>Windows</t>
  </si>
  <si>
    <t>Skylights</t>
  </si>
  <si>
    <t>08D</t>
  </si>
  <si>
    <t>Mirrors</t>
  </si>
  <si>
    <t>08E</t>
  </si>
  <si>
    <t>Addition</t>
  </si>
  <si>
    <t>AE301, AE302</t>
  </si>
  <si>
    <t>Pavilion</t>
  </si>
  <si>
    <t>Trim (Header, 7LF)</t>
  </si>
  <si>
    <t>Drywall &amp; Framing</t>
  </si>
  <si>
    <t>Employee Lounge 109 - ACT</t>
  </si>
  <si>
    <t>Office 113A - ACT</t>
  </si>
  <si>
    <t>Office 113B - ACT</t>
  </si>
  <si>
    <t>Office 113C - ACT</t>
  </si>
  <si>
    <t>Storage 119C - ACT</t>
  </si>
  <si>
    <t>Laundry 122 - ACT</t>
  </si>
  <si>
    <t>Utility RM 123 - ACT</t>
  </si>
  <si>
    <t>Classroom 122 &amp; 123 - ACT</t>
  </si>
  <si>
    <t>Classroom 122&amp;123 - Acoustical Absorptive Wall Panels Hufcor or Equal allowance $30/LY</t>
  </si>
  <si>
    <t>Classroom 204&amp;205 - Acoustical Absorptive Wall Panels Hufcor or Equal allowance $30/LY</t>
  </si>
  <si>
    <t>Consolidated Flooring</t>
  </si>
  <si>
    <t>Tile &amp; Stone</t>
  </si>
  <si>
    <t>Michael Teitelbaum</t>
  </si>
  <si>
    <t>561-779-7319</t>
  </si>
  <si>
    <t>mteitelbaum@consofloors.com</t>
  </si>
  <si>
    <t>Waterproofing membrane Wet Areas</t>
  </si>
  <si>
    <t>Crack Isolation</t>
  </si>
  <si>
    <t>Epoxy Grout</t>
  </si>
  <si>
    <t>Schluter transitions</t>
  </si>
  <si>
    <t>Mud Bed</t>
  </si>
  <si>
    <t>C&amp;As</t>
  </si>
  <si>
    <t>Restroom Floors - Allowance 8/SF</t>
  </si>
  <si>
    <t>C&amp;As 9'</t>
  </si>
  <si>
    <t>Restroom Walls - Allowance $7/SF</t>
  </si>
  <si>
    <t>Decorative Tile Feature - Allowance $15/SF</t>
  </si>
  <si>
    <t>Lobby 101 - 24x48 porcelaine tile allowance 8/sf staggered running bond (90%)</t>
  </si>
  <si>
    <t>Lobby 101 - 24x48 inset porcelain tile allowance $10/sf (10%)</t>
  </si>
  <si>
    <t>Lobby 101 Curved wall &amp; Niches - Mosaic tile allowance $35/SF</t>
  </si>
  <si>
    <t>Manicure/Pedicure 103- 12x24 porcelaine tile allowance $8/SF</t>
  </si>
  <si>
    <t>Retail 104 - 12x24 porcelain tile allowance $8/SF staggered running bond</t>
  </si>
  <si>
    <t>Unisex Restroom 108 - 12x24 porcelain tile allowance $8/SF staggered running bond</t>
  </si>
  <si>
    <t>Unisex Restroom 108 - 12x24 porcelain tile allowance $7/SF staggered running bond (includes cove base)</t>
  </si>
  <si>
    <t>Unisex Restroom 108 - Tile Border 6" high allowance $30/SF staggered running bond</t>
  </si>
  <si>
    <t>Steam Room 110A - 2x2 Floor tile 2x2 allowance $10/SF</t>
  </si>
  <si>
    <t>Steam Room 110A - Wall tile 12x24 allowance $7/SF</t>
  </si>
  <si>
    <t>Steam Room 110A - Wall tile border staggered running bond allowance $30/SF</t>
  </si>
  <si>
    <t>Steam Room 110A - 4x4 Ceiling tile Diagonal allowance $8/SF</t>
  </si>
  <si>
    <t>Steam Room 110A - Porcelaine 12x24 tile at bench allowance $7/SF</t>
  </si>
  <si>
    <t>Steam Room 110B - 2x2 Floor tile 2x2 allowance $10/SF</t>
  </si>
  <si>
    <t>Steam Room 110B - Wall tile 12x24 allowance $7/SF</t>
  </si>
  <si>
    <t>Steam Room 110B - Wall tile border staggered running bond allowance $30/SF</t>
  </si>
  <si>
    <t>Steam Room 110B - 4x4 Ceiling tile Diagonal allowance $8/SF</t>
  </si>
  <si>
    <t>Steam Room 110B - Porcelaine 12x24 tile at bench allowance $7/SF</t>
  </si>
  <si>
    <t>Whirlpool 112A - Porcelaine 12x24 tile allowance $8/SF staggered runnig bond pattern</t>
  </si>
  <si>
    <t>Whirlpool 112A - Walls Porcelaine 12x24 tile allowance $7/SF staggered runnig bond pattern</t>
  </si>
  <si>
    <t>Whirlpool 112A - Walls tile border allowance $30/SF staggered runnig bond pattern</t>
  </si>
  <si>
    <t>Whirlpool 112B - Porcelaine 12x24 tile allowance $8/SF staggered runnig bond pattern</t>
  </si>
  <si>
    <t>Whirlpool 112B - Walls Porcelaine 12x24 tile allowance $7/SF staggered runnig bond pattern</t>
  </si>
  <si>
    <t>Whirlpool 112B - Walls tile border allowance $30/SF staggered runnig bond pattern</t>
  </si>
  <si>
    <t>Men's Lockeroom 115 -  Restroom - 12x24 Porcelaine tile allowance $8/SF staggered running bond</t>
  </si>
  <si>
    <t>Men's Lockeroom 115 - Restroom - Tile wainscot12x24 Porcelaine tile allowance $7/SF staggerend running bond</t>
  </si>
  <si>
    <t>Men's Lockeroom 115 - Restrooms - Decorative tile border allowance $30/SF staggered running bond</t>
  </si>
  <si>
    <t>Men's Lockeroom 115 -  Shower 2x2 allowance $10/SF</t>
  </si>
  <si>
    <t>Men's Lockeroom 115 -  Shower Walls 12x24 allowance $7/SF staggered running bond</t>
  </si>
  <si>
    <t>Men's Lockeroom 115 -  Shower walls Decorative tile border allowance $30/SF</t>
  </si>
  <si>
    <t>Men's Lockeroom 115 -  Shower Ceiling 4x4 tile allowance $8/SF</t>
  </si>
  <si>
    <t>Men's Lockeroom 115 - Corridor - 12x24 Porcelaine tile allowance $8/SF</t>
  </si>
  <si>
    <t>Women's Lockeroom 116 -Restroom - 12x24 Porcelaine tile allowance $8/SF staggered running bond</t>
  </si>
  <si>
    <t>Women's Lockeroom 116 - Restrooms - Tile wainscot12x24 Porcelaine tile allowance $7/SF staggerend running bond</t>
  </si>
  <si>
    <t>Women's Lockeroom 116 - Restrooms - Decorative tile border allowance $30/SF</t>
  </si>
  <si>
    <t>Women's Lockeroom 116 -  Shower 2x2 allowance $10/SF</t>
  </si>
  <si>
    <t>Women's Lockeroom 116 -  Shower Walls 12x24 allowance $7/SF staggered running bond</t>
  </si>
  <si>
    <t>Women's Lockeroom 116 -  Shower walls Decorative tile border allowance $30/SF</t>
  </si>
  <si>
    <t>Women's Lockeroom 116 -  Shower Ceiling 4x4 tile allowance $8/SF</t>
  </si>
  <si>
    <t>Women's Lockeroom 116 - Corridor - 12x24 Porcelaine tile allowance $8/SF</t>
  </si>
  <si>
    <t>Storage 119B - 12x24 porcelain tile allowance $8/SF staggered running bond</t>
  </si>
  <si>
    <t>Janitor 121A - 12x24 porcelain tile allowance $8/SF staggered running bond</t>
  </si>
  <si>
    <t>Janitor 121B - 12x24 porcelain tile allowance $8/SF staggered running bond</t>
  </si>
  <si>
    <t>Janitor 121C - 12x24 porcelain tile allowance $8/SF staggered running bond</t>
  </si>
  <si>
    <t>Schluter shower systems</t>
  </si>
  <si>
    <t>Schluter Waterproofing system Steam Rooms 110A &amp; 110B</t>
  </si>
  <si>
    <t>Decorative Exterior Tile</t>
  </si>
  <si>
    <t>Porcelaine Exterior Tile</t>
  </si>
  <si>
    <t>Lobby 100 - 24x48 porcelaine tile allowance 8/sf staggered running bond (90%)</t>
  </si>
  <si>
    <t>Lobby 100 - 24x48 inset porcelain tile allowance $10/sf (10%)</t>
  </si>
  <si>
    <t>Corridor 118 - 12x24 porcelain tile allowance $8/SF staggered running bond (90%)</t>
  </si>
  <si>
    <t>Corridor 118 - 24x48 inset porcelain tile allowance $10/sf (10%)</t>
  </si>
  <si>
    <t>Elevator 102 - 12x24 porcelain tile allowance $8/SF staggered running bond</t>
  </si>
  <si>
    <t>Men's ADA Water Closet 119 - 12x24 porcelain tile allowance $8/SF staggered running bond</t>
  </si>
  <si>
    <t>Men's ADA Water Closet 119 Walls - 12x24 Porcelaine tile allowance $7/SF staggered running bond</t>
  </si>
  <si>
    <t>Men's ADA Water Closet 119 -  Decorative tile border allowance $30/SF</t>
  </si>
  <si>
    <t>Women's ADA Water Closet 120 - 12x24 porcelain tile allowance $8/SF staggered running bond</t>
  </si>
  <si>
    <t>Women's ADA Water Closet 120 Walls - 12x24 Porcelaine tile allowance $7/SF staggered running bond</t>
  </si>
  <si>
    <t>Women's ADA Water Closet 120 -  Decorative tile border allowance $30/SF</t>
  </si>
  <si>
    <t>Storage 121 - 24x48 porcelaine tile allowance 8/sf staggered running bond (90%)</t>
  </si>
  <si>
    <t>Storage 121 - 24x48 inset porcelain tile allowance $10/sf (10%)</t>
  </si>
  <si>
    <t>Corridor 200 - 12x24 porcelain tile allowance $8/SF staggered running bond (90%)</t>
  </si>
  <si>
    <t>Corridor 200 - 24x48 inset porcelain tile allowance $10/sf (10%)</t>
  </si>
  <si>
    <t>Men's ADA Restroom 201 - 12x24 porcelain tile allowance $8/SF staggered running bond</t>
  </si>
  <si>
    <t>Men's ADA Restroom 201 Walls - 12x24 Porcelaine tile allowance $7/SF staggered running bond</t>
  </si>
  <si>
    <t>Men's ADA Restroom 201 -  Decorative tile border allowance $30/SF</t>
  </si>
  <si>
    <t>Women's ADA Restroom 202 - 12x24 porcelain tile allowance $8/SF staggered running bond</t>
  </si>
  <si>
    <t>Women's ADA Restroom 202 Walls - 12x24 Porcelaine tile allowance $7/SF staggered running bond</t>
  </si>
  <si>
    <t>Women's ADA Restroom 202 -  Decorative tile border allowance $30/SF</t>
  </si>
  <si>
    <t>Stairs S103 - 12x24 porcelain tile allowance $8/SF staggered running bond</t>
  </si>
  <si>
    <t>Repairs to adjacent floors</t>
  </si>
  <si>
    <t>Carpet &amp; Resilient</t>
  </si>
  <si>
    <t>Carpet woven Axminster allowance $45/sy</t>
  </si>
  <si>
    <t>Carpet cut and Loop allowance $35/sy</t>
  </si>
  <si>
    <t>Carpet pad Tredmore 2580 Hosptitality</t>
  </si>
  <si>
    <t>Moisture testing</t>
  </si>
  <si>
    <t>LVT</t>
  </si>
  <si>
    <t>Hair Salon 102 - LVT allowance $5/SF</t>
  </si>
  <si>
    <t>Treatment rooms 105A, 105B, 105C, 105D, 105E, &amp; 105F - LVT allowance $5/SF</t>
  </si>
  <si>
    <t>Employee Lounge 109 - LVT allowance $4/SF</t>
  </si>
  <si>
    <t>Prep Room/Storage 114 - LVT allowance $4/SF</t>
  </si>
  <si>
    <t>Storage 119A - LVT allowance $5/SF</t>
  </si>
  <si>
    <t>Storage 125 - LVT allowance $5/SF</t>
  </si>
  <si>
    <t>Carpet</t>
  </si>
  <si>
    <t>Men's Lounge 106 - Broadloom Carpet</t>
  </si>
  <si>
    <t>SY</t>
  </si>
  <si>
    <t>Women's Lounge 107 - Broadloom Carpet</t>
  </si>
  <si>
    <t>Office 113A - broadloom carpet</t>
  </si>
  <si>
    <t>Office 113B - broadloom carpet</t>
  </si>
  <si>
    <t>Office 113C - broadloom carpet</t>
  </si>
  <si>
    <t>Men's Locker Room 115 - broadloom carpet</t>
  </si>
  <si>
    <t>Women's Locker Room 116 - broadloom carpet</t>
  </si>
  <si>
    <t>Physical Therapy Studio 117 - broadloom carpet</t>
  </si>
  <si>
    <t>Evaluation 118 - broadloom carpet</t>
  </si>
  <si>
    <t>Corridor 124 - broadloom carpet</t>
  </si>
  <si>
    <t>Storage 124 - LVT allowance $5/SF</t>
  </si>
  <si>
    <t>Storage/Electrical Room 126 - LVT allowance $5/SF</t>
  </si>
  <si>
    <t>Trainers Group Office 203 - LVT allowance $5/SF</t>
  </si>
  <si>
    <t>Storage 206 - LVT allowance $5/SF</t>
  </si>
  <si>
    <t>Storage 207 - LVT allowance $5/SF</t>
  </si>
  <si>
    <t>Wood Flooring</t>
  </si>
  <si>
    <t>Classroom 122 &amp; 123 - Robbins Sports Surfaces, Sportwood Ultrastar w/ vented base or Equal</t>
  </si>
  <si>
    <t>Classroom 204 &amp; 205 - Ecore Infinty RX or Equal</t>
  </si>
  <si>
    <t>Sound underlayment at Classrooms 204 &amp; 205</t>
  </si>
  <si>
    <t>Resinuous &amp; Polished Concrete</t>
  </si>
  <si>
    <t>09H</t>
  </si>
  <si>
    <t>Walls: Eggshell latex</t>
  </si>
  <si>
    <t>Ceilings and BOH walls: Flat Latex</t>
  </si>
  <si>
    <t>BOH &amp; Wet area ceilings: Epoxy</t>
  </si>
  <si>
    <t>Millwork, wood, wood trim,metal trim: Semi-gloss/Alkyd</t>
  </si>
  <si>
    <t>Interior:</t>
  </si>
  <si>
    <t>Exterior:</t>
  </si>
  <si>
    <t>Wall Covering</t>
  </si>
  <si>
    <t>Hair Salon 102 - Wallcovering allowance $35/SY</t>
  </si>
  <si>
    <t>Manicure/Pedicure103 - Wallcovering allowance $35/SY</t>
  </si>
  <si>
    <t>Retail 104 - Wallcovering allowance $35/SY</t>
  </si>
  <si>
    <t>Treatment rooms 105A, 105B, 105C, 105D, 105E, &amp; 105F - Wall covering allowance $35/SF</t>
  </si>
  <si>
    <t>Men's Lounge 106 - Wallcovering allowance $35/SY</t>
  </si>
  <si>
    <t>Women's Lounge 107 - Wallcovering allowance $35/SY</t>
  </si>
  <si>
    <t>Men's Lockeroom 115 - Wallcovering allowance $95/roll open Lav areas</t>
  </si>
  <si>
    <t>Men's Lockeroom 116 - Wallcovering allowance $95/roll at waterclosets</t>
  </si>
  <si>
    <t>Sealed Concrete</t>
  </si>
  <si>
    <t>Mechanical 120A</t>
  </si>
  <si>
    <t>Mechanical 120B</t>
  </si>
  <si>
    <t>Mechanical 120C</t>
  </si>
  <si>
    <t>Mechanical 120D</t>
  </si>
  <si>
    <t>Epoxy</t>
  </si>
  <si>
    <t>Storage 119C</t>
  </si>
  <si>
    <t>Laundry 122</t>
  </si>
  <si>
    <t>Utility RM 123</t>
  </si>
  <si>
    <t>Classroom 122 &amp; 123 - Wallcovering allowance $65/SY</t>
  </si>
  <si>
    <t>Stairs S204 (Exterior)</t>
  </si>
  <si>
    <t>Venetian Plaster</t>
  </si>
  <si>
    <t>09J</t>
  </si>
  <si>
    <t xml:space="preserve">Painting, incl.: </t>
  </si>
  <si>
    <t xml:space="preserve">  a. specified painting products as scheduled</t>
  </si>
  <si>
    <t xml:space="preserve">  c. beauty bead caulking at interior and exterior work</t>
  </si>
  <si>
    <t xml:space="preserve">  d. protection for adjacent work, including flooring</t>
  </si>
  <si>
    <t>a. doors and frames</t>
  </si>
  <si>
    <t>b. stucco walls</t>
  </si>
  <si>
    <t>c. stucco bands</t>
  </si>
  <si>
    <t>d. soffits</t>
  </si>
  <si>
    <t>b. drywall partitions</t>
  </si>
  <si>
    <t>c. drywall ceilings</t>
  </si>
  <si>
    <t>d. open ceilings - Dryfall</t>
  </si>
  <si>
    <t>e. wood/metal sidelite frames</t>
  </si>
  <si>
    <t>f. epoxy paint in restrooms</t>
  </si>
  <si>
    <t>Metal:</t>
  </si>
  <si>
    <t>a. exterior metal railing</t>
  </si>
  <si>
    <t>b. interior stairwell handrail and guard rail</t>
  </si>
  <si>
    <t>c. balcony railing</t>
  </si>
  <si>
    <t>ID room signage</t>
  </si>
  <si>
    <t>Classroom 122 &amp; 123</t>
  </si>
  <si>
    <t>Classroom 204 &amp; 205</t>
  </si>
  <si>
    <t>Toilet Partitions</t>
  </si>
  <si>
    <t>Accessories (2) TA-2, (2) TA-3, (5) TA-4, (4) TA-5, (4) PT dispensers, (5) Coat Hooks</t>
  </si>
  <si>
    <t>Install of accesssories</t>
  </si>
  <si>
    <t>Mirrors with stainless steel frames TA-1</t>
  </si>
  <si>
    <t>Accessories (10-GBs, 8-TP dispensers, 5-SND, 11-PT dispensers, 9-Soap Dispensers, 14-Coat hooks, 6-Shower curtains, 6-towel pins)</t>
  </si>
  <si>
    <t>Accessories (8-GBs, 4-TP dispensers, 52-SND, 4-PT dispensers, 4-Soap Dispensers, 4-Coat hooks)</t>
  </si>
  <si>
    <t>10 22</t>
  </si>
  <si>
    <t>Shower Enclosures</t>
  </si>
  <si>
    <t>10D</t>
  </si>
  <si>
    <t>Fireplace</t>
  </si>
  <si>
    <t>10 30</t>
  </si>
  <si>
    <t>Wall &amp; Corner Guards</t>
  </si>
  <si>
    <t>10E</t>
  </si>
  <si>
    <t>Men's Lockeroom 115 - allowance for new stained lockers</t>
  </si>
  <si>
    <t>Women's Lockeroom 116 - allowance for new stained lockers</t>
  </si>
  <si>
    <t>Mesh Storage Lockers</t>
  </si>
  <si>
    <t>10G</t>
  </si>
  <si>
    <t>Fireplaces</t>
  </si>
  <si>
    <t>10H</t>
  </si>
  <si>
    <t>Fire Extinguishers &amp; Cabinets</t>
  </si>
  <si>
    <t>FE with Brackets</t>
  </si>
  <si>
    <t>Postal Specialties</t>
  </si>
  <si>
    <t>10J</t>
  </si>
  <si>
    <t>Flood Mitigation</t>
  </si>
  <si>
    <t>10K</t>
  </si>
  <si>
    <t>Flagpoles</t>
  </si>
  <si>
    <t>10L</t>
  </si>
  <si>
    <t>Laundry Equipment</t>
  </si>
  <si>
    <t xml:space="preserve">11 11 </t>
  </si>
  <si>
    <t>Loading Dock Equipment</t>
  </si>
  <si>
    <t>11A</t>
  </si>
  <si>
    <t xml:space="preserve">Appliances, incl.: </t>
  </si>
  <si>
    <t xml:space="preserve">  a. include specified appliances as scheduled</t>
  </si>
  <si>
    <t xml:space="preserve">  b. include delivery, unloading and installation of appliances</t>
  </si>
  <si>
    <t xml:space="preserve">  c. include all required power cords, water supply lines, drainage lines for dishwashers and clothes washers, dryer vent piping, etc.</t>
  </si>
  <si>
    <t xml:space="preserve">  d. include removal of all appliance packaging</t>
  </si>
  <si>
    <t xml:space="preserve">  f. include sales tax</t>
  </si>
  <si>
    <t>Food Service Equipment</t>
  </si>
  <si>
    <t>11B</t>
  </si>
  <si>
    <t>Appliances</t>
  </si>
  <si>
    <t>11C</t>
  </si>
  <si>
    <t>Wall Protection</t>
  </si>
  <si>
    <t>12 30</t>
  </si>
  <si>
    <t>Athletic Equipment &amp; Surfacing</t>
  </si>
  <si>
    <t>11D</t>
  </si>
  <si>
    <t>Lab Casework</t>
  </si>
  <si>
    <t>12C</t>
  </si>
  <si>
    <t>Pre-Engineered Walkway Covers</t>
  </si>
  <si>
    <t>13A</t>
  </si>
  <si>
    <t>Atlantic Pools</t>
  </si>
  <si>
    <t>Thomas Stallone</t>
  </si>
  <si>
    <t>561-722-8553</t>
  </si>
  <si>
    <t>thomasstallone@gmail.com</t>
  </si>
  <si>
    <t>Steam Room 110A - Whirpool</t>
  </si>
  <si>
    <t>Steam Room 110B - Whirpool</t>
  </si>
  <si>
    <t>Corridor 124 - (2) Water features allowance $75/SF</t>
  </si>
  <si>
    <t>Exterior Waterfalls</t>
  </si>
  <si>
    <t>Awnings, Canopies, Shutters</t>
  </si>
  <si>
    <r>
      <rPr>
        <sz val="10"/>
        <color rgb="FF000000"/>
        <rFont val="Arial"/>
      </rPr>
      <t xml:space="preserve">Covered Pickleball courts </t>
    </r>
    <r>
      <rPr>
        <i/>
        <sz val="10"/>
        <color rgb="FFFF0000"/>
        <rFont val="Arial"/>
      </rPr>
      <t>In Structural Steel</t>
    </r>
  </si>
  <si>
    <t>Covered Seating area 15'x30' West of Padel Courts per RFI SD007</t>
  </si>
  <si>
    <t>Saunas</t>
  </si>
  <si>
    <t>13D</t>
  </si>
  <si>
    <t>Playground Equipment</t>
  </si>
  <si>
    <t>13E</t>
  </si>
  <si>
    <t>Shade Structures</t>
  </si>
  <si>
    <t>13F</t>
  </si>
  <si>
    <t>Metal Buildings</t>
  </si>
  <si>
    <t>13G</t>
  </si>
  <si>
    <t>E102</t>
  </si>
  <si>
    <t>Stops</t>
  </si>
  <si>
    <t>Chutes &amp; Collectors</t>
  </si>
  <si>
    <t>14B</t>
  </si>
  <si>
    <t>Trash Chute</t>
  </si>
  <si>
    <t>Elevator Interior &amp; Modernization</t>
  </si>
  <si>
    <t>14C</t>
  </si>
  <si>
    <t>Specificed Manufacturer: ?</t>
  </si>
  <si>
    <t>Model - ?</t>
  </si>
  <si>
    <t>Finish - ?</t>
  </si>
  <si>
    <t>Capacity - ?</t>
  </si>
  <si>
    <t>Speed - ?</t>
  </si>
  <si>
    <t>Operation system - ?</t>
  </si>
  <si>
    <t>Travel distance - ? ft</t>
  </si>
  <si>
    <t>Landings - ?</t>
  </si>
  <si>
    <t xml:space="preserve">Cab size - </t>
  </si>
  <si>
    <t xml:space="preserve">Hoistway size - </t>
  </si>
  <si>
    <t>Power - ?</t>
  </si>
  <si>
    <t>Automatic fan/light shutdown</t>
  </si>
  <si>
    <t>ADA phone</t>
  </si>
  <si>
    <t>Battery operated emergency lowering</t>
  </si>
  <si>
    <t>Pit ladder</t>
  </si>
  <si>
    <t>Elevator inspections</t>
  </si>
  <si>
    <t>Rent elevator for 3 months</t>
  </si>
  <si>
    <t>Wheelchair Lifts</t>
  </si>
  <si>
    <t>14D</t>
  </si>
  <si>
    <t>Cab size - 5'-8" w x 7'-10" d x 7'-4" h</t>
  </si>
  <si>
    <t>Hoistway size - 7'-4" w x 10'-9" h</t>
  </si>
  <si>
    <t>Elevator use for 2 months</t>
  </si>
  <si>
    <t>Vehicle Lifts</t>
  </si>
  <si>
    <t>14E</t>
  </si>
  <si>
    <t>Scaffolding</t>
  </si>
  <si>
    <t>14 80</t>
  </si>
  <si>
    <t>Bidder3</t>
  </si>
  <si>
    <t>Rob Gliniewicz</t>
  </si>
  <si>
    <t>30-768-6562</t>
  </si>
  <si>
    <t>rgliniewicz@everestmech.com</t>
  </si>
  <si>
    <r>
      <t>Furnish and Install all</t>
    </r>
    <r>
      <rPr>
        <b/>
        <sz val="11"/>
        <color theme="1"/>
        <rFont val="Calibri"/>
        <family val="2"/>
        <scheme val="minor"/>
      </rPr>
      <t xml:space="preserve"> Plumbing </t>
    </r>
    <r>
      <rPr>
        <sz val="11"/>
        <color theme="1"/>
        <rFont val="Calibri"/>
        <family val="2"/>
        <scheme val="minor"/>
      </rPr>
      <t>scope of work in accordance with the plans and specifications including but not limited to the items listed below unless noted otherwise:</t>
    </r>
  </si>
  <si>
    <r>
      <t xml:space="preserve">Subcontractor includes all Supervision, Labor, Material, and Equipment required to provide and complete all  </t>
    </r>
    <r>
      <rPr>
        <b/>
        <sz val="11"/>
        <color theme="1"/>
        <rFont val="Calibri"/>
        <family val="2"/>
        <scheme val="minor"/>
      </rPr>
      <t xml:space="preserve">Plumbing </t>
    </r>
    <r>
      <rPr>
        <sz val="11"/>
        <color theme="1"/>
        <rFont val="Calibri"/>
        <family val="2"/>
        <scheme val="minor"/>
      </rPr>
      <t>Per Plans, Specifications, and Local, State, and Federal Codes</t>
    </r>
  </si>
  <si>
    <t>{2.3}</t>
  </si>
  <si>
    <t>Excavate and Backfill</t>
  </si>
  <si>
    <t>Start up</t>
  </si>
  <si>
    <t>Sanitary piping - Under, Above, &amp; Vent - PVC</t>
  </si>
  <si>
    <t>Water Piping -Insulated</t>
  </si>
  <si>
    <t>Roof &amp; Floor drains</t>
  </si>
  <si>
    <t>Clean outs</t>
  </si>
  <si>
    <t>Fixtures</t>
  </si>
  <si>
    <t>Water Heaters</t>
  </si>
  <si>
    <t>Valves</t>
  </si>
  <si>
    <t>Drinking Foutain</t>
  </si>
  <si>
    <t>Safe off of existing Hydration station</t>
  </si>
  <si>
    <t>Bidder7</t>
  </si>
  <si>
    <t>Smart Air</t>
  </si>
  <si>
    <t>Southeast</t>
  </si>
  <si>
    <t>Medic air</t>
  </si>
  <si>
    <t>Master Mechanical</t>
  </si>
  <si>
    <t>Scott Watson213</t>
  </si>
  <si>
    <t>George Schmidt</t>
  </si>
  <si>
    <t>Michael Vander Ploeg</t>
  </si>
  <si>
    <t>Sean Pinna</t>
  </si>
  <si>
    <t>swatson@smartairsystems.com</t>
  </si>
  <si>
    <t>gschmidt.sms@gmail.com</t>
  </si>
  <si>
    <t>george@medicairsystems.com</t>
  </si>
  <si>
    <t>info@mastermechanicalservices.com</t>
  </si>
  <si>
    <t>Architectural Drawings  by Gensler dated 03-24-2023</t>
  </si>
  <si>
    <t>Structural Drawings by DeSimone Consulting Eng. dated</t>
  </si>
  <si>
    <t>MEP FA FP Drawings by Setty &amp; Associates</t>
  </si>
  <si>
    <t>Civil Drawings by Kimley Horn</t>
  </si>
  <si>
    <t xml:space="preserve">Land scape Drawings by </t>
  </si>
  <si>
    <t xml:space="preserve">Lighting Designer Studio 321 </t>
  </si>
  <si>
    <t>Geotech report by GFA International dated 08-31-2020</t>
  </si>
  <si>
    <t>DDC Controls</t>
  </si>
  <si>
    <t>Certified test and balance</t>
  </si>
  <si>
    <t>Ducts</t>
  </si>
  <si>
    <t>exhaust fans</t>
  </si>
  <si>
    <t>Refrigerant piping</t>
  </si>
  <si>
    <t>Dampers</t>
  </si>
  <si>
    <t>Install of smoke detectors (Supplied by FA)</t>
  </si>
  <si>
    <t>Roof mounted DX Units</t>
  </si>
  <si>
    <t>DOAs</t>
  </si>
  <si>
    <t>VRFs</t>
  </si>
  <si>
    <t>VAVs</t>
  </si>
  <si>
    <t>CU</t>
  </si>
  <si>
    <t>Demo</t>
  </si>
  <si>
    <t>RTU</t>
  </si>
  <si>
    <t>Insulation R-6 wrap</t>
  </si>
  <si>
    <t>Relocate outside air damper</t>
  </si>
  <si>
    <t>Volt Electric</t>
  </si>
  <si>
    <t>Electrical</t>
  </si>
  <si>
    <t>Christian Sanchez</t>
  </si>
  <si>
    <t>305-873-4472</t>
  </si>
  <si>
    <t>christian@voltelectric.us</t>
  </si>
  <si>
    <t>Power and emty conduits for Low Voltage systems(Voice/Data,Safety/Security, Access Control,  Intrusion detection, CCTV, A/V, Public Address, BDA/DAS, Lightning Protection)</t>
  </si>
  <si>
    <t>Receptacles, switches and boxes</t>
  </si>
  <si>
    <t>Light fixtures and controls</t>
  </si>
  <si>
    <t>Lighting control panel</t>
  </si>
  <si>
    <t>Safe off</t>
  </si>
  <si>
    <t>wiring and conduits</t>
  </si>
  <si>
    <t>gear, and feeders</t>
  </si>
  <si>
    <t>site parking lighting</t>
  </si>
  <si>
    <t>UPS</t>
  </si>
  <si>
    <t>Fire Alarm</t>
  </si>
  <si>
    <t>Public Address</t>
  </si>
  <si>
    <t>BDA/DAS</t>
  </si>
  <si>
    <t>Lightning Protection</t>
  </si>
  <si>
    <t>Ambient Light Fixture cost allowance of $5/sf</t>
  </si>
  <si>
    <t>Decorative Lighting (Chandeliers and Sconces) by FFE, Handled &amp; installed by Electrical</t>
  </si>
  <si>
    <t>All decorative lighting and room lighting in member areas on dimmer controls, ganged in service areas adjacent to member areas</t>
  </si>
  <si>
    <t>Boring for New Utility Easement</t>
  </si>
  <si>
    <t>Demo of exisiting Restroom and the Hydartion stations (safe off and pull back)</t>
  </si>
  <si>
    <t>Public Address System</t>
  </si>
  <si>
    <t xml:space="preserve">Fire Alarm   </t>
  </si>
  <si>
    <t>27A</t>
  </si>
  <si>
    <t>PALM BEACH COUNTY LOCAL BUSINESS TAX RECEIPT</t>
  </si>
  <si>
    <t>Textura Fee 0.22%</t>
  </si>
  <si>
    <t>Dewatering</t>
  </si>
  <si>
    <t>31B</t>
  </si>
  <si>
    <t>Soil Improvements</t>
  </si>
  <si>
    <t>31D</t>
  </si>
  <si>
    <t>Sheet Piling</t>
  </si>
  <si>
    <t>31F</t>
  </si>
  <si>
    <t>Auger Cast Piles</t>
  </si>
  <si>
    <t>31G</t>
  </si>
  <si>
    <t>CNS</t>
  </si>
  <si>
    <t>Low Voltage</t>
  </si>
  <si>
    <t>Richard McDevitt</t>
  </si>
  <si>
    <t>202-991-8848</t>
  </si>
  <si>
    <t>richard@capitalns.com</t>
  </si>
  <si>
    <t>Power and conduits for all Low Voltage in Electrical</t>
  </si>
  <si>
    <r>
      <rPr>
        <sz val="10"/>
        <color rgb="FF000000"/>
        <rFont val="Arial"/>
      </rPr>
      <t xml:space="preserve">Fire Alarm </t>
    </r>
    <r>
      <rPr>
        <i/>
        <sz val="10"/>
        <color rgb="FFFF0000"/>
        <rFont val="Arial"/>
      </rPr>
      <t>In Electricity</t>
    </r>
  </si>
  <si>
    <r>
      <rPr>
        <sz val="10"/>
        <color rgb="FF000000"/>
        <rFont val="Arial"/>
      </rPr>
      <t xml:space="preserve">Public Address </t>
    </r>
    <r>
      <rPr>
        <i/>
        <sz val="10"/>
        <color rgb="FFFF0000"/>
        <rFont val="Arial"/>
      </rPr>
      <t>In Electricity</t>
    </r>
  </si>
  <si>
    <r>
      <rPr>
        <sz val="10"/>
        <color rgb="FF000000"/>
        <rFont val="Arial"/>
      </rPr>
      <t xml:space="preserve">BDA/DAS </t>
    </r>
    <r>
      <rPr>
        <i/>
        <sz val="10"/>
        <color rgb="FFFF0000"/>
        <rFont val="Arial"/>
      </rPr>
      <t>in Electricity</t>
    </r>
  </si>
  <si>
    <r>
      <rPr>
        <sz val="10"/>
        <color rgb="FF000000"/>
        <rFont val="Arial"/>
      </rPr>
      <t xml:space="preserve">Lightning Protection </t>
    </r>
    <r>
      <rPr>
        <i/>
        <sz val="10"/>
        <color rgb="FFFF0000"/>
        <rFont val="Arial"/>
      </rPr>
      <t>in Electricity</t>
    </r>
  </si>
  <si>
    <t>Training</t>
  </si>
  <si>
    <t>Voice &amp; Data Drops</t>
  </si>
  <si>
    <t>Access control</t>
  </si>
  <si>
    <t>Intrusion Detection</t>
  </si>
  <si>
    <t>CCTV</t>
  </si>
  <si>
    <t>A/V</t>
  </si>
  <si>
    <t>Call boxes</t>
  </si>
  <si>
    <t>MDF</t>
  </si>
  <si>
    <t>305 393 7893</t>
  </si>
  <si>
    <t>American Eng</t>
  </si>
  <si>
    <t>Jonathan Criscione</t>
  </si>
  <si>
    <t>305-781-1510</t>
  </si>
  <si>
    <t>jcriscione@aedcorp.com</t>
  </si>
  <si>
    <t>{1.5}</t>
  </si>
  <si>
    <t>Erosion control</t>
  </si>
  <si>
    <t>Clearing</t>
  </si>
  <si>
    <t>Earthwork</t>
  </si>
  <si>
    <t>Storm drainage</t>
  </si>
  <si>
    <t>Sewer Service</t>
  </si>
  <si>
    <t>Water Service</t>
  </si>
  <si>
    <t>Tennis &amp; Pickleball Fencing</t>
  </si>
  <si>
    <t>Tennis Courts</t>
  </si>
  <si>
    <t>Pickleball Courts</t>
  </si>
  <si>
    <t>Paddle Ball Courts per RFI SD011</t>
  </si>
  <si>
    <t>CSP1</t>
  </si>
  <si>
    <t>?</t>
  </si>
  <si>
    <t>Cart paths and walkways (included up to Phase addition/driving range)</t>
  </si>
  <si>
    <t>C1.1, CSP1</t>
  </si>
  <si>
    <t>Storm drainage catch bassins</t>
  </si>
  <si>
    <t>Bike Rack</t>
  </si>
  <si>
    <r>
      <rPr>
        <sz val="10"/>
        <color rgb="FF000000"/>
        <rFont val="Arial"/>
      </rPr>
      <t>Covered Seating area</t>
    </r>
    <r>
      <rPr>
        <i/>
        <sz val="10"/>
        <color rgb="FFFF0000"/>
        <rFont val="Arial"/>
      </rPr>
      <t xml:space="preserve"> NOT SHOWN</t>
    </r>
  </si>
  <si>
    <t>Demo utility easement</t>
  </si>
  <si>
    <t>C1.1, C2.1</t>
  </si>
  <si>
    <t>Access road</t>
  </si>
  <si>
    <t>EXPORT- area East of existing cart path.</t>
  </si>
  <si>
    <t>{4533 CYL}</t>
  </si>
  <si>
    <t>Storm drainage piping 12" HP Polypropylene</t>
  </si>
  <si>
    <t>Exfiltration trench</t>
  </si>
  <si>
    <t>Core existing structure</t>
  </si>
  <si>
    <t>Storm drainage structures</t>
  </si>
  <si>
    <t>Yard drains</t>
  </si>
  <si>
    <t>Extend Sanitary to new location</t>
  </si>
  <si>
    <t>Extend Water to new location</t>
  </si>
  <si>
    <t>Concrete cart paths</t>
  </si>
  <si>
    <t>Concrete cart parking near new pavilion per SD011</t>
  </si>
  <si>
    <t>CSP-1</t>
  </si>
  <si>
    <t>ACRES</t>
  </si>
  <si>
    <t>EROSION CONTROL</t>
  </si>
  <si>
    <t xml:space="preserve">  a. Silt Fence</t>
  </si>
  <si>
    <t xml:space="preserve">  b. Silt Fence Maintenance</t>
  </si>
  <si>
    <t xml:space="preserve">  c. Aggregate Construction Entrance</t>
  </si>
  <si>
    <t xml:space="preserve">  d. Construction Entrance Maintenance</t>
  </si>
  <si>
    <t xml:space="preserve">  e. Inlet Protection</t>
  </si>
  <si>
    <t xml:space="preserve">SITE PREP and MASS GRADING </t>
  </si>
  <si>
    <t>a. Clear/Grub/Disk Site</t>
  </si>
  <si>
    <t>b. Site Cut To Fill</t>
  </si>
  <si>
    <t>c. Import Fill, Place And Compact</t>
  </si>
  <si>
    <t>d. Machine Grade Rough</t>
  </si>
  <si>
    <t>e. Machine Grade Fine</t>
  </si>
  <si>
    <t>f. Site Grade Final (Pre-Landscape)</t>
  </si>
  <si>
    <t xml:space="preserve">  g. Sod Dry Retention Areas</t>
  </si>
  <si>
    <t>STORM DRAINAGE</t>
  </si>
  <si>
    <t xml:space="preserve">  a. 4" HDPE RWL (Includes All Fittings)</t>
  </si>
  <si>
    <t xml:space="preserve">  b. 6" HDPE RWL (Includes All Fittings)</t>
  </si>
  <si>
    <t xml:space="preserve">  c. 8" HDPE RWL (Includes All Fittings)</t>
  </si>
  <si>
    <t xml:space="preserve">  d. 12" HDPE</t>
  </si>
  <si>
    <t xml:space="preserve">  e. 15" HDPE</t>
  </si>
  <si>
    <t xml:space="preserve">  f. 18" HDPE</t>
  </si>
  <si>
    <t xml:space="preserve">  g. 24" HDPE</t>
  </si>
  <si>
    <t xml:space="preserve">  h. 24" Cap</t>
  </si>
  <si>
    <t xml:space="preserve">  i. 12" HDPE Perforated W/2'x2' Under Drain</t>
  </si>
  <si>
    <t xml:space="preserve">  j. Cleanout With Concrete Collar</t>
  </si>
  <si>
    <t xml:space="preserve">  k. Yard Drain</t>
  </si>
  <si>
    <t xml:space="preserve">  l. Type C Catch Basin W/USF 6212</t>
  </si>
  <si>
    <t xml:space="preserve">  m. Type C Water Control Structure W/USF 6611</t>
  </si>
  <si>
    <t xml:space="preserve">  n. Type E Structure W/USF 6290</t>
  </si>
  <si>
    <t xml:space="preserve">  o. 5' X 6' Control Structure</t>
  </si>
  <si>
    <t xml:space="preserve">  p. 4' Round PC Catch Basin W/USF 4155-6209</t>
  </si>
  <si>
    <t xml:space="preserve">  q. 4' Round PG Curb Inlet W/USF 5130-6168</t>
  </si>
  <si>
    <t xml:space="preserve">  r. 4' Round PV Valley Inlet W/USF 5113-6194</t>
  </si>
  <si>
    <t xml:space="preserve">  s. 4' Manhole W/USF 170-F</t>
  </si>
  <si>
    <t xml:space="preserve">  t. 24" Concrete Headwall</t>
  </si>
  <si>
    <t xml:space="preserve">  u. Storm Drainage Dewatering</t>
  </si>
  <si>
    <t xml:space="preserve">  v. Clean/Final Storm Drainage</t>
  </si>
  <si>
    <t>SANITARY SEWER</t>
  </si>
  <si>
    <t xml:space="preserve">  a. 8" SDR26 (6-8)</t>
  </si>
  <si>
    <t xml:space="preserve">  b. 8" SDR26 (8-10)</t>
  </si>
  <si>
    <t xml:space="preserve">  c. 4' Dia Manhole (6-8)</t>
  </si>
  <si>
    <t xml:space="preserve">  d. 4' Dia Manhole (8-10)</t>
  </si>
  <si>
    <t xml:space="preserve">  e. 6" SDR26-Sewer Services</t>
  </si>
  <si>
    <t xml:space="preserve">  f. 4" PVC Sanitary Sewer-Grease Trap (Includes All Fittings And Cleanouts) </t>
  </si>
  <si>
    <t xml:space="preserve">  g. Grease Trap</t>
  </si>
  <si>
    <t xml:space="preserve">  h. Sanitary Sewer Dewatering</t>
  </si>
  <si>
    <t xml:space="preserve">  i.Test/Final Sanitary Sewer</t>
  </si>
  <si>
    <t>FORCE MAIN AND LIFT STATION</t>
  </si>
  <si>
    <t xml:space="preserve">  a. 4" C900 Force Main</t>
  </si>
  <si>
    <t xml:space="preserve">  b. MJ Fittings</t>
  </si>
  <si>
    <t xml:space="preserve">  c. Lift Station</t>
  </si>
  <si>
    <t xml:space="preserve">  d. Sanitary Sewer Dewatering</t>
  </si>
  <si>
    <t xml:space="preserve">  e. Test/Final Force Main</t>
  </si>
  <si>
    <t>POTABLE WATER MAIN</t>
  </si>
  <si>
    <t xml:space="preserve">  a. 8" C900 DR18 Water Main</t>
  </si>
  <si>
    <t xml:space="preserve">  b. 8" Ductile Iron Water Main</t>
  </si>
  <si>
    <t xml:space="preserve">  c. 8" Gate Valve Assembly</t>
  </si>
  <si>
    <t xml:space="preserve">  d. 6" C900 DR18 Water Main</t>
  </si>
  <si>
    <t xml:space="preserve">  e. 6" Gate Valve Assembly</t>
  </si>
  <si>
    <t xml:space="preserve">  f. 4" Single Water Service W/RPZ</t>
  </si>
  <si>
    <t xml:space="preserve">  g. Fire Hydrant Assembly W/Gate Valve</t>
  </si>
  <si>
    <t xml:space="preserve">  h. 4" Gate Valve Assembly</t>
  </si>
  <si>
    <t xml:space="preserve">  i. MJ Fittings</t>
  </si>
  <si>
    <t xml:space="preserve">  j. Lift Station Water Service</t>
  </si>
  <si>
    <t xml:space="preserve">  k. Test/Final Water Main</t>
  </si>
  <si>
    <t>FIRE MAIN</t>
  </si>
  <si>
    <t xml:space="preserve">  a. 6" Ductile Iron Fire Main</t>
  </si>
  <si>
    <t xml:space="preserve">  b. 6" DDCV</t>
  </si>
  <si>
    <t xml:space="preserve">  c. 4" Ductile Iron Fire Main</t>
  </si>
  <si>
    <t xml:space="preserve">  d. MJDI Fittings</t>
  </si>
  <si>
    <t xml:space="preserve">  e. 4" Fire Department Connection</t>
  </si>
  <si>
    <t xml:space="preserve">  f. 6" Fire Line Stub Out</t>
  </si>
  <si>
    <t xml:space="preserve">  g. Final/Test Fire Main</t>
  </si>
  <si>
    <t>PAVING (ONSITE)</t>
  </si>
  <si>
    <t>12" Stabilized Subgrade, LBR40</t>
  </si>
  <si>
    <t>6-1/2" FDOT Rock Base, LBR100</t>
  </si>
  <si>
    <t>3/4" Asphalt Bottom Lift, Type S</t>
  </si>
  <si>
    <t>3/4" Asphalt Top Lift, Type S</t>
  </si>
  <si>
    <t xml:space="preserve">Vehicular Brick Pavers (Standard Size/Color/Pattern) </t>
  </si>
  <si>
    <t>Concrete Pavement 6"</t>
  </si>
  <si>
    <t>Type D Curb (Machined)</t>
  </si>
  <si>
    <t>Type D Curb (Hand Formed)</t>
  </si>
  <si>
    <t>2' Valley Gutter Curb</t>
  </si>
  <si>
    <t>Header Curb</t>
  </si>
  <si>
    <t>Concrete Sidewalk 4"</t>
  </si>
  <si>
    <t>Concrete Bike Rack 4"</t>
  </si>
  <si>
    <t>ADA Ramp</t>
  </si>
  <si>
    <t xml:space="preserve">Guardrail (Includes TL-3 Guardrail And TL-2 End Sections)  </t>
  </si>
  <si>
    <t>Striping And Signage</t>
  </si>
  <si>
    <t>PAVING (OFFSITE)</t>
  </si>
  <si>
    <t xml:space="preserve">  a. 12" Stabilized Subgrade, LBR40</t>
  </si>
  <si>
    <t xml:space="preserve">  b. 13-1/2" FDOT Rock Base, LBR100</t>
  </si>
  <si>
    <t xml:space="preserve">  c. 1-1/2" Asphalt Bottom Lift, Type S</t>
  </si>
  <si>
    <t xml:space="preserve">  d. 1" Asphalt Top Lift, Type S</t>
  </si>
  <si>
    <t xml:space="preserve">  e. Type D Curb</t>
  </si>
  <si>
    <t xml:space="preserve">  f. Type F Curb</t>
  </si>
  <si>
    <t>Cart Parking (near new pickleball courts)</t>
  </si>
  <si>
    <t>Sidewalks</t>
  </si>
  <si>
    <r>
      <t xml:space="preserve">Sidewalks not shown on civils </t>
    </r>
    <r>
      <rPr>
        <sz val="11"/>
        <color rgb="FFFF0000"/>
        <rFont val="Calibri"/>
        <family val="2"/>
        <scheme val="minor"/>
      </rPr>
      <t>NOT INCLUDED</t>
    </r>
  </si>
  <si>
    <t>Sidewalk added at cart parking (near pavilion) per RFI SD011</t>
  </si>
  <si>
    <t>Roundabout</t>
  </si>
  <si>
    <t>Modifications to existing irrigation system</t>
  </si>
  <si>
    <t>Pavilion Turf</t>
  </si>
  <si>
    <t>Pickle Ball Courts</t>
  </si>
  <si>
    <t>Detach/attach of existing fencing to remain</t>
  </si>
  <si>
    <t>Pickleball courts Asphalt</t>
  </si>
  <si>
    <t>Tennis Courts Har-Tru</t>
  </si>
  <si>
    <t>Padel Courts</t>
  </si>
  <si>
    <t>Marine Work</t>
  </si>
  <si>
    <t>35A</t>
  </si>
  <si>
    <t>Architectural Drawings  by Asante Design dated 09/04/2020</t>
  </si>
  <si>
    <t>Structural Drawings by  ONM &amp; J INC., dated 09/04/2020</t>
  </si>
  <si>
    <t>MEP Drawings by Beacon Consulting Engineers dated 09/08/2020</t>
  </si>
  <si>
    <t>Fire Alarm Drawings by Beacon Consulting Engineers dated 09/08/2020</t>
  </si>
  <si>
    <t>Fire Protection Drawings by Beacon Consulting Engineers dated 09/08/2020</t>
  </si>
  <si>
    <t>Civil Drawings by Simmons &amp; White dated  09/04/2020</t>
  </si>
  <si>
    <t>Land scape Drawings by Majestic views dtaed 09/04/2020</t>
  </si>
  <si>
    <t>Geo-Technical report by Nutting Egineering of Florida, INC. dated 02/28 2020</t>
  </si>
  <si>
    <t>Addenda (1)</t>
  </si>
  <si>
    <t>Cranes and Hoist</t>
  </si>
  <si>
    <t xml:space="preserve">41 22 </t>
  </si>
  <si>
    <t>Crane and Hoist</t>
  </si>
  <si>
    <t>Crane SK405.20 by Maxim Crane Works 10/04/23</t>
  </si>
  <si>
    <t>mo</t>
  </si>
  <si>
    <t>Jib L05 (219 ft Max HR)</t>
  </si>
  <si>
    <t>Single Trolley</t>
  </si>
  <si>
    <t>Base S35 Anchor Stools</t>
  </si>
  <si>
    <t>Tip Capacity 10141 @219'</t>
  </si>
  <si>
    <t>Max capacity 22046 lbs @105'</t>
  </si>
  <si>
    <t>Init/Fin Hook Ht 99ft</t>
  </si>
  <si>
    <t>Base S32 Anchor Stools</t>
  </si>
  <si>
    <t>Init/Fin Hook Ht 137ft</t>
  </si>
  <si>
    <t>Jib L04 (199 ft Max HR)</t>
  </si>
  <si>
    <t>Base S60 Anchor Stools</t>
  </si>
  <si>
    <t>Tip Capacity 13007 @199'</t>
  </si>
  <si>
    <t>Max capacity 22046 lbs @123'</t>
  </si>
  <si>
    <t>Init/Fin Hook Ht 176ft</t>
  </si>
  <si>
    <t>Single Hoist by United Hoist Equipment 4/16/2024</t>
  </si>
  <si>
    <t>Tower Height 85ft</t>
  </si>
  <si>
    <t>No. of gates 6</t>
  </si>
  <si>
    <t>Capacity 6000</t>
  </si>
  <si>
    <t>Twin Hoist by United Hoist Equipment  4/16/2024</t>
  </si>
  <si>
    <t>No. of gates 12</t>
  </si>
  <si>
    <t>Crane</t>
  </si>
  <si>
    <t>Hoist</t>
  </si>
  <si>
    <t xml:space="preserve">General Conditions </t>
  </si>
  <si>
    <t>1.00LS</t>
  </si>
  <si>
    <t>Construction Layout And As-Built Survey</t>
  </si>
  <si>
    <t xml:space="preserve">Erosion Control </t>
  </si>
  <si>
    <t>Silt Fence</t>
  </si>
  <si>
    <t>2,600.00LF</t>
  </si>
  <si>
    <t>Silt Fence Maintenance</t>
  </si>
  <si>
    <t>6.00MO</t>
  </si>
  <si>
    <t>Inlet Protection</t>
  </si>
  <si>
    <t>22.00EACH</t>
  </si>
  <si>
    <t>Turbidity Barrier</t>
  </si>
  <si>
    <t>100.00LF</t>
  </si>
  <si>
    <t xml:space="preserve">Site Prep And Mass Grading </t>
  </si>
  <si>
    <t>Clear/Grub/Disk Site</t>
  </si>
  <si>
    <t>Site Cut To Fill</t>
  </si>
  <si>
    <t>600.00CY</t>
  </si>
  <si>
    <t>Import Fill, Place And Compact</t>
  </si>
  <si>
    <t>19,500.00CY</t>
  </si>
  <si>
    <t>Machine Grade Rough</t>
  </si>
  <si>
    <t>28,300.00SY</t>
  </si>
  <si>
    <t>Machine Grade Fine</t>
  </si>
  <si>
    <t>Site Grade Final (Pre-Landscape)</t>
  </si>
  <si>
    <t>Sod Dry Retention Areas</t>
  </si>
  <si>
    <t>4,200.00SY</t>
  </si>
  <si>
    <t xml:space="preserve">Paving Onsite </t>
  </si>
  <si>
    <t>8,600.00SY</t>
  </si>
  <si>
    <t>8,100.00SY</t>
  </si>
  <si>
    <t>8,000.00SY</t>
  </si>
  <si>
    <t>85.00SY</t>
  </si>
  <si>
    <t>1,500.00SF</t>
  </si>
  <si>
    <t>4,250.00LF</t>
  </si>
  <si>
    <t>110.00LF</t>
  </si>
  <si>
    <t>250.00LF</t>
  </si>
  <si>
    <t>145.00LF</t>
  </si>
  <si>
    <t>14,000.00SF</t>
  </si>
  <si>
    <t>120.00SF</t>
  </si>
  <si>
    <t>7.00EACH</t>
  </si>
  <si>
    <t xml:space="preserve">Guardrail (Includes TL-3 Guardrail And TL-2 End Sections) (Excludes Asphalt Mowing Strip) </t>
  </si>
  <si>
    <t>650.00LF</t>
  </si>
  <si>
    <t xml:space="preserve">Storm Drainage </t>
  </si>
  <si>
    <t>4" HDPE RWL (Includes All Fittings)</t>
  </si>
  <si>
    <t>55.00LF</t>
  </si>
  <si>
    <t>6" HDPE RWL (Includes All Fittings)</t>
  </si>
  <si>
    <t>76.00LF</t>
  </si>
  <si>
    <t>8" HDPE RWL (Includes All Fittings)</t>
  </si>
  <si>
    <t>271.00LF</t>
  </si>
  <si>
    <t>12" HDPE</t>
  </si>
  <si>
    <t>560.00LF</t>
  </si>
  <si>
    <t>15" HDPE</t>
  </si>
  <si>
    <t>467.00LF</t>
  </si>
  <si>
    <t>18" HDPE</t>
  </si>
  <si>
    <t>142.00LF</t>
  </si>
  <si>
    <t>24" HDPE</t>
  </si>
  <si>
    <t>1,775.00LF</t>
  </si>
  <si>
    <t>24" Cap</t>
  </si>
  <si>
    <t>61.00LF</t>
  </si>
  <si>
    <t>12" HDPE Perforated W/2'x2' Under Drain</t>
  </si>
  <si>
    <t>153.00LF</t>
  </si>
  <si>
    <t>Cleanout With Concrete Collar</t>
  </si>
  <si>
    <t>4.00EACH</t>
  </si>
  <si>
    <t>Yard Drain</t>
  </si>
  <si>
    <t>8.00EACH</t>
  </si>
  <si>
    <t>Type C Catch Basin W/USF 6212</t>
  </si>
  <si>
    <t>1.00EACH</t>
  </si>
  <si>
    <t>Type C Water Control Structure W/USF 6611</t>
  </si>
  <si>
    <t>Type E Structure W/USF 6290</t>
  </si>
  <si>
    <t>5.00EACH</t>
  </si>
  <si>
    <t>5' X 6' Control Structure</t>
  </si>
  <si>
    <t>4' Round PC Catch Basin W/USF 4155-6209</t>
  </si>
  <si>
    <t>4' Round PG Curb Inlet W/USF 5130-6168</t>
  </si>
  <si>
    <t>9.00EACH</t>
  </si>
  <si>
    <t>4' Round PV Valley Inlet W/USF 5113-6194</t>
  </si>
  <si>
    <t>2.00EACH</t>
  </si>
  <si>
    <t>4' Manhole W/USF 170-F</t>
  </si>
  <si>
    <t>24" Concrete Headwall</t>
  </si>
  <si>
    <t>Storm Drainage Dewatering</t>
  </si>
  <si>
    <t>3,560.00LF</t>
  </si>
  <si>
    <t>Clean/Final Storm Drainage</t>
  </si>
  <si>
    <t xml:space="preserve">Sanitary Sewer </t>
  </si>
  <si>
    <t>8" SDR26 (6-8)</t>
  </si>
  <si>
    <t>30.00LF</t>
  </si>
  <si>
    <t>8" SDR26 (8-10)</t>
  </si>
  <si>
    <t>220.00LF</t>
  </si>
  <si>
    <t>4' Dia Manhole (6-8)</t>
  </si>
  <si>
    <t>4' Dia Manhole (8-10)</t>
  </si>
  <si>
    <t>6" SDR26-Sewer Services</t>
  </si>
  <si>
    <t>278.00LF</t>
  </si>
  <si>
    <t xml:space="preserve">4" PVC Sanitary Sewer-Grease Trap (Includes All Fittings And Cleanouts) </t>
  </si>
  <si>
    <t>Grease Trap</t>
  </si>
  <si>
    <t>Sanitary Sewer Dewatering</t>
  </si>
  <si>
    <t>Test/Final Sanitary Sewer</t>
  </si>
  <si>
    <t xml:space="preserve">Force Main And Lift Station </t>
  </si>
  <si>
    <t>4" C900 Force Main</t>
  </si>
  <si>
    <t>305.00LF</t>
  </si>
  <si>
    <t>MJ Fittings</t>
  </si>
  <si>
    <t>Lift Station</t>
  </si>
  <si>
    <t>Test/Final Force Main</t>
  </si>
  <si>
    <t xml:space="preserve">Potable Water Main </t>
  </si>
  <si>
    <t>8" C900 DR18 Water Main</t>
  </si>
  <si>
    <t>1,343.00LF</t>
  </si>
  <si>
    <t>8" Ductile Iron Water Main</t>
  </si>
  <si>
    <t>50.00LF</t>
  </si>
  <si>
    <t>8" Gate Valve Assembly</t>
  </si>
  <si>
    <t>6" C900 DR18 Water Main</t>
  </si>
  <si>
    <t>6" Gate Valve Assembly</t>
  </si>
  <si>
    <t>4" Single Water Service W/RPZ</t>
  </si>
  <si>
    <t>Fire Hydrant Assembly W/Gate Valve</t>
  </si>
  <si>
    <t>4" Gate Valve Assembly</t>
  </si>
  <si>
    <t>Lift Station Water Service</t>
  </si>
  <si>
    <t>Test/Final Water Main</t>
  </si>
  <si>
    <t xml:space="preserve">Fire Main </t>
  </si>
  <si>
    <t>6" Ductile Iron Fire Main</t>
  </si>
  <si>
    <t>135.00LF</t>
  </si>
  <si>
    <t>6" DDCV</t>
  </si>
  <si>
    <t>4" Ductile Iron Fire Main</t>
  </si>
  <si>
    <t>15.00LF</t>
  </si>
  <si>
    <t>MJDI Fittings</t>
  </si>
  <si>
    <t>4" Fire Department Connection</t>
  </si>
  <si>
    <t>6" Fire Line Stub Out</t>
  </si>
  <si>
    <t>Final/Test Fire Main</t>
  </si>
  <si>
    <t>MOT</t>
  </si>
  <si>
    <t>1,700.00LF</t>
  </si>
  <si>
    <t>Aggregate Construction Entrance</t>
  </si>
  <si>
    <t>Construction Entrance Maintenance</t>
  </si>
  <si>
    <t>12.00MO</t>
  </si>
  <si>
    <t>Demo Existing Asphalt</t>
  </si>
  <si>
    <t>900.00SY</t>
  </si>
  <si>
    <t>Remove Existing Guardrail</t>
  </si>
  <si>
    <t>700.00CY</t>
  </si>
  <si>
    <t>11,500.00CY</t>
  </si>
  <si>
    <t>11,600.00SY</t>
  </si>
  <si>
    <t>3,800.00SY</t>
  </si>
  <si>
    <t>2,400.00SY</t>
  </si>
  <si>
    <t>2,300.00SY</t>
  </si>
  <si>
    <t>8" FDOT Base Rock, LBR40</t>
  </si>
  <si>
    <t>150.00SY</t>
  </si>
  <si>
    <t>2,200.00SY</t>
  </si>
  <si>
    <t>Vehicular Brick Pavers (Standard</t>
  </si>
  <si>
    <t>65.00SY</t>
  </si>
  <si>
    <t xml:space="preserve">Size/Color/Pattern) </t>
  </si>
  <si>
    <t>700.00LF</t>
  </si>
  <si>
    <t>320.00LF</t>
  </si>
  <si>
    <t>650.00SF</t>
  </si>
  <si>
    <t xml:space="preserve">Paving Offsite </t>
  </si>
  <si>
    <t>210.00SY</t>
  </si>
  <si>
    <t>13-1/2" FDOT Rock Base, LBR100</t>
  </si>
  <si>
    <t>200.00SY</t>
  </si>
  <si>
    <t>1-1/2" Asphalt Bottom Lift, Type S</t>
  </si>
  <si>
    <t>1" Asphalt Top Lift, Type S</t>
  </si>
  <si>
    <t>Type D Curb</t>
  </si>
  <si>
    <r>
      <t>Storm Drainage</t>
    </r>
    <r>
      <rPr>
        <sz val="8"/>
        <color theme="1"/>
        <rFont val="Times New Roman"/>
        <family val="1"/>
      </rPr>
      <t xml:space="preserve"> </t>
    </r>
  </si>
  <si>
    <t>EACH</t>
  </si>
  <si>
    <t>Sanitary Sewer</t>
  </si>
  <si>
    <t>4" PVC Sanitary Sewer-Grease Trap (Includes All Fittings And Cleanouts)</t>
  </si>
  <si>
    <t>Force Main And Lift Station</t>
  </si>
  <si>
    <t>Potable Water Main</t>
  </si>
  <si>
    <t>Fire Main</t>
  </si>
  <si>
    <t xml:space="preserve">Final/Test Fire Main </t>
  </si>
  <si>
    <t>Unit AL-1a</t>
  </si>
  <si>
    <t>Unit AL-0a</t>
  </si>
  <si>
    <t>Unit A1-da</t>
  </si>
  <si>
    <t>Unit AL-1b</t>
  </si>
  <si>
    <t>Unit A1-db</t>
  </si>
  <si>
    <t>Unit MC-0a</t>
  </si>
  <si>
    <t>Unit MC-0c</t>
  </si>
  <si>
    <t>Unit MC-0b</t>
  </si>
  <si>
    <t>Unit MC-2b</t>
  </si>
  <si>
    <t>Unit MC-2a</t>
  </si>
  <si>
    <t>Unit MC-0d</t>
  </si>
  <si>
    <t>Unit MC-1a</t>
  </si>
  <si>
    <t>drywall</t>
  </si>
  <si>
    <t>ceiling height</t>
  </si>
  <si>
    <t>demsing - full height 1/2</t>
  </si>
  <si>
    <t>exterior wall furring with insulation</t>
  </si>
  <si>
    <t>drywall ceiling</t>
  </si>
  <si>
    <t>green board</t>
  </si>
  <si>
    <t>millwork</t>
  </si>
  <si>
    <t>kitchenette base cabinet</t>
  </si>
  <si>
    <t>ft</t>
  </si>
  <si>
    <t>kitchenette upper cabinet</t>
  </si>
  <si>
    <t>bath base cabinet</t>
  </si>
  <si>
    <t>16x20 shelves - 5</t>
  </si>
  <si>
    <t>wood base</t>
  </si>
  <si>
    <t>shelf &amp; pole</t>
  </si>
  <si>
    <t>DFH</t>
  </si>
  <si>
    <t>sliding closet  pr 4-0x7-0</t>
  </si>
  <si>
    <t>3-0x7-0 slider privacy set</t>
  </si>
  <si>
    <t>3-0x7-0 privacy set</t>
  </si>
  <si>
    <t>3-0x7-0 passage set</t>
  </si>
  <si>
    <t>3-0x7-0 electronic lock, closer</t>
  </si>
  <si>
    <t>Finishes</t>
  </si>
  <si>
    <t>flooring - LVT</t>
  </si>
  <si>
    <t>flooring - tile</t>
  </si>
  <si>
    <t>flooring - tile base</t>
  </si>
  <si>
    <t>paint walls</t>
  </si>
  <si>
    <t>paint ceilings</t>
  </si>
  <si>
    <t>paint base</t>
  </si>
  <si>
    <t>paint doors &amp; frames</t>
  </si>
  <si>
    <t>paint shelves</t>
  </si>
  <si>
    <t>paint shelf &amp; pole</t>
  </si>
  <si>
    <t>Accessories</t>
  </si>
  <si>
    <t>36" grab bar</t>
  </si>
  <si>
    <t>42" grab bar</t>
  </si>
  <si>
    <t>TP holder</t>
  </si>
  <si>
    <t>mirror</t>
  </si>
  <si>
    <t>Window treatment</t>
  </si>
  <si>
    <t>window blinds</t>
  </si>
  <si>
    <t>Equipment</t>
  </si>
  <si>
    <t>stove top</t>
  </si>
  <si>
    <t>refrigerator</t>
  </si>
  <si>
    <t>plumbing</t>
  </si>
  <si>
    <t>kitchen sink</t>
  </si>
  <si>
    <t>lav</t>
  </si>
  <si>
    <t>toilet</t>
  </si>
  <si>
    <t>HC shower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</si>
</sst>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00"/>
    <numFmt numFmtId="166" formatCode="mm/dd/yy;@"/>
    <numFmt numFmtId="167" formatCode="_(&quot;$&quot;* #,##0_);_(&quot;$&quot;* \(#,##0\);_(&quot;$&quot;* &quot;-&quot;??_);_(@_)"/>
    <numFmt numFmtId="168" formatCode="m/d/yy;@"/>
    <numFmt numFmtId="169" formatCode="[&lt;=9999999]###\-####;\(###\)\ ###\-####"/>
    <numFmt numFmtId="170" formatCode="&quot;$&quot;#,##0"/>
    <numFmt numFmtId="171" formatCode="\$#,##0.00"/>
    <numFmt numFmtId="172" formatCode="_(* #,##0.000000_);_(* \(#,##0.000000\);_(* &quot;-&quot;??_);_(@_)"/>
    <numFmt numFmtId="173" formatCode="_(* #,##0.00000_);_(* \(#,##0.00000\);_(* &quot;-&quot;??_);_(@_)"/>
    <numFmt numFmtId="174" formatCode="0\)"/>
    <numFmt numFmtId="175" formatCode="[$-409]mmmm\ d\,\ yyyy;@"/>
    <numFmt numFmtId="176" formatCode="#,##0.0"/>
    <numFmt numFmtId="177" formatCode="00\ 00\ 00"/>
    <numFmt numFmtId="178" formatCode="_(&quot;$&quot;* #,##0.0_);_(&quot;$&quot;* \(#,##0.0\);_(&quot;$&quot;* &quot;-&quot;?_);_(@_)"/>
    <numFmt numFmtId="179" formatCode="0.0%"/>
    <numFmt numFmtId="180" formatCode="0.000"/>
    <numFmt numFmtId="181" formatCode="0.00000000"/>
  </numFmts>
  <fonts count="93">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Wingdings 2"/>
      <family val="1"/>
      <charset val="2"/>
    </font>
    <font>
      <sz val="11"/>
      <name val="Calibri"/>
      <family val="2"/>
      <scheme val="minor"/>
    </font>
    <font>
      <sz val="11"/>
      <color indexed="8"/>
      <name val="Calibri"/>
      <family val="2"/>
      <scheme val="minor"/>
    </font>
    <font>
      <b/>
      <sz val="11"/>
      <color theme="1"/>
      <name val="Calibri Light"/>
      <family val="2"/>
      <scheme val="major"/>
    </font>
    <font>
      <sz val="12"/>
      <name val="Arial"/>
      <family val="2"/>
    </font>
    <font>
      <sz val="11"/>
      <color rgb="FF2919FB"/>
      <name val="Calibri"/>
      <family val="2"/>
      <scheme val="minor"/>
    </font>
    <font>
      <sz val="11"/>
      <color rgb="FF0000FF"/>
      <name val="Calibri"/>
      <family val="2"/>
      <scheme val="minor"/>
    </font>
    <font>
      <sz val="10"/>
      <color theme="1"/>
      <name val="Calibri"/>
      <family val="2"/>
      <scheme val="minor"/>
    </font>
    <font>
      <b/>
      <sz val="14"/>
      <color theme="1"/>
      <name val="Calibri"/>
      <family val="2"/>
      <scheme val="minor"/>
    </font>
    <font>
      <sz val="8"/>
      <color theme="1"/>
      <name val="Calibri"/>
      <family val="2"/>
      <scheme val="minor"/>
    </font>
    <font>
      <sz val="10"/>
      <color theme="1"/>
      <name val="Abadi"/>
      <family val="2"/>
    </font>
    <font>
      <sz val="12"/>
      <color theme="1"/>
      <name val="Calibri"/>
      <family val="2"/>
      <scheme val="minor"/>
    </font>
    <font>
      <b/>
      <sz val="8"/>
      <color rgb="FFFF0000"/>
      <name val="Calibri"/>
      <family val="2"/>
      <scheme val="minor"/>
    </font>
    <font>
      <i/>
      <sz val="12"/>
      <color theme="1"/>
      <name val="Calibri"/>
      <family val="2"/>
      <scheme val="minor"/>
    </font>
    <font>
      <b/>
      <sz val="12"/>
      <color theme="0"/>
      <name val="Calibri"/>
      <family val="2"/>
      <scheme val="minor"/>
    </font>
    <font>
      <i/>
      <sz val="10"/>
      <color theme="1"/>
      <name val="Calibri"/>
      <family val="2"/>
      <scheme val="minor"/>
    </font>
    <font>
      <b/>
      <sz val="12"/>
      <color theme="1"/>
      <name val="Calibri"/>
      <family val="2"/>
      <scheme val="minor"/>
    </font>
    <font>
      <b/>
      <sz val="16"/>
      <color theme="0" tint="-0.499984740745262"/>
      <name val="Calibri"/>
      <family val="2"/>
      <scheme val="minor"/>
    </font>
    <font>
      <sz val="12"/>
      <color rgb="FFFFFFFF"/>
      <name val="Arial"/>
      <family val="2"/>
    </font>
    <font>
      <b/>
      <sz val="12"/>
      <color rgb="FF0070C0"/>
      <name val="Calibri"/>
      <family val="2"/>
      <scheme val="minor"/>
    </font>
    <font>
      <b/>
      <sz val="10"/>
      <color theme="0"/>
      <name val="Calibri"/>
      <family val="2"/>
      <scheme val="minor"/>
    </font>
    <font>
      <sz val="9"/>
      <color theme="1"/>
      <name val="Calibri"/>
      <family val="2"/>
      <scheme val="minor"/>
    </font>
    <font>
      <b/>
      <sz val="10"/>
      <color theme="1"/>
      <name val="Calibri"/>
      <family val="2"/>
      <scheme val="minor"/>
    </font>
    <font>
      <sz val="10"/>
      <name val="Arial"/>
      <family val="2"/>
    </font>
    <font>
      <b/>
      <sz val="10"/>
      <name val="Arial"/>
      <family val="2"/>
    </font>
    <font>
      <sz val="9"/>
      <color indexed="81"/>
      <name val="Tahoma"/>
      <family val="2"/>
    </font>
    <font>
      <b/>
      <sz val="9"/>
      <color indexed="81"/>
      <name val="Tahoma"/>
      <family val="2"/>
    </font>
    <font>
      <sz val="8"/>
      <name val="Calibri"/>
      <family val="2"/>
      <scheme val="minor"/>
    </font>
    <font>
      <b/>
      <sz val="11"/>
      <name val="Calibri"/>
      <family val="2"/>
      <scheme val="minor"/>
    </font>
    <font>
      <b/>
      <u/>
      <sz val="12"/>
      <color theme="1"/>
      <name val="Calibri"/>
      <family val="2"/>
      <scheme val="minor"/>
    </font>
    <font>
      <b/>
      <u/>
      <sz val="12"/>
      <name val="Calibri"/>
      <family val="2"/>
      <scheme val="minor"/>
    </font>
    <font>
      <sz val="11"/>
      <name val="Wingdings 2"/>
      <family val="1"/>
      <charset val="2"/>
    </font>
    <font>
      <sz val="12"/>
      <name val="Calibri"/>
      <family val="2"/>
      <scheme val="minor"/>
    </font>
    <font>
      <u/>
      <sz val="11"/>
      <name val="Calibri"/>
      <family val="2"/>
      <scheme val="minor"/>
    </font>
    <font>
      <sz val="12"/>
      <color rgb="FF000000"/>
      <name val="Times New Roman"/>
      <family val="2"/>
    </font>
    <font>
      <sz val="11"/>
      <name val="Arial"/>
      <family val="2"/>
    </font>
    <font>
      <sz val="10"/>
      <color rgb="FF000000"/>
      <name val="Helvetica"/>
      <charset val="1"/>
    </font>
    <font>
      <sz val="11"/>
      <color rgb="FF3C3C3C"/>
      <name val="Calibri"/>
      <family val="2"/>
      <scheme val="minor"/>
    </font>
    <font>
      <sz val="12"/>
      <color theme="1"/>
      <name val="Arial"/>
      <family val="2"/>
    </font>
    <font>
      <sz val="11"/>
      <color theme="1"/>
      <name val="Century Gothic"/>
      <family val="2"/>
    </font>
    <font>
      <sz val="10"/>
      <color theme="1"/>
      <name val="Century Gothic"/>
      <family val="2"/>
    </font>
    <font>
      <sz val="21"/>
      <color theme="1"/>
      <name val="Century Gothic"/>
      <family val="2"/>
    </font>
    <font>
      <sz val="20"/>
      <color rgb="FF3F70AB"/>
      <name val="Century Gothic"/>
      <family val="2"/>
    </font>
    <font>
      <sz val="10"/>
      <color rgb="FF3F70AB"/>
      <name val="Century Gothic"/>
      <family val="2"/>
    </font>
    <font>
      <b/>
      <sz val="11"/>
      <name val="Century Gothic"/>
      <family val="2"/>
    </font>
    <font>
      <b/>
      <sz val="12"/>
      <color rgb="FF3F70AB"/>
      <name val="Century Gothic"/>
      <family val="2"/>
    </font>
    <font>
      <sz val="9"/>
      <color rgb="FF3F70AB"/>
      <name val="Century Gothic"/>
      <family val="2"/>
    </font>
    <font>
      <b/>
      <sz val="9"/>
      <color theme="0"/>
      <name val="Century Gothic"/>
      <family val="2"/>
    </font>
    <font>
      <sz val="9"/>
      <color theme="1"/>
      <name val="Century Gothic"/>
      <family val="2"/>
    </font>
    <font>
      <b/>
      <sz val="11"/>
      <color rgb="FFFF0000"/>
      <name val="Century Gothic"/>
      <family val="2"/>
    </font>
    <font>
      <i/>
      <sz val="10"/>
      <name val="Arial"/>
      <family val="2"/>
    </font>
    <font>
      <b/>
      <u/>
      <sz val="14"/>
      <color theme="4" tint="-0.499984740745262"/>
      <name val="Calibri"/>
      <family val="2"/>
      <scheme val="minor"/>
    </font>
    <font>
      <sz val="10"/>
      <color theme="1"/>
      <name val="Arial"/>
      <family val="2"/>
    </font>
    <font>
      <b/>
      <u/>
      <sz val="16"/>
      <color theme="4" tint="-0.249977111117893"/>
      <name val="Century Gothic"/>
      <family val="2"/>
    </font>
    <font>
      <sz val="8"/>
      <color theme="1"/>
      <name val="Times New Roman"/>
      <family val="1"/>
    </font>
    <font>
      <b/>
      <sz val="12"/>
      <name val="Arial"/>
      <family val="2"/>
    </font>
    <font>
      <b/>
      <sz val="11"/>
      <color rgb="FFFF0000"/>
      <name val="Calibri"/>
      <family val="2"/>
      <scheme val="minor"/>
    </font>
    <font>
      <sz val="11"/>
      <color rgb="FF000000"/>
      <name val="Calibri"/>
      <family val="2"/>
      <scheme val="minor"/>
    </font>
    <font>
      <b/>
      <sz val="11"/>
      <color theme="0"/>
      <name val="Calibri"/>
      <family val="2"/>
      <scheme val="minor"/>
    </font>
    <font>
      <b/>
      <sz val="11"/>
      <color theme="0"/>
      <name val="Century Gothic"/>
      <family val="2"/>
    </font>
    <font>
      <b/>
      <sz val="11"/>
      <color theme="0" tint="-0.499984740745262"/>
      <name val="Arial"/>
      <family val="2"/>
    </font>
    <font>
      <sz val="11"/>
      <color theme="1"/>
      <name val="Abadi"/>
      <family val="2"/>
    </font>
    <font>
      <b/>
      <sz val="11"/>
      <color rgb="FF0070C0"/>
      <name val="Calibri"/>
      <family val="2"/>
      <scheme val="minor"/>
    </font>
    <font>
      <b/>
      <i/>
      <sz val="11"/>
      <name val="Calibri"/>
      <family val="2"/>
      <scheme val="minor"/>
    </font>
    <font>
      <b/>
      <i/>
      <sz val="11"/>
      <color rgb="FFFF0000"/>
      <name val="Calibri"/>
      <family val="2"/>
      <scheme val="minor"/>
    </font>
    <font>
      <i/>
      <sz val="11"/>
      <color theme="1"/>
      <name val="Calibri"/>
      <family val="2"/>
      <scheme val="minor"/>
    </font>
    <font>
      <i/>
      <sz val="11"/>
      <name val="Arial"/>
      <family val="2"/>
    </font>
    <font>
      <sz val="14"/>
      <color rgb="FF3F70AB"/>
      <name val="Century Gothic"/>
      <family val="2"/>
    </font>
    <font>
      <sz val="10"/>
      <color rgb="FF0000FF"/>
      <name val="Calibri"/>
      <family val="2"/>
      <scheme val="minor"/>
    </font>
    <font>
      <b/>
      <sz val="10"/>
      <color theme="1"/>
      <name val="Arial"/>
      <family val="2"/>
    </font>
    <font>
      <sz val="12"/>
      <color rgb="FF3F70AB"/>
      <name val="Century Gothic"/>
      <family val="2"/>
    </font>
    <font>
      <u/>
      <sz val="11"/>
      <color rgb="FF0563C1"/>
      <name val="Calibri"/>
      <family val="2"/>
      <scheme val="minor"/>
    </font>
    <font>
      <i/>
      <sz val="11"/>
      <color rgb="FF000000"/>
      <name val="Calibri"/>
      <family val="2"/>
      <scheme val="minor"/>
    </font>
    <font>
      <sz val="11"/>
      <color theme="1"/>
      <name val="Calibri"/>
      <family val="2"/>
    </font>
    <font>
      <sz val="14"/>
      <color rgb="FF3F70AB"/>
      <name val="Century Gothic"/>
    </font>
    <font>
      <sz val="11"/>
      <color theme="1"/>
      <name val="Abadi"/>
    </font>
    <font>
      <b/>
      <sz val="11"/>
      <color theme="0"/>
      <name val="Century Gothic"/>
    </font>
    <font>
      <sz val="10"/>
      <name val="Arial"/>
    </font>
    <font>
      <b/>
      <sz val="11"/>
      <color theme="1"/>
      <name val="Calibri"/>
      <family val="2"/>
    </font>
    <font>
      <sz val="10"/>
      <color rgb="FF000000"/>
      <name val="Arial"/>
    </font>
    <font>
      <i/>
      <sz val="10"/>
      <color rgb="FFFF0000"/>
      <name val="Arial"/>
    </font>
    <font>
      <sz val="11"/>
      <color rgb="FF000000"/>
      <name val="Calibri"/>
      <family val="2"/>
    </font>
    <font>
      <b/>
      <u/>
      <sz val="10"/>
      <name val="Arial"/>
      <family val="2"/>
    </font>
    <font>
      <sz val="11"/>
      <color rgb="FF000000"/>
      <name val="Calibri"/>
    </font>
    <font>
      <i/>
      <sz val="11"/>
      <color rgb="FF000000"/>
      <name val="Calibri"/>
    </font>
    <font>
      <i/>
      <sz val="11"/>
      <name val="Arial"/>
    </font>
    <font>
      <b/>
      <i/>
      <sz val="11"/>
      <color theme="1"/>
      <name val="Calibri"/>
      <family val="2"/>
      <scheme val="minor"/>
    </font>
    <font>
      <sz val="11"/>
      <color theme="1"/>
      <name val="Calibri"/>
    </font>
  </fonts>
  <fills count="36">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0" tint="-0.14996795556505021"/>
        <bgColor indexed="64"/>
      </patternFill>
    </fill>
    <fill>
      <patternFill patternType="solid">
        <fgColor theme="2" tint="-9.9948118533890809E-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rgb="FFF47710"/>
        <bgColor indexed="64"/>
      </patternFill>
    </fill>
    <fill>
      <patternFill patternType="solid">
        <fgColor rgb="FF3F70B3"/>
        <bgColor indexed="64"/>
      </patternFill>
    </fill>
    <fill>
      <patternFill patternType="solid">
        <fgColor theme="9" tint="0.59999389629810485"/>
        <bgColor indexed="64"/>
      </patternFill>
    </fill>
    <fill>
      <patternFill patternType="solid">
        <fgColor rgb="FFFFFF99"/>
        <bgColor indexed="64"/>
      </patternFill>
    </fill>
    <fill>
      <patternFill patternType="solid">
        <fgColor rgb="FF2F75B5"/>
        <bgColor indexed="64"/>
      </patternFill>
    </fill>
    <fill>
      <patternFill patternType="solid">
        <fgColor indexed="22"/>
        <bgColor indexed="64"/>
      </patternFill>
    </fill>
    <fill>
      <patternFill patternType="solid">
        <fgColor theme="0"/>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rgb="FF000000"/>
      </patternFill>
    </fill>
    <fill>
      <patternFill patternType="solid">
        <fgColor theme="5" tint="0.79998168889431442"/>
        <bgColor indexed="64"/>
      </patternFill>
    </fill>
    <fill>
      <patternFill patternType="solid">
        <fgColor theme="0" tint="-0.34998626667073579"/>
        <bgColor indexed="64"/>
      </patternFill>
    </fill>
    <fill>
      <patternFill patternType="solid">
        <fgColor rgb="FF00B0F0"/>
        <bgColor indexed="64"/>
      </patternFill>
    </fill>
    <fill>
      <patternFill patternType="solid">
        <fgColor rgb="FF00B0F0"/>
        <bgColor rgb="FF000000"/>
      </patternFill>
    </fill>
    <fill>
      <patternFill patternType="solid">
        <fgColor rgb="FF92D050"/>
        <bgColor rgb="FF000000"/>
      </patternFill>
    </fill>
    <fill>
      <patternFill patternType="solid">
        <fgColor theme="6"/>
        <bgColor indexed="64"/>
      </patternFill>
    </fill>
    <fill>
      <patternFill patternType="solid">
        <fgColor rgb="FFFFFFFF"/>
        <bgColor rgb="FF000000"/>
      </patternFill>
    </fill>
    <fill>
      <patternFill patternType="solid">
        <fgColor rgb="FFF0771A"/>
        <bgColor indexed="64"/>
      </patternFill>
    </fill>
  </fills>
  <borders count="993">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right/>
      <top/>
      <bottom style="thin">
        <color auto="1"/>
      </bottom>
      <diagonal/>
    </border>
    <border>
      <left style="thin">
        <color indexed="64"/>
      </left>
      <right/>
      <top/>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style="medium">
        <color auto="1"/>
      </left>
      <right/>
      <top/>
      <bottom/>
      <diagonal/>
    </border>
    <border>
      <left/>
      <right style="medium">
        <color auto="1"/>
      </right>
      <top/>
      <bottom/>
      <diagonal/>
    </border>
    <border>
      <left/>
      <right/>
      <top style="thin">
        <color auto="1"/>
      </top>
      <bottom/>
      <diagonal/>
    </border>
    <border>
      <left/>
      <right style="thin">
        <color auto="1"/>
      </right>
      <top style="thin">
        <color auto="1"/>
      </top>
      <bottom/>
      <diagonal/>
    </border>
    <border>
      <left/>
      <right/>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diagonal/>
    </border>
    <border>
      <left style="thick">
        <color auto="1"/>
      </left>
      <right style="thick">
        <color auto="1"/>
      </right>
      <top/>
      <bottom/>
      <diagonal/>
    </border>
    <border>
      <left/>
      <right/>
      <top style="medium">
        <color indexed="64"/>
      </top>
      <bottom style="thick">
        <color auto="1"/>
      </bottom>
      <diagonal/>
    </border>
    <border>
      <left/>
      <right style="thick">
        <color auto="1"/>
      </right>
      <top style="thick">
        <color auto="1"/>
      </top>
      <bottom style="thick">
        <color auto="1"/>
      </bottom>
      <diagonal/>
    </border>
    <border>
      <left style="thin">
        <color auto="1"/>
      </left>
      <right style="double">
        <color auto="1"/>
      </right>
      <top style="thick">
        <color auto="1"/>
      </top>
      <bottom style="thick">
        <color auto="1"/>
      </bottom>
      <diagonal/>
    </border>
    <border>
      <left/>
      <right/>
      <top style="thick">
        <color auto="1"/>
      </top>
      <bottom style="thin">
        <color auto="1"/>
      </bottom>
      <diagonal/>
    </border>
    <border>
      <left style="thick">
        <color auto="1"/>
      </left>
      <right style="thin">
        <color auto="1"/>
      </right>
      <top/>
      <bottom/>
      <diagonal/>
    </border>
    <border>
      <left style="thin">
        <color auto="1"/>
      </left>
      <right style="thin">
        <color auto="1"/>
      </right>
      <top/>
      <bottom/>
      <diagonal/>
    </border>
    <border>
      <left/>
      <right style="thick">
        <color auto="1"/>
      </right>
      <top/>
      <bottom/>
      <diagonal/>
    </border>
    <border>
      <left style="double">
        <color auto="1"/>
      </left>
      <right/>
      <top style="thick">
        <color auto="1"/>
      </top>
      <bottom style="thin">
        <color auto="1"/>
      </bottom>
      <diagonal/>
    </border>
    <border>
      <left style="thick">
        <color auto="1"/>
      </left>
      <right/>
      <top style="thick">
        <color auto="1"/>
      </top>
      <bottom/>
      <diagonal/>
    </border>
    <border>
      <left style="thick">
        <color auto="1"/>
      </left>
      <right/>
      <top/>
      <bottom/>
      <diagonal/>
    </border>
    <border>
      <left style="thin">
        <color rgb="FF000000"/>
      </left>
      <right style="thin">
        <color rgb="FF000000"/>
      </right>
      <top style="thin">
        <color rgb="FF000000"/>
      </top>
      <bottom style="thin">
        <color rgb="FF000000"/>
      </bottom>
      <diagonal/>
    </border>
    <border>
      <left/>
      <right style="double">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rgb="FFC1CD23"/>
      </bottom>
      <diagonal/>
    </border>
    <border>
      <left style="thin">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thin">
        <color indexed="64"/>
      </left>
      <right style="dashed">
        <color indexed="64"/>
      </right>
      <top style="hair">
        <color indexed="64"/>
      </top>
      <bottom/>
      <diagonal/>
    </border>
    <border>
      <left style="dashed">
        <color indexed="64"/>
      </left>
      <right style="dashed">
        <color indexed="64"/>
      </right>
      <top style="hair">
        <color indexed="64"/>
      </top>
      <bottom/>
      <diagonal/>
    </border>
    <border>
      <left style="dashed">
        <color indexed="64"/>
      </left>
      <right style="thin">
        <color indexed="64"/>
      </right>
      <top style="hair">
        <color indexed="64"/>
      </top>
      <bottom/>
      <diagonal/>
    </border>
    <border>
      <left style="thin">
        <color indexed="64"/>
      </left>
      <right style="dashed">
        <color indexed="64"/>
      </right>
      <top style="hair">
        <color indexed="64"/>
      </top>
      <bottom style="thin">
        <color indexed="64"/>
      </bottom>
      <diagonal/>
    </border>
    <border>
      <left style="dashed">
        <color indexed="64"/>
      </left>
      <right style="dashed">
        <color indexed="64"/>
      </right>
      <top style="hair">
        <color indexed="64"/>
      </top>
      <bottom style="thin">
        <color indexed="64"/>
      </bottom>
      <diagonal/>
    </border>
    <border>
      <left style="dashed">
        <color indexed="64"/>
      </left>
      <right style="thin">
        <color indexed="64"/>
      </right>
      <top style="hair">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double">
        <color auto="1"/>
      </left>
      <right/>
      <top style="medium">
        <color indexed="64"/>
      </top>
      <bottom style="thick">
        <color auto="1"/>
      </bottom>
      <diagonal/>
    </border>
    <border>
      <left style="thick">
        <color auto="1"/>
      </left>
      <right/>
      <top style="thick">
        <color auto="1"/>
      </top>
      <bottom style="thick">
        <color auto="1"/>
      </bottom>
      <diagonal/>
    </border>
    <border>
      <left/>
      <right style="thin">
        <color auto="1"/>
      </right>
      <top style="thick">
        <color auto="1"/>
      </top>
      <bottom style="thick">
        <color auto="1"/>
      </bottom>
      <diagonal/>
    </border>
    <border>
      <left/>
      <right style="medium">
        <color indexed="64"/>
      </right>
      <top style="thick">
        <color auto="1"/>
      </top>
      <bottom style="thick">
        <color indexed="64"/>
      </bottom>
      <diagonal/>
    </border>
    <border>
      <left/>
      <right style="thin">
        <color auto="1"/>
      </right>
      <top/>
      <bottom/>
      <diagonal/>
    </border>
    <border>
      <left style="thin">
        <color auto="1"/>
      </left>
      <right style="thin">
        <color auto="1"/>
      </right>
      <top style="thin">
        <color auto="1"/>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top style="thin">
        <color theme="3"/>
      </top>
      <bottom/>
      <diagonal/>
    </border>
    <border>
      <left/>
      <right/>
      <top style="hair">
        <color auto="1"/>
      </top>
      <bottom style="hair">
        <color auto="1"/>
      </bottom>
      <diagonal/>
    </border>
    <border>
      <left/>
      <right style="medium">
        <color indexed="64"/>
      </right>
      <top style="hair">
        <color indexed="64"/>
      </top>
      <bottom style="hair">
        <color indexed="64"/>
      </bottom>
      <diagonal/>
    </border>
    <border>
      <left style="hair">
        <color auto="1"/>
      </left>
      <right/>
      <top style="hair">
        <color auto="1"/>
      </top>
      <bottom style="hair">
        <color auto="1"/>
      </bottom>
      <diagonal/>
    </border>
    <border>
      <left style="thin">
        <color auto="1"/>
      </left>
      <right style="thin">
        <color auto="1"/>
      </right>
      <top style="hair">
        <color indexed="64"/>
      </top>
      <bottom style="hair">
        <color indexed="64"/>
      </bottom>
      <diagonal/>
    </border>
    <border>
      <left style="medium">
        <color indexed="64"/>
      </left>
      <right style="medium">
        <color auto="1"/>
      </right>
      <top/>
      <bottom style="thick">
        <color auto="1"/>
      </bottom>
      <diagonal/>
    </border>
    <border>
      <left/>
      <right/>
      <top/>
      <bottom style="thick">
        <color auto="1"/>
      </bottom>
      <diagonal/>
    </border>
    <border>
      <left/>
      <right style="medium">
        <color indexed="64"/>
      </right>
      <top style="thin">
        <color indexed="64"/>
      </top>
      <bottom/>
      <diagonal/>
    </border>
    <border>
      <left style="thin">
        <color auto="1"/>
      </left>
      <right/>
      <top style="thin">
        <color auto="1"/>
      </top>
      <bottom/>
      <diagonal/>
    </border>
    <border>
      <left style="thin">
        <color auto="1"/>
      </left>
      <right/>
      <top style="medium">
        <color rgb="FF000000"/>
      </top>
      <bottom style="thin">
        <color auto="1"/>
      </bottom>
      <diagonal/>
    </border>
    <border>
      <left style="medium">
        <color rgb="FF000000"/>
      </left>
      <right/>
      <top/>
      <bottom/>
      <diagonal/>
    </border>
    <border>
      <left style="medium">
        <color rgb="FF000000"/>
      </left>
      <right style="dotted">
        <color indexed="64"/>
      </right>
      <top style="hair">
        <color indexed="64"/>
      </top>
      <bottom style="hair">
        <color indexed="64"/>
      </bottom>
      <diagonal/>
    </border>
    <border>
      <left style="medium">
        <color rgb="FF000000"/>
      </left>
      <right style="thin">
        <color indexed="64"/>
      </right>
      <top style="hair">
        <color indexed="64"/>
      </top>
      <bottom style="hair">
        <color indexed="64"/>
      </bottom>
      <diagonal/>
    </border>
    <border>
      <left style="medium">
        <color rgb="FF000000"/>
      </left>
      <right/>
      <top style="hair">
        <color indexed="64"/>
      </top>
      <bottom style="hair">
        <color indexed="64"/>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thin">
        <color auto="1"/>
      </bottom>
      <diagonal/>
    </border>
    <border>
      <left style="medium">
        <color rgb="FF000000"/>
      </left>
      <right style="medium">
        <color rgb="FF000000"/>
      </right>
      <top/>
      <bottom/>
      <diagonal/>
    </border>
    <border>
      <left style="medium">
        <color rgb="FF000000"/>
      </left>
      <right style="medium">
        <color rgb="FF000000"/>
      </right>
      <top style="hair">
        <color auto="1"/>
      </top>
      <bottom style="hair">
        <color auto="1"/>
      </bottom>
      <diagonal/>
    </border>
    <border>
      <left style="medium">
        <color rgb="FF000000"/>
      </left>
      <right style="medium">
        <color rgb="FF000000"/>
      </right>
      <top/>
      <bottom style="medium">
        <color rgb="FF000000"/>
      </bottom>
      <diagonal/>
    </border>
    <border>
      <left/>
      <right/>
      <top style="medium">
        <color auto="1"/>
      </top>
      <bottom/>
      <diagonal/>
    </border>
    <border>
      <left style="medium">
        <color rgb="FF000000"/>
      </left>
      <right style="medium">
        <color rgb="FF000000"/>
      </right>
      <top style="thin">
        <color indexed="64"/>
      </top>
      <bottom style="hair">
        <color indexed="64"/>
      </bottom>
      <diagonal/>
    </border>
    <border>
      <left style="thin">
        <color auto="1"/>
      </left>
      <right/>
      <top style="hair">
        <color indexed="64"/>
      </top>
      <bottom style="hair">
        <color indexed="64"/>
      </bottom>
      <diagonal/>
    </border>
    <border>
      <left style="medium">
        <color rgb="FF000000"/>
      </left>
      <right/>
      <top style="medium">
        <color rgb="FF000000"/>
      </top>
      <bottom style="thin">
        <color indexed="64"/>
      </bottom>
      <diagonal/>
    </border>
    <border>
      <left/>
      <right/>
      <top style="medium">
        <color rgb="FF000000"/>
      </top>
      <bottom style="thin">
        <color auto="1"/>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auto="1"/>
      </top>
      <bottom/>
      <diagonal/>
    </border>
    <border>
      <left style="medium">
        <color indexed="64"/>
      </left>
      <right/>
      <top style="thin">
        <color indexed="64"/>
      </top>
      <bottom/>
      <diagonal/>
    </border>
    <border>
      <left style="thick">
        <color auto="1"/>
      </left>
      <right style="double">
        <color auto="1"/>
      </right>
      <top style="thin">
        <color auto="1"/>
      </top>
      <bottom/>
      <diagonal/>
    </border>
    <border>
      <left style="thick">
        <color auto="1"/>
      </left>
      <right style="thick">
        <color auto="1"/>
      </right>
      <top style="thin">
        <color auto="1"/>
      </top>
      <bottom/>
      <diagonal/>
    </border>
    <border>
      <left style="thick">
        <color auto="1"/>
      </left>
      <right style="thin">
        <color auto="1"/>
      </right>
      <top style="thin">
        <color auto="1"/>
      </top>
      <bottom/>
      <diagonal/>
    </border>
    <border>
      <left style="thin">
        <color auto="1"/>
      </left>
      <right style="double">
        <color auto="1"/>
      </right>
      <top style="thin">
        <color auto="1"/>
      </top>
      <bottom/>
      <diagonal/>
    </border>
    <border>
      <left style="thick">
        <color auto="1"/>
      </left>
      <right/>
      <top style="thin">
        <color auto="1"/>
      </top>
      <bottom/>
      <diagonal/>
    </border>
    <border>
      <left style="medium">
        <color rgb="FF000000"/>
      </left>
      <right style="medium">
        <color rgb="FF000000"/>
      </right>
      <top style="thin">
        <color auto="1"/>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top style="medium">
        <color rgb="FF000000"/>
      </top>
      <bottom/>
      <diagonal/>
    </border>
    <border>
      <left style="medium">
        <color rgb="FF000000"/>
      </left>
      <right/>
      <top style="medium">
        <color indexed="64"/>
      </top>
      <bottom style="medium">
        <color indexed="64"/>
      </bottom>
      <diagonal/>
    </border>
    <border>
      <left style="medium">
        <color rgb="FF000000"/>
      </left>
      <right/>
      <top/>
      <bottom style="medium">
        <color indexed="64"/>
      </bottom>
      <diagonal/>
    </border>
    <border>
      <left style="medium">
        <color rgb="FF000000"/>
      </left>
      <right style="thin">
        <color indexed="64"/>
      </right>
      <top/>
      <bottom/>
      <diagonal/>
    </border>
    <border>
      <left style="medium">
        <color indexed="64"/>
      </left>
      <right style="medium">
        <color rgb="FF000000"/>
      </right>
      <top/>
      <bottom/>
      <diagonal/>
    </border>
    <border>
      <left style="medium">
        <color rgb="FF000000"/>
      </left>
      <right/>
      <top style="medium">
        <color rgb="FF000000"/>
      </top>
      <bottom/>
      <diagonal/>
    </border>
    <border>
      <left style="medium">
        <color rgb="FF000000"/>
      </left>
      <right style="thin">
        <color auto="1"/>
      </right>
      <top style="thin">
        <color auto="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diagonal/>
    </border>
    <border>
      <left style="thin">
        <color rgb="FF000000"/>
      </left>
      <right/>
      <top style="thin">
        <color auto="1"/>
      </top>
      <bottom/>
      <diagonal/>
    </border>
    <border>
      <left style="thin">
        <color rgb="FF000000"/>
      </left>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rgb="FF000000"/>
      </left>
      <right/>
      <top/>
      <bottom style="medium">
        <color indexed="64"/>
      </bottom>
      <diagonal/>
    </border>
    <border>
      <left style="medium">
        <color rgb="FF000000"/>
      </left>
      <right style="thin">
        <color indexed="64"/>
      </right>
      <top style="medium">
        <color rgb="FF000000"/>
      </top>
      <bottom style="thin">
        <color indexed="64"/>
      </bottom>
      <diagonal/>
    </border>
    <border>
      <left style="thin">
        <color auto="1"/>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right style="medium">
        <color rgb="FF000000"/>
      </right>
      <top style="medium">
        <color rgb="FF000000"/>
      </top>
      <bottom/>
      <diagonal/>
    </border>
    <border>
      <left style="thin">
        <color auto="1"/>
      </left>
      <right style="medium">
        <color rgb="FF000000"/>
      </right>
      <top style="thin">
        <color auto="1"/>
      </top>
      <bottom/>
      <diagonal/>
    </border>
    <border>
      <left style="thin">
        <color indexed="64"/>
      </left>
      <right style="medium">
        <color rgb="FF000000"/>
      </right>
      <top/>
      <bottom style="medium">
        <color indexed="64"/>
      </bottom>
      <diagonal/>
    </border>
    <border>
      <left style="medium">
        <color indexed="64"/>
      </left>
      <right style="medium">
        <color indexed="64"/>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right style="medium">
        <color rgb="FF000000"/>
      </right>
      <top style="hair">
        <color indexed="64"/>
      </top>
      <bottom style="hair">
        <color indexed="64"/>
      </bottom>
      <diagonal/>
    </border>
    <border>
      <left style="thin">
        <color auto="1"/>
      </left>
      <right style="medium">
        <color rgb="FF000000"/>
      </right>
      <top style="hair">
        <color indexed="64"/>
      </top>
      <bottom style="hair">
        <color indexed="64"/>
      </bottom>
      <diagonal/>
    </border>
    <border>
      <left/>
      <right/>
      <top style="hair">
        <color auto="1"/>
      </top>
      <bottom style="medium">
        <color rgb="FF000000"/>
      </bottom>
      <diagonal/>
    </border>
    <border>
      <left/>
      <right style="medium">
        <color rgb="FF000000"/>
      </right>
      <top style="hair">
        <color indexed="64"/>
      </top>
      <bottom style="medium">
        <color rgb="FF000000"/>
      </bottom>
      <diagonal/>
    </border>
    <border>
      <left/>
      <right/>
      <top style="hair">
        <color auto="1"/>
      </top>
      <bottom/>
      <diagonal/>
    </border>
    <border>
      <left/>
      <right/>
      <top/>
      <bottom style="hair">
        <color auto="1"/>
      </bottom>
      <diagonal/>
    </border>
    <border>
      <left/>
      <right/>
      <top style="dotted">
        <color rgb="FF000000"/>
      </top>
      <bottom style="dotted">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indexed="64"/>
      </top>
      <bottom style="thin">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auto="1"/>
      </top>
      <bottom style="medium">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n">
        <color auto="1"/>
      </left>
      <right style="double">
        <color auto="1"/>
      </right>
      <top style="thin">
        <color auto="1"/>
      </top>
      <bottom style="thick">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style="medium">
        <color indexed="8"/>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top style="medium">
        <color indexed="64"/>
      </top>
      <bottom style="thin">
        <color indexed="64"/>
      </bottom>
      <diagonal/>
    </border>
    <border>
      <left style="thin">
        <color auto="1"/>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dotted">
        <color indexed="64"/>
      </right>
      <top style="hair">
        <color indexed="64"/>
      </top>
      <bottom style="hair">
        <color indexed="64"/>
      </bottom>
      <diagonal/>
    </border>
    <border>
      <left style="medium">
        <color indexed="64"/>
      </left>
      <right style="dotted">
        <color indexed="64"/>
      </right>
      <top style="hair">
        <color indexed="64"/>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top style="thin">
        <color auto="1"/>
      </top>
      <bottom style="medium">
        <color theme="3" tint="0.3999450666829432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style="thin">
        <color indexed="64"/>
      </right>
      <top/>
      <bottom style="thin">
        <color indexed="64"/>
      </bottom>
      <diagonal/>
    </border>
    <border>
      <left style="thin">
        <color auto="1"/>
      </left>
      <right/>
      <top/>
      <bottom style="thin">
        <color auto="1"/>
      </bottom>
      <diagonal/>
    </border>
    <border>
      <left style="thin">
        <color rgb="FF000000"/>
      </left>
      <right/>
      <top/>
      <bottom style="thin">
        <color auto="1"/>
      </bottom>
      <diagonal/>
    </border>
    <border>
      <left style="medium">
        <color rgb="FF000000"/>
      </left>
      <right style="medium">
        <color rgb="FF000000"/>
      </right>
      <top/>
      <bottom style="thin">
        <color auto="1"/>
      </bottom>
      <diagonal/>
    </border>
    <border>
      <left style="medium">
        <color rgb="FF000000"/>
      </left>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rgb="FF000000"/>
      </left>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medium">
        <color rgb="FF000000"/>
      </right>
      <top style="thin">
        <color auto="1"/>
      </top>
      <bottom style="thin">
        <color auto="1"/>
      </bottom>
      <diagonal/>
    </border>
    <border>
      <left style="medium">
        <color rgb="FF000000"/>
      </left>
      <right/>
      <top style="thin">
        <color indexed="64"/>
      </top>
      <bottom style="medium">
        <color indexed="64"/>
      </bottom>
      <diagonal/>
    </border>
    <border>
      <left/>
      <right/>
      <top style="medium">
        <color indexed="64"/>
      </top>
      <bottom style="medium">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thin">
        <color auto="1"/>
      </left>
      <right style="medium">
        <color rgb="FF000000"/>
      </right>
      <top/>
      <bottom style="thin">
        <color auto="1"/>
      </bottom>
      <diagonal/>
    </border>
    <border>
      <left style="medium">
        <color rgb="FF000000"/>
      </left>
      <right/>
      <top style="thin">
        <color indexed="64"/>
      </top>
      <bottom style="thin">
        <color rgb="FF000000"/>
      </bottom>
      <diagonal/>
    </border>
    <border>
      <left/>
      <right/>
      <top style="thin">
        <color auto="1"/>
      </top>
      <bottom style="thin">
        <color rgb="FF000000"/>
      </bottom>
      <diagonal/>
    </border>
    <border>
      <left style="medium">
        <color rgb="FF000000"/>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top style="thin">
        <color indexed="64"/>
      </top>
      <bottom style="medium">
        <color rgb="FF000000"/>
      </bottom>
      <diagonal/>
    </border>
    <border>
      <left style="thin">
        <color rgb="FF000000"/>
      </left>
      <right/>
      <top style="medium">
        <color indexed="64"/>
      </top>
      <bottom style="medium">
        <color indexed="64"/>
      </bottom>
      <diagonal/>
    </border>
    <border>
      <left style="thin">
        <color rgb="FF000000"/>
      </left>
      <right/>
      <top style="medium">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auto="1"/>
      </left>
      <right/>
      <top style="medium">
        <color auto="1"/>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n">
        <color auto="1"/>
      </left>
      <right style="double">
        <color auto="1"/>
      </right>
      <top style="thin">
        <color auto="1"/>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64"/>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thick">
        <color indexed="64"/>
      </left>
      <right style="thick">
        <color indexed="64"/>
      </right>
      <top style="medium">
        <color auto="1"/>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8"/>
      </bottom>
      <diagonal/>
    </border>
    <border>
      <left style="thick">
        <color auto="1"/>
      </left>
      <right style="thin">
        <color auto="1"/>
      </right>
      <top style="thin">
        <color auto="1"/>
      </top>
      <bottom style="medium">
        <color auto="1"/>
      </bottom>
      <diagonal/>
    </border>
    <border>
      <left/>
      <right style="thick">
        <color auto="1"/>
      </right>
      <top style="thin">
        <color auto="1"/>
      </top>
      <bottom style="medium">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double">
        <color auto="1"/>
      </left>
      <right style="thick">
        <color auto="1"/>
      </right>
      <top style="thin">
        <color auto="1"/>
      </top>
      <bottom style="thick">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top/>
      <bottom style="thin">
        <color auto="1"/>
      </bottom>
      <diagonal/>
    </border>
    <border>
      <left/>
      <right style="thin">
        <color indexed="64"/>
      </right>
      <top/>
      <bottom style="thin">
        <color indexed="64"/>
      </bottom>
      <diagonal/>
    </border>
    <border>
      <left/>
      <right/>
      <top/>
      <bottom style="thin">
        <color indexed="64"/>
      </bottom>
      <diagonal/>
    </border>
    <border>
      <left style="medium">
        <color indexed="8"/>
      </left>
      <right style="medium">
        <color indexed="8"/>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8"/>
      </left>
      <right style="medium">
        <color indexed="8"/>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style="medium">
        <color indexed="64"/>
      </left>
      <right style="medium">
        <color indexed="64"/>
      </right>
      <top style="thin">
        <color indexed="8"/>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8"/>
      </left>
      <right style="medium">
        <color indexed="64"/>
      </right>
      <top style="thin">
        <color indexed="8"/>
      </top>
      <bottom style="thin">
        <color indexed="8"/>
      </bottom>
      <diagonal/>
    </border>
    <border>
      <left style="medium">
        <color indexed="8"/>
      </left>
      <right style="medium">
        <color indexed="64"/>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ck">
        <color auto="1"/>
      </bottom>
      <diagonal/>
    </border>
    <border>
      <left style="thick">
        <color auto="1"/>
      </left>
      <right style="medium">
        <color indexed="64"/>
      </right>
      <top style="thin">
        <color indexed="64"/>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style="thin">
        <color auto="1"/>
      </right>
      <top style="thin">
        <color auto="1"/>
      </top>
      <bottom style="thin">
        <color auto="1"/>
      </bottom>
      <diagonal/>
    </border>
    <border>
      <left style="medium">
        <color indexed="64"/>
      </left>
      <right style="medium">
        <color indexed="64"/>
      </right>
      <top style="thin">
        <color indexed="8"/>
      </top>
      <bottom style="thin">
        <color indexed="8"/>
      </bottom>
      <diagonal/>
    </border>
    <border>
      <left style="thin">
        <color auto="1"/>
      </left>
      <right style="thick">
        <color auto="1"/>
      </right>
      <top style="thin">
        <color auto="1"/>
      </top>
      <bottom style="thin">
        <color auto="1"/>
      </bottom>
      <diagonal/>
    </border>
    <border>
      <left/>
      <right/>
      <top/>
      <bottom style="thin">
        <color indexed="64"/>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bottom style="thin">
        <color indexed="64"/>
      </bottom>
      <diagonal/>
    </border>
    <border>
      <left style="medium">
        <color indexed="8"/>
      </left>
      <right style="medium">
        <color indexed="8"/>
      </right>
      <top/>
      <bottom style="thin">
        <color indexed="8"/>
      </bottom>
      <diagonal/>
    </border>
    <border>
      <left style="thick">
        <color auto="1"/>
      </left>
      <right style="thick">
        <color auto="1"/>
      </right>
      <top style="thin">
        <color auto="1"/>
      </top>
      <bottom style="thin">
        <color auto="1"/>
      </bottom>
      <diagonal/>
    </border>
    <border>
      <left/>
      <right/>
      <top/>
      <bottom style="thin">
        <color indexed="64"/>
      </bottom>
      <diagonal/>
    </border>
    <border>
      <left/>
      <right style="thick">
        <color auto="1"/>
      </right>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medium">
        <color indexed="64"/>
      </left>
      <right style="medium">
        <color indexed="64"/>
      </right>
      <top style="thin">
        <color indexed="8"/>
      </top>
      <bottom style="thin">
        <color indexed="8"/>
      </bottom>
      <diagonal/>
    </border>
    <border>
      <left style="thick">
        <color indexed="64"/>
      </left>
      <right style="thick">
        <color indexed="64"/>
      </right>
      <top style="thin">
        <color auto="1"/>
      </top>
      <bottom style="thick">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8"/>
      </top>
      <bottom style="thin">
        <color indexed="8"/>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top/>
      <bottom style="thin">
        <color auto="1"/>
      </bottom>
      <diagonal/>
    </border>
    <border>
      <left style="medium">
        <color indexed="64"/>
      </left>
      <right style="medium">
        <color indexed="64"/>
      </right>
      <top style="thin">
        <color indexed="8"/>
      </top>
      <bottom style="thin">
        <color indexed="8"/>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right/>
      <top style="thin">
        <color indexed="64"/>
      </top>
      <bottom style="thin">
        <color indexed="64"/>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double">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double">
        <color auto="1"/>
      </right>
      <top style="thin">
        <color auto="1"/>
      </top>
      <bottom style="thick">
        <color auto="1"/>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8"/>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n">
        <color auto="1"/>
      </left>
      <right style="double">
        <color auto="1"/>
      </right>
      <top/>
      <bottom style="thin">
        <color auto="1"/>
      </bottom>
      <diagonal/>
    </border>
    <border>
      <left style="medium">
        <color auto="1"/>
      </left>
      <right style="thin">
        <color auto="1"/>
      </right>
      <top style="thin">
        <color auto="1"/>
      </top>
      <bottom style="thin">
        <color auto="1"/>
      </bottom>
      <diagonal/>
    </border>
    <border>
      <left style="thick">
        <color auto="1"/>
      </left>
      <right style="thin">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style="thin">
        <color indexed="8"/>
      </top>
      <bottom style="thick">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top/>
      <bottom style="thin">
        <color auto="1"/>
      </bottom>
      <diagonal/>
    </border>
    <border>
      <left style="thick">
        <color auto="1"/>
      </left>
      <right/>
      <top/>
      <bottom style="thin">
        <color auto="1"/>
      </bottom>
      <diagonal/>
    </border>
    <border>
      <left style="thin">
        <color auto="1"/>
      </left>
      <right style="double">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n">
        <color auto="1"/>
      </left>
      <right style="thin">
        <color auto="1"/>
      </right>
      <top/>
      <bottom style="thin">
        <color auto="1"/>
      </bottom>
      <diagonal/>
    </border>
    <border>
      <left style="thick">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right/>
      <top/>
      <bottom style="thin">
        <color indexed="64"/>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9" fillId="0" borderId="0">
      <alignment vertical="top"/>
    </xf>
    <xf numFmtId="0" fontId="1" fillId="0" borderId="0"/>
    <xf numFmtId="44"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46" fillId="0" borderId="39"/>
    <xf numFmtId="5" fontId="40" fillId="0" borderId="0"/>
    <xf numFmtId="0" fontId="28" fillId="0" borderId="0"/>
  </cellStyleXfs>
  <cellXfs count="3757">
    <xf numFmtId="0" fontId="0" fillId="0" borderId="0" xfId="0"/>
    <xf numFmtId="0" fontId="0" fillId="0" borderId="0" xfId="0" applyAlignment="1">
      <alignment wrapText="1"/>
    </xf>
    <xf numFmtId="0" fontId="0" fillId="0" borderId="0" xfId="0" applyProtection="1">
      <protection locked="0"/>
    </xf>
    <xf numFmtId="0" fontId="0" fillId="0" borderId="2" xfId="0" applyBorder="1" applyAlignment="1">
      <alignment horizontal="right"/>
    </xf>
    <xf numFmtId="0" fontId="0" fillId="0" borderId="3" xfId="0" applyBorder="1" applyAlignment="1">
      <alignment wrapText="1"/>
    </xf>
    <xf numFmtId="0" fontId="0" fillId="0" borderId="3" xfId="0" applyBorder="1" applyProtection="1">
      <protection locked="0"/>
    </xf>
    <xf numFmtId="0" fontId="0" fillId="0" borderId="4" xfId="0" applyBorder="1" applyAlignment="1" applyProtection="1">
      <alignment horizontal="right"/>
      <protection locked="0"/>
    </xf>
    <xf numFmtId="0" fontId="3" fillId="2" borderId="6" xfId="0" applyFont="1" applyFill="1" applyBorder="1"/>
    <xf numFmtId="0" fontId="0" fillId="2" borderId="7" xfId="0" applyFill="1" applyBorder="1" applyAlignment="1">
      <alignment wrapText="1"/>
    </xf>
    <xf numFmtId="0" fontId="0" fillId="2" borderId="7"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5" fontId="0" fillId="2" borderId="1" xfId="2" applyNumberFormat="1" applyFont="1" applyFill="1" applyBorder="1" applyAlignment="1" applyProtection="1">
      <alignment horizontal="center"/>
      <protection locked="0"/>
    </xf>
    <xf numFmtId="0" fontId="0" fillId="2" borderId="7" xfId="0" applyFill="1" applyBorder="1" applyProtection="1">
      <protection locked="0"/>
    </xf>
    <xf numFmtId="0" fontId="0" fillId="2" borderId="8" xfId="0" applyFill="1" applyBorder="1" applyProtection="1">
      <protection locked="0"/>
    </xf>
    <xf numFmtId="0" fontId="0" fillId="6" borderId="2" xfId="0" applyFill="1" applyBorder="1"/>
    <xf numFmtId="0" fontId="0" fillId="6" borderId="3" xfId="0" applyFill="1" applyBorder="1" applyAlignment="1">
      <alignment wrapText="1"/>
    </xf>
    <xf numFmtId="0" fontId="0" fillId="6" borderId="3" xfId="0" applyFill="1" applyBorder="1" applyProtection="1">
      <protection locked="0"/>
    </xf>
    <xf numFmtId="0" fontId="0" fillId="6" borderId="3" xfId="0" applyFill="1" applyBorder="1" applyAlignment="1" applyProtection="1">
      <alignment vertical="center"/>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5" fontId="0" fillId="6" borderId="5" xfId="0" applyNumberFormat="1" applyFill="1" applyBorder="1" applyProtection="1">
      <protection locked="0"/>
    </xf>
    <xf numFmtId="0" fontId="0" fillId="2" borderId="1" xfId="0" applyFill="1" applyBorder="1" applyProtection="1">
      <protection locked="0"/>
    </xf>
    <xf numFmtId="0" fontId="12" fillId="0" borderId="0" xfId="0" applyFont="1"/>
    <xf numFmtId="0" fontId="14" fillId="0" borderId="0" xfId="0" applyFont="1"/>
    <xf numFmtId="0" fontId="15" fillId="0" borderId="0" xfId="0" applyFont="1" applyAlignment="1">
      <alignment horizontal="right"/>
    </xf>
    <xf numFmtId="0" fontId="16" fillId="0" borderId="0" xfId="0" applyFont="1"/>
    <xf numFmtId="0" fontId="17" fillId="0" borderId="0" xfId="0" applyFont="1"/>
    <xf numFmtId="14" fontId="18" fillId="0" borderId="0" xfId="0" applyNumberFormat="1" applyFont="1" applyAlignment="1">
      <alignment horizontal="left" vertical="center"/>
    </xf>
    <xf numFmtId="164" fontId="19" fillId="0" borderId="0" xfId="1" applyNumberFormat="1" applyFont="1" applyAlignment="1">
      <alignment horizontal="center" vertical="center" wrapText="1"/>
    </xf>
    <xf numFmtId="164" fontId="16" fillId="0" borderId="0" xfId="1" applyNumberFormat="1" applyFont="1"/>
    <xf numFmtId="0" fontId="1" fillId="0" borderId="0" xfId="0" applyFont="1"/>
    <xf numFmtId="0" fontId="13" fillId="0" borderId="0" xfId="0" applyFont="1"/>
    <xf numFmtId="0" fontId="2" fillId="7" borderId="0" xfId="0" applyFont="1" applyFill="1"/>
    <xf numFmtId="0" fontId="9" fillId="0" borderId="0" xfId="0" applyFont="1"/>
    <xf numFmtId="0" fontId="20" fillId="0" borderId="0" xfId="0" applyFont="1"/>
    <xf numFmtId="0" fontId="23" fillId="0" borderId="0" xfId="0" applyFont="1"/>
    <xf numFmtId="14" fontId="20" fillId="0" borderId="0" xfId="0" applyNumberFormat="1" applyFont="1" applyAlignment="1">
      <alignment horizontal="left" vertical="center"/>
    </xf>
    <xf numFmtId="164" fontId="24" fillId="0" borderId="0" xfId="1" applyNumberFormat="1" applyFont="1" applyAlignment="1">
      <alignment horizontal="center" vertical="center" wrapText="1"/>
    </xf>
    <xf numFmtId="0" fontId="0" fillId="0" borderId="13" xfId="0" applyBorder="1"/>
    <xf numFmtId="0" fontId="0" fillId="0" borderId="14" xfId="0" applyBorder="1"/>
    <xf numFmtId="0" fontId="26" fillId="0" borderId="0" xfId="0" applyFont="1"/>
    <xf numFmtId="10" fontId="26" fillId="0" borderId="14" xfId="0" applyNumberFormat="1" applyFont="1" applyBorder="1"/>
    <xf numFmtId="0" fontId="0" fillId="0" borderId="13" xfId="0" applyBorder="1" applyAlignment="1">
      <alignment horizontal="right"/>
    </xf>
    <xf numFmtId="164" fontId="0" fillId="0" borderId="0" xfId="0" applyNumberFormat="1"/>
    <xf numFmtId="164" fontId="13" fillId="0" borderId="0" xfId="1" applyNumberFormat="1" applyFont="1" applyFill="1" applyBorder="1"/>
    <xf numFmtId="164" fontId="19" fillId="8" borderId="15" xfId="1" applyNumberFormat="1" applyFont="1" applyFill="1" applyBorder="1" applyAlignment="1">
      <alignment horizontal="center" vertical="center" wrapText="1"/>
    </xf>
    <xf numFmtId="164" fontId="25" fillId="8" borderId="15" xfId="1" applyNumberFormat="1" applyFont="1" applyFill="1" applyBorder="1" applyAlignment="1">
      <alignment horizontal="center" vertical="center" wrapText="1"/>
    </xf>
    <xf numFmtId="164" fontId="25" fillId="8" borderId="16" xfId="1" applyNumberFormat="1" applyFont="1" applyFill="1" applyBorder="1" applyAlignment="1">
      <alignment horizontal="center" vertical="center" wrapText="1"/>
    </xf>
    <xf numFmtId="0" fontId="0" fillId="0" borderId="0" xfId="0" applyAlignment="1">
      <alignment horizontal="right"/>
    </xf>
    <xf numFmtId="2" fontId="0" fillId="0" borderId="0" xfId="0" applyNumberFormat="1"/>
    <xf numFmtId="5" fontId="0" fillId="2" borderId="25" xfId="2" applyNumberFormat="1" applyFont="1" applyFill="1" applyBorder="1" applyAlignment="1" applyProtection="1">
      <alignment horizontal="center"/>
      <protection locked="0"/>
    </xf>
    <xf numFmtId="5" fontId="0" fillId="6" borderId="21" xfId="0" applyNumberFormat="1" applyFill="1" applyBorder="1" applyProtection="1">
      <protection locked="0"/>
    </xf>
    <xf numFmtId="0" fontId="0" fillId="2" borderId="25" xfId="0" applyFill="1" applyBorder="1" applyProtection="1">
      <protection locked="0"/>
    </xf>
    <xf numFmtId="165" fontId="0" fillId="0" borderId="22" xfId="0" applyNumberFormat="1" applyBorder="1" applyProtection="1">
      <protection locked="0"/>
    </xf>
    <xf numFmtId="0" fontId="0" fillId="2" borderId="26" xfId="0" applyFill="1" applyBorder="1" applyProtection="1">
      <protection locked="0"/>
    </xf>
    <xf numFmtId="0" fontId="0" fillId="0" borderId="29" xfId="0" applyBorder="1" applyAlignment="1">
      <alignment wrapText="1"/>
    </xf>
    <xf numFmtId="0" fontId="5" fillId="0" borderId="29" xfId="0" applyFont="1" applyBorder="1" applyProtection="1">
      <protection locked="0"/>
    </xf>
    <xf numFmtId="0" fontId="0" fillId="0" borderId="29" xfId="0" applyBorder="1" applyProtection="1">
      <protection locked="0"/>
    </xf>
    <xf numFmtId="5" fontId="0" fillId="0" borderId="23" xfId="2" applyNumberFormat="1" applyFont="1" applyBorder="1" applyProtection="1">
      <protection locked="0"/>
    </xf>
    <xf numFmtId="0" fontId="0" fillId="0" borderId="28" xfId="0" applyBorder="1"/>
    <xf numFmtId="5" fontId="0" fillId="2" borderId="1" xfId="2" applyNumberFormat="1" applyFont="1" applyFill="1" applyBorder="1" applyAlignment="1" applyProtection="1">
      <alignment horizontal="left"/>
      <protection locked="0"/>
    </xf>
    <xf numFmtId="5" fontId="0" fillId="6" borderId="5" xfId="0" applyNumberFormat="1" applyFill="1" applyBorder="1" applyAlignment="1" applyProtection="1">
      <alignment horizontal="left"/>
      <protection locked="0"/>
    </xf>
    <xf numFmtId="0" fontId="0" fillId="0" borderId="0" xfId="0" applyAlignment="1" applyProtection="1">
      <alignment horizontal="left"/>
      <protection locked="0"/>
    </xf>
    <xf numFmtId="0" fontId="0" fillId="0" borderId="10" xfId="0" applyBorder="1" applyProtection="1">
      <protection locked="0"/>
    </xf>
    <xf numFmtId="170" fontId="0" fillId="6" borderId="5" xfId="0" applyNumberFormat="1" applyFill="1" applyBorder="1" applyAlignment="1" applyProtection="1">
      <alignment horizontal="left"/>
      <protection locked="0"/>
    </xf>
    <xf numFmtId="0" fontId="6" fillId="0" borderId="0" xfId="0" applyFont="1"/>
    <xf numFmtId="0" fontId="6" fillId="0" borderId="0" xfId="0" applyFont="1" applyAlignment="1">
      <alignment wrapText="1"/>
    </xf>
    <xf numFmtId="0" fontId="6" fillId="0" borderId="0" xfId="0" applyFont="1" applyProtection="1">
      <protection locked="0"/>
    </xf>
    <xf numFmtId="0" fontId="6" fillId="0" borderId="2" xfId="0" applyFont="1" applyBorder="1" applyAlignment="1">
      <alignment horizontal="right"/>
    </xf>
    <xf numFmtId="0" fontId="6" fillId="0" borderId="3" xfId="0" applyFont="1" applyBorder="1" applyProtection="1">
      <protection locked="0"/>
    </xf>
    <xf numFmtId="0" fontId="33" fillId="2" borderId="6" xfId="0" applyFont="1" applyFill="1" applyBorder="1"/>
    <xf numFmtId="0" fontId="6" fillId="2" borderId="7" xfId="0" applyFont="1" applyFill="1" applyBorder="1" applyAlignment="1">
      <alignment wrapText="1"/>
    </xf>
    <xf numFmtId="0" fontId="6" fillId="2" borderId="7" xfId="0" applyFont="1" applyFill="1" applyBorder="1" applyAlignment="1" applyProtection="1">
      <alignment horizontal="center" wrapText="1"/>
      <protection locked="0"/>
    </xf>
    <xf numFmtId="5" fontId="6" fillId="2" borderId="25" xfId="2" applyNumberFormat="1" applyFont="1" applyFill="1" applyBorder="1" applyAlignment="1" applyProtection="1">
      <alignment horizontal="center"/>
      <protection locked="0"/>
    </xf>
    <xf numFmtId="5" fontId="6" fillId="2" borderId="1" xfId="2" applyNumberFormat="1" applyFont="1" applyFill="1" applyBorder="1" applyAlignment="1" applyProtection="1">
      <alignment horizontal="center"/>
      <protection locked="0"/>
    </xf>
    <xf numFmtId="0" fontId="6" fillId="0" borderId="29" xfId="0" applyFont="1" applyBorder="1" applyAlignment="1">
      <alignment wrapText="1"/>
    </xf>
    <xf numFmtId="0" fontId="6" fillId="6" borderId="2" xfId="0" applyFont="1" applyFill="1" applyBorder="1"/>
    <xf numFmtId="0" fontId="6" fillId="6" borderId="3" xfId="0" applyFont="1" applyFill="1" applyBorder="1" applyAlignment="1">
      <alignment wrapText="1"/>
    </xf>
    <xf numFmtId="0" fontId="6" fillId="6" borderId="3" xfId="0" applyFont="1" applyFill="1" applyBorder="1" applyProtection="1">
      <protection locked="0"/>
    </xf>
    <xf numFmtId="0" fontId="6" fillId="6" borderId="3" xfId="0" applyFont="1" applyFill="1" applyBorder="1" applyAlignment="1" applyProtection="1">
      <alignment vertical="center"/>
      <protection locked="0"/>
    </xf>
    <xf numFmtId="0" fontId="6" fillId="6" borderId="3" xfId="0" applyFont="1" applyFill="1" applyBorder="1" applyAlignment="1" applyProtection="1">
      <alignment horizontal="right"/>
      <protection locked="0"/>
    </xf>
    <xf numFmtId="5" fontId="6" fillId="6" borderId="21" xfId="0" applyNumberFormat="1" applyFont="1" applyFill="1" applyBorder="1" applyProtection="1">
      <protection locked="0"/>
    </xf>
    <xf numFmtId="5" fontId="6" fillId="6" borderId="5" xfId="0" applyNumberFormat="1" applyFont="1" applyFill="1" applyBorder="1" applyAlignment="1" applyProtection="1">
      <alignment horizontal="left"/>
      <protection locked="0"/>
    </xf>
    <xf numFmtId="5" fontId="6" fillId="6" borderId="5" xfId="0" applyNumberFormat="1" applyFont="1" applyFill="1" applyBorder="1" applyProtection="1">
      <protection locked="0"/>
    </xf>
    <xf numFmtId="1" fontId="0" fillId="0" borderId="0" xfId="0" applyNumberFormat="1" applyProtection="1">
      <protection locked="0"/>
    </xf>
    <xf numFmtId="0" fontId="0" fillId="0" borderId="0" xfId="0" applyAlignment="1">
      <alignment horizontal="left"/>
    </xf>
    <xf numFmtId="170" fontId="26" fillId="0" borderId="0" xfId="0" applyNumberFormat="1" applyFont="1"/>
    <xf numFmtId="3" fontId="0" fillId="0" borderId="0" xfId="0" applyNumberFormat="1" applyAlignment="1">
      <alignment horizontal="right"/>
    </xf>
    <xf numFmtId="0" fontId="6" fillId="0" borderId="4" xfId="0" applyFont="1" applyBorder="1" applyAlignment="1" applyProtection="1">
      <alignment horizontal="right"/>
      <protection locked="0"/>
    </xf>
    <xf numFmtId="0" fontId="6" fillId="2" borderId="8" xfId="0" applyFont="1" applyFill="1" applyBorder="1" applyAlignment="1" applyProtection="1">
      <alignment horizontal="center" wrapText="1"/>
      <protection locked="0"/>
    </xf>
    <xf numFmtId="0" fontId="6" fillId="6" borderId="4" xfId="0" applyFont="1" applyFill="1" applyBorder="1" applyAlignment="1" applyProtection="1">
      <alignment horizontal="right"/>
      <protection locked="0"/>
    </xf>
    <xf numFmtId="44" fontId="0" fillId="0" borderId="0" xfId="2" applyFont="1"/>
    <xf numFmtId="0" fontId="3" fillId="0" borderId="32" xfId="0" applyFont="1" applyBorder="1" applyAlignment="1" applyProtection="1">
      <alignment horizontal="right"/>
      <protection locked="0"/>
    </xf>
    <xf numFmtId="0" fontId="3" fillId="0" borderId="20" xfId="0" applyFont="1" applyBorder="1" applyAlignment="1" applyProtection="1">
      <alignment horizontal="right"/>
      <protection locked="0"/>
    </xf>
    <xf numFmtId="0" fontId="0" fillId="0" borderId="1" xfId="0" applyBorder="1" applyProtection="1">
      <protection locked="0"/>
    </xf>
    <xf numFmtId="0" fontId="0" fillId="7" borderId="0" xfId="0" applyFill="1"/>
    <xf numFmtId="0" fontId="0" fillId="12" borderId="0" xfId="0" applyFill="1"/>
    <xf numFmtId="171" fontId="39" fillId="0" borderId="34" xfId="0" applyNumberFormat="1" applyFont="1" applyBorder="1" applyAlignment="1">
      <alignment horizontal="left" vertical="top" shrinkToFit="1"/>
    </xf>
    <xf numFmtId="0" fontId="13" fillId="0" borderId="0" xfId="0" applyFont="1" applyAlignment="1">
      <alignment horizontal="right"/>
    </xf>
    <xf numFmtId="10" fontId="27" fillId="0" borderId="0" xfId="0" applyNumberFormat="1" applyFont="1"/>
    <xf numFmtId="164" fontId="13" fillId="0" borderId="0" xfId="0" applyNumberFormat="1" applyFont="1"/>
    <xf numFmtId="39" fontId="13" fillId="0" borderId="0" xfId="1" applyNumberFormat="1" applyFont="1" applyFill="1" applyBorder="1"/>
    <xf numFmtId="0" fontId="0" fillId="0" borderId="13" xfId="0" applyBorder="1" applyAlignment="1">
      <alignment horizontal="left"/>
    </xf>
    <xf numFmtId="0" fontId="26" fillId="0" borderId="13" xfId="0" applyFont="1" applyBorder="1" applyAlignment="1">
      <alignment horizontal="left"/>
    </xf>
    <xf numFmtId="0" fontId="26" fillId="0" borderId="0" xfId="0" applyFont="1" applyAlignment="1">
      <alignment horizontal="left"/>
    </xf>
    <xf numFmtId="10" fontId="26" fillId="0" borderId="14" xfId="0" applyNumberFormat="1" applyFont="1" applyBorder="1" applyAlignment="1">
      <alignment horizontal="left"/>
    </xf>
    <xf numFmtId="3" fontId="26" fillId="0" borderId="0" xfId="0" applyNumberFormat="1" applyFont="1" applyAlignment="1">
      <alignment horizontal="left"/>
    </xf>
    <xf numFmtId="10" fontId="26" fillId="0" borderId="0" xfId="0" applyNumberFormat="1" applyFont="1" applyAlignment="1">
      <alignment horizontal="left"/>
    </xf>
    <xf numFmtId="0" fontId="0" fillId="6" borderId="36" xfId="0" applyFill="1" applyBorder="1" applyAlignment="1" applyProtection="1">
      <alignment horizontal="right"/>
      <protection locked="0"/>
    </xf>
    <xf numFmtId="0" fontId="0" fillId="0" borderId="9" xfId="0" applyBorder="1"/>
    <xf numFmtId="0" fontId="5" fillId="0" borderId="0" xfId="0" applyFont="1" applyProtection="1">
      <protection locked="0"/>
    </xf>
    <xf numFmtId="0" fontId="43" fillId="0" borderId="0" xfId="0" applyFont="1"/>
    <xf numFmtId="170" fontId="43" fillId="0" borderId="0" xfId="0" applyNumberFormat="1" applyFont="1"/>
    <xf numFmtId="44" fontId="43" fillId="0" borderId="0" xfId="2" applyFont="1"/>
    <xf numFmtId="173" fontId="43" fillId="0" borderId="0" xfId="1" applyNumberFormat="1" applyFont="1"/>
    <xf numFmtId="44" fontId="43" fillId="0" borderId="0" xfId="2" applyFont="1" applyAlignment="1">
      <alignment horizontal="right"/>
    </xf>
    <xf numFmtId="0" fontId="43" fillId="0" borderId="0" xfId="0" applyFont="1" applyAlignment="1">
      <alignment horizontal="right"/>
    </xf>
    <xf numFmtId="170" fontId="43" fillId="0" borderId="0" xfId="0" applyNumberFormat="1" applyFont="1" applyAlignment="1">
      <alignment horizontal="right"/>
    </xf>
    <xf numFmtId="165" fontId="43" fillId="0" borderId="0" xfId="0" applyNumberFormat="1" applyFont="1"/>
    <xf numFmtId="174" fontId="44" fillId="0" borderId="0" xfId="0" applyNumberFormat="1" applyFont="1" applyAlignment="1">
      <alignment horizontal="center" vertical="top"/>
    </xf>
    <xf numFmtId="0" fontId="45" fillId="0" borderId="0" xfId="0" applyFont="1" applyAlignment="1">
      <alignment horizontal="left" vertical="top"/>
    </xf>
    <xf numFmtId="0" fontId="44" fillId="0" borderId="0" xfId="0" applyFont="1" applyAlignment="1">
      <alignment horizontal="left" vertical="top"/>
    </xf>
    <xf numFmtId="0" fontId="49" fillId="0" borderId="0" xfId="0" applyFont="1"/>
    <xf numFmtId="0" fontId="49" fillId="0" borderId="0" xfId="0" applyFont="1" applyAlignment="1">
      <alignment horizontal="center" vertical="center"/>
    </xf>
    <xf numFmtId="167" fontId="0" fillId="0" borderId="0" xfId="2" applyNumberFormat="1" applyFont="1"/>
    <xf numFmtId="167" fontId="14" fillId="0" borderId="0" xfId="2" applyNumberFormat="1" applyFont="1"/>
    <xf numFmtId="167" fontId="51" fillId="0" borderId="0" xfId="2" applyNumberFormat="1" applyFont="1" applyAlignment="1">
      <alignment horizontal="left"/>
    </xf>
    <xf numFmtId="0" fontId="44" fillId="0" borderId="0" xfId="0" applyFont="1"/>
    <xf numFmtId="174" fontId="53" fillId="0" borderId="40" xfId="0" applyNumberFormat="1" applyFont="1" applyBorder="1" applyAlignment="1">
      <alignment horizontal="center" vertical="center"/>
    </xf>
    <xf numFmtId="44" fontId="53" fillId="0" borderId="41" xfId="2" applyFont="1" applyBorder="1" applyAlignment="1">
      <alignment horizontal="left" vertical="center"/>
    </xf>
    <xf numFmtId="0" fontId="53" fillId="0" borderId="0" xfId="0" applyFont="1" applyAlignment="1">
      <alignment horizontal="left" vertical="center"/>
    </xf>
    <xf numFmtId="174" fontId="53" fillId="0" borderId="42" xfId="0" applyNumberFormat="1" applyFont="1" applyBorder="1" applyAlignment="1">
      <alignment horizontal="center" vertical="center"/>
    </xf>
    <xf numFmtId="0" fontId="53" fillId="0" borderId="43" xfId="0" applyFont="1" applyBorder="1" applyAlignment="1">
      <alignment horizontal="left" vertical="center" wrapText="1"/>
    </xf>
    <xf numFmtId="44" fontId="53" fillId="0" borderId="44" xfId="2" applyFont="1" applyBorder="1" applyAlignment="1">
      <alignment horizontal="left" vertical="center"/>
    </xf>
    <xf numFmtId="174" fontId="53" fillId="0" borderId="45" xfId="0" applyNumberFormat="1" applyFont="1" applyBorder="1" applyAlignment="1">
      <alignment horizontal="center" vertical="center"/>
    </xf>
    <xf numFmtId="0" fontId="53" fillId="0" borderId="46" xfId="0" applyFont="1" applyBorder="1" applyAlignment="1">
      <alignment horizontal="left" vertical="center" wrapText="1"/>
    </xf>
    <xf numFmtId="44" fontId="53" fillId="0" borderId="47" xfId="2" applyFont="1" applyBorder="1" applyAlignment="1">
      <alignment horizontal="left" vertical="center"/>
    </xf>
    <xf numFmtId="174" fontId="53" fillId="0" borderId="48" xfId="0" applyNumberFormat="1" applyFont="1" applyBorder="1" applyAlignment="1">
      <alignment horizontal="center" vertical="center"/>
    </xf>
    <xf numFmtId="0" fontId="53" fillId="0" borderId="49" xfId="0" applyFont="1" applyBorder="1" applyAlignment="1">
      <alignment horizontal="left" vertical="center" wrapText="1"/>
    </xf>
    <xf numFmtId="44" fontId="53" fillId="0" borderId="50" xfId="2" applyFont="1" applyBorder="1" applyAlignment="1">
      <alignment horizontal="left" vertical="center"/>
    </xf>
    <xf numFmtId="174" fontId="44" fillId="0" borderId="0" xfId="0" applyNumberFormat="1" applyFont="1" applyAlignment="1">
      <alignment horizontal="right" vertical="top"/>
    </xf>
    <xf numFmtId="0" fontId="44" fillId="0" borderId="0" xfId="0" applyFont="1" applyAlignment="1">
      <alignment wrapText="1"/>
    </xf>
    <xf numFmtId="44" fontId="44" fillId="0" borderId="0" xfId="0" applyNumberFormat="1" applyFont="1" applyAlignment="1">
      <alignment vertical="top"/>
    </xf>
    <xf numFmtId="174" fontId="44" fillId="0" borderId="0" xfId="0" applyNumberFormat="1" applyFont="1" applyAlignment="1">
      <alignment horizontal="right"/>
    </xf>
    <xf numFmtId="0" fontId="54" fillId="0" borderId="0" xfId="0" applyFont="1" applyAlignment="1">
      <alignment wrapText="1"/>
    </xf>
    <xf numFmtId="0" fontId="28" fillId="9" borderId="53" xfId="0" applyFont="1" applyFill="1" applyBorder="1" applyAlignment="1">
      <alignment horizontal="left" vertical="center" wrapText="1"/>
    </xf>
    <xf numFmtId="0" fontId="28" fillId="15" borderId="0" xfId="0" applyFont="1" applyFill="1" applyAlignment="1">
      <alignment horizontal="center"/>
    </xf>
    <xf numFmtId="0" fontId="28" fillId="0" borderId="0" xfId="0" applyFont="1"/>
    <xf numFmtId="0" fontId="28" fillId="12" borderId="0" xfId="0" applyFont="1" applyFill="1" applyAlignment="1">
      <alignment horizontal="center"/>
    </xf>
    <xf numFmtId="0" fontId="28" fillId="7" borderId="0" xfId="0" applyFont="1" applyFill="1" applyAlignment="1">
      <alignment horizontal="center"/>
    </xf>
    <xf numFmtId="0" fontId="56" fillId="0" borderId="0" xfId="4" applyFont="1"/>
    <xf numFmtId="0" fontId="28" fillId="9" borderId="53" xfId="0" applyFont="1" applyFill="1" applyBorder="1" applyAlignment="1">
      <alignment horizontal="left"/>
    </xf>
    <xf numFmtId="0" fontId="29" fillId="9" borderId="53" xfId="0" applyFont="1" applyFill="1" applyBorder="1" applyAlignment="1">
      <alignment horizontal="left" vertical="center" wrapText="1"/>
    </xf>
    <xf numFmtId="0" fontId="0" fillId="0" borderId="28" xfId="0" applyBorder="1" applyAlignment="1">
      <alignment vertical="top"/>
    </xf>
    <xf numFmtId="0" fontId="0" fillId="0" borderId="0" xfId="0" applyAlignment="1" applyProtection="1">
      <alignment horizontal="center"/>
      <protection locked="0"/>
    </xf>
    <xf numFmtId="0" fontId="28" fillId="22" borderId="53" xfId="0" applyFont="1" applyFill="1" applyBorder="1" applyAlignment="1">
      <alignment horizontal="center"/>
    </xf>
    <xf numFmtId="0" fontId="3" fillId="2" borderId="58" xfId="0" applyFont="1" applyFill="1" applyBorder="1"/>
    <xf numFmtId="0" fontId="0" fillId="2" borderId="59" xfId="0" applyFill="1" applyBorder="1" applyAlignment="1" applyProtection="1">
      <alignment horizontal="center" wrapText="1"/>
      <protection locked="0"/>
    </xf>
    <xf numFmtId="0" fontId="0" fillId="2" borderId="60" xfId="0" applyFill="1" applyBorder="1" applyAlignment="1" applyProtection="1">
      <alignment horizontal="center" wrapText="1"/>
      <protection locked="0"/>
    </xf>
    <xf numFmtId="0" fontId="0" fillId="2" borderId="1" xfId="0" applyFill="1" applyBorder="1" applyAlignment="1">
      <alignment wrapText="1"/>
    </xf>
    <xf numFmtId="3" fontId="0" fillId="0" borderId="23" xfId="0" applyNumberFormat="1" applyBorder="1" applyAlignment="1" applyProtection="1">
      <alignment horizontal="left"/>
      <protection locked="0"/>
    </xf>
    <xf numFmtId="0" fontId="58" fillId="0" borderId="0" xfId="4" applyFont="1"/>
    <xf numFmtId="0" fontId="3" fillId="0" borderId="28" xfId="0" applyFont="1" applyBorder="1"/>
    <xf numFmtId="0" fontId="0" fillId="0" borderId="29" xfId="0" applyBorder="1" applyAlignment="1" applyProtection="1">
      <alignment horizontal="center" wrapText="1"/>
      <protection locked="0"/>
    </xf>
    <xf numFmtId="0" fontId="0" fillId="0" borderId="10" xfId="0" applyBorder="1" applyAlignment="1" applyProtection="1">
      <alignment horizontal="center" wrapText="1"/>
      <protection locked="0"/>
    </xf>
    <xf numFmtId="164" fontId="57" fillId="0" borderId="0" xfId="1" applyNumberFormat="1" applyFont="1"/>
    <xf numFmtId="0" fontId="57" fillId="0" borderId="0" xfId="0" applyFont="1"/>
    <xf numFmtId="43" fontId="57" fillId="0" borderId="0" xfId="1" applyFont="1"/>
    <xf numFmtId="44" fontId="57" fillId="0" borderId="0" xfId="2" applyFont="1"/>
    <xf numFmtId="8" fontId="57" fillId="0" borderId="0" xfId="0" applyNumberFormat="1" applyFont="1"/>
    <xf numFmtId="43" fontId="57" fillId="0" borderId="0" xfId="0" applyNumberFormat="1" applyFont="1"/>
    <xf numFmtId="164" fontId="57" fillId="0" borderId="0" xfId="1" applyNumberFormat="1" applyFont="1" applyAlignment="1">
      <alignment horizontal="left"/>
    </xf>
    <xf numFmtId="8" fontId="0" fillId="0" borderId="0" xfId="0" applyNumberFormat="1"/>
    <xf numFmtId="164" fontId="0" fillId="0" borderId="0" xfId="1" applyNumberFormat="1" applyFont="1"/>
    <xf numFmtId="164" fontId="0" fillId="12" borderId="0" xfId="1" applyNumberFormat="1" applyFont="1" applyFill="1"/>
    <xf numFmtId="0" fontId="28" fillId="0" borderId="0" xfId="0" applyFont="1" applyAlignment="1">
      <alignment horizontal="center"/>
    </xf>
    <xf numFmtId="0" fontId="0" fillId="6" borderId="33" xfId="0" applyFill="1" applyBorder="1"/>
    <xf numFmtId="0" fontId="0" fillId="6" borderId="61" xfId="0" applyFill="1" applyBorder="1" applyAlignment="1">
      <alignment wrapText="1"/>
    </xf>
    <xf numFmtId="0" fontId="0" fillId="6" borderId="29" xfId="0" applyFill="1" applyBorder="1" applyProtection="1">
      <protection locked="0"/>
    </xf>
    <xf numFmtId="0" fontId="0" fillId="6" borderId="29" xfId="0" applyFill="1" applyBorder="1" applyAlignment="1" applyProtection="1">
      <alignment vertical="center"/>
      <protection locked="0"/>
    </xf>
    <xf numFmtId="0" fontId="10" fillId="6" borderId="29" xfId="0" applyFont="1" applyFill="1" applyBorder="1" applyAlignment="1" applyProtection="1">
      <alignment horizontal="right" vertical="center"/>
      <protection locked="0"/>
    </xf>
    <xf numFmtId="165" fontId="11" fillId="6" borderId="30" xfId="0" applyNumberFormat="1" applyFont="1" applyFill="1" applyBorder="1" applyAlignment="1" applyProtection="1">
      <alignment horizontal="center"/>
      <protection locked="0"/>
    </xf>
    <xf numFmtId="165" fontId="11" fillId="6" borderId="23" xfId="0" applyNumberFormat="1" applyFont="1" applyFill="1" applyBorder="1" applyAlignment="1" applyProtection="1">
      <alignment horizontal="left"/>
      <protection locked="0"/>
    </xf>
    <xf numFmtId="165" fontId="11" fillId="6" borderId="23" xfId="0" applyNumberFormat="1" applyFont="1" applyFill="1" applyBorder="1" applyAlignment="1" applyProtection="1">
      <alignment horizontal="center"/>
      <protection locked="0"/>
    </xf>
    <xf numFmtId="0" fontId="0" fillId="0" borderId="62" xfId="0" applyBorder="1" applyProtection="1">
      <protection locked="0"/>
    </xf>
    <xf numFmtId="44" fontId="0" fillId="0" borderId="0" xfId="2" applyFont="1" applyFill="1"/>
    <xf numFmtId="0" fontId="28" fillId="25" borderId="53" xfId="0" applyFont="1" applyFill="1" applyBorder="1" applyAlignment="1">
      <alignment horizontal="left"/>
    </xf>
    <xf numFmtId="0" fontId="0" fillId="25" borderId="0" xfId="0" applyFill="1"/>
    <xf numFmtId="165" fontId="0" fillId="0" borderId="3" xfId="0" applyNumberFormat="1" applyBorder="1" applyProtection="1">
      <protection locked="0"/>
    </xf>
    <xf numFmtId="165" fontId="0" fillId="2" borderId="7" xfId="0" applyNumberFormat="1" applyFill="1" applyBorder="1" applyAlignment="1" applyProtection="1">
      <alignment horizontal="center" wrapText="1"/>
      <protection locked="0"/>
    </xf>
    <xf numFmtId="165" fontId="0" fillId="0" borderId="29" xfId="0" applyNumberFormat="1" applyBorder="1" applyProtection="1">
      <protection locked="0"/>
    </xf>
    <xf numFmtId="165" fontId="0" fillId="6" borderId="3" xfId="0" applyNumberFormat="1" applyFill="1" applyBorder="1" applyAlignment="1" applyProtection="1">
      <alignment horizontal="right"/>
      <protection locked="0"/>
    </xf>
    <xf numFmtId="165" fontId="0" fillId="2" borderId="7" xfId="0" applyNumberFormat="1" applyFill="1" applyBorder="1" applyProtection="1">
      <protection locked="0"/>
    </xf>
    <xf numFmtId="165" fontId="0" fillId="0" borderId="0" xfId="0" applyNumberFormat="1" applyProtection="1">
      <protection locked="0"/>
    </xf>
    <xf numFmtId="5" fontId="0" fillId="6" borderId="5"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0" fontId="61" fillId="0" borderId="0" xfId="0" applyFont="1"/>
    <xf numFmtId="0" fontId="61" fillId="7" borderId="0" xfId="0" applyFont="1" applyFill="1"/>
    <xf numFmtId="5" fontId="0" fillId="0" borderId="0" xfId="0" applyNumberFormat="1" applyAlignment="1">
      <alignment wrapText="1"/>
    </xf>
    <xf numFmtId="8" fontId="0" fillId="0" borderId="0" xfId="0" applyNumberFormat="1" applyProtection="1">
      <protection locked="0"/>
    </xf>
    <xf numFmtId="42" fontId="0" fillId="0" borderId="0" xfId="0" applyNumberFormat="1"/>
    <xf numFmtId="0" fontId="65" fillId="0" borderId="0" xfId="0" applyFont="1" applyAlignment="1">
      <alignment horizontal="left" vertical="center"/>
    </xf>
    <xf numFmtId="0" fontId="0" fillId="0" borderId="65" xfId="0" applyBorder="1"/>
    <xf numFmtId="0" fontId="40" fillId="0" borderId="0" xfId="0" applyFont="1"/>
    <xf numFmtId="0" fontId="3" fillId="0" borderId="0" xfId="0" applyFont="1" applyAlignment="1">
      <alignment vertical="center"/>
    </xf>
    <xf numFmtId="42" fontId="66" fillId="0" borderId="0" xfId="0" applyNumberFormat="1" applyFont="1"/>
    <xf numFmtId="0" fontId="66" fillId="0" borderId="0" xfId="0" applyFont="1" applyAlignment="1">
      <alignment horizontal="right"/>
    </xf>
    <xf numFmtId="166" fontId="68" fillId="0" borderId="0" xfId="0" applyNumberFormat="1" applyFont="1" applyAlignment="1">
      <alignment horizontal="left"/>
    </xf>
    <xf numFmtId="166" fontId="69" fillId="0" borderId="0" xfId="0" applyNumberFormat="1" applyFont="1" applyAlignment="1">
      <alignment horizontal="left"/>
    </xf>
    <xf numFmtId="14" fontId="0" fillId="0" borderId="0" xfId="0" applyNumberFormat="1" applyAlignment="1">
      <alignment horizontal="left" vertical="center"/>
    </xf>
    <xf numFmtId="164" fontId="63" fillId="0" borderId="0" xfId="1" applyNumberFormat="1" applyFont="1" applyAlignment="1">
      <alignment horizontal="center" vertical="center" wrapText="1"/>
    </xf>
    <xf numFmtId="164" fontId="0" fillId="3" borderId="0" xfId="1" applyNumberFormat="1" applyFont="1" applyFill="1" applyBorder="1" applyAlignment="1">
      <alignment horizontal="center"/>
    </xf>
    <xf numFmtId="0" fontId="0" fillId="26" borderId="67" xfId="0" applyFill="1" applyBorder="1" applyAlignment="1">
      <alignment horizontal="left"/>
    </xf>
    <xf numFmtId="44" fontId="0" fillId="26" borderId="67" xfId="1" applyNumberFormat="1" applyFont="1" applyFill="1" applyBorder="1" applyAlignment="1"/>
    <xf numFmtId="0" fontId="0" fillId="0" borderId="67" xfId="0" applyBorder="1" applyAlignment="1">
      <alignment horizontal="left"/>
    </xf>
    <xf numFmtId="0" fontId="0" fillId="0" borderId="67" xfId="0" applyBorder="1"/>
    <xf numFmtId="44" fontId="0" fillId="0" borderId="67" xfId="1" applyNumberFormat="1" applyFont="1" applyFill="1" applyBorder="1" applyAlignment="1"/>
    <xf numFmtId="0" fontId="0" fillId="26" borderId="67" xfId="0" applyFill="1" applyBorder="1" applyAlignment="1">
      <alignment horizontal="right"/>
    </xf>
    <xf numFmtId="0" fontId="70" fillId="26" borderId="67" xfId="0" applyFont="1" applyFill="1" applyBorder="1" applyAlignment="1">
      <alignment horizontal="right"/>
    </xf>
    <xf numFmtId="0" fontId="0" fillId="0" borderId="67" xfId="0" applyBorder="1" applyAlignment="1">
      <alignment horizontal="right"/>
    </xf>
    <xf numFmtId="0" fontId="70" fillId="0" borderId="67" xfId="0" applyFont="1" applyBorder="1" applyAlignment="1">
      <alignment horizontal="right"/>
    </xf>
    <xf numFmtId="0" fontId="0" fillId="0" borderId="0" xfId="0" applyAlignment="1">
      <alignment vertical="center"/>
    </xf>
    <xf numFmtId="0" fontId="3" fillId="0" borderId="69" xfId="0" applyFont="1" applyBorder="1" applyAlignment="1">
      <alignment horizontal="left" vertical="center"/>
    </xf>
    <xf numFmtId="0" fontId="3" fillId="0" borderId="67" xfId="0" applyFont="1" applyBorder="1" applyAlignment="1">
      <alignment horizontal="left" vertical="center"/>
    </xf>
    <xf numFmtId="0" fontId="70" fillId="0" borderId="0" xfId="0" applyFont="1" applyAlignment="1">
      <alignment horizontal="right"/>
    </xf>
    <xf numFmtId="0" fontId="70" fillId="0" borderId="0" xfId="0" applyFont="1"/>
    <xf numFmtId="42" fontId="0" fillId="0" borderId="0" xfId="0" applyNumberFormat="1" applyAlignment="1">
      <alignment horizontal="left"/>
    </xf>
    <xf numFmtId="42" fontId="0" fillId="7" borderId="0" xfId="0" applyNumberFormat="1" applyFill="1"/>
    <xf numFmtId="165" fontId="64" fillId="21" borderId="70" xfId="0" applyNumberFormat="1" applyFont="1" applyFill="1" applyBorder="1" applyAlignment="1">
      <alignment horizontal="center" vertical="center"/>
    </xf>
    <xf numFmtId="0" fontId="0" fillId="0" borderId="0" xfId="0" applyAlignment="1">
      <alignment horizontal="center"/>
    </xf>
    <xf numFmtId="0" fontId="64" fillId="0" borderId="0" xfId="0" applyFont="1" applyAlignment="1">
      <alignment vertical="center"/>
    </xf>
    <xf numFmtId="10" fontId="64" fillId="0" borderId="0" xfId="0" applyNumberFormat="1" applyFont="1" applyAlignment="1">
      <alignment horizontal="center" vertical="center"/>
    </xf>
    <xf numFmtId="10" fontId="61" fillId="7" borderId="0" xfId="0" applyNumberFormat="1" applyFont="1" applyFill="1" applyAlignment="1">
      <alignment horizontal="left"/>
    </xf>
    <xf numFmtId="10" fontId="64" fillId="7" borderId="0" xfId="0" applyNumberFormat="1" applyFont="1" applyFill="1" applyAlignment="1">
      <alignment horizontal="center" vertical="center"/>
    </xf>
    <xf numFmtId="0" fontId="61" fillId="7" borderId="0" xfId="0" applyFont="1" applyFill="1" applyAlignment="1">
      <alignment horizontal="left"/>
    </xf>
    <xf numFmtId="0" fontId="0" fillId="7" borderId="0" xfId="0" applyFill="1" applyAlignment="1">
      <alignment vertical="center"/>
    </xf>
    <xf numFmtId="174" fontId="53" fillId="0" borderId="0" xfId="0" applyNumberFormat="1" applyFont="1" applyAlignment="1">
      <alignment horizontal="center" vertical="center"/>
    </xf>
    <xf numFmtId="0" fontId="53" fillId="0" borderId="0" xfId="0" applyFont="1" applyAlignment="1">
      <alignment horizontal="left" vertical="center" wrapText="1"/>
    </xf>
    <xf numFmtId="44" fontId="53" fillId="0" borderId="0" xfId="2" applyFont="1" applyBorder="1" applyAlignment="1">
      <alignment horizontal="left" vertical="center"/>
    </xf>
    <xf numFmtId="42" fontId="53" fillId="0" borderId="44" xfId="2" applyNumberFormat="1" applyFont="1" applyBorder="1" applyAlignment="1">
      <alignment horizontal="left" vertical="center"/>
    </xf>
    <xf numFmtId="42" fontId="53" fillId="0" borderId="47" xfId="2" applyNumberFormat="1" applyFont="1" applyBorder="1" applyAlignment="1">
      <alignment horizontal="left" vertical="center"/>
    </xf>
    <xf numFmtId="42" fontId="53" fillId="0" borderId="50" xfId="2" applyNumberFormat="1" applyFont="1" applyBorder="1" applyAlignment="1">
      <alignment horizontal="left" vertical="center"/>
    </xf>
    <xf numFmtId="0" fontId="72" fillId="0" borderId="66" xfId="10" applyFont="1" applyBorder="1" applyAlignment="1">
      <alignment vertical="center" wrapText="1"/>
    </xf>
    <xf numFmtId="0" fontId="72" fillId="0" borderId="0" xfId="10" applyFont="1" applyBorder="1" applyAlignment="1">
      <alignment vertical="center" wrapText="1"/>
    </xf>
    <xf numFmtId="0" fontId="72" fillId="0" borderId="0" xfId="10" applyFont="1" applyBorder="1" applyAlignment="1">
      <alignment vertical="center"/>
    </xf>
    <xf numFmtId="0" fontId="28" fillId="9" borderId="71" xfId="0" applyFont="1" applyFill="1" applyBorder="1" applyAlignment="1">
      <alignment horizontal="left" vertical="center"/>
    </xf>
    <xf numFmtId="0" fontId="75" fillId="0" borderId="0" xfId="10" applyFont="1" applyBorder="1" applyAlignment="1">
      <alignment vertical="center"/>
    </xf>
    <xf numFmtId="0" fontId="72" fillId="0" borderId="66" xfId="10" applyFont="1" applyBorder="1" applyAlignment="1">
      <alignment vertical="center"/>
    </xf>
    <xf numFmtId="0" fontId="75" fillId="0" borderId="0" xfId="10" applyFont="1" applyBorder="1" applyAlignment="1">
      <alignment vertical="center" wrapText="1"/>
    </xf>
    <xf numFmtId="0" fontId="10" fillId="6" borderId="10" xfId="0" applyFont="1" applyFill="1" applyBorder="1" applyAlignment="1" applyProtection="1">
      <alignment horizontal="right"/>
      <protection locked="0"/>
    </xf>
    <xf numFmtId="0" fontId="28" fillId="0" borderId="72" xfId="0" applyFont="1" applyBorder="1" applyAlignment="1">
      <alignment horizontal="center"/>
    </xf>
    <xf numFmtId="0" fontId="6" fillId="0" borderId="62" xfId="0" applyFont="1" applyBorder="1" applyAlignment="1">
      <alignment wrapText="1"/>
    </xf>
    <xf numFmtId="0" fontId="36" fillId="0" borderId="62" xfId="0" applyFont="1" applyBorder="1" applyProtection="1">
      <protection locked="0"/>
    </xf>
    <xf numFmtId="0" fontId="6" fillId="0" borderId="62" xfId="0" applyFont="1" applyBorder="1" applyProtection="1">
      <protection locked="0"/>
    </xf>
    <xf numFmtId="0" fontId="3" fillId="19" borderId="53" xfId="0" applyFont="1" applyFill="1" applyBorder="1" applyAlignment="1">
      <alignment horizontal="center" vertical="center"/>
    </xf>
    <xf numFmtId="0" fontId="3" fillId="19" borderId="53" xfId="0" applyFont="1" applyFill="1" applyBorder="1" applyAlignment="1">
      <alignment horizontal="center" vertical="center" wrapText="1"/>
    </xf>
    <xf numFmtId="0" fontId="3" fillId="0" borderId="0" xfId="0" applyFont="1" applyAlignment="1">
      <alignment horizontal="left"/>
    </xf>
    <xf numFmtId="0" fontId="3" fillId="0" borderId="0" xfId="0" applyFont="1" applyAlignment="1">
      <alignment horizontal="center"/>
    </xf>
    <xf numFmtId="167" fontId="3" fillId="19" borderId="51" xfId="2" applyNumberFormat="1" applyFont="1" applyFill="1" applyBorder="1" applyAlignment="1">
      <alignment horizontal="center"/>
    </xf>
    <xf numFmtId="167" fontId="3" fillId="19" borderId="14" xfId="2" applyNumberFormat="1" applyFont="1" applyFill="1" applyBorder="1" applyAlignment="1">
      <alignment horizontal="center"/>
    </xf>
    <xf numFmtId="0" fontId="3" fillId="19" borderId="53" xfId="0" applyFont="1" applyFill="1" applyBorder="1" applyAlignment="1">
      <alignment horizontal="center" vertical="top" wrapText="1"/>
    </xf>
    <xf numFmtId="0" fontId="3" fillId="0" borderId="0" xfId="0" applyFont="1"/>
    <xf numFmtId="0" fontId="3" fillId="19" borderId="56" xfId="0" applyFont="1" applyFill="1" applyBorder="1" applyAlignment="1">
      <alignment horizontal="center" vertical="center"/>
    </xf>
    <xf numFmtId="167" fontId="3" fillId="19" borderId="54" xfId="2" applyNumberFormat="1" applyFont="1" applyFill="1" applyBorder="1" applyAlignment="1">
      <alignment horizontal="center"/>
    </xf>
    <xf numFmtId="167" fontId="3" fillId="19" borderId="38" xfId="2" applyNumberFormat="1" applyFont="1" applyFill="1" applyBorder="1" applyAlignment="1">
      <alignment horizontal="center"/>
    </xf>
    <xf numFmtId="0" fontId="3" fillId="19" borderId="56" xfId="0" applyFont="1" applyFill="1" applyBorder="1" applyAlignment="1">
      <alignment horizontal="center" vertical="center" wrapText="1"/>
    </xf>
    <xf numFmtId="167" fontId="0" fillId="0" borderId="51" xfId="2" applyNumberFormat="1" applyFont="1" applyFill="1" applyBorder="1"/>
    <xf numFmtId="0" fontId="0" fillId="9" borderId="0" xfId="0" applyFill="1"/>
    <xf numFmtId="176" fontId="0" fillId="0" borderId="51" xfId="1" applyNumberFormat="1" applyFont="1" applyFill="1" applyBorder="1"/>
    <xf numFmtId="167" fontId="0" fillId="0" borderId="0" xfId="2" applyNumberFormat="1" applyFont="1" applyFill="1"/>
    <xf numFmtId="176" fontId="0" fillId="0" borderId="54" xfId="1" applyNumberFormat="1" applyFont="1" applyBorder="1"/>
    <xf numFmtId="167" fontId="3" fillId="0" borderId="55" xfId="2" applyNumberFormat="1" applyFont="1" applyBorder="1"/>
    <xf numFmtId="176" fontId="0" fillId="9" borderId="54" xfId="1" applyNumberFormat="1" applyFont="1" applyFill="1" applyBorder="1"/>
    <xf numFmtId="167" fontId="0" fillId="0" borderId="54" xfId="2" applyNumberFormat="1" applyFont="1" applyFill="1" applyBorder="1"/>
    <xf numFmtId="167" fontId="3" fillId="0" borderId="56" xfId="2" applyNumberFormat="1" applyFont="1" applyBorder="1"/>
    <xf numFmtId="167" fontId="0" fillId="0" borderId="54" xfId="2" applyNumberFormat="1" applyFont="1" applyBorder="1"/>
    <xf numFmtId="167" fontId="0" fillId="0" borderId="56" xfId="2" applyNumberFormat="1" applyFont="1" applyBorder="1"/>
    <xf numFmtId="0" fontId="0" fillId="0" borderId="53" xfId="0" applyBorder="1"/>
    <xf numFmtId="176" fontId="0" fillId="0" borderId="51" xfId="1" applyNumberFormat="1" applyFont="1" applyBorder="1"/>
    <xf numFmtId="167" fontId="0" fillId="0" borderId="51" xfId="2" applyNumberFormat="1" applyFont="1" applyBorder="1"/>
    <xf numFmtId="167" fontId="3" fillId="0" borderId="52" xfId="2" applyNumberFormat="1" applyFont="1" applyBorder="1"/>
    <xf numFmtId="167" fontId="3" fillId="0" borderId="53" xfId="2" applyNumberFormat="1" applyFont="1" applyBorder="1"/>
    <xf numFmtId="167" fontId="0" fillId="0" borderId="53" xfId="2" applyNumberFormat="1" applyFont="1" applyBorder="1"/>
    <xf numFmtId="176" fontId="0" fillId="9" borderId="51" xfId="1" applyNumberFormat="1" applyFont="1" applyFill="1" applyBorder="1"/>
    <xf numFmtId="0" fontId="0" fillId="0" borderId="52" xfId="0" applyBorder="1" applyAlignment="1">
      <alignment horizontal="center"/>
    </xf>
    <xf numFmtId="0" fontId="3" fillId="0" borderId="56" xfId="0" applyFont="1" applyBorder="1" applyAlignment="1">
      <alignment horizontal="center"/>
    </xf>
    <xf numFmtId="176" fontId="3" fillId="3" borderId="54" xfId="1" applyNumberFormat="1" applyFont="1" applyFill="1" applyBorder="1"/>
    <xf numFmtId="0" fontId="3" fillId="3" borderId="55" xfId="0" applyFont="1" applyFill="1" applyBorder="1" applyAlignment="1">
      <alignment horizontal="center"/>
    </xf>
    <xf numFmtId="167" fontId="3" fillId="3" borderId="37" xfId="2" applyNumberFormat="1" applyFont="1" applyFill="1" applyBorder="1"/>
    <xf numFmtId="176" fontId="3" fillId="0" borderId="0" xfId="1" applyNumberFormat="1" applyFont="1"/>
    <xf numFmtId="167" fontId="3" fillId="0" borderId="0" xfId="2" applyNumberFormat="1" applyFont="1"/>
    <xf numFmtId="176" fontId="0" fillId="0" borderId="0" xfId="1" applyNumberFormat="1" applyFont="1"/>
    <xf numFmtId="9" fontId="0" fillId="0" borderId="73" xfId="3" applyFont="1" applyFill="1" applyBorder="1" applyAlignment="1">
      <alignment horizontal="left"/>
    </xf>
    <xf numFmtId="0" fontId="0" fillId="0" borderId="74" xfId="0" applyBorder="1" applyAlignment="1">
      <alignment horizontal="center"/>
    </xf>
    <xf numFmtId="164" fontId="19" fillId="8" borderId="74" xfId="1" applyNumberFormat="1" applyFont="1" applyFill="1" applyBorder="1" applyAlignment="1">
      <alignment horizontal="center" vertical="center"/>
    </xf>
    <xf numFmtId="0" fontId="0" fillId="0" borderId="62" xfId="0" applyBorder="1" applyAlignment="1">
      <alignment wrapText="1"/>
    </xf>
    <xf numFmtId="0" fontId="0" fillId="0" borderId="74" xfId="0" applyBorder="1" applyProtection="1">
      <protection locked="0"/>
    </xf>
    <xf numFmtId="0" fontId="0" fillId="25" borderId="62" xfId="0" applyFill="1" applyBorder="1" applyProtection="1">
      <protection locked="0"/>
    </xf>
    <xf numFmtId="0" fontId="0" fillId="25" borderId="74" xfId="0" applyFill="1" applyBorder="1" applyProtection="1">
      <protection locked="0"/>
    </xf>
    <xf numFmtId="0" fontId="0" fillId="0" borderId="74" xfId="0" applyBorder="1" applyAlignment="1" applyProtection="1">
      <alignment horizontal="right"/>
      <protection locked="0"/>
    </xf>
    <xf numFmtId="0" fontId="5" fillId="0" borderId="62" xfId="0" applyFont="1" applyBorder="1" applyProtection="1">
      <protection locked="0"/>
    </xf>
    <xf numFmtId="0" fontId="8" fillId="4" borderId="62" xfId="0" applyFont="1" applyFill="1" applyBorder="1" applyAlignment="1">
      <alignment wrapText="1"/>
    </xf>
    <xf numFmtId="0" fontId="0" fillId="4" borderId="62" xfId="0" applyFill="1" applyBorder="1" applyProtection="1">
      <protection locked="0"/>
    </xf>
    <xf numFmtId="0" fontId="0" fillId="4" borderId="74" xfId="0" applyFill="1" applyBorder="1" applyProtection="1">
      <protection locked="0"/>
    </xf>
    <xf numFmtId="0" fontId="8" fillId="5" borderId="62" xfId="0" applyFont="1" applyFill="1" applyBorder="1" applyAlignment="1">
      <alignment wrapText="1"/>
    </xf>
    <xf numFmtId="0" fontId="0" fillId="5" borderId="62" xfId="0" applyFill="1" applyBorder="1" applyProtection="1">
      <protection locked="0"/>
    </xf>
    <xf numFmtId="0" fontId="0" fillId="5" borderId="74" xfId="0" applyFill="1" applyBorder="1" applyProtection="1">
      <protection locked="0"/>
    </xf>
    <xf numFmtId="165" fontId="0" fillId="0" borderId="62" xfId="0" applyNumberFormat="1" applyBorder="1" applyProtection="1">
      <protection locked="0"/>
    </xf>
    <xf numFmtId="0" fontId="6" fillId="0" borderId="74" xfId="0" applyFont="1" applyBorder="1" applyProtection="1">
      <protection locked="0"/>
    </xf>
    <xf numFmtId="0" fontId="0" fillId="0" borderId="67" xfId="0" applyBorder="1" applyAlignment="1">
      <alignment horizontal="left" wrapText="1"/>
    </xf>
    <xf numFmtId="164" fontId="67" fillId="0" borderId="0" xfId="1" applyNumberFormat="1" applyFont="1" applyBorder="1" applyAlignment="1">
      <alignment horizontal="right"/>
    </xf>
    <xf numFmtId="0" fontId="28" fillId="0" borderId="53" xfId="0" quotePrefix="1" applyFont="1" applyBorder="1"/>
    <xf numFmtId="0" fontId="0" fillId="0" borderId="0" xfId="0" quotePrefix="1"/>
    <xf numFmtId="44" fontId="0" fillId="0" borderId="0" xfId="2" quotePrefix="1" applyFont="1"/>
    <xf numFmtId="44" fontId="0" fillId="0" borderId="0" xfId="0" applyNumberFormat="1"/>
    <xf numFmtId="44" fontId="0" fillId="0" borderId="73" xfId="2" applyFont="1" applyFill="1" applyBorder="1"/>
    <xf numFmtId="170" fontId="0" fillId="15" borderId="56" xfId="0" applyNumberFormat="1" applyFill="1" applyBorder="1"/>
    <xf numFmtId="0" fontId="61" fillId="27" borderId="0" xfId="0" applyFont="1" applyFill="1" applyAlignment="1">
      <alignment horizontal="left"/>
    </xf>
    <xf numFmtId="0" fontId="28" fillId="9" borderId="53" xfId="0" applyFont="1" applyFill="1" applyBorder="1" applyAlignment="1">
      <alignment horizontal="left" vertical="center" wrapText="1" indent="1"/>
    </xf>
    <xf numFmtId="42" fontId="0" fillId="6" borderId="5" xfId="0" applyNumberFormat="1" applyFill="1" applyBorder="1" applyAlignment="1" applyProtection="1">
      <alignment horizontal="left"/>
      <protection locked="0"/>
    </xf>
    <xf numFmtId="0" fontId="62" fillId="23" borderId="67" xfId="0" applyFont="1" applyFill="1" applyBorder="1" applyAlignment="1">
      <alignment horizontal="left"/>
    </xf>
    <xf numFmtId="0" fontId="77" fillId="23" borderId="67" xfId="0" applyFont="1" applyFill="1" applyBorder="1" applyAlignment="1">
      <alignment horizontal="right"/>
    </xf>
    <xf numFmtId="44" fontId="0" fillId="9" borderId="67" xfId="1" applyNumberFormat="1" applyFont="1" applyFill="1" applyBorder="1" applyAlignment="1"/>
    <xf numFmtId="0" fontId="70" fillId="9" borderId="67" xfId="0" applyFont="1" applyFill="1" applyBorder="1" applyAlignment="1">
      <alignment horizontal="right"/>
    </xf>
    <xf numFmtId="0" fontId="0" fillId="9" borderId="67" xfId="0" applyFill="1" applyBorder="1" applyAlignment="1">
      <alignment horizontal="left"/>
    </xf>
    <xf numFmtId="0" fontId="3" fillId="0" borderId="0" xfId="0" applyFont="1" applyAlignment="1">
      <alignment horizontal="right"/>
    </xf>
    <xf numFmtId="0" fontId="22" fillId="0" borderId="0" xfId="0" applyFont="1" applyAlignment="1">
      <alignment horizontal="left" vertical="top"/>
    </xf>
    <xf numFmtId="44" fontId="3" fillId="0" borderId="0" xfId="0" applyNumberFormat="1" applyFont="1"/>
    <xf numFmtId="9" fontId="0" fillId="0" borderId="0" xfId="3" applyFont="1"/>
    <xf numFmtId="44" fontId="1" fillId="0" borderId="0" xfId="2" applyFont="1" applyFill="1" applyBorder="1" applyAlignment="1">
      <alignment horizontal="center" wrapText="1"/>
    </xf>
    <xf numFmtId="179" fontId="0" fillId="0" borderId="0" xfId="3" applyNumberFormat="1" applyFont="1"/>
    <xf numFmtId="44" fontId="0" fillId="0" borderId="56" xfId="2" applyFont="1" applyBorder="1"/>
    <xf numFmtId="0" fontId="0" fillId="17" borderId="65" xfId="0" applyFill="1" applyBorder="1" applyAlignment="1">
      <alignment horizontal="center"/>
    </xf>
    <xf numFmtId="44" fontId="0" fillId="0" borderId="0" xfId="2" applyFont="1" applyBorder="1"/>
    <xf numFmtId="164" fontId="0" fillId="0" borderId="0" xfId="1" applyNumberFormat="1" applyFont="1" applyFill="1" applyBorder="1" applyAlignment="1">
      <alignment horizontal="center"/>
    </xf>
    <xf numFmtId="0" fontId="64" fillId="0" borderId="0" xfId="0" applyFont="1" applyAlignment="1">
      <alignment horizontal="center" vertical="center"/>
    </xf>
    <xf numFmtId="10" fontId="0" fillId="0" borderId="0" xfId="0" applyNumberFormat="1" applyAlignment="1">
      <alignment horizontal="center"/>
    </xf>
    <xf numFmtId="164" fontId="0" fillId="3" borderId="76" xfId="1" applyNumberFormat="1" applyFont="1" applyFill="1" applyBorder="1"/>
    <xf numFmtId="0" fontId="4" fillId="0" borderId="77" xfId="4" quotePrefix="1" applyFill="1" applyBorder="1" applyAlignment="1">
      <alignment horizontal="center"/>
    </xf>
    <xf numFmtId="0" fontId="4" fillId="0" borderId="77" xfId="4" quotePrefix="1" applyBorder="1" applyAlignment="1">
      <alignment horizontal="center"/>
    </xf>
    <xf numFmtId="0" fontId="64" fillId="21" borderId="78" xfId="0" applyFont="1" applyFill="1" applyBorder="1" applyAlignment="1">
      <alignment horizontal="center" vertical="center"/>
    </xf>
    <xf numFmtId="0" fontId="0" fillId="0" borderId="77" xfId="0" quotePrefix="1" applyBorder="1"/>
    <xf numFmtId="0" fontId="0" fillId="26" borderId="77" xfId="0" quotePrefix="1" applyFill="1" applyBorder="1"/>
    <xf numFmtId="177" fontId="71" fillId="0" borderId="79" xfId="1" applyNumberFormat="1" applyFont="1" applyBorder="1" applyAlignment="1">
      <alignment horizontal="center"/>
    </xf>
    <xf numFmtId="0" fontId="4" fillId="26" borderId="77" xfId="4" quotePrefix="1" applyFill="1" applyBorder="1"/>
    <xf numFmtId="0" fontId="76" fillId="23" borderId="79" xfId="0" applyFont="1" applyFill="1" applyBorder="1"/>
    <xf numFmtId="0" fontId="4" fillId="9" borderId="77" xfId="4" quotePrefix="1" applyFill="1" applyBorder="1"/>
    <xf numFmtId="177" fontId="71" fillId="26" borderId="79" xfId="1" applyNumberFormat="1" applyFont="1" applyFill="1" applyBorder="1" applyAlignment="1">
      <alignment horizontal="center"/>
    </xf>
    <xf numFmtId="0" fontId="70" fillId="0" borderId="79" xfId="0" applyFont="1" applyBorder="1" applyAlignment="1">
      <alignment horizontal="right"/>
    </xf>
    <xf numFmtId="177" fontId="71" fillId="26" borderId="80" xfId="1" applyNumberFormat="1" applyFont="1" applyFill="1" applyBorder="1" applyAlignment="1">
      <alignment horizontal="center"/>
    </xf>
    <xf numFmtId="0" fontId="0" fillId="26" borderId="81" xfId="0" applyFill="1" applyBorder="1" applyAlignment="1">
      <alignment horizontal="right"/>
    </xf>
    <xf numFmtId="0" fontId="70" fillId="26" borderId="81" xfId="0" applyFont="1" applyFill="1" applyBorder="1" applyAlignment="1">
      <alignment horizontal="right"/>
    </xf>
    <xf numFmtId="0" fontId="64" fillId="21" borderId="82" xfId="0" applyFont="1" applyFill="1" applyBorder="1" applyAlignment="1">
      <alignment horizontal="center" vertical="center"/>
    </xf>
    <xf numFmtId="164" fontId="0" fillId="3" borderId="83" xfId="1" applyNumberFormat="1" applyFont="1" applyFill="1" applyBorder="1" applyAlignment="1">
      <alignment horizontal="center"/>
    </xf>
    <xf numFmtId="0" fontId="0" fillId="0" borderId="84" xfId="0" applyBorder="1"/>
    <xf numFmtId="10" fontId="0" fillId="26" borderId="85" xfId="0" applyNumberFormat="1" applyFill="1" applyBorder="1" applyAlignment="1">
      <alignment horizontal="center"/>
    </xf>
    <xf numFmtId="0" fontId="64" fillId="21" borderId="82" xfId="0" applyFont="1" applyFill="1" applyBorder="1" applyAlignment="1">
      <alignment horizontal="center" vertical="center" wrapText="1"/>
    </xf>
    <xf numFmtId="5" fontId="0" fillId="0" borderId="84" xfId="1" applyNumberFormat="1" applyFont="1" applyFill="1" applyBorder="1" applyAlignment="1"/>
    <xf numFmtId="42" fontId="64" fillId="21" borderId="84" xfId="0" applyNumberFormat="1" applyFont="1" applyFill="1" applyBorder="1" applyAlignment="1">
      <alignment horizontal="center" vertical="center"/>
    </xf>
    <xf numFmtId="42" fontId="0" fillId="9" borderId="84" xfId="1" applyNumberFormat="1" applyFont="1" applyFill="1" applyBorder="1" applyAlignment="1"/>
    <xf numFmtId="42" fontId="70" fillId="26" borderId="84" xfId="1" applyNumberFormat="1" applyFont="1" applyFill="1" applyBorder="1" applyAlignment="1"/>
    <xf numFmtId="42" fontId="0" fillId="26" borderId="84" xfId="1" applyNumberFormat="1" applyFont="1" applyFill="1" applyBorder="1" applyAlignment="1"/>
    <xf numFmtId="42" fontId="0" fillId="26" borderId="84" xfId="1" applyNumberFormat="1" applyFont="1" applyFill="1" applyBorder="1" applyAlignment="1">
      <alignment horizontal="right"/>
    </xf>
    <xf numFmtId="42" fontId="3" fillId="0" borderId="84" xfId="2" applyNumberFormat="1" applyFont="1" applyFill="1" applyBorder="1" applyAlignment="1">
      <alignment vertical="center"/>
    </xf>
    <xf numFmtId="42" fontId="0" fillId="26" borderId="85" xfId="1" applyNumberFormat="1" applyFont="1" applyFill="1" applyBorder="1" applyAlignment="1"/>
    <xf numFmtId="42" fontId="0" fillId="0" borderId="84" xfId="1" applyNumberFormat="1" applyFont="1" applyFill="1" applyBorder="1" applyAlignment="1"/>
    <xf numFmtId="42" fontId="6" fillId="0" borderId="84" xfId="1" applyNumberFormat="1" applyFont="1" applyFill="1" applyBorder="1" applyAlignment="1"/>
    <xf numFmtId="167" fontId="0" fillId="26" borderId="84" xfId="2" applyNumberFormat="1" applyFont="1" applyFill="1" applyBorder="1" applyAlignment="1">
      <alignment horizontal="center"/>
    </xf>
    <xf numFmtId="0" fontId="62" fillId="23" borderId="84" xfId="0" applyFont="1" applyFill="1" applyBorder="1"/>
    <xf numFmtId="170" fontId="64" fillId="21" borderId="84" xfId="0" applyNumberFormat="1" applyFont="1" applyFill="1" applyBorder="1" applyAlignment="1">
      <alignment horizontal="center" vertical="center"/>
    </xf>
    <xf numFmtId="6" fontId="0" fillId="0" borderId="84" xfId="0" applyNumberFormat="1" applyBorder="1"/>
    <xf numFmtId="6" fontId="64" fillId="21" borderId="84" xfId="0" applyNumberFormat="1" applyFont="1" applyFill="1" applyBorder="1" applyAlignment="1">
      <alignment horizontal="center" vertical="center"/>
    </xf>
    <xf numFmtId="6" fontId="0" fillId="26" borderId="84" xfId="0" applyNumberFormat="1" applyFill="1" applyBorder="1"/>
    <xf numFmtId="6" fontId="0" fillId="9" borderId="84" xfId="0" applyNumberFormat="1" applyFill="1" applyBorder="1"/>
    <xf numFmtId="0" fontId="28" fillId="22" borderId="86" xfId="0" applyFont="1" applyFill="1" applyBorder="1" applyAlignment="1">
      <alignment horizontal="center" vertical="center"/>
    </xf>
    <xf numFmtId="0" fontId="79" fillId="0" borderId="0" xfId="10" applyFont="1" applyBorder="1" applyAlignment="1">
      <alignment vertical="center" wrapText="1"/>
    </xf>
    <xf numFmtId="164" fontId="67" fillId="0" borderId="0" xfId="1" applyNumberFormat="1" applyFont="1" applyAlignment="1">
      <alignment horizontal="right"/>
    </xf>
    <xf numFmtId="0" fontId="80" fillId="0" borderId="0" xfId="0" applyFont="1" applyAlignment="1">
      <alignment horizontal="right"/>
    </xf>
    <xf numFmtId="0" fontId="81" fillId="0" borderId="0" xfId="0" applyFont="1" applyAlignment="1">
      <alignment horizontal="center" vertical="center"/>
    </xf>
    <xf numFmtId="164" fontId="0" fillId="0" borderId="0" xfId="1" applyNumberFormat="1" applyFont="1" applyAlignment="1">
      <alignment horizontal="center"/>
    </xf>
    <xf numFmtId="10" fontId="81" fillId="0" borderId="0" xfId="0" applyNumberFormat="1" applyFont="1" applyAlignment="1">
      <alignment horizontal="center" vertical="center"/>
    </xf>
    <xf numFmtId="0" fontId="64" fillId="21" borderId="82" xfId="0" applyFont="1" applyFill="1" applyBorder="1" applyAlignment="1">
      <alignment horizontal="left" vertical="center" wrapText="1"/>
    </xf>
    <xf numFmtId="164" fontId="0" fillId="3" borderId="87" xfId="1" applyNumberFormat="1" applyFont="1" applyFill="1" applyBorder="1" applyAlignment="1">
      <alignment horizontal="center"/>
    </xf>
    <xf numFmtId="0" fontId="0" fillId="0" borderId="84" xfId="0" applyBorder="1" applyAlignment="1">
      <alignment wrapText="1"/>
    </xf>
    <xf numFmtId="0" fontId="0" fillId="26" borderId="84" xfId="0" applyFill="1" applyBorder="1" applyAlignment="1">
      <alignment wrapText="1"/>
    </xf>
    <xf numFmtId="0" fontId="62" fillId="23" borderId="84" xfId="0" applyFont="1" applyFill="1" applyBorder="1" applyAlignment="1">
      <alignment wrapText="1"/>
    </xf>
    <xf numFmtId="0" fontId="0" fillId="9" borderId="84" xfId="0" applyFill="1" applyBorder="1" applyAlignment="1">
      <alignment wrapText="1"/>
    </xf>
    <xf numFmtId="0" fontId="64" fillId="21" borderId="89" xfId="0" applyFont="1" applyFill="1" applyBorder="1" applyAlignment="1">
      <alignment horizontal="left" vertical="center"/>
    </xf>
    <xf numFmtId="0" fontId="83" fillId="0" borderId="0" xfId="0" applyFont="1" applyAlignment="1">
      <alignment horizontal="left"/>
    </xf>
    <xf numFmtId="0" fontId="78" fillId="0" borderId="0" xfId="0" applyFont="1"/>
    <xf numFmtId="0" fontId="78" fillId="9" borderId="0" xfId="0" applyFont="1" applyFill="1"/>
    <xf numFmtId="0" fontId="83" fillId="0" borderId="0" xfId="0" applyFont="1" applyAlignment="1">
      <alignment horizontal="right"/>
    </xf>
    <xf numFmtId="0" fontId="83" fillId="0" borderId="0" xfId="0" applyFont="1" applyAlignment="1">
      <alignment horizontal="center"/>
    </xf>
    <xf numFmtId="0" fontId="78" fillId="9" borderId="62" xfId="0" applyFont="1" applyFill="1" applyBorder="1"/>
    <xf numFmtId="164" fontId="0" fillId="3" borderId="14" xfId="1" applyNumberFormat="1" applyFont="1" applyFill="1" applyBorder="1" applyAlignment="1">
      <alignment horizontal="center"/>
    </xf>
    <xf numFmtId="10" fontId="0" fillId="0" borderId="68" xfId="0" applyNumberFormat="1" applyBorder="1" applyAlignment="1">
      <alignment horizontal="center"/>
    </xf>
    <xf numFmtId="164" fontId="0" fillId="3" borderId="76" xfId="1" applyNumberFormat="1" applyFont="1" applyFill="1" applyBorder="1" applyAlignment="1">
      <alignment horizontal="center"/>
    </xf>
    <xf numFmtId="5" fontId="0" fillId="0" borderId="79" xfId="1" applyNumberFormat="1" applyFont="1" applyFill="1" applyBorder="1" applyAlignment="1"/>
    <xf numFmtId="42" fontId="0" fillId="9" borderId="79" xfId="1" applyNumberFormat="1" applyFont="1" applyFill="1" applyBorder="1" applyAlignment="1"/>
    <xf numFmtId="42" fontId="70" fillId="26" borderId="79" xfId="1" applyNumberFormat="1" applyFont="1" applyFill="1" applyBorder="1" applyAlignment="1"/>
    <xf numFmtId="42" fontId="0" fillId="26" borderId="79" xfId="1" applyNumberFormat="1" applyFont="1" applyFill="1" applyBorder="1" applyAlignment="1"/>
    <xf numFmtId="42" fontId="0" fillId="26" borderId="79" xfId="1" applyNumberFormat="1" applyFont="1" applyFill="1" applyBorder="1" applyAlignment="1">
      <alignment horizontal="right"/>
    </xf>
    <xf numFmtId="164" fontId="0" fillId="3" borderId="15" xfId="1" applyNumberFormat="1" applyFont="1" applyFill="1" applyBorder="1" applyAlignment="1">
      <alignment horizontal="center"/>
    </xf>
    <xf numFmtId="164" fontId="19" fillId="8" borderId="86" xfId="1" applyNumberFormat="1" applyFont="1" applyFill="1" applyBorder="1" applyAlignment="1">
      <alignment horizontal="center" vertical="center" wrapText="1"/>
    </xf>
    <xf numFmtId="0" fontId="0" fillId="7" borderId="0" xfId="0" applyFill="1" applyAlignment="1">
      <alignment horizontal="left"/>
    </xf>
    <xf numFmtId="3" fontId="26" fillId="7" borderId="0" xfId="0" applyNumberFormat="1" applyFont="1" applyFill="1" applyAlignment="1">
      <alignment horizontal="left"/>
    </xf>
    <xf numFmtId="164" fontId="25" fillId="8" borderId="86" xfId="1" applyNumberFormat="1" applyFont="1" applyFill="1" applyBorder="1" applyAlignment="1">
      <alignment horizontal="center" vertical="center" wrapText="1"/>
    </xf>
    <xf numFmtId="0" fontId="0" fillId="0" borderId="93" xfId="0" applyBorder="1"/>
    <xf numFmtId="0" fontId="0" fillId="0" borderId="91" xfId="0" applyBorder="1" applyAlignment="1">
      <alignment horizontal="center"/>
    </xf>
    <xf numFmtId="44" fontId="0" fillId="0" borderId="93" xfId="2" applyFont="1" applyFill="1" applyBorder="1"/>
    <xf numFmtId="0" fontId="0" fillId="0" borderId="92" xfId="0" applyBorder="1" applyAlignment="1">
      <alignment horizontal="center"/>
    </xf>
    <xf numFmtId="167" fontId="0" fillId="9" borderId="93" xfId="2" applyNumberFormat="1" applyFont="1" applyFill="1" applyBorder="1"/>
    <xf numFmtId="167" fontId="0" fillId="0" borderId="93" xfId="2" applyNumberFormat="1" applyFont="1" applyBorder="1"/>
    <xf numFmtId="167" fontId="0" fillId="0" borderId="92" xfId="2" applyNumberFormat="1" applyFont="1" applyBorder="1"/>
    <xf numFmtId="0" fontId="6" fillId="0" borderId="95" xfId="0" applyFont="1" applyBorder="1" applyAlignment="1" applyProtection="1">
      <alignment horizontal="right"/>
      <protection locked="0"/>
    </xf>
    <xf numFmtId="9" fontId="0" fillId="6" borderId="96" xfId="3" applyFont="1" applyFill="1" applyBorder="1" applyAlignment="1" applyProtection="1">
      <alignment horizontal="left"/>
      <protection locked="0"/>
    </xf>
    <xf numFmtId="0" fontId="0" fillId="0" borderId="97" xfId="0" applyBorder="1"/>
    <xf numFmtId="0" fontId="0" fillId="0" borderId="98" xfId="0" applyBorder="1" applyProtection="1">
      <protection locked="0"/>
    </xf>
    <xf numFmtId="165" fontId="0" fillId="0" borderId="96" xfId="0" applyNumberFormat="1" applyBorder="1" applyProtection="1">
      <protection locked="0"/>
    </xf>
    <xf numFmtId="0" fontId="6" fillId="0" borderId="99" xfId="0" applyFont="1" applyBorder="1" applyAlignment="1" applyProtection="1">
      <alignment horizontal="right"/>
      <protection locked="0"/>
    </xf>
    <xf numFmtId="0" fontId="0" fillId="0" borderId="93" xfId="0" applyBorder="1" applyAlignment="1">
      <alignment wrapText="1"/>
    </xf>
    <xf numFmtId="0" fontId="0" fillId="0" borderId="95" xfId="0" applyBorder="1" applyAlignment="1" applyProtection="1">
      <alignment horizontal="right"/>
      <protection locked="0"/>
    </xf>
    <xf numFmtId="0" fontId="0" fillId="0" borderId="99" xfId="0" applyBorder="1" applyAlignment="1" applyProtection="1">
      <alignment horizontal="right"/>
      <protection locked="0"/>
    </xf>
    <xf numFmtId="0" fontId="29" fillId="0" borderId="93" xfId="0" applyFont="1" applyBorder="1" applyAlignment="1">
      <alignment vertical="center" wrapText="1"/>
    </xf>
    <xf numFmtId="0" fontId="28" fillId="0" borderId="93" xfId="0" applyFont="1" applyBorder="1" applyAlignment="1">
      <alignment vertical="center" wrapText="1"/>
    </xf>
    <xf numFmtId="0" fontId="28" fillId="0" borderId="93" xfId="0" applyFont="1" applyBorder="1" applyAlignment="1">
      <alignment horizontal="left" vertical="center" wrapText="1"/>
    </xf>
    <xf numFmtId="0" fontId="0" fillId="0" borderId="96" xfId="0" applyBorder="1" applyProtection="1">
      <protection locked="0"/>
    </xf>
    <xf numFmtId="9" fontId="0" fillId="6" borderId="96" xfId="3" applyFont="1" applyFill="1" applyBorder="1" applyProtection="1">
      <protection locked="0"/>
    </xf>
    <xf numFmtId="3" fontId="0" fillId="0" borderId="96" xfId="0" applyNumberFormat="1" applyBorder="1" applyProtection="1">
      <protection locked="0"/>
    </xf>
    <xf numFmtId="165" fontId="0" fillId="0" borderId="96" xfId="0" applyNumberFormat="1" applyBorder="1" applyAlignment="1" applyProtection="1">
      <alignment horizontal="center"/>
      <protection locked="0"/>
    </xf>
    <xf numFmtId="0" fontId="0" fillId="0" borderId="17" xfId="0" applyBorder="1" applyAlignment="1">
      <alignment horizontal="left"/>
    </xf>
    <xf numFmtId="0" fontId="78" fillId="9" borderId="0" xfId="0" applyFont="1" applyFill="1" applyAlignment="1">
      <alignment horizontal="center"/>
    </xf>
    <xf numFmtId="0" fontId="78" fillId="9" borderId="74" xfId="0" applyFont="1" applyFill="1" applyBorder="1"/>
    <xf numFmtId="0" fontId="83" fillId="26" borderId="51" xfId="0" applyFont="1" applyFill="1" applyBorder="1" applyAlignment="1">
      <alignment horizontal="center"/>
    </xf>
    <xf numFmtId="0" fontId="78" fillId="7" borderId="17" xfId="0" applyFont="1" applyFill="1" applyBorder="1"/>
    <xf numFmtId="0" fontId="83" fillId="26" borderId="101" xfId="0" applyFont="1" applyFill="1" applyBorder="1" applyAlignment="1">
      <alignment horizontal="center"/>
    </xf>
    <xf numFmtId="0" fontId="78" fillId="26" borderId="83" xfId="0" applyFont="1" applyFill="1" applyBorder="1"/>
    <xf numFmtId="0" fontId="78" fillId="0" borderId="100" xfId="0" applyFont="1" applyBorder="1"/>
    <xf numFmtId="0" fontId="78" fillId="26" borderId="104" xfId="0" applyFont="1" applyFill="1" applyBorder="1"/>
    <xf numFmtId="0" fontId="78" fillId="0" borderId="106" xfId="0" applyFont="1" applyBorder="1" applyAlignment="1">
      <alignment horizontal="left"/>
    </xf>
    <xf numFmtId="0" fontId="83" fillId="7" borderId="105" xfId="0" applyFont="1" applyFill="1" applyBorder="1" applyAlignment="1">
      <alignment horizontal="center"/>
    </xf>
    <xf numFmtId="0" fontId="83" fillId="26" borderId="53" xfId="0" applyFont="1" applyFill="1" applyBorder="1" applyAlignment="1">
      <alignment horizontal="center"/>
    </xf>
    <xf numFmtId="0" fontId="83" fillId="26" borderId="13" xfId="0" applyFont="1" applyFill="1" applyBorder="1" applyAlignment="1">
      <alignment horizontal="center"/>
    </xf>
    <xf numFmtId="0" fontId="83" fillId="26" borderId="107" xfId="0" applyFont="1" applyFill="1" applyBorder="1" applyAlignment="1">
      <alignment horizontal="center"/>
    </xf>
    <xf numFmtId="0" fontId="83" fillId="26" borderId="108" xfId="0" applyFont="1" applyFill="1" applyBorder="1" applyAlignment="1">
      <alignment horizontal="center"/>
    </xf>
    <xf numFmtId="0" fontId="78" fillId="26" borderId="109" xfId="0" applyFont="1" applyFill="1" applyBorder="1"/>
    <xf numFmtId="0" fontId="78" fillId="9" borderId="110" xfId="0" applyFont="1" applyFill="1" applyBorder="1"/>
    <xf numFmtId="0" fontId="78" fillId="7" borderId="105" xfId="0" applyFont="1" applyFill="1" applyBorder="1"/>
    <xf numFmtId="0" fontId="78" fillId="26" borderId="114" xfId="0" applyFont="1" applyFill="1" applyBorder="1"/>
    <xf numFmtId="0" fontId="78" fillId="9" borderId="115" xfId="0" applyFont="1" applyFill="1" applyBorder="1"/>
    <xf numFmtId="0" fontId="83" fillId="9" borderId="0" xfId="0" applyFont="1" applyFill="1" applyAlignment="1">
      <alignment horizontal="center"/>
    </xf>
    <xf numFmtId="0" fontId="83" fillId="26" borderId="116" xfId="0" applyFont="1" applyFill="1" applyBorder="1" applyAlignment="1">
      <alignment horizontal="center"/>
    </xf>
    <xf numFmtId="0" fontId="78" fillId="33" borderId="62" xfId="0" applyFont="1" applyFill="1" applyBorder="1"/>
    <xf numFmtId="0" fontId="78" fillId="33" borderId="74" xfId="0" applyFont="1" applyFill="1" applyBorder="1"/>
    <xf numFmtId="0" fontId="78" fillId="33" borderId="115" xfId="0" applyFont="1" applyFill="1" applyBorder="1"/>
    <xf numFmtId="0" fontId="78" fillId="9" borderId="117" xfId="0" applyFont="1" applyFill="1" applyBorder="1"/>
    <xf numFmtId="0" fontId="78" fillId="9" borderId="118" xfId="0" applyFont="1" applyFill="1" applyBorder="1"/>
    <xf numFmtId="0" fontId="78" fillId="9" borderId="119" xfId="0" applyFont="1" applyFill="1" applyBorder="1"/>
    <xf numFmtId="0" fontId="78" fillId="29" borderId="120" xfId="0" applyFont="1" applyFill="1" applyBorder="1" applyAlignment="1">
      <alignment horizontal="center"/>
    </xf>
    <xf numFmtId="0" fontId="78" fillId="29" borderId="121" xfId="0" applyFont="1" applyFill="1" applyBorder="1" applyAlignment="1">
      <alignment horizontal="center"/>
    </xf>
    <xf numFmtId="0" fontId="78" fillId="29" borderId="122" xfId="0" applyFont="1" applyFill="1" applyBorder="1" applyAlignment="1">
      <alignment horizontal="center"/>
    </xf>
    <xf numFmtId="0" fontId="78" fillId="26" borderId="123" xfId="0" applyFont="1" applyFill="1" applyBorder="1"/>
    <xf numFmtId="0" fontId="78" fillId="9" borderId="124" xfId="0" applyFont="1" applyFill="1" applyBorder="1"/>
    <xf numFmtId="0" fontId="78" fillId="9" borderId="125" xfId="0" applyFont="1" applyFill="1" applyBorder="1"/>
    <xf numFmtId="0" fontId="28" fillId="9" borderId="126" xfId="0" applyFont="1" applyFill="1" applyBorder="1" applyAlignment="1">
      <alignment horizontal="left"/>
    </xf>
    <xf numFmtId="0" fontId="28" fillId="30" borderId="126" xfId="0" applyFont="1" applyFill="1" applyBorder="1" applyAlignment="1">
      <alignment horizontal="left"/>
    </xf>
    <xf numFmtId="0" fontId="28" fillId="12" borderId="126" xfId="0" applyFont="1" applyFill="1" applyBorder="1" applyAlignment="1">
      <alignment horizontal="left"/>
    </xf>
    <xf numFmtId="0" fontId="28" fillId="34" borderId="127" xfId="0" applyFont="1" applyFill="1" applyBorder="1" applyAlignment="1">
      <alignment wrapText="1"/>
    </xf>
    <xf numFmtId="5" fontId="64" fillId="21" borderId="84" xfId="0" applyNumberFormat="1" applyFont="1" applyFill="1" applyBorder="1" applyAlignment="1">
      <alignment horizontal="center" vertical="center"/>
    </xf>
    <xf numFmtId="0" fontId="4" fillId="0" borderId="79" xfId="4" quotePrefix="1" applyFill="1" applyBorder="1" applyAlignment="1">
      <alignment horizontal="center"/>
    </xf>
    <xf numFmtId="0" fontId="64" fillId="35" borderId="89" xfId="0" applyFont="1" applyFill="1" applyBorder="1" applyAlignment="1">
      <alignment horizontal="center" vertical="center" wrapText="1"/>
    </xf>
    <xf numFmtId="165" fontId="64" fillId="35" borderId="70" xfId="0" applyNumberFormat="1" applyFont="1" applyFill="1" applyBorder="1" applyAlignment="1">
      <alignment horizontal="center" vertical="center"/>
    </xf>
    <xf numFmtId="167" fontId="6" fillId="3" borderId="13" xfId="2" applyNumberFormat="1" applyFont="1" applyFill="1" applyBorder="1" applyAlignment="1">
      <alignment horizontal="center"/>
    </xf>
    <xf numFmtId="167" fontId="6" fillId="3" borderId="14" xfId="2" applyNumberFormat="1" applyFont="1" applyFill="1" applyBorder="1" applyAlignment="1">
      <alignment horizontal="center"/>
    </xf>
    <xf numFmtId="167" fontId="6" fillId="3" borderId="37" xfId="2" applyNumberFormat="1" applyFont="1" applyFill="1" applyBorder="1" applyAlignment="1">
      <alignment horizontal="center"/>
    </xf>
    <xf numFmtId="167" fontId="6" fillId="3" borderId="38" xfId="2" applyNumberFormat="1" applyFont="1" applyFill="1" applyBorder="1" applyAlignment="1">
      <alignment horizontal="center"/>
    </xf>
    <xf numFmtId="0" fontId="88" fillId="0" borderId="67" xfId="0" applyFont="1" applyBorder="1" applyAlignment="1">
      <alignment horizontal="left"/>
    </xf>
    <xf numFmtId="0" fontId="3" fillId="2" borderId="6" xfId="0" applyFont="1" applyFill="1" applyBorder="1" applyAlignment="1">
      <alignment wrapText="1"/>
    </xf>
    <xf numFmtId="5" fontId="0" fillId="0" borderId="0" xfId="1" applyNumberFormat="1" applyFont="1" applyFill="1" applyBorder="1" applyAlignment="1"/>
    <xf numFmtId="0" fontId="64" fillId="21" borderId="120" xfId="0" applyFont="1" applyFill="1" applyBorder="1" applyAlignment="1">
      <alignment horizontal="center" vertical="center" wrapText="1"/>
    </xf>
    <xf numFmtId="0" fontId="64" fillId="21" borderId="121" xfId="0" applyFont="1" applyFill="1" applyBorder="1" applyAlignment="1">
      <alignment horizontal="center" vertical="center"/>
    </xf>
    <xf numFmtId="0" fontId="64" fillId="21" borderId="122" xfId="0" applyFont="1" applyFill="1" applyBorder="1" applyAlignment="1">
      <alignment horizontal="center" vertical="center"/>
    </xf>
    <xf numFmtId="42" fontId="0" fillId="3" borderId="76" xfId="1" applyNumberFormat="1" applyFont="1" applyFill="1" applyBorder="1" applyAlignment="1"/>
    <xf numFmtId="164" fontId="0" fillId="3" borderId="128" xfId="1" applyNumberFormat="1" applyFont="1" applyFill="1" applyBorder="1" applyAlignment="1">
      <alignment horizontal="center"/>
    </xf>
    <xf numFmtId="10" fontId="0" fillId="0" borderId="129" xfId="0" applyNumberFormat="1" applyBorder="1" applyAlignment="1">
      <alignment horizontal="center"/>
    </xf>
    <xf numFmtId="5" fontId="64" fillId="21" borderId="78" xfId="0" applyNumberFormat="1" applyFont="1" applyFill="1" applyBorder="1" applyAlignment="1">
      <alignment horizontal="center" vertical="center"/>
    </xf>
    <xf numFmtId="10" fontId="64" fillId="21" borderId="130" xfId="0" applyNumberFormat="1" applyFont="1" applyFill="1" applyBorder="1" applyAlignment="1">
      <alignment horizontal="center" vertical="center"/>
    </xf>
    <xf numFmtId="10" fontId="0" fillId="26" borderId="129" xfId="0" applyNumberFormat="1" applyFill="1" applyBorder="1" applyAlignment="1">
      <alignment horizontal="center"/>
    </xf>
    <xf numFmtId="42" fontId="64" fillId="21" borderId="78" xfId="0" applyNumberFormat="1" applyFont="1" applyFill="1" applyBorder="1" applyAlignment="1">
      <alignment horizontal="center" vertical="center"/>
    </xf>
    <xf numFmtId="10" fontId="0" fillId="9" borderId="129" xfId="0" applyNumberFormat="1" applyFill="1" applyBorder="1" applyAlignment="1">
      <alignment horizontal="center"/>
    </xf>
    <xf numFmtId="42" fontId="0" fillId="26" borderId="80" xfId="1" applyNumberFormat="1" applyFont="1" applyFill="1" applyBorder="1" applyAlignment="1"/>
    <xf numFmtId="44" fontId="0" fillId="26" borderId="131" xfId="1" applyNumberFormat="1" applyFont="1" applyFill="1" applyBorder="1" applyAlignment="1"/>
    <xf numFmtId="10" fontId="0" fillId="26" borderId="132" xfId="0" applyNumberFormat="1" applyFill="1" applyBorder="1" applyAlignment="1">
      <alignment horizontal="center"/>
    </xf>
    <xf numFmtId="5" fontId="64" fillId="35" borderId="78" xfId="0" applyNumberFormat="1" applyFont="1" applyFill="1" applyBorder="1" applyAlignment="1">
      <alignment horizontal="center" vertical="center"/>
    </xf>
    <xf numFmtId="10" fontId="64" fillId="35" borderId="130" xfId="0" applyNumberFormat="1" applyFont="1" applyFill="1" applyBorder="1" applyAlignment="1">
      <alignment horizontal="center" vertical="center"/>
    </xf>
    <xf numFmtId="42" fontId="64" fillId="35" borderId="78" xfId="0" applyNumberFormat="1" applyFont="1" applyFill="1" applyBorder="1" applyAlignment="1">
      <alignment horizontal="center" vertical="center"/>
    </xf>
    <xf numFmtId="42" fontId="64" fillId="21" borderId="79" xfId="0" applyNumberFormat="1" applyFont="1" applyFill="1" applyBorder="1" applyAlignment="1">
      <alignment horizontal="left" vertical="center"/>
    </xf>
    <xf numFmtId="42" fontId="64" fillId="35" borderId="79" xfId="0" applyNumberFormat="1" applyFont="1" applyFill="1" applyBorder="1" applyAlignment="1">
      <alignment horizontal="center" vertical="center"/>
    </xf>
    <xf numFmtId="10" fontId="64" fillId="21" borderId="129" xfId="0" applyNumberFormat="1" applyFont="1" applyFill="1" applyBorder="1" applyAlignment="1">
      <alignment horizontal="center" vertical="center"/>
    </xf>
    <xf numFmtId="10" fontId="64" fillId="35" borderId="129" xfId="0" applyNumberFormat="1" applyFont="1" applyFill="1" applyBorder="1" applyAlignment="1">
      <alignment horizontal="center" vertical="center"/>
    </xf>
    <xf numFmtId="44" fontId="0" fillId="9" borderId="133" xfId="1" applyNumberFormat="1" applyFont="1" applyFill="1" applyBorder="1" applyAlignment="1"/>
    <xf numFmtId="44" fontId="0" fillId="9" borderId="134" xfId="1" applyNumberFormat="1" applyFont="1" applyFill="1" applyBorder="1" applyAlignment="1"/>
    <xf numFmtId="165" fontId="64" fillId="21" borderId="135" xfId="0" applyNumberFormat="1" applyFont="1" applyFill="1" applyBorder="1" applyAlignment="1">
      <alignment horizontal="center" vertical="center"/>
    </xf>
    <xf numFmtId="165" fontId="64" fillId="35" borderId="135" xfId="0" applyNumberFormat="1" applyFont="1" applyFill="1" applyBorder="1" applyAlignment="1">
      <alignment horizontal="center" vertical="center"/>
    </xf>
    <xf numFmtId="1" fontId="0" fillId="0" borderId="67" xfId="1" applyNumberFormat="1" applyFont="1" applyFill="1" applyBorder="1" applyAlignment="1"/>
    <xf numFmtId="180" fontId="0" fillId="0" borderId="0" xfId="1" applyNumberFormat="1" applyFont="1" applyFill="1" applyBorder="1" applyAlignment="1"/>
    <xf numFmtId="5" fontId="3" fillId="7" borderId="79" xfId="1" applyNumberFormat="1" applyFont="1" applyFill="1" applyBorder="1" applyAlignment="1"/>
    <xf numFmtId="0" fontId="3" fillId="7" borderId="67" xfId="0" applyFont="1" applyFill="1" applyBorder="1" applyAlignment="1">
      <alignment horizontal="right" vertical="center"/>
    </xf>
    <xf numFmtId="0" fontId="0" fillId="7" borderId="67" xfId="0" applyFill="1" applyBorder="1" applyAlignment="1">
      <alignment horizontal="right"/>
    </xf>
    <xf numFmtId="0" fontId="0" fillId="7" borderId="67" xfId="0" applyFill="1" applyBorder="1"/>
    <xf numFmtId="0" fontId="82" fillId="9" borderId="0" xfId="0" applyFont="1" applyFill="1" applyAlignment="1">
      <alignment horizontal="left" vertical="center" wrapText="1"/>
    </xf>
    <xf numFmtId="0" fontId="78" fillId="9" borderId="136" xfId="0" applyFont="1" applyFill="1" applyBorder="1" applyAlignment="1">
      <alignment horizontal="center"/>
    </xf>
    <xf numFmtId="9" fontId="78" fillId="9" borderId="127" xfId="0" applyNumberFormat="1" applyFont="1" applyFill="1" applyBorder="1" applyAlignment="1">
      <alignment horizontal="center"/>
    </xf>
    <xf numFmtId="9" fontId="78" fillId="9" borderId="137" xfId="0" applyNumberFormat="1" applyFont="1" applyFill="1" applyBorder="1" applyAlignment="1">
      <alignment horizontal="center"/>
    </xf>
    <xf numFmtId="9" fontId="78" fillId="2" borderId="137" xfId="0" applyNumberFormat="1" applyFont="1" applyFill="1" applyBorder="1" applyAlignment="1">
      <alignment horizontal="center"/>
    </xf>
    <xf numFmtId="9" fontId="78" fillId="9" borderId="138" xfId="0" applyNumberFormat="1" applyFont="1" applyFill="1" applyBorder="1" applyAlignment="1">
      <alignment horizontal="center"/>
    </xf>
    <xf numFmtId="0" fontId="78" fillId="0" borderId="136" xfId="0" applyFont="1" applyBorder="1" applyAlignment="1">
      <alignment horizontal="center"/>
    </xf>
    <xf numFmtId="9" fontId="78" fillId="0" borderId="127" xfId="3" applyFont="1" applyBorder="1"/>
    <xf numFmtId="9" fontId="78" fillId="0" borderId="137" xfId="3" applyFont="1" applyBorder="1"/>
    <xf numFmtId="9" fontId="78" fillId="2" borderId="137" xfId="3" applyFont="1" applyFill="1" applyBorder="1"/>
    <xf numFmtId="9" fontId="78" fillId="0" borderId="138" xfId="3" applyFont="1" applyBorder="1"/>
    <xf numFmtId="0" fontId="78" fillId="29" borderId="75" xfId="0" applyFont="1" applyFill="1" applyBorder="1" applyAlignment="1">
      <alignment horizontal="center"/>
    </xf>
    <xf numFmtId="170" fontId="0" fillId="0" borderId="0" xfId="1" applyNumberFormat="1" applyFont="1" applyFill="1" applyBorder="1" applyAlignment="1"/>
    <xf numFmtId="170" fontId="0" fillId="0" borderId="0" xfId="0" applyNumberFormat="1"/>
    <xf numFmtId="0" fontId="3" fillId="9" borderId="67" xfId="0" applyFont="1" applyFill="1" applyBorder="1" applyAlignment="1">
      <alignment horizontal="right" vertical="center"/>
    </xf>
    <xf numFmtId="5" fontId="3" fillId="9" borderId="79" xfId="1" applyNumberFormat="1" applyFont="1" applyFill="1" applyBorder="1" applyAlignment="1"/>
    <xf numFmtId="180" fontId="0" fillId="0" borderId="0" xfId="0" applyNumberFormat="1"/>
    <xf numFmtId="181" fontId="0" fillId="0" borderId="0" xfId="0" applyNumberFormat="1"/>
    <xf numFmtId="0" fontId="82" fillId="9" borderId="126" xfId="0" applyFont="1" applyFill="1" applyBorder="1" applyAlignment="1">
      <alignment horizontal="left"/>
    </xf>
    <xf numFmtId="0" fontId="78" fillId="26" borderId="139" xfId="0" applyFont="1" applyFill="1" applyBorder="1"/>
    <xf numFmtId="9" fontId="78" fillId="9" borderId="139" xfId="3" applyFont="1" applyFill="1" applyBorder="1" applyAlignment="1">
      <alignment horizontal="center"/>
    </xf>
    <xf numFmtId="9" fontId="78" fillId="2" borderId="139" xfId="3" applyFont="1" applyFill="1" applyBorder="1" applyAlignment="1">
      <alignment horizontal="center"/>
    </xf>
    <xf numFmtId="0" fontId="78" fillId="9" borderId="139" xfId="0" applyFont="1" applyFill="1" applyBorder="1" applyAlignment="1">
      <alignment horizontal="center"/>
    </xf>
    <xf numFmtId="44" fontId="0" fillId="0" borderId="139" xfId="2" applyFont="1" applyBorder="1" applyProtection="1">
      <protection locked="0"/>
    </xf>
    <xf numFmtId="0" fontId="0" fillId="0" borderId="139" xfId="0" applyBorder="1" applyProtection="1">
      <protection locked="0"/>
    </xf>
    <xf numFmtId="0" fontId="0" fillId="30" borderId="139" xfId="0" applyFill="1" applyBorder="1" applyProtection="1">
      <protection locked="0"/>
    </xf>
    <xf numFmtId="0" fontId="0" fillId="12" borderId="139" xfId="0" applyFill="1" applyBorder="1" applyProtection="1">
      <protection locked="0"/>
    </xf>
    <xf numFmtId="44" fontId="0" fillId="26" borderId="67" xfId="1" applyNumberFormat="1" applyFont="1" applyFill="1" applyBorder="1"/>
    <xf numFmtId="42" fontId="61" fillId="7" borderId="79" xfId="1" applyNumberFormat="1" applyFont="1" applyFill="1" applyBorder="1" applyAlignment="1"/>
    <xf numFmtId="42" fontId="0" fillId="9" borderId="79" xfId="1" applyNumberFormat="1" applyFont="1" applyFill="1" applyBorder="1" applyAlignment="1">
      <alignment horizontal="right"/>
    </xf>
    <xf numFmtId="10" fontId="0" fillId="9" borderId="0" xfId="0" applyNumberFormat="1" applyFill="1" applyAlignment="1">
      <alignment horizontal="center"/>
    </xf>
    <xf numFmtId="42" fontId="0" fillId="9" borderId="84" xfId="1" applyNumberFormat="1" applyFont="1" applyFill="1" applyBorder="1" applyAlignment="1">
      <alignment horizontal="right"/>
    </xf>
    <xf numFmtId="5" fontId="0" fillId="9" borderId="79" xfId="1" applyNumberFormat="1" applyFont="1" applyFill="1" applyBorder="1" applyAlignment="1"/>
    <xf numFmtId="44" fontId="0" fillId="7" borderId="67" xfId="1" applyNumberFormat="1" applyFont="1" applyFill="1" applyBorder="1" applyAlignment="1"/>
    <xf numFmtId="0" fontId="81" fillId="21" borderId="78" xfId="0" applyFont="1" applyFill="1" applyBorder="1" applyAlignment="1">
      <alignment horizontal="center" vertical="center"/>
    </xf>
    <xf numFmtId="165" fontId="81" fillId="21" borderId="135" xfId="0" applyNumberFormat="1" applyFont="1" applyFill="1" applyBorder="1" applyAlignment="1">
      <alignment horizontal="center" vertical="center"/>
    </xf>
    <xf numFmtId="10" fontId="81" fillId="21" borderId="129" xfId="0" applyNumberFormat="1" applyFont="1" applyFill="1" applyBorder="1" applyAlignment="1">
      <alignment horizontal="center" vertical="center"/>
    </xf>
    <xf numFmtId="42" fontId="81" fillId="35" borderId="79" xfId="0" applyNumberFormat="1" applyFont="1" applyFill="1" applyBorder="1" applyAlignment="1">
      <alignment horizontal="center" vertical="center"/>
    </xf>
    <xf numFmtId="165" fontId="81" fillId="35" borderId="135" xfId="0" applyNumberFormat="1" applyFont="1" applyFill="1" applyBorder="1" applyAlignment="1">
      <alignment horizontal="center" vertical="center"/>
    </xf>
    <xf numFmtId="10" fontId="81" fillId="35" borderId="129" xfId="0" applyNumberFormat="1" applyFont="1" applyFill="1" applyBorder="1" applyAlignment="1">
      <alignment horizontal="center" vertical="center"/>
    </xf>
    <xf numFmtId="5" fontId="81" fillId="21" borderId="84" xfId="0" applyNumberFormat="1" applyFont="1" applyFill="1" applyBorder="1" applyAlignment="1">
      <alignment horizontal="center" vertical="center"/>
    </xf>
    <xf numFmtId="42" fontId="81" fillId="21" borderId="84" xfId="0" applyNumberFormat="1" applyFont="1" applyFill="1" applyBorder="1" applyAlignment="1">
      <alignment horizontal="center" vertical="center"/>
    </xf>
    <xf numFmtId="42" fontId="0" fillId="9" borderId="79" xfId="1" applyNumberFormat="1" applyFont="1" applyFill="1" applyBorder="1"/>
    <xf numFmtId="44" fontId="0" fillId="9" borderId="67" xfId="1" applyNumberFormat="1" applyFont="1" applyFill="1" applyBorder="1"/>
    <xf numFmtId="42" fontId="0" fillId="9" borderId="84" xfId="1" applyNumberFormat="1" applyFont="1" applyFill="1" applyBorder="1"/>
    <xf numFmtId="42" fontId="3" fillId="9" borderId="84" xfId="1" applyNumberFormat="1" applyFont="1" applyFill="1" applyBorder="1"/>
    <xf numFmtId="177" fontId="90" fillId="0" borderId="79" xfId="1" applyNumberFormat="1" applyFont="1" applyBorder="1" applyAlignment="1">
      <alignment horizontal="center"/>
    </xf>
    <xf numFmtId="42" fontId="0" fillId="0" borderId="84" xfId="1" applyNumberFormat="1" applyFont="1" applyBorder="1"/>
    <xf numFmtId="42" fontId="3" fillId="9" borderId="79" xfId="1" applyNumberFormat="1" applyFont="1" applyFill="1" applyBorder="1"/>
    <xf numFmtId="0" fontId="92" fillId="9" borderId="110" xfId="0" applyFont="1" applyFill="1" applyBorder="1"/>
    <xf numFmtId="0" fontId="92" fillId="9" borderId="62" xfId="0" applyFont="1" applyFill="1" applyBorder="1"/>
    <xf numFmtId="0" fontId="92" fillId="33" borderId="62" xfId="0" applyFont="1" applyFill="1" applyBorder="1"/>
    <xf numFmtId="0" fontId="92" fillId="33" borderId="110" xfId="0" applyFont="1" applyFill="1" applyBorder="1"/>
    <xf numFmtId="164" fontId="19" fillId="8" borderId="143" xfId="1" applyNumberFormat="1" applyFont="1" applyFill="1" applyBorder="1" applyAlignment="1">
      <alignment horizontal="center" vertical="center"/>
    </xf>
    <xf numFmtId="164" fontId="19" fillId="8" borderId="144" xfId="1" applyNumberFormat="1" applyFont="1" applyFill="1" applyBorder="1" applyAlignment="1">
      <alignment horizontal="center" vertical="center" wrapText="1"/>
    </xf>
    <xf numFmtId="164" fontId="19" fillId="8" borderId="145" xfId="1" applyNumberFormat="1" applyFont="1" applyFill="1" applyBorder="1" applyAlignment="1">
      <alignment horizontal="center" vertical="center" wrapText="1"/>
    </xf>
    <xf numFmtId="164" fontId="19" fillId="8" borderId="140" xfId="1" applyNumberFormat="1" applyFont="1" applyFill="1" applyBorder="1" applyAlignment="1">
      <alignment horizontal="center" vertical="center"/>
    </xf>
    <xf numFmtId="164" fontId="25" fillId="8" borderId="141" xfId="1" applyNumberFormat="1" applyFont="1" applyFill="1" applyBorder="1" applyAlignment="1">
      <alignment horizontal="center" vertical="center" wrapText="1"/>
    </xf>
    <xf numFmtId="0" fontId="43" fillId="0" borderId="146" xfId="0" applyFont="1" applyBorder="1"/>
    <xf numFmtId="44" fontId="43" fillId="0" borderId="142" xfId="2" applyFont="1" applyBorder="1"/>
    <xf numFmtId="44" fontId="43" fillId="0" borderId="143" xfId="2" applyFont="1" applyBorder="1" applyAlignment="1">
      <alignment horizontal="center"/>
    </xf>
    <xf numFmtId="44" fontId="43" fillId="0" borderId="145" xfId="2" applyFont="1" applyBorder="1" applyAlignment="1">
      <alignment horizontal="right"/>
    </xf>
    <xf numFmtId="170" fontId="43" fillId="0" borderId="142" xfId="0" applyNumberFormat="1" applyFont="1" applyBorder="1"/>
    <xf numFmtId="173" fontId="43" fillId="0" borderId="143" xfId="1" applyNumberFormat="1" applyFont="1" applyBorder="1" applyAlignment="1">
      <alignment horizontal="center"/>
    </xf>
    <xf numFmtId="170" fontId="43" fillId="0" borderId="145" xfId="0" applyNumberFormat="1" applyFont="1" applyBorder="1" applyAlignment="1">
      <alignment horizontal="right"/>
    </xf>
    <xf numFmtId="165" fontId="43" fillId="0" borderId="146" xfId="0" applyNumberFormat="1" applyFont="1" applyBorder="1"/>
    <xf numFmtId="44" fontId="43" fillId="0" borderId="142" xfId="2" applyFont="1" applyBorder="1" applyAlignment="1">
      <alignment horizontal="right"/>
    </xf>
    <xf numFmtId="0" fontId="43" fillId="0" borderId="142" xfId="0" applyFont="1" applyBorder="1" applyAlignment="1">
      <alignment horizontal="right"/>
    </xf>
    <xf numFmtId="9" fontId="0" fillId="7" borderId="142" xfId="0" applyNumberFormat="1" applyFill="1" applyBorder="1"/>
    <xf numFmtId="0" fontId="64" fillId="35" borderId="147" xfId="0" applyFont="1" applyFill="1" applyBorder="1" applyAlignment="1">
      <alignment horizontal="center" vertical="center"/>
    </xf>
    <xf numFmtId="0" fontId="0" fillId="0" borderId="148" xfId="0" applyBorder="1" applyAlignment="1">
      <alignment horizontal="left"/>
    </xf>
    <xf numFmtId="0" fontId="0" fillId="0" borderId="147" xfId="0" applyBorder="1"/>
    <xf numFmtId="0" fontId="28" fillId="22" borderId="149" xfId="0" applyFont="1" applyFill="1" applyBorder="1" applyAlignment="1">
      <alignment horizontal="center" vertical="center"/>
    </xf>
    <xf numFmtId="3" fontId="0" fillId="0" borderId="150" xfId="0" applyNumberFormat="1" applyBorder="1" applyAlignment="1" applyProtection="1">
      <alignment horizontal="left"/>
      <protection locked="0"/>
    </xf>
    <xf numFmtId="0" fontId="0" fillId="0" borderId="150" xfId="0" applyBorder="1" applyProtection="1">
      <protection locked="0"/>
    </xf>
    <xf numFmtId="0" fontId="0" fillId="0" borderId="151" xfId="0" applyBorder="1" applyAlignment="1">
      <alignment vertical="top"/>
    </xf>
    <xf numFmtId="3" fontId="0" fillId="25" borderId="150" xfId="0" applyNumberFormat="1" applyFill="1" applyBorder="1" applyAlignment="1" applyProtection="1">
      <alignment horizontal="left"/>
      <protection locked="0"/>
    </xf>
    <xf numFmtId="3" fontId="0" fillId="30" borderId="150" xfId="0" applyNumberFormat="1" applyFill="1" applyBorder="1" applyAlignment="1" applyProtection="1">
      <alignment horizontal="left"/>
      <protection locked="0"/>
    </xf>
    <xf numFmtId="3" fontId="0" fillId="12" borderId="150" xfId="0" applyNumberFormat="1" applyFill="1" applyBorder="1" applyAlignment="1" applyProtection="1">
      <alignment horizontal="left"/>
      <protection locked="0"/>
    </xf>
    <xf numFmtId="0" fontId="28" fillId="22" borderId="152" xfId="0" applyFont="1" applyFill="1" applyBorder="1" applyAlignment="1">
      <alignment horizontal="center" vertical="center"/>
    </xf>
    <xf numFmtId="44" fontId="28" fillId="0" borderId="154" xfId="2" applyFont="1" applyBorder="1" applyAlignment="1">
      <alignment horizontal="center" vertical="center"/>
    </xf>
    <xf numFmtId="10" fontId="0" fillId="6" borderId="154" xfId="3" applyNumberFormat="1" applyFont="1" applyFill="1" applyBorder="1" applyProtection="1">
      <protection locked="0"/>
    </xf>
    <xf numFmtId="9" fontId="0" fillId="6" borderId="154" xfId="3" applyFont="1" applyFill="1" applyBorder="1" applyAlignment="1" applyProtection="1">
      <alignment horizontal="left"/>
      <protection locked="0"/>
    </xf>
    <xf numFmtId="9" fontId="0" fillId="6" borderId="154" xfId="3" applyFont="1" applyFill="1" applyBorder="1" applyProtection="1">
      <protection locked="0"/>
    </xf>
    <xf numFmtId="44" fontId="0" fillId="6" borderId="154" xfId="2" applyFont="1" applyFill="1" applyBorder="1" applyProtection="1">
      <protection locked="0"/>
    </xf>
    <xf numFmtId="5" fontId="0" fillId="6" borderId="154" xfId="2" applyNumberFormat="1" applyFont="1" applyFill="1" applyBorder="1" applyAlignment="1" applyProtection="1">
      <alignment horizontal="left"/>
      <protection locked="0"/>
    </xf>
    <xf numFmtId="44" fontId="0" fillId="6" borderId="154" xfId="2" applyFont="1" applyFill="1" applyBorder="1" applyAlignment="1" applyProtection="1">
      <alignment horizontal="left"/>
      <protection locked="0"/>
    </xf>
    <xf numFmtId="44" fontId="0" fillId="6" borderId="154" xfId="0" applyNumberFormat="1" applyFill="1" applyBorder="1" applyProtection="1">
      <protection locked="0"/>
    </xf>
    <xf numFmtId="5" fontId="0" fillId="6" borderId="154" xfId="0" applyNumberFormat="1" applyFill="1" applyBorder="1" applyAlignment="1" applyProtection="1">
      <alignment horizontal="left"/>
      <protection locked="0"/>
    </xf>
    <xf numFmtId="165" fontId="11" fillId="6" borderId="154" xfId="0" applyNumberFormat="1" applyFont="1" applyFill="1" applyBorder="1" applyAlignment="1" applyProtection="1">
      <alignment horizontal="center"/>
      <protection locked="0"/>
    </xf>
    <xf numFmtId="165" fontId="11" fillId="6" borderId="154" xfId="0" applyNumberFormat="1" applyFont="1" applyFill="1" applyBorder="1" applyAlignment="1" applyProtection="1">
      <alignment horizontal="left"/>
      <protection locked="0"/>
    </xf>
    <xf numFmtId="0" fontId="0" fillId="6" borderId="155" xfId="0" applyFill="1" applyBorder="1" applyAlignment="1" applyProtection="1">
      <alignment horizontal="center"/>
      <protection locked="0"/>
    </xf>
    <xf numFmtId="7" fontId="0" fillId="6" borderId="154" xfId="0" applyNumberFormat="1" applyFill="1" applyBorder="1" applyAlignment="1" applyProtection="1">
      <alignment horizontal="center"/>
      <protection locked="0"/>
    </xf>
    <xf numFmtId="0" fontId="0" fillId="6" borderId="154" xfId="0" applyFill="1" applyBorder="1" applyAlignment="1" applyProtection="1">
      <alignment horizontal="center"/>
      <protection locked="0"/>
    </xf>
    <xf numFmtId="165" fontId="0" fillId="0" borderId="154" xfId="0" applyNumberFormat="1" applyBorder="1" applyAlignment="1" applyProtection="1">
      <alignment horizontal="right"/>
      <protection locked="0"/>
    </xf>
    <xf numFmtId="44" fontId="0" fillId="0" borderId="154" xfId="0" applyNumberFormat="1" applyBorder="1" applyProtection="1">
      <protection locked="0"/>
    </xf>
    <xf numFmtId="165" fontId="0" fillId="0" borderId="154" xfId="0" applyNumberFormat="1" applyBorder="1" applyProtection="1">
      <protection locked="0"/>
    </xf>
    <xf numFmtId="0" fontId="0" fillId="0" borderId="156" xfId="0" applyBorder="1"/>
    <xf numFmtId="0" fontId="0" fillId="0" borderId="157" xfId="0" applyBorder="1" applyAlignment="1">
      <alignment wrapText="1"/>
    </xf>
    <xf numFmtId="0" fontId="0" fillId="0" borderId="157" xfId="0" applyBorder="1" applyProtection="1">
      <protection locked="0"/>
    </xf>
    <xf numFmtId="0" fontId="0" fillId="0" borderId="158" xfId="0" applyBorder="1" applyProtection="1">
      <protection locked="0"/>
    </xf>
    <xf numFmtId="0" fontId="0" fillId="0" borderId="155" xfId="0" applyBorder="1" applyProtection="1">
      <protection locked="0"/>
    </xf>
    <xf numFmtId="0" fontId="0" fillId="0" borderId="154" xfId="0" applyBorder="1" applyAlignment="1" applyProtection="1">
      <alignment horizontal="center"/>
      <protection locked="0"/>
    </xf>
    <xf numFmtId="0" fontId="3" fillId="0" borderId="154" xfId="0" applyFont="1" applyBorder="1" applyAlignment="1" applyProtection="1">
      <alignment horizontal="right"/>
      <protection locked="0"/>
    </xf>
    <xf numFmtId="169" fontId="0" fillId="0" borderId="154" xfId="0" applyNumberFormat="1" applyBorder="1" applyAlignment="1" applyProtection="1">
      <alignment horizontal="center"/>
      <protection locked="0"/>
    </xf>
    <xf numFmtId="0" fontId="3" fillId="0" borderId="156" xfId="0" applyFont="1" applyBorder="1" applyAlignment="1" applyProtection="1">
      <alignment horizontal="right"/>
      <protection locked="0"/>
    </xf>
    <xf numFmtId="5" fontId="0" fillId="0" borderId="155" xfId="2" applyNumberFormat="1" applyFont="1" applyBorder="1" applyAlignment="1" applyProtection="1">
      <alignment horizontal="center"/>
      <protection locked="0"/>
    </xf>
    <xf numFmtId="5" fontId="0" fillId="0" borderId="154" xfId="2" applyNumberFormat="1" applyFont="1" applyBorder="1" applyProtection="1">
      <protection locked="0"/>
    </xf>
    <xf numFmtId="0" fontId="0" fillId="0" borderId="154" xfId="0" applyBorder="1" applyProtection="1">
      <protection locked="0"/>
    </xf>
    <xf numFmtId="0" fontId="5" fillId="25" borderId="154" xfId="0" applyFont="1" applyFill="1" applyBorder="1" applyProtection="1">
      <protection locked="0"/>
    </xf>
    <xf numFmtId="44" fontId="28" fillId="30" borderId="154" xfId="2" applyFont="1" applyFill="1" applyBorder="1" applyAlignment="1">
      <alignment horizontal="center" vertical="center"/>
    </xf>
    <xf numFmtId="44" fontId="28" fillId="12" borderId="154" xfId="2" applyFont="1" applyFill="1" applyBorder="1" applyAlignment="1">
      <alignment horizontal="center" vertical="center"/>
    </xf>
    <xf numFmtId="0" fontId="4" fillId="0" borderId="154" xfId="4" applyBorder="1" applyAlignment="1" applyProtection="1">
      <alignment horizontal="center" vertical="center"/>
      <protection locked="0"/>
    </xf>
    <xf numFmtId="0" fontId="0" fillId="0" borderId="161" xfId="0" applyBorder="1" applyAlignment="1">
      <alignment vertical="top"/>
    </xf>
    <xf numFmtId="0" fontId="0" fillId="6" borderId="161" xfId="0" applyFill="1" applyBorder="1"/>
    <xf numFmtId="0" fontId="0" fillId="0" borderId="161" xfId="0" applyBorder="1" applyProtection="1">
      <protection locked="0"/>
    </xf>
    <xf numFmtId="0" fontId="3" fillId="0" borderId="162" xfId="0" applyFont="1" applyBorder="1" applyAlignment="1" applyProtection="1">
      <alignment horizontal="right"/>
      <protection locked="0"/>
    </xf>
    <xf numFmtId="0" fontId="0" fillId="0" borderId="161" xfId="0" applyBorder="1" applyAlignment="1">
      <alignment horizontal="right"/>
    </xf>
    <xf numFmtId="0" fontId="0" fillId="0" borderId="161" xfId="0" applyBorder="1"/>
    <xf numFmtId="3" fontId="0" fillId="0" borderId="154" xfId="0" applyNumberFormat="1" applyBorder="1" applyAlignment="1" applyProtection="1">
      <alignment horizontal="left"/>
      <protection locked="0"/>
    </xf>
    <xf numFmtId="0" fontId="0" fillId="6" borderId="160" xfId="0" applyFill="1" applyBorder="1" applyAlignment="1" applyProtection="1">
      <alignment horizontal="center"/>
      <protection locked="0"/>
    </xf>
    <xf numFmtId="0" fontId="0" fillId="0" borderId="160" xfId="0" applyBorder="1" applyProtection="1">
      <protection locked="0"/>
    </xf>
    <xf numFmtId="0" fontId="28" fillId="0" borderId="163" xfId="0" applyFont="1" applyBorder="1" applyAlignment="1">
      <alignment vertical="top" wrapText="1"/>
    </xf>
    <xf numFmtId="0" fontId="5" fillId="0" borderId="154" xfId="0" applyFont="1" applyBorder="1" applyProtection="1">
      <protection locked="0"/>
    </xf>
    <xf numFmtId="0" fontId="0" fillId="0" borderId="164" xfId="0" applyBorder="1" applyProtection="1">
      <protection locked="0"/>
    </xf>
    <xf numFmtId="0" fontId="0" fillId="25" borderId="154" xfId="0" applyFill="1" applyBorder="1" applyProtection="1">
      <protection locked="0"/>
    </xf>
    <xf numFmtId="0" fontId="0" fillId="0" borderId="165" xfId="0" applyBorder="1" applyProtection="1">
      <protection locked="0"/>
    </xf>
    <xf numFmtId="0" fontId="0" fillId="0" borderId="166" xfId="0" applyBorder="1" applyAlignment="1">
      <alignment vertical="top"/>
    </xf>
    <xf numFmtId="3" fontId="0" fillId="0" borderId="168" xfId="0" applyNumberFormat="1" applyBorder="1" applyAlignment="1" applyProtection="1">
      <alignment horizontal="left"/>
      <protection locked="0"/>
    </xf>
    <xf numFmtId="3" fontId="0" fillId="0" borderId="169" xfId="0" applyNumberFormat="1" applyBorder="1" applyAlignment="1" applyProtection="1">
      <alignment horizontal="left"/>
      <protection locked="0"/>
    </xf>
    <xf numFmtId="0" fontId="0" fillId="0" borderId="170" xfId="0" applyBorder="1" applyAlignment="1">
      <alignment vertical="top"/>
    </xf>
    <xf numFmtId="0" fontId="28" fillId="9" borderId="163" xfId="0" applyFont="1" applyFill="1" applyBorder="1" applyAlignment="1">
      <alignment horizontal="left" vertical="center" wrapText="1"/>
    </xf>
    <xf numFmtId="0" fontId="29" fillId="9" borderId="163" xfId="0" applyFont="1" applyFill="1" applyBorder="1" applyAlignment="1">
      <alignment horizontal="center" vertical="center" wrapText="1"/>
    </xf>
    <xf numFmtId="0" fontId="28" fillId="9" borderId="163" xfId="0" applyFont="1" applyFill="1" applyBorder="1" applyAlignment="1">
      <alignment vertical="center" wrapText="1"/>
    </xf>
    <xf numFmtId="0" fontId="0" fillId="0" borderId="163" xfId="0" applyBorder="1" applyProtection="1">
      <protection locked="0"/>
    </xf>
    <xf numFmtId="0" fontId="0" fillId="30" borderId="163" xfId="0" applyFill="1" applyBorder="1" applyProtection="1">
      <protection locked="0"/>
    </xf>
    <xf numFmtId="0" fontId="0" fillId="12" borderId="163" xfId="0" applyFill="1" applyBorder="1" applyProtection="1">
      <protection locked="0"/>
    </xf>
    <xf numFmtId="0" fontId="28" fillId="0" borderId="171" xfId="0" applyFont="1" applyBorder="1" applyAlignment="1">
      <alignment vertical="center"/>
    </xf>
    <xf numFmtId="0" fontId="0" fillId="0" borderId="175" xfId="0" applyBorder="1" applyAlignment="1">
      <alignment wrapText="1"/>
    </xf>
    <xf numFmtId="180" fontId="0" fillId="7" borderId="0" xfId="1" applyNumberFormat="1" applyFont="1" applyFill="1" applyBorder="1" applyAlignment="1"/>
    <xf numFmtId="0" fontId="0" fillId="0" borderId="176" xfId="0" applyBorder="1" applyAlignment="1">
      <alignment vertical="top"/>
    </xf>
    <xf numFmtId="3" fontId="0" fillId="0" borderId="173" xfId="0" applyNumberFormat="1" applyBorder="1" applyAlignment="1" applyProtection="1">
      <alignment horizontal="left"/>
      <protection locked="0"/>
    </xf>
    <xf numFmtId="0" fontId="0" fillId="0" borderId="173" xfId="0" applyBorder="1" applyProtection="1">
      <protection locked="0"/>
    </xf>
    <xf numFmtId="42" fontId="64" fillId="8" borderId="79" xfId="0" applyNumberFormat="1" applyFont="1" applyFill="1" applyBorder="1" applyAlignment="1">
      <alignment horizontal="left" vertical="center"/>
    </xf>
    <xf numFmtId="0" fontId="81" fillId="21" borderId="177" xfId="0" applyFont="1" applyFill="1" applyBorder="1" applyAlignment="1">
      <alignment horizontal="left" vertical="center"/>
    </xf>
    <xf numFmtId="0" fontId="81" fillId="21" borderId="178" xfId="0" applyFont="1" applyFill="1" applyBorder="1" applyAlignment="1">
      <alignment horizontal="left" vertical="center"/>
    </xf>
    <xf numFmtId="0" fontId="81" fillId="21" borderId="179" xfId="0" applyFont="1" applyFill="1" applyBorder="1" applyAlignment="1">
      <alignment horizontal="left" vertical="center"/>
    </xf>
    <xf numFmtId="0" fontId="4" fillId="0" borderId="180" xfId="4" quotePrefix="1" applyBorder="1" applyAlignment="1">
      <alignment horizontal="center"/>
    </xf>
    <xf numFmtId="0" fontId="0" fillId="0" borderId="68" xfId="0" applyBorder="1" applyAlignment="1">
      <alignment horizontal="left"/>
    </xf>
    <xf numFmtId="0" fontId="0" fillId="0" borderId="68" xfId="0" applyBorder="1" applyAlignment="1">
      <alignment horizontal="left" wrapText="1"/>
    </xf>
    <xf numFmtId="0" fontId="4" fillId="0" borderId="181" xfId="4" quotePrefix="1" applyBorder="1" applyAlignment="1">
      <alignment horizontal="center"/>
    </xf>
    <xf numFmtId="0" fontId="0" fillId="0" borderId="182" xfId="0" applyBorder="1" applyAlignment="1">
      <alignment horizontal="left"/>
    </xf>
    <xf numFmtId="0" fontId="0" fillId="0" borderId="183" xfId="0" applyBorder="1" applyAlignment="1">
      <alignment horizontal="left"/>
    </xf>
    <xf numFmtId="0" fontId="0" fillId="17" borderId="63" xfId="0" applyFill="1" applyBorder="1" applyAlignment="1">
      <alignment horizontal="center"/>
    </xf>
    <xf numFmtId="0" fontId="0" fillId="17" borderId="64" xfId="0" applyFill="1" applyBorder="1" applyAlignment="1">
      <alignment horizontal="center"/>
    </xf>
    <xf numFmtId="0" fontId="43" fillId="0" borderId="140" xfId="0" applyFont="1" applyBorder="1" applyAlignment="1">
      <alignment horizontal="center" vertical="center"/>
    </xf>
    <xf numFmtId="0" fontId="43" fillId="0" borderId="86" xfId="0" applyFont="1" applyBorder="1" applyAlignment="1">
      <alignment horizontal="center" vertical="center"/>
    </xf>
    <xf numFmtId="0" fontId="43" fillId="0" borderId="141" xfId="0" applyFont="1" applyBorder="1" applyAlignment="1">
      <alignment horizontal="center" vertical="center"/>
    </xf>
    <xf numFmtId="0" fontId="43" fillId="0" borderId="37" xfId="0" applyFont="1" applyBorder="1" applyAlignment="1">
      <alignment horizontal="center" vertical="center"/>
    </xf>
    <xf numFmtId="0" fontId="43" fillId="0" borderId="17" xfId="0" applyFont="1" applyBorder="1" applyAlignment="1">
      <alignment horizontal="center" vertical="center"/>
    </xf>
    <xf numFmtId="0" fontId="43" fillId="0" borderId="38" xfId="0" applyFont="1" applyBorder="1" applyAlignment="1">
      <alignment horizontal="center" vertical="center"/>
    </xf>
    <xf numFmtId="0" fontId="43" fillId="14" borderId="140" xfId="0" applyFont="1" applyFill="1" applyBorder="1" applyAlignment="1">
      <alignment horizontal="center" vertical="center"/>
    </xf>
    <xf numFmtId="0" fontId="43" fillId="14" borderId="86" xfId="0" applyFont="1" applyFill="1" applyBorder="1" applyAlignment="1">
      <alignment horizontal="center" vertical="center"/>
    </xf>
    <xf numFmtId="0" fontId="43" fillId="14" borderId="141" xfId="0" applyFont="1" applyFill="1" applyBorder="1" applyAlignment="1">
      <alignment horizontal="center" vertical="center"/>
    </xf>
    <xf numFmtId="0" fontId="43" fillId="13" borderId="140" xfId="0" applyFont="1" applyFill="1" applyBorder="1" applyAlignment="1">
      <alignment horizontal="center" vertical="center"/>
    </xf>
    <xf numFmtId="0" fontId="43" fillId="13" borderId="86" xfId="0" applyFont="1" applyFill="1" applyBorder="1" applyAlignment="1">
      <alignment horizontal="center" vertical="center"/>
    </xf>
    <xf numFmtId="0" fontId="43" fillId="13" borderId="141" xfId="0" applyFont="1" applyFill="1" applyBorder="1" applyAlignment="1">
      <alignment horizontal="center" vertical="center"/>
    </xf>
    <xf numFmtId="0" fontId="50" fillId="0" borderId="0" xfId="0" applyFont="1" applyAlignment="1">
      <alignment horizontal="left"/>
    </xf>
    <xf numFmtId="175" fontId="51" fillId="0" borderId="0" xfId="0" quotePrefix="1" applyNumberFormat="1" applyFont="1" applyAlignment="1">
      <alignment horizontal="left"/>
    </xf>
    <xf numFmtId="0" fontId="3" fillId="0" borderId="0" xfId="0" applyFont="1" applyAlignment="1">
      <alignment horizontal="right"/>
    </xf>
    <xf numFmtId="0" fontId="22" fillId="0" borderId="11" xfId="0" applyFont="1" applyBorder="1" applyAlignment="1">
      <alignment horizontal="left" vertical="top"/>
    </xf>
    <xf numFmtId="0" fontId="22" fillId="0" borderId="12" xfId="0" applyFont="1" applyBorder="1" applyAlignment="1">
      <alignment horizontal="left" vertical="top"/>
    </xf>
    <xf numFmtId="168" fontId="20" fillId="0" borderId="0" xfId="0" applyNumberFormat="1" applyFont="1" applyAlignment="1">
      <alignment horizontal="left"/>
    </xf>
    <xf numFmtId="0" fontId="78" fillId="0" borderId="106" xfId="0" applyFont="1" applyBorder="1" applyAlignment="1">
      <alignment horizontal="left"/>
    </xf>
    <xf numFmtId="0" fontId="0" fillId="0" borderId="17" xfId="0" applyBorder="1" applyAlignment="1">
      <alignment horizontal="left"/>
    </xf>
    <xf numFmtId="0" fontId="0" fillId="0" borderId="139" xfId="0" applyBorder="1" applyAlignment="1">
      <alignment horizontal="left"/>
    </xf>
    <xf numFmtId="0" fontId="83" fillId="26" borderId="105" xfId="0" applyFont="1" applyFill="1" applyBorder="1" applyAlignment="1">
      <alignment horizontal="center"/>
    </xf>
    <xf numFmtId="0" fontId="83" fillId="24" borderId="109" xfId="0" applyFont="1" applyFill="1" applyBorder="1" applyAlignment="1">
      <alignment horizontal="center"/>
    </xf>
    <xf numFmtId="0" fontId="83" fillId="24" borderId="104" xfId="0" applyFont="1" applyFill="1" applyBorder="1" applyAlignment="1">
      <alignment horizontal="center"/>
    </xf>
    <xf numFmtId="0" fontId="83" fillId="24" borderId="112" xfId="0" applyFont="1" applyFill="1" applyBorder="1" applyAlignment="1">
      <alignment horizontal="center"/>
    </xf>
    <xf numFmtId="0" fontId="83" fillId="24" borderId="113" xfId="0" applyFont="1" applyFill="1" applyBorder="1" applyAlignment="1">
      <alignment horizontal="center"/>
    </xf>
    <xf numFmtId="0" fontId="83" fillId="26" borderId="102" xfId="0" applyFont="1" applyFill="1" applyBorder="1" applyAlignment="1">
      <alignment horizontal="center"/>
    </xf>
    <xf numFmtId="0" fontId="0" fillId="0" borderId="103" xfId="0" applyBorder="1" applyAlignment="1">
      <alignment horizontal="center"/>
    </xf>
    <xf numFmtId="0" fontId="83" fillId="24" borderId="102" xfId="0" applyFont="1" applyFill="1" applyBorder="1" applyAlignment="1">
      <alignment horizontal="center"/>
    </xf>
    <xf numFmtId="0" fontId="83" fillId="24" borderId="103" xfId="0" applyFont="1" applyFill="1" applyBorder="1" applyAlignment="1">
      <alignment horizontal="center"/>
    </xf>
    <xf numFmtId="0" fontId="83" fillId="24" borderId="111" xfId="0" applyFont="1" applyFill="1" applyBorder="1" applyAlignment="1">
      <alignment horizontal="center"/>
    </xf>
    <xf numFmtId="167" fontId="0" fillId="3" borderId="13" xfId="2" applyNumberFormat="1" applyFont="1" applyFill="1" applyBorder="1" applyAlignment="1">
      <alignment horizontal="center"/>
    </xf>
    <xf numFmtId="167" fontId="0" fillId="3" borderId="14" xfId="2" applyNumberFormat="1" applyFont="1" applyFill="1" applyBorder="1" applyAlignment="1">
      <alignment horizontal="center"/>
    </xf>
    <xf numFmtId="167" fontId="0" fillId="3" borderId="37" xfId="2" applyNumberFormat="1" applyFont="1" applyFill="1" applyBorder="1" applyAlignment="1">
      <alignment horizontal="center"/>
    </xf>
    <xf numFmtId="167" fontId="0" fillId="3" borderId="38" xfId="2" applyNumberFormat="1" applyFont="1" applyFill="1" applyBorder="1" applyAlignment="1">
      <alignment horizontal="center"/>
    </xf>
    <xf numFmtId="167" fontId="3" fillId="3" borderId="53" xfId="2" applyNumberFormat="1" applyFont="1" applyFill="1" applyBorder="1" applyAlignment="1">
      <alignment horizontal="center"/>
    </xf>
    <xf numFmtId="167" fontId="3" fillId="3" borderId="56" xfId="2" applyNumberFormat="1" applyFont="1" applyFill="1" applyBorder="1" applyAlignment="1">
      <alignment horizontal="center"/>
    </xf>
    <xf numFmtId="167" fontId="0" fillId="3" borderId="94" xfId="2" applyNumberFormat="1" applyFont="1" applyFill="1" applyBorder="1" applyAlignment="1">
      <alignment horizontal="center"/>
    </xf>
    <xf numFmtId="167" fontId="0" fillId="3" borderId="73" xfId="2" applyNumberFormat="1" applyFont="1" applyFill="1" applyBorder="1" applyAlignment="1">
      <alignment horizontal="center"/>
    </xf>
    <xf numFmtId="0" fontId="3" fillId="19" borderId="56" xfId="0" applyFont="1" applyFill="1" applyBorder="1" applyAlignment="1">
      <alignment horizontal="center" vertical="center"/>
    </xf>
    <xf numFmtId="176" fontId="3" fillId="19" borderId="54" xfId="1" applyNumberFormat="1" applyFont="1" applyFill="1" applyBorder="1" applyAlignment="1">
      <alignment horizontal="center" vertical="center"/>
    </xf>
    <xf numFmtId="0" fontId="3" fillId="19" borderId="55" xfId="0" applyFont="1" applyFill="1" applyBorder="1" applyAlignment="1">
      <alignment horizontal="center" vertical="center"/>
    </xf>
    <xf numFmtId="0" fontId="3" fillId="0" borderId="51" xfId="0" applyFont="1" applyBorder="1" applyAlignment="1">
      <alignment horizontal="center" vertical="center" textRotation="90"/>
    </xf>
    <xf numFmtId="0" fontId="3" fillId="0" borderId="54" xfId="0" applyFont="1" applyBorder="1" applyAlignment="1">
      <alignment horizontal="center" vertical="center" textRotation="90"/>
    </xf>
    <xf numFmtId="0" fontId="3" fillId="0" borderId="52" xfId="0" applyFont="1" applyBorder="1" applyAlignment="1">
      <alignment horizontal="center" vertical="center" textRotation="90"/>
    </xf>
    <xf numFmtId="0" fontId="3" fillId="0" borderId="55" xfId="0" applyFont="1" applyBorder="1" applyAlignment="1">
      <alignment horizontal="center" vertical="center" textRotation="90"/>
    </xf>
    <xf numFmtId="0" fontId="3" fillId="0" borderId="86" xfId="0" applyFont="1" applyBorder="1" applyAlignment="1">
      <alignment horizontal="center" vertical="center"/>
    </xf>
    <xf numFmtId="0" fontId="3" fillId="0" borderId="37" xfId="0" applyFont="1" applyBorder="1" applyAlignment="1">
      <alignment horizontal="center" vertical="center"/>
    </xf>
    <xf numFmtId="0" fontId="3" fillId="0" borderId="17" xfId="0" applyFont="1" applyBorder="1" applyAlignment="1">
      <alignment horizontal="center" vertical="center"/>
    </xf>
    <xf numFmtId="0" fontId="3" fillId="0" borderId="38" xfId="0" applyFont="1" applyBorder="1" applyAlignment="1">
      <alignment horizontal="center" vertical="center"/>
    </xf>
    <xf numFmtId="167" fontId="3" fillId="19" borderId="53" xfId="2" applyNumberFormat="1" applyFont="1" applyFill="1" applyBorder="1" applyAlignment="1">
      <alignment horizontal="center" vertical="center"/>
    </xf>
    <xf numFmtId="167" fontId="3" fillId="19" borderId="56" xfId="2" applyNumberFormat="1" applyFont="1" applyFill="1" applyBorder="1" applyAlignment="1">
      <alignment horizontal="center" vertical="center"/>
    </xf>
    <xf numFmtId="0" fontId="3" fillId="19" borderId="86" xfId="0" applyFont="1" applyFill="1" applyBorder="1" applyAlignment="1">
      <alignment horizontal="center" vertical="center"/>
    </xf>
    <xf numFmtId="0" fontId="3" fillId="19" borderId="13" xfId="0" applyFont="1" applyFill="1" applyBorder="1" applyAlignment="1">
      <alignment horizontal="center" vertical="center"/>
    </xf>
    <xf numFmtId="0" fontId="3" fillId="19" borderId="0" xfId="0" applyFont="1" applyFill="1" applyAlignment="1">
      <alignment horizontal="center" vertical="center"/>
    </xf>
    <xf numFmtId="0" fontId="3" fillId="19" borderId="14" xfId="0" applyFont="1" applyFill="1" applyBorder="1" applyAlignment="1">
      <alignment horizontal="center" vertical="center"/>
    </xf>
    <xf numFmtId="0" fontId="3" fillId="19" borderId="37" xfId="0" applyFont="1" applyFill="1" applyBorder="1" applyAlignment="1">
      <alignment horizontal="center" vertical="center"/>
    </xf>
    <xf numFmtId="0" fontId="3" fillId="19" borderId="17" xfId="0" applyFont="1" applyFill="1" applyBorder="1" applyAlignment="1">
      <alignment horizontal="center" vertical="center"/>
    </xf>
    <xf numFmtId="0" fontId="3" fillId="19" borderId="38" xfId="0" applyFont="1" applyFill="1" applyBorder="1" applyAlignment="1">
      <alignment horizontal="center" vertical="center"/>
    </xf>
    <xf numFmtId="167" fontId="3" fillId="19" borderId="53" xfId="2" applyNumberFormat="1" applyFont="1" applyFill="1" applyBorder="1" applyAlignment="1">
      <alignment horizontal="center" vertical="center" wrapText="1"/>
    </xf>
    <xf numFmtId="167" fontId="3" fillId="19" borderId="56" xfId="2" applyNumberFormat="1" applyFont="1" applyFill="1" applyBorder="1" applyAlignment="1">
      <alignment horizontal="center" vertical="center" wrapText="1"/>
    </xf>
    <xf numFmtId="0" fontId="3" fillId="2" borderId="58" xfId="0" applyFont="1" applyFill="1" applyBorder="1" applyAlignment="1">
      <alignment horizontal="left"/>
    </xf>
    <xf numFmtId="0" fontId="3" fillId="2" borderId="59" xfId="0" applyFont="1" applyFill="1" applyBorder="1" applyAlignment="1">
      <alignment horizontal="left"/>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0" fillId="0" borderId="17" xfId="0" applyBorder="1" applyAlignment="1" applyProtection="1">
      <alignment horizontal="center"/>
      <protection locked="0"/>
    </xf>
    <xf numFmtId="0" fontId="70" fillId="26" borderId="67" xfId="0" applyFont="1" applyFill="1" applyBorder="1" applyAlignment="1">
      <alignment horizontal="right"/>
    </xf>
    <xf numFmtId="0" fontId="70" fillId="0" borderId="67" xfId="0" applyFont="1" applyBorder="1" applyAlignment="1">
      <alignment horizontal="right"/>
    </xf>
    <xf numFmtId="0" fontId="64" fillId="21" borderId="70" xfId="0" applyFont="1" applyFill="1" applyBorder="1" applyAlignment="1">
      <alignment horizontal="center" vertical="center"/>
    </xf>
    <xf numFmtId="0" fontId="64" fillId="21" borderId="88" xfId="0" applyFont="1" applyFill="1" applyBorder="1" applyAlignment="1">
      <alignment horizontal="center" vertical="center"/>
    </xf>
    <xf numFmtId="0" fontId="91" fillId="0" borderId="67" xfId="0" applyFont="1" applyBorder="1" applyAlignment="1">
      <alignment horizontal="right"/>
    </xf>
    <xf numFmtId="0" fontId="91" fillId="0" borderId="129" xfId="0" applyFont="1" applyBorder="1" applyAlignment="1">
      <alignment horizontal="right"/>
    </xf>
    <xf numFmtId="0" fontId="81" fillId="21" borderId="70" xfId="0" applyFont="1" applyFill="1" applyBorder="1" applyAlignment="1">
      <alignment horizontal="right" vertical="center"/>
    </xf>
    <xf numFmtId="0" fontId="81" fillId="21" borderId="88" xfId="0" applyFont="1" applyFill="1" applyBorder="1" applyAlignment="1">
      <alignment horizontal="right" vertical="center"/>
    </xf>
    <xf numFmtId="0" fontId="65" fillId="0" borderId="11" xfId="0" applyFont="1" applyBorder="1" applyAlignment="1">
      <alignment horizontal="left" vertical="center"/>
    </xf>
    <xf numFmtId="0" fontId="65" fillId="0" borderId="12" xfId="0" applyFont="1" applyBorder="1" applyAlignment="1">
      <alignment horizontal="left" vertical="center"/>
    </xf>
    <xf numFmtId="0" fontId="64" fillId="21" borderId="75" xfId="0" applyFont="1" applyFill="1" applyBorder="1" applyAlignment="1">
      <alignment horizontal="left" vertical="center"/>
    </xf>
    <xf numFmtId="0" fontId="64" fillId="21" borderId="90" xfId="0" applyFont="1" applyFill="1" applyBorder="1" applyAlignment="1">
      <alignment horizontal="left" vertical="center"/>
    </xf>
    <xf numFmtId="0" fontId="64" fillId="21" borderId="70" xfId="0" applyFont="1" applyFill="1" applyBorder="1" applyAlignment="1">
      <alignment horizontal="right" vertical="center"/>
    </xf>
    <xf numFmtId="0" fontId="64" fillId="21" borderId="88" xfId="0" applyFont="1" applyFill="1" applyBorder="1" applyAlignment="1">
      <alignment horizontal="right" vertical="center"/>
    </xf>
    <xf numFmtId="0" fontId="62" fillId="0" borderId="20" xfId="0" applyFont="1" applyBorder="1" applyAlignment="1">
      <alignment horizontal="center"/>
    </xf>
    <xf numFmtId="0" fontId="62" fillId="0" borderId="21" xfId="0" applyFont="1" applyBorder="1" applyAlignment="1">
      <alignment horizontal="center"/>
    </xf>
    <xf numFmtId="169" fontId="6" fillId="0" borderId="17" xfId="0" applyNumberFormat="1" applyFont="1" applyBorder="1" applyAlignment="1" applyProtection="1">
      <alignment horizontal="center"/>
      <protection locked="0"/>
    </xf>
    <xf numFmtId="0" fontId="2" fillId="0" borderId="17" xfId="0" applyFont="1" applyBorder="1" applyAlignment="1" applyProtection="1">
      <alignment horizontal="center"/>
      <protection locked="0"/>
    </xf>
    <xf numFmtId="0" fontId="4" fillId="0" borderId="99" xfId="4" applyBorder="1" applyAlignment="1" applyProtection="1">
      <alignment horizontal="center"/>
      <protection locked="0"/>
    </xf>
    <xf numFmtId="0" fontId="4" fillId="0" borderId="22" xfId="4" applyBorder="1" applyAlignment="1" applyProtection="1">
      <alignment horizontal="center"/>
      <protection locked="0"/>
    </xf>
    <xf numFmtId="0" fontId="0" fillId="0" borderId="22" xfId="0" applyBorder="1" applyAlignment="1" applyProtection="1">
      <alignment horizontal="center"/>
      <protection locked="0"/>
    </xf>
    <xf numFmtId="169" fontId="6" fillId="0" borderId="0" xfId="0" applyNumberFormat="1" applyFont="1" applyAlignment="1" applyProtection="1">
      <alignment horizontal="center"/>
      <protection locked="0"/>
    </xf>
    <xf numFmtId="0" fontId="6" fillId="0" borderId="17" xfId="0" applyFont="1" applyBorder="1" applyAlignment="1" applyProtection="1">
      <alignment horizontal="center"/>
      <protection locked="0"/>
    </xf>
    <xf numFmtId="0" fontId="6" fillId="0" borderId="18" xfId="0" applyFont="1" applyBorder="1" applyAlignment="1" applyProtection="1">
      <alignment horizontal="center"/>
      <protection locked="0"/>
    </xf>
    <xf numFmtId="0" fontId="6" fillId="0" borderId="19" xfId="0" applyFont="1" applyBorder="1" applyAlignment="1" applyProtection="1">
      <alignment horizontal="center"/>
      <protection locked="0"/>
    </xf>
    <xf numFmtId="0" fontId="6" fillId="0" borderId="20" xfId="0" applyFont="1" applyBorder="1" applyAlignment="1" applyProtection="1">
      <alignment horizontal="center"/>
      <protection locked="0"/>
    </xf>
    <xf numFmtId="0" fontId="6" fillId="0" borderId="21" xfId="0" applyFont="1" applyBorder="1" applyAlignment="1" applyProtection="1">
      <alignment horizontal="center"/>
      <protection locked="0"/>
    </xf>
    <xf numFmtId="0" fontId="0" fillId="0" borderId="27" xfId="0" applyBorder="1" applyAlignment="1" applyProtection="1">
      <alignment horizontal="center"/>
      <protection locked="0"/>
    </xf>
    <xf numFmtId="0" fontId="0" fillId="0" borderId="35" xfId="0" applyBorder="1" applyAlignment="1" applyProtection="1">
      <alignment horizontal="center"/>
      <protection locked="0"/>
    </xf>
    <xf numFmtId="0" fontId="4" fillId="0" borderId="139" xfId="4" applyBorder="1" applyAlignment="1" applyProtection="1">
      <alignment horizontal="center" vertical="center"/>
      <protection locked="0"/>
    </xf>
    <xf numFmtId="169" fontId="0" fillId="0" borderId="139" xfId="0" applyNumberFormat="1" applyBorder="1" applyAlignment="1" applyProtection="1">
      <alignment horizontal="center"/>
      <protection locked="0"/>
    </xf>
    <xf numFmtId="0" fontId="4" fillId="0" borderId="99" xfId="4" applyBorder="1" applyAlignment="1" applyProtection="1">
      <alignment horizontal="center" vertical="center"/>
      <protection locked="0"/>
    </xf>
    <xf numFmtId="0" fontId="4" fillId="0" borderId="22" xfId="4" applyBorder="1" applyAlignment="1" applyProtection="1">
      <alignment horizontal="center" vertical="center"/>
      <protection locked="0"/>
    </xf>
    <xf numFmtId="169" fontId="0" fillId="0" borderId="17" xfId="0" applyNumberFormat="1" applyBorder="1" applyAlignment="1" applyProtection="1">
      <alignment horizontal="center"/>
      <protection locked="0"/>
    </xf>
    <xf numFmtId="169" fontId="0" fillId="0" borderId="99" xfId="0" applyNumberFormat="1" applyBorder="1" applyAlignment="1" applyProtection="1">
      <alignment horizontal="center"/>
      <protection locked="0"/>
    </xf>
    <xf numFmtId="169" fontId="0" fillId="0" borderId="22" xfId="0" applyNumberFormat="1" applyBorder="1" applyAlignment="1" applyProtection="1">
      <alignment horizontal="center"/>
      <protection locked="0"/>
    </xf>
    <xf numFmtId="0" fontId="0" fillId="0" borderId="99" xfId="0" applyBorder="1" applyAlignment="1" applyProtection="1">
      <alignment horizontal="center"/>
      <protection locked="0"/>
    </xf>
    <xf numFmtId="0" fontId="4" fillId="0" borderId="99" xfId="4" applyFill="1" applyBorder="1" applyAlignment="1" applyProtection="1">
      <alignment horizontal="center" vertical="center"/>
      <protection locked="0"/>
    </xf>
    <xf numFmtId="0" fontId="4" fillId="0" borderId="22" xfId="4" applyFill="1" applyBorder="1" applyAlignment="1" applyProtection="1">
      <alignment horizontal="center" vertical="center"/>
      <protection locked="0"/>
    </xf>
    <xf numFmtId="3" fontId="0" fillId="0" borderId="96" xfId="0" applyNumberFormat="1" applyBorder="1" applyAlignment="1" applyProtection="1">
      <alignment horizontal="center"/>
      <protection locked="0"/>
    </xf>
    <xf numFmtId="0" fontId="0" fillId="0" borderId="0" xfId="0" applyAlignment="1" applyProtection="1">
      <alignment horizontal="center"/>
      <protection locked="0"/>
    </xf>
    <xf numFmtId="5" fontId="0" fillId="0" borderId="159" xfId="2" applyNumberFormat="1" applyFont="1" applyBorder="1" applyAlignment="1" applyProtection="1">
      <alignment horizontal="center"/>
      <protection locked="0"/>
    </xf>
    <xf numFmtId="5" fontId="0" fillId="0" borderId="160" xfId="2" applyNumberFormat="1" applyFont="1" applyBorder="1" applyAlignment="1" applyProtection="1">
      <alignment horizontal="center"/>
      <protection locked="0"/>
    </xf>
    <xf numFmtId="169" fontId="0" fillId="0" borderId="162" xfId="0" applyNumberFormat="1" applyBorder="1" applyAlignment="1" applyProtection="1">
      <alignment horizontal="center"/>
      <protection locked="0"/>
    </xf>
    <xf numFmtId="0" fontId="4" fillId="0" borderId="162" xfId="4" applyBorder="1" applyAlignment="1" applyProtection="1">
      <alignment horizontal="center" vertical="center"/>
      <protection locked="0"/>
    </xf>
    <xf numFmtId="0" fontId="0" fillId="0" borderId="162" xfId="0" applyBorder="1" applyAlignment="1" applyProtection="1">
      <alignment horizontal="center"/>
      <protection locked="0"/>
    </xf>
    <xf numFmtId="0" fontId="0" fillId="0" borderId="5" xfId="0" applyBorder="1" applyAlignment="1" applyProtection="1">
      <alignment horizontal="center"/>
      <protection locked="0"/>
    </xf>
    <xf numFmtId="0" fontId="0" fillId="0" borderId="5" xfId="0" applyBorder="1" applyAlignment="1" applyProtection="1">
      <alignment horizontal="center" wrapText="1"/>
      <protection locked="0"/>
    </xf>
    <xf numFmtId="0" fontId="0" fillId="0" borderId="31" xfId="0" applyBorder="1" applyAlignment="1" applyProtection="1">
      <alignment horizontal="center"/>
      <protection locked="0"/>
    </xf>
    <xf numFmtId="0" fontId="62" fillId="0" borderId="18" xfId="0" applyFont="1" applyBorder="1" applyAlignment="1">
      <alignment horizontal="center"/>
    </xf>
    <xf numFmtId="0" fontId="62" fillId="0" borderId="19" xfId="0" applyFont="1" applyBorder="1" applyAlignment="1">
      <alignment horizontal="center"/>
    </xf>
    <xf numFmtId="0" fontId="62" fillId="0" borderId="162" xfId="0" applyFont="1" applyBorder="1" applyAlignment="1">
      <alignment horizontal="center"/>
    </xf>
    <xf numFmtId="169" fontId="4" fillId="0" borderId="162" xfId="4" applyNumberFormat="1" applyBorder="1" applyAlignment="1" applyProtection="1">
      <alignment horizontal="center"/>
      <protection locked="0"/>
    </xf>
    <xf numFmtId="0" fontId="0" fillId="0" borderId="20" xfId="0" applyBorder="1" applyAlignment="1" applyProtection="1">
      <alignment horizontal="center" wrapText="1"/>
      <protection locked="0"/>
    </xf>
    <xf numFmtId="16" fontId="0" fillId="0" borderId="17" xfId="0" applyNumberFormat="1" applyBorder="1" applyAlignment="1" applyProtection="1">
      <alignment horizontal="center"/>
      <protection locked="0"/>
    </xf>
    <xf numFmtId="16" fontId="0" fillId="0" borderId="0" xfId="0" applyNumberFormat="1" applyAlignment="1" applyProtection="1">
      <alignment horizontal="center"/>
      <protection locked="0"/>
    </xf>
    <xf numFmtId="0" fontId="0" fillId="0" borderId="58"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162" xfId="4" applyFill="1" applyBorder="1" applyAlignment="1" applyProtection="1">
      <alignment horizontal="center" vertical="center"/>
      <protection locked="0"/>
    </xf>
    <xf numFmtId="0" fontId="0" fillId="0" borderId="24" xfId="0" applyBorder="1" applyAlignment="1" applyProtection="1">
      <alignment horizontal="center"/>
      <protection locked="0"/>
    </xf>
    <xf numFmtId="0" fontId="0" fillId="0" borderId="57" xfId="0" applyBorder="1" applyAlignment="1" applyProtection="1">
      <alignment horizontal="center"/>
      <protection locked="0"/>
    </xf>
    <xf numFmtId="169" fontId="6" fillId="0" borderId="162" xfId="0" applyNumberFormat="1" applyFont="1" applyBorder="1" applyAlignment="1" applyProtection="1">
      <alignment horizontal="center"/>
      <protection locked="0"/>
    </xf>
    <xf numFmtId="0" fontId="6" fillId="0" borderId="162" xfId="0" applyFont="1" applyBorder="1" applyAlignment="1" applyProtection="1">
      <alignment horizontal="center"/>
      <protection locked="0"/>
    </xf>
    <xf numFmtId="0" fontId="43" fillId="14" borderId="177" xfId="0" applyFont="1" applyFill="1" applyBorder="1" applyAlignment="1">
      <alignment horizontal="center" vertical="center"/>
    </xf>
    <xf numFmtId="0" fontId="43" fillId="14" borderId="184" xfId="0" applyFont="1" applyFill="1" applyBorder="1" applyAlignment="1">
      <alignment horizontal="center" vertical="center"/>
    </xf>
    <xf numFmtId="0" fontId="43" fillId="14" borderId="185" xfId="0" applyFont="1" applyFill="1" applyBorder="1" applyAlignment="1">
      <alignment horizontal="center" vertical="center"/>
    </xf>
    <xf numFmtId="0" fontId="43" fillId="13" borderId="177" xfId="0" applyFont="1" applyFill="1" applyBorder="1" applyAlignment="1">
      <alignment horizontal="center" vertical="center"/>
    </xf>
    <xf numFmtId="0" fontId="43" fillId="13" borderId="184" xfId="0" applyFont="1" applyFill="1" applyBorder="1" applyAlignment="1">
      <alignment horizontal="center" vertical="center"/>
    </xf>
    <xf numFmtId="0" fontId="43" fillId="13" borderId="185" xfId="0" applyFont="1" applyFill="1" applyBorder="1" applyAlignment="1">
      <alignment horizontal="center" vertical="center"/>
    </xf>
    <xf numFmtId="166" fontId="43" fillId="14" borderId="186" xfId="0" applyNumberFormat="1" applyFont="1" applyFill="1" applyBorder="1" applyAlignment="1">
      <alignment horizontal="center" vertical="center"/>
    </xf>
    <xf numFmtId="166" fontId="43" fillId="14" borderId="187" xfId="0" applyNumberFormat="1" applyFont="1" applyFill="1" applyBorder="1" applyAlignment="1">
      <alignment horizontal="center" vertical="center"/>
    </xf>
    <xf numFmtId="166" fontId="43" fillId="14" borderId="188" xfId="0" applyNumberFormat="1" applyFont="1" applyFill="1" applyBorder="1" applyAlignment="1">
      <alignment horizontal="center" vertical="center"/>
    </xf>
    <xf numFmtId="166" fontId="43" fillId="13" borderId="186" xfId="0" applyNumberFormat="1" applyFont="1" applyFill="1" applyBorder="1" applyAlignment="1">
      <alignment horizontal="center" vertical="center"/>
    </xf>
    <xf numFmtId="166" fontId="43" fillId="13" borderId="187" xfId="0" applyNumberFormat="1" applyFont="1" applyFill="1" applyBorder="1" applyAlignment="1">
      <alignment horizontal="center" vertical="center"/>
    </xf>
    <xf numFmtId="166" fontId="43" fillId="13" borderId="188" xfId="0" applyNumberFormat="1" applyFont="1" applyFill="1" applyBorder="1" applyAlignment="1">
      <alignment horizontal="center" vertical="center"/>
    </xf>
    <xf numFmtId="0" fontId="43" fillId="16" borderId="189" xfId="0" applyFont="1" applyFill="1" applyBorder="1" applyAlignment="1">
      <alignment horizontal="center"/>
    </xf>
    <xf numFmtId="44" fontId="43" fillId="0" borderId="190" xfId="2" applyFont="1" applyBorder="1"/>
    <xf numFmtId="172" fontId="43" fillId="0" borderId="191" xfId="1" applyNumberFormat="1" applyFont="1" applyBorder="1" applyAlignment="1">
      <alignment horizontal="center"/>
    </xf>
    <xf numFmtId="44" fontId="43" fillId="0" borderId="179" xfId="2" applyFont="1" applyBorder="1"/>
    <xf numFmtId="170" fontId="43" fillId="0" borderId="190" xfId="0" applyNumberFormat="1" applyFont="1" applyBorder="1"/>
    <xf numFmtId="173" fontId="43" fillId="0" borderId="191" xfId="1" applyNumberFormat="1" applyFont="1" applyBorder="1"/>
    <xf numFmtId="170" fontId="43" fillId="0" borderId="192" xfId="0" applyNumberFormat="1" applyFont="1" applyBorder="1" applyAlignment="1">
      <alignment horizontal="right"/>
    </xf>
    <xf numFmtId="0" fontId="43" fillId="16" borderId="193" xfId="0" applyFont="1" applyFill="1" applyBorder="1" applyAlignment="1">
      <alignment horizontal="center"/>
    </xf>
    <xf numFmtId="44" fontId="43" fillId="0" borderId="163" xfId="2" applyFont="1" applyBorder="1"/>
    <xf numFmtId="172" fontId="43" fillId="0" borderId="194" xfId="1" applyNumberFormat="1" applyFont="1" applyBorder="1" applyAlignment="1">
      <alignment horizontal="center"/>
    </xf>
    <xf numFmtId="44" fontId="43" fillId="0" borderId="195" xfId="2" applyFont="1" applyBorder="1"/>
    <xf numFmtId="170" fontId="43" fillId="0" borderId="163" xfId="0" applyNumberFormat="1" applyFont="1" applyBorder="1"/>
    <xf numFmtId="173" fontId="43" fillId="0" borderId="194" xfId="1" applyNumberFormat="1" applyFont="1" applyBorder="1"/>
    <xf numFmtId="170" fontId="43" fillId="0" borderId="195" xfId="0" applyNumberFormat="1" applyFont="1" applyBorder="1" applyAlignment="1">
      <alignment horizontal="right"/>
    </xf>
    <xf numFmtId="172" fontId="43" fillId="9" borderId="194" xfId="1" applyNumberFormat="1" applyFont="1" applyFill="1" applyBorder="1" applyAlignment="1">
      <alignment horizontal="center"/>
    </xf>
    <xf numFmtId="173" fontId="43" fillId="9" borderId="194" xfId="1" applyNumberFormat="1" applyFont="1" applyFill="1" applyBorder="1" applyAlignment="1">
      <alignment horizontal="center"/>
    </xf>
    <xf numFmtId="170" fontId="43" fillId="9" borderId="196" xfId="0" applyNumberFormat="1" applyFont="1" applyFill="1" applyBorder="1" applyAlignment="1">
      <alignment horizontal="right"/>
    </xf>
    <xf numFmtId="0" fontId="43" fillId="16" borderId="186" xfId="0" applyFont="1" applyFill="1" applyBorder="1" applyAlignment="1">
      <alignment horizontal="center"/>
    </xf>
    <xf numFmtId="44" fontId="43" fillId="0" borderId="197" xfId="2" applyFont="1" applyBorder="1"/>
    <xf numFmtId="44" fontId="43" fillId="9" borderId="198" xfId="2" applyFont="1" applyFill="1" applyBorder="1" applyAlignment="1">
      <alignment horizontal="center"/>
    </xf>
    <xf numFmtId="44" fontId="43" fillId="0" borderId="199" xfId="2" applyFont="1" applyBorder="1"/>
    <xf numFmtId="170" fontId="43" fillId="0" borderId="197" xfId="0" applyNumberFormat="1" applyFont="1" applyBorder="1"/>
    <xf numFmtId="173" fontId="43" fillId="9" borderId="198" xfId="1" applyNumberFormat="1" applyFont="1" applyFill="1" applyBorder="1" applyAlignment="1">
      <alignment horizontal="center"/>
    </xf>
    <xf numFmtId="170" fontId="43" fillId="9" borderId="188" xfId="0" applyNumberFormat="1" applyFont="1" applyFill="1" applyBorder="1" applyAlignment="1">
      <alignment horizontal="right"/>
    </xf>
    <xf numFmtId="0" fontId="0" fillId="17" borderId="200" xfId="0" applyFill="1" applyBorder="1"/>
    <xf numFmtId="167" fontId="0" fillId="17" borderId="200" xfId="0" applyNumberFormat="1" applyFill="1" applyBorder="1"/>
    <xf numFmtId="0" fontId="47" fillId="0" borderId="201" xfId="10" applyFont="1" applyBorder="1" applyAlignment="1">
      <alignment horizontal="left" vertical="center"/>
    </xf>
    <xf numFmtId="0" fontId="48" fillId="0" borderId="201" xfId="10" applyFont="1" applyBorder="1" applyAlignment="1">
      <alignment vertical="center" wrapText="1"/>
    </xf>
    <xf numFmtId="0" fontId="52" fillId="18" borderId="202" xfId="0" quotePrefix="1" applyFont="1" applyFill="1" applyBorder="1" applyAlignment="1">
      <alignment vertical="center"/>
    </xf>
    <xf numFmtId="0" fontId="52" fillId="18" borderId="202" xfId="0" applyFont="1" applyFill="1" applyBorder="1" applyAlignment="1">
      <alignment vertical="center"/>
    </xf>
    <xf numFmtId="167" fontId="52" fillId="18" borderId="202" xfId="2" applyNumberFormat="1" applyFont="1" applyFill="1" applyBorder="1" applyAlignment="1">
      <alignment horizontal="center" vertical="center" wrapText="1"/>
    </xf>
    <xf numFmtId="44" fontId="1" fillId="0" borderId="202" xfId="2" applyFont="1" applyBorder="1" applyAlignment="1">
      <alignment horizontal="center" wrapText="1"/>
    </xf>
    <xf numFmtId="44" fontId="1" fillId="0" borderId="175" xfId="2" applyFont="1" applyBorder="1" applyAlignment="1">
      <alignment horizontal="center" wrapText="1"/>
    </xf>
    <xf numFmtId="164" fontId="67" fillId="0" borderId="172" xfId="1" applyNumberFormat="1" applyFont="1" applyBorder="1" applyAlignment="1">
      <alignment horizontal="right"/>
    </xf>
    <xf numFmtId="39" fontId="67" fillId="0" borderId="172" xfId="1" applyNumberFormat="1" applyFont="1" applyBorder="1" applyAlignment="1">
      <alignment horizontal="right"/>
    </xf>
    <xf numFmtId="0" fontId="0" fillId="0" borderId="0" xfId="0" applyAlignment="1"/>
    <xf numFmtId="164" fontId="67" fillId="0" borderId="172" xfId="0" applyNumberFormat="1" applyFont="1" applyBorder="1" applyAlignment="1">
      <alignment horizontal="right"/>
    </xf>
    <xf numFmtId="0" fontId="13" fillId="10" borderId="186" xfId="0" applyFont="1" applyFill="1" applyBorder="1" applyAlignment="1">
      <alignment horizontal="left"/>
    </xf>
    <xf numFmtId="2" fontId="27" fillId="10" borderId="187" xfId="0" applyNumberFormat="1" applyFont="1" applyFill="1" applyBorder="1" applyAlignment="1">
      <alignment horizontal="left"/>
    </xf>
    <xf numFmtId="10" fontId="27" fillId="10" borderId="188" xfId="0" applyNumberFormat="1" applyFont="1" applyFill="1" applyBorder="1" applyAlignment="1">
      <alignment horizontal="left"/>
    </xf>
    <xf numFmtId="164" fontId="16" fillId="11" borderId="193" xfId="1" applyNumberFormat="1" applyFont="1" applyFill="1" applyBorder="1"/>
    <xf numFmtId="164" fontId="16" fillId="11" borderId="200" xfId="1" applyNumberFormat="1" applyFont="1" applyFill="1" applyBorder="1" applyAlignment="1">
      <alignment horizontal="center"/>
    </xf>
    <xf numFmtId="164" fontId="12" fillId="11" borderId="200" xfId="1" applyNumberFormat="1" applyFont="1" applyFill="1" applyBorder="1" applyAlignment="1">
      <alignment horizontal="center"/>
    </xf>
    <xf numFmtId="164" fontId="12" fillId="11" borderId="196" xfId="1" applyNumberFormat="1" applyFont="1" applyFill="1" applyBorder="1" applyAlignment="1">
      <alignment horizontal="center"/>
    </xf>
    <xf numFmtId="0" fontId="13" fillId="10" borderId="186" xfId="0" applyFont="1" applyFill="1" applyBorder="1"/>
    <xf numFmtId="0" fontId="13" fillId="10" borderId="187" xfId="0" applyFont="1" applyFill="1" applyBorder="1"/>
    <xf numFmtId="164" fontId="13" fillId="10" borderId="187" xfId="0" applyNumberFormat="1" applyFont="1" applyFill="1" applyBorder="1"/>
    <xf numFmtId="39" fontId="13" fillId="10" borderId="187" xfId="1" applyNumberFormat="1" applyFont="1" applyFill="1" applyBorder="1"/>
    <xf numFmtId="10" fontId="27" fillId="10" borderId="187" xfId="0" applyNumberFormat="1" applyFont="1" applyFill="1" applyBorder="1"/>
    <xf numFmtId="10" fontId="27" fillId="10" borderId="188" xfId="0" applyNumberFormat="1" applyFont="1" applyFill="1" applyBorder="1"/>
    <xf numFmtId="0" fontId="13" fillId="10" borderId="186" xfId="0" applyFont="1" applyFill="1" applyBorder="1" applyAlignment="1">
      <alignment horizontal="right"/>
    </xf>
    <xf numFmtId="0" fontId="13" fillId="10" borderId="187" xfId="0" applyFont="1" applyFill="1" applyBorder="1" applyAlignment="1">
      <alignment horizontal="right"/>
    </xf>
    <xf numFmtId="0" fontId="13" fillId="10" borderId="187" xfId="0" applyFont="1" applyFill="1" applyBorder="1" applyAlignment="1">
      <alignment horizontal="right"/>
    </xf>
    <xf numFmtId="164" fontId="13" fillId="10" borderId="187" xfId="1" applyNumberFormat="1" applyFont="1" applyFill="1" applyBorder="1"/>
    <xf numFmtId="0" fontId="0" fillId="0" borderId="202" xfId="0" applyBorder="1" applyAlignment="1">
      <alignment wrapText="1"/>
    </xf>
    <xf numFmtId="164" fontId="16" fillId="11" borderId="203" xfId="1" applyNumberFormat="1" applyFont="1" applyFill="1" applyBorder="1"/>
    <xf numFmtId="164" fontId="12" fillId="11" borderId="204" xfId="1" applyNumberFormat="1" applyFont="1" applyFill="1" applyBorder="1" applyAlignment="1">
      <alignment horizontal="center"/>
    </xf>
    <xf numFmtId="0" fontId="78" fillId="29" borderId="205" xfId="0" applyFont="1" applyFill="1" applyBorder="1" applyAlignment="1">
      <alignment horizontal="center"/>
    </xf>
    <xf numFmtId="0" fontId="78" fillId="29" borderId="206" xfId="0" applyFont="1" applyFill="1" applyBorder="1" applyAlignment="1">
      <alignment horizontal="center"/>
    </xf>
    <xf numFmtId="0" fontId="78" fillId="29" borderId="179" xfId="0" applyFont="1" applyFill="1" applyBorder="1" applyAlignment="1">
      <alignment horizontal="center"/>
    </xf>
    <xf numFmtId="0" fontId="78" fillId="29" borderId="178" xfId="0" applyFont="1" applyFill="1" applyBorder="1" applyAlignment="1">
      <alignment horizontal="center"/>
    </xf>
    <xf numFmtId="0" fontId="78" fillId="29" borderId="207" xfId="0" applyFont="1" applyFill="1" applyBorder="1" applyAlignment="1">
      <alignment horizontal="center"/>
    </xf>
    <xf numFmtId="0" fontId="78" fillId="29" borderId="175" xfId="0" applyFont="1" applyFill="1" applyBorder="1" applyAlignment="1">
      <alignment horizontal="center"/>
    </xf>
    <xf numFmtId="0" fontId="78" fillId="29" borderId="192" xfId="0" applyFont="1" applyFill="1" applyBorder="1" applyAlignment="1">
      <alignment horizontal="center"/>
    </xf>
    <xf numFmtId="0" fontId="78" fillId="29" borderId="208" xfId="0" applyFont="1" applyFill="1" applyBorder="1" applyAlignment="1">
      <alignment horizontal="center"/>
    </xf>
    <xf numFmtId="0" fontId="78" fillId="29" borderId="209" xfId="0" applyFont="1" applyFill="1" applyBorder="1" applyAlignment="1">
      <alignment horizontal="center"/>
    </xf>
    <xf numFmtId="0" fontId="78" fillId="29" borderId="210" xfId="0" applyFont="1" applyFill="1" applyBorder="1" applyAlignment="1">
      <alignment horizontal="center"/>
    </xf>
    <xf numFmtId="0" fontId="78" fillId="0" borderId="211" xfId="0" applyFont="1" applyBorder="1" applyAlignment="1">
      <alignment horizontal="left"/>
    </xf>
    <xf numFmtId="0" fontId="0" fillId="0" borderId="184" xfId="0" applyBorder="1" applyAlignment="1">
      <alignment horizontal="left"/>
    </xf>
    <xf numFmtId="0" fontId="78" fillId="29" borderId="212" xfId="0" applyFont="1" applyFill="1" applyBorder="1"/>
    <xf numFmtId="0" fontId="78" fillId="33" borderId="202" xfId="0" applyFont="1" applyFill="1" applyBorder="1"/>
    <xf numFmtId="0" fontId="78" fillId="0" borderId="202" xfId="0" applyFont="1" applyBorder="1"/>
    <xf numFmtId="0" fontId="78" fillId="9" borderId="213" xfId="0" applyFont="1" applyFill="1" applyBorder="1"/>
    <xf numFmtId="0" fontId="78" fillId="9" borderId="212" xfId="0" applyFont="1" applyFill="1" applyBorder="1"/>
    <xf numFmtId="0" fontId="78" fillId="9" borderId="202" xfId="0" applyFont="1" applyFill="1" applyBorder="1"/>
    <xf numFmtId="0" fontId="78" fillId="9" borderId="203" xfId="0" applyFont="1" applyFill="1" applyBorder="1"/>
    <xf numFmtId="0" fontId="78" fillId="9" borderId="214" xfId="0" applyFont="1" applyFill="1" applyBorder="1"/>
    <xf numFmtId="0" fontId="78" fillId="0" borderId="215" xfId="0" applyFont="1" applyBorder="1"/>
    <xf numFmtId="0" fontId="78" fillId="0" borderId="216" xfId="0" applyFont="1" applyBorder="1" applyAlignment="1">
      <alignment horizontal="left"/>
    </xf>
    <xf numFmtId="0" fontId="0" fillId="0" borderId="187" xfId="0" applyBorder="1" applyAlignment="1">
      <alignment horizontal="left"/>
    </xf>
    <xf numFmtId="0" fontId="92" fillId="33" borderId="202" xfId="0" applyFont="1" applyFill="1" applyBorder="1"/>
    <xf numFmtId="0" fontId="0" fillId="0" borderId="217" xfId="0" applyBorder="1" applyAlignment="1">
      <alignment horizontal="center"/>
    </xf>
    <xf numFmtId="0" fontId="78" fillId="26" borderId="218" xfId="0" applyFont="1" applyFill="1" applyBorder="1"/>
    <xf numFmtId="0" fontId="78" fillId="26" borderId="213" xfId="0" applyFont="1" applyFill="1" applyBorder="1"/>
    <xf numFmtId="0" fontId="78" fillId="26" borderId="219" xfId="0" applyFont="1" applyFill="1" applyBorder="1"/>
    <xf numFmtId="0" fontId="78" fillId="26" borderId="215" xfId="0" applyFont="1" applyFill="1" applyBorder="1"/>
    <xf numFmtId="0" fontId="78" fillId="9" borderId="207" xfId="0" applyFont="1" applyFill="1" applyBorder="1"/>
    <xf numFmtId="0" fontId="78" fillId="9" borderId="175" xfId="0" applyFont="1" applyFill="1" applyBorder="1"/>
    <xf numFmtId="0" fontId="78" fillId="9" borderId="208" xfId="0" applyFont="1" applyFill="1" applyBorder="1"/>
    <xf numFmtId="0" fontId="78" fillId="9" borderId="209" xfId="0" applyFont="1" applyFill="1" applyBorder="1"/>
    <xf numFmtId="0" fontId="78" fillId="33" borderId="175" xfId="0" applyFont="1" applyFill="1" applyBorder="1"/>
    <xf numFmtId="0" fontId="78" fillId="9" borderId="220" xfId="0" applyFont="1" applyFill="1" applyBorder="1"/>
    <xf numFmtId="0" fontId="78" fillId="9" borderId="210" xfId="0" applyFont="1" applyFill="1" applyBorder="1"/>
    <xf numFmtId="0" fontId="78" fillId="0" borderId="218" xfId="0" applyFont="1" applyBorder="1" applyAlignment="1">
      <alignment horizontal="left"/>
    </xf>
    <xf numFmtId="0" fontId="78" fillId="33" borderId="212" xfId="0" applyFont="1" applyFill="1" applyBorder="1"/>
    <xf numFmtId="0" fontId="78" fillId="33" borderId="203" xfId="0" applyFont="1" applyFill="1" applyBorder="1"/>
    <xf numFmtId="0" fontId="78" fillId="33" borderId="213" xfId="0" applyFont="1" applyFill="1" applyBorder="1"/>
    <xf numFmtId="0" fontId="78" fillId="0" borderId="203" xfId="0" applyFont="1" applyBorder="1"/>
    <xf numFmtId="0" fontId="78" fillId="0" borderId="214" xfId="0" applyFont="1" applyBorder="1"/>
    <xf numFmtId="0" fontId="78" fillId="0" borderId="213" xfId="0" applyFont="1" applyBorder="1"/>
    <xf numFmtId="0" fontId="78" fillId="33" borderId="214" xfId="0" applyFont="1" applyFill="1" applyBorder="1"/>
    <xf numFmtId="0" fontId="78" fillId="33" borderId="215" xfId="0" applyFont="1" applyFill="1" applyBorder="1"/>
    <xf numFmtId="0" fontId="78" fillId="0" borderId="221" xfId="0" applyFont="1" applyBorder="1" applyAlignment="1">
      <alignment horizontal="left"/>
    </xf>
    <xf numFmtId="0" fontId="0" fillId="0" borderId="222" xfId="0" applyBorder="1" applyAlignment="1">
      <alignment horizontal="left"/>
    </xf>
    <xf numFmtId="0" fontId="78" fillId="9" borderId="223" xfId="0" applyFont="1" applyFill="1" applyBorder="1"/>
    <xf numFmtId="0" fontId="78" fillId="9" borderId="224" xfId="0" applyFont="1" applyFill="1" applyBorder="1"/>
    <xf numFmtId="0" fontId="78" fillId="9" borderId="225" xfId="0" applyFont="1" applyFill="1" applyBorder="1"/>
    <xf numFmtId="0" fontId="78" fillId="9" borderId="226" xfId="0" applyFont="1" applyFill="1" applyBorder="1"/>
    <xf numFmtId="0" fontId="83" fillId="7" borderId="217" xfId="0" applyFont="1" applyFill="1" applyBorder="1" applyAlignment="1">
      <alignment horizontal="center"/>
    </xf>
    <xf numFmtId="0" fontId="78" fillId="7" borderId="217" xfId="0" applyFont="1" applyFill="1" applyBorder="1"/>
    <xf numFmtId="0" fontId="78" fillId="7" borderId="227" xfId="0" applyFont="1" applyFill="1" applyBorder="1"/>
    <xf numFmtId="0" fontId="78" fillId="0" borderId="205" xfId="0" applyFont="1" applyBorder="1"/>
    <xf numFmtId="0" fontId="78" fillId="0" borderId="178" xfId="0" applyFont="1" applyBorder="1"/>
    <xf numFmtId="9" fontId="78" fillId="0" borderId="205" xfId="0" applyNumberFormat="1" applyFont="1" applyBorder="1" applyAlignment="1">
      <alignment horizontal="center"/>
    </xf>
    <xf numFmtId="9" fontId="78" fillId="0" borderId="206" xfId="0" applyNumberFormat="1" applyFont="1" applyBorder="1" applyAlignment="1">
      <alignment horizontal="center"/>
    </xf>
    <xf numFmtId="9" fontId="78" fillId="0" borderId="228" xfId="0" applyNumberFormat="1" applyFont="1" applyBorder="1" applyAlignment="1">
      <alignment horizontal="center"/>
    </xf>
    <xf numFmtId="9" fontId="78" fillId="0" borderId="178" xfId="0" applyNumberFormat="1" applyFont="1" applyBorder="1" applyAlignment="1">
      <alignment horizontal="center"/>
    </xf>
    <xf numFmtId="9" fontId="78" fillId="0" borderId="184" xfId="0" applyNumberFormat="1" applyFont="1" applyBorder="1" applyAlignment="1">
      <alignment horizontal="center"/>
    </xf>
    <xf numFmtId="0" fontId="78" fillId="0" borderId="207" xfId="0" applyFont="1" applyBorder="1"/>
    <xf numFmtId="0" fontId="78" fillId="0" borderId="208" xfId="0" applyFont="1" applyBorder="1"/>
    <xf numFmtId="9" fontId="78" fillId="0" borderId="207" xfId="0" applyNumberFormat="1" applyFont="1" applyBorder="1" applyAlignment="1">
      <alignment horizontal="center"/>
    </xf>
    <xf numFmtId="9" fontId="78" fillId="0" borderId="175" xfId="0" applyNumberFormat="1" applyFont="1" applyBorder="1" applyAlignment="1">
      <alignment horizontal="center"/>
    </xf>
    <xf numFmtId="9" fontId="78" fillId="0" borderId="208" xfId="0" applyNumberFormat="1" applyFont="1" applyBorder="1" applyAlignment="1">
      <alignment horizontal="center"/>
    </xf>
    <xf numFmtId="9" fontId="78" fillId="0" borderId="172" xfId="0" applyNumberFormat="1" applyFont="1" applyBorder="1" applyAlignment="1">
      <alignment horizontal="center"/>
    </xf>
    <xf numFmtId="0" fontId="78" fillId="0" borderId="212" xfId="0" applyFont="1" applyBorder="1"/>
    <xf numFmtId="9" fontId="78" fillId="9" borderId="212" xfId="3" applyFont="1" applyFill="1" applyBorder="1" applyAlignment="1">
      <alignment horizontal="center"/>
    </xf>
    <xf numFmtId="9" fontId="78" fillId="9" borderId="202" xfId="3" applyFont="1" applyFill="1" applyBorder="1" applyAlignment="1">
      <alignment horizontal="center"/>
    </xf>
    <xf numFmtId="9" fontId="78" fillId="9" borderId="213" xfId="3" applyFont="1" applyFill="1" applyBorder="1" applyAlignment="1">
      <alignment horizontal="center"/>
    </xf>
    <xf numFmtId="9" fontId="78" fillId="9" borderId="203" xfId="3" applyFont="1" applyFill="1" applyBorder="1" applyAlignment="1">
      <alignment horizontal="center"/>
    </xf>
    <xf numFmtId="9" fontId="78" fillId="2" borderId="212" xfId="3" applyFont="1" applyFill="1" applyBorder="1" applyAlignment="1">
      <alignment horizontal="center"/>
    </xf>
    <xf numFmtId="9" fontId="78" fillId="2" borderId="202" xfId="3" applyFont="1" applyFill="1" applyBorder="1" applyAlignment="1">
      <alignment horizontal="center"/>
    </xf>
    <xf numFmtId="9" fontId="78" fillId="2" borderId="213" xfId="3" applyFont="1" applyFill="1" applyBorder="1" applyAlignment="1">
      <alignment horizontal="center"/>
    </xf>
    <xf numFmtId="9" fontId="78" fillId="2" borderId="203" xfId="3" applyFont="1" applyFill="1" applyBorder="1" applyAlignment="1">
      <alignment horizontal="center"/>
    </xf>
    <xf numFmtId="1" fontId="78" fillId="9" borderId="212" xfId="3" applyNumberFormat="1" applyFont="1" applyFill="1" applyBorder="1" applyAlignment="1">
      <alignment horizontal="center"/>
    </xf>
    <xf numFmtId="1" fontId="78" fillId="9" borderId="202" xfId="3" applyNumberFormat="1" applyFont="1" applyFill="1" applyBorder="1" applyAlignment="1">
      <alignment horizontal="center"/>
    </xf>
    <xf numFmtId="1" fontId="78" fillId="9" borderId="213" xfId="3" applyNumberFormat="1" applyFont="1" applyFill="1" applyBorder="1" applyAlignment="1">
      <alignment horizontal="center"/>
    </xf>
    <xf numFmtId="1" fontId="78" fillId="9" borderId="203" xfId="3" applyNumberFormat="1" applyFont="1" applyFill="1" applyBorder="1" applyAlignment="1">
      <alignment horizontal="center"/>
    </xf>
    <xf numFmtId="0" fontId="78" fillId="0" borderId="191" xfId="0" applyFont="1" applyBorder="1" applyAlignment="1">
      <alignment horizontal="left"/>
    </xf>
    <xf numFmtId="0" fontId="78" fillId="0" borderId="208" xfId="0" applyFont="1" applyBorder="1" applyAlignment="1">
      <alignment horizontal="left"/>
    </xf>
    <xf numFmtId="0" fontId="78" fillId="9" borderId="207" xfId="0" applyFont="1" applyFill="1" applyBorder="1" applyAlignment="1">
      <alignment horizontal="center"/>
    </xf>
    <xf numFmtId="0" fontId="78" fillId="9" borderId="175" xfId="0" applyFont="1" applyFill="1" applyBorder="1" applyAlignment="1">
      <alignment horizontal="center"/>
    </xf>
    <xf numFmtId="0" fontId="78" fillId="9" borderId="208" xfId="0" applyFont="1" applyFill="1" applyBorder="1" applyAlignment="1">
      <alignment horizontal="center"/>
    </xf>
    <xf numFmtId="0" fontId="78" fillId="9" borderId="172" xfId="0" applyFont="1" applyFill="1" applyBorder="1" applyAlignment="1">
      <alignment horizontal="center"/>
    </xf>
    <xf numFmtId="0" fontId="78" fillId="0" borderId="194" xfId="0" applyFont="1" applyBorder="1" applyAlignment="1">
      <alignment horizontal="left"/>
    </xf>
    <xf numFmtId="0" fontId="78" fillId="0" borderId="203" xfId="0" applyFont="1" applyBorder="1" applyAlignment="1">
      <alignment horizontal="left"/>
    </xf>
    <xf numFmtId="0" fontId="78" fillId="9" borderId="212" xfId="0" applyFont="1" applyFill="1" applyBorder="1" applyAlignment="1">
      <alignment horizontal="center"/>
    </xf>
    <xf numFmtId="0" fontId="78" fillId="9" borderId="202" xfId="0" applyFont="1" applyFill="1" applyBorder="1" applyAlignment="1">
      <alignment horizontal="center"/>
    </xf>
    <xf numFmtId="0" fontId="78" fillId="9" borderId="203" xfId="0" applyFont="1" applyFill="1" applyBorder="1" applyAlignment="1">
      <alignment horizontal="center"/>
    </xf>
    <xf numFmtId="0" fontId="78" fillId="0" borderId="198" xfId="0" applyFont="1" applyBorder="1" applyAlignment="1">
      <alignment horizontal="left"/>
    </xf>
    <xf numFmtId="0" fontId="78" fillId="0" borderId="225" xfId="0" applyFont="1" applyBorder="1" applyAlignment="1">
      <alignment horizontal="left"/>
    </xf>
    <xf numFmtId="0" fontId="78" fillId="9" borderId="229" xfId="0" applyFont="1" applyFill="1" applyBorder="1" applyAlignment="1">
      <alignment horizontal="center"/>
    </xf>
    <xf numFmtId="0" fontId="78" fillId="9" borderId="230" xfId="0" applyFont="1" applyFill="1" applyBorder="1" applyAlignment="1">
      <alignment horizontal="center"/>
    </xf>
    <xf numFmtId="0" fontId="78" fillId="9" borderId="231" xfId="0" applyFont="1" applyFill="1" applyBorder="1" applyAlignment="1">
      <alignment horizontal="center"/>
    </xf>
    <xf numFmtId="0" fontId="78" fillId="9" borderId="232" xfId="0" applyFont="1" applyFill="1" applyBorder="1" applyAlignment="1">
      <alignment horizontal="center"/>
    </xf>
    <xf numFmtId="0" fontId="3" fillId="0" borderId="233" xfId="0" applyFont="1" applyBorder="1" applyAlignment="1">
      <alignment horizontal="center" vertical="center" textRotation="90"/>
    </xf>
    <xf numFmtId="0" fontId="3" fillId="0" borderId="234" xfId="0" applyFont="1" applyBorder="1" applyAlignment="1">
      <alignment horizontal="center" vertical="center" textRotation="90"/>
    </xf>
    <xf numFmtId="0" fontId="3" fillId="0" borderId="235" xfId="0" applyFont="1" applyBorder="1" applyAlignment="1">
      <alignment horizontal="center" vertical="center"/>
    </xf>
    <xf numFmtId="0" fontId="3" fillId="0" borderId="236" xfId="0" applyFont="1" applyBorder="1" applyAlignment="1">
      <alignment horizontal="center" vertical="center"/>
    </xf>
    <xf numFmtId="0" fontId="61" fillId="9" borderId="235" xfId="0" applyFont="1" applyFill="1" applyBorder="1" applyAlignment="1">
      <alignment horizontal="center" vertical="center"/>
    </xf>
    <xf numFmtId="0" fontId="2" fillId="9" borderId="86" xfId="0" applyFont="1" applyFill="1" applyBorder="1" applyAlignment="1"/>
    <xf numFmtId="0" fontId="2" fillId="9" borderId="236" xfId="0" applyFont="1" applyFill="1" applyBorder="1" applyAlignment="1"/>
    <xf numFmtId="0" fontId="2" fillId="9" borderId="37" xfId="0" applyFont="1" applyFill="1" applyBorder="1" applyAlignment="1"/>
    <xf numFmtId="0" fontId="2" fillId="9" borderId="17" xfId="0" applyFont="1" applyFill="1" applyBorder="1" applyAlignment="1"/>
    <xf numFmtId="0" fontId="2" fillId="9" borderId="38" xfId="0" applyFont="1" applyFill="1" applyBorder="1" applyAlignment="1"/>
    <xf numFmtId="0" fontId="3" fillId="19" borderId="235" xfId="0" applyFont="1" applyFill="1" applyBorder="1" applyAlignment="1">
      <alignment horizontal="center" vertical="center"/>
    </xf>
    <xf numFmtId="0" fontId="3" fillId="19" borderId="236" xfId="0" applyFont="1" applyFill="1" applyBorder="1" applyAlignment="1">
      <alignment horizontal="center" vertical="center"/>
    </xf>
    <xf numFmtId="167" fontId="3" fillId="19" borderId="177" xfId="2" applyNumberFormat="1" applyFont="1" applyFill="1" applyBorder="1" applyAlignment="1">
      <alignment horizontal="center" vertical="center"/>
    </xf>
    <xf numFmtId="167" fontId="3" fillId="19" borderId="185" xfId="2" applyNumberFormat="1" applyFont="1" applyFill="1" applyBorder="1" applyAlignment="1">
      <alignment horizontal="center" vertical="center"/>
    </xf>
    <xf numFmtId="167" fontId="3" fillId="19" borderId="237" xfId="2" applyNumberFormat="1" applyFont="1" applyFill="1" applyBorder="1" applyAlignment="1">
      <alignment horizontal="center" vertical="center"/>
    </xf>
    <xf numFmtId="167" fontId="3" fillId="19" borderId="185" xfId="2" applyNumberFormat="1" applyFont="1" applyFill="1" applyBorder="1" applyAlignment="1">
      <alignment horizontal="center" vertical="center"/>
    </xf>
    <xf numFmtId="167" fontId="3" fillId="19" borderId="152" xfId="2" applyNumberFormat="1" applyFont="1" applyFill="1" applyBorder="1" applyAlignment="1">
      <alignment horizontal="center" vertical="center" wrapText="1"/>
    </xf>
    <xf numFmtId="167" fontId="3" fillId="19" borderId="152" xfId="2" applyNumberFormat="1" applyFont="1" applyFill="1" applyBorder="1" applyAlignment="1">
      <alignment horizontal="center" vertical="center"/>
    </xf>
    <xf numFmtId="167" fontId="3" fillId="19" borderId="193" xfId="2" applyNumberFormat="1" applyFont="1" applyFill="1" applyBorder="1" applyAlignment="1">
      <alignment horizontal="center" vertical="center"/>
    </xf>
    <xf numFmtId="167" fontId="3" fillId="19" borderId="196" xfId="2" applyNumberFormat="1" applyFont="1" applyFill="1" applyBorder="1" applyAlignment="1">
      <alignment horizontal="center" vertical="center"/>
    </xf>
    <xf numFmtId="166" fontId="3" fillId="19" borderId="197" xfId="1" applyNumberFormat="1" applyFont="1" applyFill="1" applyBorder="1" applyAlignment="1">
      <alignment horizontal="center" vertical="center"/>
    </xf>
    <xf numFmtId="43" fontId="3" fillId="19" borderId="163" xfId="1" applyFont="1" applyFill="1" applyBorder="1" applyAlignment="1">
      <alignment horizontal="center" vertical="center"/>
    </xf>
    <xf numFmtId="43" fontId="3" fillId="19" borderId="196" xfId="1" applyFont="1" applyFill="1" applyBorder="1" applyAlignment="1">
      <alignment horizontal="center" vertical="center"/>
    </xf>
    <xf numFmtId="167" fontId="3" fillId="19" borderId="186" xfId="2" applyNumberFormat="1" applyFont="1" applyFill="1" applyBorder="1" applyAlignment="1">
      <alignment horizontal="center" vertical="center"/>
    </xf>
    <xf numFmtId="167" fontId="3" fillId="19" borderId="188" xfId="2" applyNumberFormat="1" applyFont="1" applyFill="1" applyBorder="1" applyAlignment="1">
      <alignment horizontal="center" vertical="center"/>
    </xf>
    <xf numFmtId="43" fontId="3" fillId="19" borderId="197" xfId="1" applyFont="1" applyFill="1" applyBorder="1" applyAlignment="1">
      <alignment horizontal="center" vertical="center"/>
    </xf>
    <xf numFmtId="43" fontId="3" fillId="19" borderId="188" xfId="1" applyFont="1" applyFill="1" applyBorder="1" applyAlignment="1">
      <alignment horizontal="center" vertical="center"/>
    </xf>
    <xf numFmtId="166" fontId="3" fillId="19" borderId="163" xfId="1" applyNumberFormat="1" applyFont="1" applyFill="1" applyBorder="1" applyAlignment="1">
      <alignment horizontal="center" vertical="center"/>
    </xf>
    <xf numFmtId="167" fontId="3" fillId="19" borderId="238" xfId="2" applyNumberFormat="1" applyFont="1" applyFill="1" applyBorder="1" applyAlignment="1">
      <alignment horizontal="center" vertical="center"/>
    </xf>
    <xf numFmtId="167" fontId="3" fillId="19" borderId="239" xfId="2" applyNumberFormat="1" applyFont="1" applyFill="1" applyBorder="1" applyAlignment="1">
      <alignment horizontal="center" vertical="center"/>
    </xf>
    <xf numFmtId="0" fontId="3" fillId="19" borderId="152" xfId="0" applyFont="1" applyFill="1" applyBorder="1" applyAlignment="1">
      <alignment horizontal="center" vertical="center"/>
    </xf>
    <xf numFmtId="176" fontId="3" fillId="19" borderId="233" xfId="1" applyNumberFormat="1" applyFont="1" applyFill="1" applyBorder="1" applyAlignment="1">
      <alignment horizontal="center" vertical="center"/>
    </xf>
    <xf numFmtId="0" fontId="3" fillId="19" borderId="234" xfId="0" applyFont="1" applyFill="1" applyBorder="1" applyAlignment="1">
      <alignment horizontal="center" vertical="center"/>
    </xf>
    <xf numFmtId="0" fontId="0" fillId="15" borderId="238" xfId="0" applyFill="1" applyBorder="1" applyAlignment="1">
      <alignment horizontal="center"/>
    </xf>
    <xf numFmtId="0" fontId="0" fillId="15" borderId="239" xfId="0" applyFill="1" applyBorder="1" applyAlignment="1">
      <alignment horizontal="center"/>
    </xf>
    <xf numFmtId="0" fontId="3" fillId="15" borderId="153" xfId="0" applyFont="1" applyFill="1" applyBorder="1" applyAlignment="1">
      <alignment horizontal="center"/>
    </xf>
    <xf numFmtId="164" fontId="3" fillId="15" borderId="238" xfId="1" applyNumberFormat="1" applyFont="1" applyFill="1" applyBorder="1"/>
    <xf numFmtId="164" fontId="3" fillId="15" borderId="217" xfId="1" applyNumberFormat="1" applyFont="1" applyFill="1" applyBorder="1"/>
    <xf numFmtId="164" fontId="3" fillId="15" borderId="153" xfId="1" applyNumberFormat="1" applyFont="1" applyFill="1" applyBorder="1"/>
    <xf numFmtId="167" fontId="0" fillId="15" borderId="153" xfId="2" applyNumberFormat="1" applyFont="1" applyFill="1" applyBorder="1"/>
    <xf numFmtId="170" fontId="0" fillId="15" borderId="152" xfId="0" applyNumberFormat="1" applyFill="1" applyBorder="1"/>
    <xf numFmtId="170" fontId="0" fillId="15" borderId="153" xfId="0" applyNumberFormat="1" applyFill="1" applyBorder="1"/>
    <xf numFmtId="0" fontId="0" fillId="0" borderId="148" xfId="0" applyBorder="1" applyAlignment="1">
      <alignment horizontal="center"/>
    </xf>
    <xf numFmtId="0" fontId="0" fillId="0" borderId="147" xfId="0" applyBorder="1" applyAlignment="1">
      <alignment horizontal="center"/>
    </xf>
    <xf numFmtId="0" fontId="0" fillId="0" borderId="190" xfId="0" applyBorder="1"/>
    <xf numFmtId="176" fontId="0" fillId="0" borderId="191" xfId="1" applyNumberFormat="1" applyFont="1" applyFill="1" applyBorder="1"/>
    <xf numFmtId="0" fontId="0" fillId="0" borderId="208" xfId="0" applyBorder="1" applyAlignment="1">
      <alignment horizontal="center"/>
    </xf>
    <xf numFmtId="167" fontId="0" fillId="0" borderId="148" xfId="2" applyNumberFormat="1" applyFont="1" applyFill="1" applyBorder="1"/>
    <xf numFmtId="167" fontId="3" fillId="0" borderId="147" xfId="2" applyNumberFormat="1" applyFont="1" applyFill="1" applyBorder="1"/>
    <xf numFmtId="167" fontId="6" fillId="3" borderId="235" xfId="2" applyNumberFormat="1" applyFont="1" applyFill="1" applyBorder="1" applyAlignment="1">
      <alignment horizontal="center"/>
    </xf>
    <xf numFmtId="167" fontId="6" fillId="3" borderId="236" xfId="2" applyNumberFormat="1" applyFont="1" applyFill="1" applyBorder="1" applyAlignment="1">
      <alignment horizontal="center"/>
    </xf>
    <xf numFmtId="167" fontId="3" fillId="0" borderId="237" xfId="2" applyNumberFormat="1" applyFont="1" applyFill="1" applyBorder="1"/>
    <xf numFmtId="9" fontId="0" fillId="0" borderId="240" xfId="3" applyFont="1" applyFill="1" applyBorder="1" applyAlignment="1">
      <alignment horizontal="left"/>
    </xf>
    <xf numFmtId="167" fontId="0" fillId="0" borderId="189" xfId="2" applyNumberFormat="1" applyFont="1" applyFill="1" applyBorder="1"/>
    <xf numFmtId="44" fontId="0" fillId="0" borderId="237" xfId="2" applyFont="1" applyFill="1" applyBorder="1"/>
    <xf numFmtId="44" fontId="0" fillId="0" borderId="185" xfId="2" applyFont="1" applyFill="1" applyBorder="1"/>
    <xf numFmtId="0" fontId="0" fillId="0" borderId="191" xfId="0" applyBorder="1" applyAlignment="1">
      <alignment horizontal="center"/>
    </xf>
    <xf numFmtId="0" fontId="0" fillId="0" borderId="192" xfId="0" applyBorder="1" applyAlignment="1">
      <alignment horizontal="center"/>
    </xf>
    <xf numFmtId="167" fontId="0" fillId="0" borderId="194" xfId="2" applyNumberFormat="1" applyFont="1" applyFill="1" applyBorder="1"/>
    <xf numFmtId="167" fontId="3" fillId="0" borderId="195" xfId="2" applyNumberFormat="1" applyFont="1" applyFill="1" applyBorder="1"/>
    <xf numFmtId="167" fontId="3" fillId="0" borderId="163" xfId="2" applyNumberFormat="1" applyFont="1" applyFill="1" applyBorder="1"/>
    <xf numFmtId="44" fontId="0" fillId="0" borderId="163" xfId="2" applyFont="1" applyFill="1" applyBorder="1"/>
    <xf numFmtId="44" fontId="0" fillId="0" borderId="240" xfId="2" applyFont="1" applyFill="1" applyBorder="1"/>
    <xf numFmtId="44" fontId="0" fillId="0" borderId="190" xfId="2" applyFont="1" applyFill="1" applyBorder="1"/>
    <xf numFmtId="167" fontId="3" fillId="0" borderId="192" xfId="2" applyNumberFormat="1" applyFont="1" applyFill="1" applyBorder="1"/>
    <xf numFmtId="0" fontId="0" fillId="0" borderId="194" xfId="0" applyBorder="1" applyAlignment="1">
      <alignment horizontal="center"/>
    </xf>
    <xf numFmtId="0" fontId="0" fillId="0" borderId="195" xfId="0" applyBorder="1" applyAlignment="1">
      <alignment horizontal="center"/>
    </xf>
    <xf numFmtId="0" fontId="0" fillId="0" borderId="163" xfId="0" applyBorder="1"/>
    <xf numFmtId="167" fontId="0" fillId="0" borderId="204" xfId="2" applyNumberFormat="1" applyFont="1" applyFill="1" applyBorder="1"/>
    <xf numFmtId="9" fontId="0" fillId="0" borderId="196" xfId="3" applyFont="1" applyFill="1" applyBorder="1" applyAlignment="1">
      <alignment horizontal="left"/>
    </xf>
    <xf numFmtId="167" fontId="0" fillId="0" borderId="193" xfId="2" applyNumberFormat="1" applyFont="1" applyFill="1" applyBorder="1"/>
    <xf numFmtId="44" fontId="0" fillId="0" borderId="196" xfId="2" applyFont="1" applyFill="1" applyBorder="1"/>
    <xf numFmtId="167" fontId="3" fillId="0" borderId="190" xfId="2" applyNumberFormat="1" applyFont="1" applyFill="1" applyBorder="1"/>
    <xf numFmtId="9" fontId="0" fillId="0" borderId="163" xfId="3" applyFont="1" applyFill="1" applyBorder="1" applyAlignment="1">
      <alignment horizontal="left"/>
    </xf>
    <xf numFmtId="167" fontId="0" fillId="0" borderId="191" xfId="2" applyNumberFormat="1" applyFont="1" applyFill="1" applyBorder="1"/>
    <xf numFmtId="167" fontId="3" fillId="0" borderId="199" xfId="2" applyNumberFormat="1" applyFont="1" applyFill="1" applyBorder="1"/>
    <xf numFmtId="167" fontId="3" fillId="0" borderId="197" xfId="2" applyNumberFormat="1" applyFont="1" applyFill="1" applyBorder="1"/>
    <xf numFmtId="44" fontId="0" fillId="0" borderId="197" xfId="2" applyFont="1" applyFill="1" applyBorder="1"/>
    <xf numFmtId="0" fontId="0" fillId="0" borderId="237" xfId="0" applyBorder="1"/>
    <xf numFmtId="176" fontId="0" fillId="0" borderId="148" xfId="1" applyNumberFormat="1" applyFont="1" applyBorder="1"/>
    <xf numFmtId="167" fontId="0" fillId="0" borderId="148" xfId="2" applyNumberFormat="1" applyFont="1" applyBorder="1"/>
    <xf numFmtId="167" fontId="3" fillId="0" borderId="147" xfId="2" applyNumberFormat="1" applyFont="1" applyBorder="1"/>
    <xf numFmtId="167" fontId="0" fillId="3" borderId="235" xfId="2" applyNumberFormat="1" applyFont="1" applyFill="1" applyBorder="1" applyAlignment="1">
      <alignment horizontal="center"/>
    </xf>
    <xf numFmtId="167" fontId="0" fillId="3" borderId="236" xfId="2" applyNumberFormat="1" applyFont="1" applyFill="1" applyBorder="1" applyAlignment="1">
      <alignment horizontal="center"/>
    </xf>
    <xf numFmtId="167" fontId="3" fillId="0" borderId="237" xfId="2" applyNumberFormat="1" applyFont="1" applyBorder="1"/>
    <xf numFmtId="9" fontId="0" fillId="0" borderId="185" xfId="3" applyFont="1" applyBorder="1" applyAlignment="1">
      <alignment horizontal="left"/>
    </xf>
    <xf numFmtId="167" fontId="0" fillId="0" borderId="190" xfId="2" applyNumberFormat="1" applyFont="1" applyBorder="1"/>
    <xf numFmtId="44" fontId="0" fillId="0" borderId="237" xfId="0" applyNumberFormat="1" applyBorder="1"/>
    <xf numFmtId="176" fontId="0" fillId="0" borderId="191" xfId="1" applyNumberFormat="1" applyFont="1" applyBorder="1"/>
    <xf numFmtId="167" fontId="0" fillId="0" borderId="194" xfId="2" applyNumberFormat="1" applyFont="1" applyBorder="1"/>
    <xf numFmtId="167" fontId="3" fillId="0" borderId="192" xfId="2" applyNumberFormat="1" applyFont="1" applyBorder="1"/>
    <xf numFmtId="167" fontId="3" fillId="0" borderId="190" xfId="2" applyNumberFormat="1" applyFont="1" applyBorder="1"/>
    <xf numFmtId="9" fontId="0" fillId="0" borderId="163" xfId="3" applyFont="1" applyBorder="1" applyAlignment="1">
      <alignment horizontal="left"/>
    </xf>
    <xf numFmtId="167" fontId="0" fillId="0" borderId="163" xfId="2" applyNumberFormat="1" applyFont="1" applyBorder="1"/>
    <xf numFmtId="44" fontId="0" fillId="0" borderId="163" xfId="0" applyNumberFormat="1" applyBorder="1"/>
    <xf numFmtId="0" fontId="0" fillId="0" borderId="198" xfId="0" applyBorder="1" applyAlignment="1">
      <alignment horizontal="center"/>
    </xf>
    <xf numFmtId="0" fontId="0" fillId="0" borderId="199" xfId="0" applyBorder="1" applyAlignment="1">
      <alignment horizontal="center"/>
    </xf>
    <xf numFmtId="0" fontId="0" fillId="9" borderId="197" xfId="0" applyFill="1" applyBorder="1"/>
    <xf numFmtId="0" fontId="0" fillId="9" borderId="199" xfId="0" applyFill="1" applyBorder="1" applyAlignment="1">
      <alignment horizontal="center"/>
    </xf>
    <xf numFmtId="167" fontId="0" fillId="0" borderId="198" xfId="2" applyNumberFormat="1" applyFont="1" applyBorder="1"/>
    <xf numFmtId="167" fontId="3" fillId="0" borderId="197" xfId="2" applyNumberFormat="1" applyFont="1" applyBorder="1"/>
    <xf numFmtId="9" fontId="0" fillId="9" borderId="188" xfId="3" applyFont="1" applyFill="1" applyBorder="1" applyAlignment="1">
      <alignment horizontal="left"/>
    </xf>
    <xf numFmtId="44" fontId="0" fillId="0" borderId="197" xfId="0" applyNumberFormat="1" applyBorder="1"/>
    <xf numFmtId="0" fontId="0" fillId="20" borderId="238" xfId="0" applyFill="1" applyBorder="1" applyAlignment="1">
      <alignment horizontal="center"/>
    </xf>
    <xf numFmtId="0" fontId="0" fillId="20" borderId="239" xfId="0" applyFill="1" applyBorder="1" applyAlignment="1">
      <alignment horizontal="center"/>
    </xf>
    <xf numFmtId="0" fontId="3" fillId="20" borderId="238" xfId="0" applyFont="1" applyFill="1" applyBorder="1" applyAlignment="1">
      <alignment horizontal="center"/>
    </xf>
    <xf numFmtId="164" fontId="0" fillId="20" borderId="238" xfId="1" applyNumberFormat="1" applyFont="1" applyFill="1" applyBorder="1"/>
    <xf numFmtId="164" fontId="0" fillId="20" borderId="217" xfId="1" applyNumberFormat="1" applyFont="1" applyFill="1" applyBorder="1"/>
    <xf numFmtId="164" fontId="0" fillId="20" borderId="153" xfId="1" applyNumberFormat="1" applyFont="1" applyFill="1" applyBorder="1"/>
    <xf numFmtId="167" fontId="0" fillId="20" borderId="153" xfId="2" applyNumberFormat="1" applyFont="1" applyFill="1" applyBorder="1"/>
    <xf numFmtId="167" fontId="0" fillId="0" borderId="191" xfId="2" applyNumberFormat="1" applyFont="1" applyBorder="1"/>
    <xf numFmtId="167" fontId="3" fillId="3" borderId="152" xfId="2" applyNumberFormat="1" applyFont="1" applyFill="1" applyBorder="1" applyAlignment="1">
      <alignment horizontal="center"/>
    </xf>
    <xf numFmtId="167" fontId="0" fillId="0" borderId="163" xfId="2" applyNumberFormat="1" applyFont="1" applyFill="1" applyBorder="1"/>
    <xf numFmtId="176" fontId="0" fillId="7" borderId="191" xfId="1" applyNumberFormat="1" applyFont="1" applyFill="1" applyBorder="1"/>
    <xf numFmtId="176" fontId="0" fillId="9" borderId="191" xfId="1" applyNumberFormat="1" applyFont="1" applyFill="1" applyBorder="1"/>
    <xf numFmtId="167" fontId="3" fillId="0" borderId="163" xfId="2" applyNumberFormat="1" applyFont="1" applyBorder="1"/>
    <xf numFmtId="0" fontId="0" fillId="0" borderId="197" xfId="0" applyBorder="1"/>
    <xf numFmtId="0" fontId="3" fillId="0" borderId="192" xfId="2" applyNumberFormat="1" applyFont="1" applyBorder="1"/>
    <xf numFmtId="0" fontId="3" fillId="20" borderId="153" xfId="0" applyFont="1" applyFill="1" applyBorder="1" applyAlignment="1">
      <alignment horizontal="center"/>
    </xf>
    <xf numFmtId="164" fontId="0" fillId="20" borderId="238" xfId="1" applyNumberFormat="1" applyFont="1" applyFill="1" applyBorder="1" applyAlignment="1">
      <alignment horizontal="center"/>
    </xf>
    <xf numFmtId="164" fontId="0" fillId="20" borderId="217" xfId="1" applyNumberFormat="1" applyFont="1" applyFill="1" applyBorder="1" applyAlignment="1">
      <alignment horizontal="center"/>
    </xf>
    <xf numFmtId="164" fontId="0" fillId="20" borderId="239" xfId="1" applyNumberFormat="1" applyFont="1" applyFill="1" applyBorder="1" applyAlignment="1">
      <alignment horizontal="center"/>
    </xf>
    <xf numFmtId="164" fontId="0" fillId="20" borderId="239" xfId="1" applyNumberFormat="1" applyFont="1" applyFill="1" applyBorder="1" applyAlignment="1">
      <alignment horizontal="center"/>
    </xf>
    <xf numFmtId="167" fontId="0" fillId="0" borderId="237" xfId="2" applyNumberFormat="1" applyFont="1" applyBorder="1"/>
    <xf numFmtId="167" fontId="0" fillId="9" borderId="190" xfId="2" applyNumberFormat="1" applyFont="1" applyFill="1" applyBorder="1"/>
    <xf numFmtId="167" fontId="0" fillId="9" borderId="163" xfId="2" applyNumberFormat="1" applyFont="1" applyFill="1" applyBorder="1"/>
    <xf numFmtId="0" fontId="0" fillId="0" borderId="234" xfId="0" applyBorder="1" applyAlignment="1">
      <alignment horizontal="center"/>
    </xf>
    <xf numFmtId="176" fontId="0" fillId="0" borderId="198" xfId="1" applyNumberFormat="1" applyFont="1" applyBorder="1"/>
    <xf numFmtId="167" fontId="3" fillId="0" borderId="199" xfId="2" applyNumberFormat="1" applyFont="1" applyBorder="1"/>
    <xf numFmtId="167" fontId="0" fillId="0" borderId="197" xfId="2" applyNumberFormat="1" applyFont="1" applyBorder="1"/>
    <xf numFmtId="167" fontId="0" fillId="0" borderId="190" xfId="2" applyNumberFormat="1" applyFont="1" applyFill="1" applyBorder="1"/>
    <xf numFmtId="176" fontId="0" fillId="9" borderId="198" xfId="1" applyNumberFormat="1" applyFont="1" applyFill="1" applyBorder="1"/>
    <xf numFmtId="0" fontId="0" fillId="0" borderId="233" xfId="0" applyBorder="1" applyAlignment="1">
      <alignment horizontal="center"/>
    </xf>
    <xf numFmtId="0" fontId="0" fillId="0" borderId="152" xfId="0" applyBorder="1"/>
    <xf numFmtId="167" fontId="0" fillId="0" borderId="233" xfId="2" applyNumberFormat="1" applyFont="1" applyBorder="1"/>
    <xf numFmtId="167" fontId="3" fillId="0" borderId="234" xfId="2" applyNumberFormat="1" applyFont="1" applyBorder="1"/>
    <xf numFmtId="167" fontId="3" fillId="0" borderId="152" xfId="2" applyNumberFormat="1" applyFont="1" applyBorder="1"/>
    <xf numFmtId="167" fontId="0" fillId="9" borderId="152" xfId="2" applyNumberFormat="1" applyFont="1" applyFill="1" applyBorder="1"/>
    <xf numFmtId="176" fontId="0" fillId="0" borderId="194" xfId="1" applyNumberFormat="1" applyFont="1" applyBorder="1"/>
    <xf numFmtId="167" fontId="3" fillId="0" borderId="195" xfId="2" applyNumberFormat="1" applyFont="1" applyBorder="1"/>
    <xf numFmtId="44" fontId="0" fillId="0" borderId="198" xfId="2" applyFont="1" applyBorder="1"/>
    <xf numFmtId="167" fontId="0" fillId="9" borderId="197" xfId="2" applyNumberFormat="1" applyFont="1" applyFill="1" applyBorder="1"/>
    <xf numFmtId="167" fontId="0" fillId="0" borderId="163" xfId="2" applyNumberFormat="1" applyFont="1" applyFill="1" applyBorder="1" applyAlignment="1">
      <alignment wrapText="1"/>
    </xf>
    <xf numFmtId="178" fontId="3" fillId="0" borderId="192" xfId="2" applyNumberFormat="1" applyFont="1" applyFill="1" applyBorder="1"/>
    <xf numFmtId="167" fontId="0" fillId="3" borderId="189" xfId="2" applyNumberFormat="1" applyFont="1" applyFill="1" applyBorder="1" applyAlignment="1">
      <alignment horizontal="center"/>
    </xf>
    <xf numFmtId="167" fontId="0" fillId="3" borderId="240" xfId="2" applyNumberFormat="1" applyFont="1" applyFill="1" applyBorder="1" applyAlignment="1">
      <alignment horizontal="center"/>
    </xf>
    <xf numFmtId="176" fontId="0" fillId="9" borderId="194" xfId="1" applyNumberFormat="1" applyFont="1" applyFill="1" applyBorder="1"/>
    <xf numFmtId="176" fontId="0" fillId="9" borderId="148" xfId="1" applyNumberFormat="1" applyFont="1" applyFill="1" applyBorder="1"/>
    <xf numFmtId="167" fontId="0" fillId="9" borderId="237" xfId="2" applyNumberFormat="1" applyFont="1" applyFill="1" applyBorder="1"/>
    <xf numFmtId="0" fontId="0" fillId="9" borderId="238" xfId="0" applyFill="1" applyBorder="1" applyAlignment="1">
      <alignment horizontal="center"/>
    </xf>
    <xf numFmtId="0" fontId="0" fillId="9" borderId="239" xfId="0" applyFill="1" applyBorder="1" applyAlignment="1">
      <alignment horizontal="center"/>
    </xf>
    <xf numFmtId="167" fontId="3" fillId="0" borderId="153" xfId="2" applyNumberFormat="1" applyFont="1" applyBorder="1"/>
    <xf numFmtId="167" fontId="3" fillId="3" borderId="153" xfId="2" applyNumberFormat="1" applyFont="1" applyFill="1" applyBorder="1"/>
    <xf numFmtId="167" fontId="3" fillId="15" borderId="241" xfId="2" applyNumberFormat="1" applyFont="1" applyFill="1" applyBorder="1" applyAlignment="1">
      <alignment horizontal="right"/>
    </xf>
    <xf numFmtId="167" fontId="3" fillId="15" borderId="242" xfId="2" applyNumberFormat="1" applyFont="1" applyFill="1" applyBorder="1" applyAlignment="1">
      <alignment horizontal="right"/>
    </xf>
    <xf numFmtId="167" fontId="3" fillId="15" borderId="243" xfId="2" applyNumberFormat="1" applyFont="1" applyFill="1" applyBorder="1"/>
    <xf numFmtId="167" fontId="3" fillId="20" borderId="241" xfId="2" applyNumberFormat="1" applyFont="1" applyFill="1" applyBorder="1" applyAlignment="1">
      <alignment horizontal="right"/>
    </xf>
    <xf numFmtId="167" fontId="3" fillId="20" borderId="242" xfId="2" applyNumberFormat="1" applyFont="1" applyFill="1" applyBorder="1" applyAlignment="1">
      <alignment horizontal="right"/>
    </xf>
    <xf numFmtId="167" fontId="3" fillId="20" borderId="243" xfId="2" applyNumberFormat="1" applyFont="1" applyFill="1" applyBorder="1"/>
    <xf numFmtId="167" fontId="3" fillId="0" borderId="241" xfId="2" applyNumberFormat="1" applyFont="1" applyBorder="1" applyAlignment="1">
      <alignment horizontal="right"/>
    </xf>
    <xf numFmtId="167" fontId="3" fillId="0" borderId="242" xfId="2" applyNumberFormat="1" applyFont="1" applyBorder="1" applyAlignment="1">
      <alignment horizontal="right"/>
    </xf>
    <xf numFmtId="167" fontId="3" fillId="0" borderId="243" xfId="2" applyNumberFormat="1" applyFont="1" applyBorder="1"/>
    <xf numFmtId="0" fontId="0" fillId="0" borderId="202" xfId="0" applyBorder="1" applyProtection="1">
      <protection locked="0"/>
    </xf>
    <xf numFmtId="0" fontId="0" fillId="0" borderId="203" xfId="0" applyBorder="1" applyAlignment="1" applyProtection="1">
      <alignment horizontal="right"/>
      <protection locked="0"/>
    </xf>
    <xf numFmtId="0" fontId="0" fillId="0" borderId="244" xfId="0" applyBorder="1" applyAlignment="1" applyProtection="1">
      <alignment horizontal="center"/>
      <protection locked="0"/>
    </xf>
    <xf numFmtId="0" fontId="0" fillId="0" borderId="202" xfId="0" applyBorder="1" applyAlignment="1">
      <alignment horizontal="left" wrapText="1"/>
    </xf>
    <xf numFmtId="0" fontId="0" fillId="0" borderId="245" xfId="0" applyBorder="1" applyAlignment="1" applyProtection="1">
      <alignment horizontal="right"/>
      <protection locked="0"/>
    </xf>
    <xf numFmtId="169" fontId="0" fillId="0" borderId="244" xfId="0" applyNumberFormat="1" applyBorder="1" applyAlignment="1" applyProtection="1">
      <alignment horizontal="center"/>
      <protection locked="0"/>
    </xf>
    <xf numFmtId="14" fontId="0" fillId="0" borderId="202" xfId="0" applyNumberFormat="1" applyBorder="1" applyAlignment="1">
      <alignment horizontal="left" wrapText="1"/>
    </xf>
    <xf numFmtId="0" fontId="4" fillId="0" borderId="244" xfId="4" applyBorder="1" applyAlignment="1" applyProtection="1">
      <alignment horizontal="center" vertical="center"/>
      <protection locked="0"/>
    </xf>
    <xf numFmtId="0" fontId="3" fillId="0" borderId="175" xfId="0" applyFont="1" applyBorder="1" applyAlignment="1">
      <alignment wrapText="1"/>
    </xf>
    <xf numFmtId="0" fontId="0" fillId="0" borderId="203" xfId="0" applyBorder="1" applyProtection="1">
      <protection locked="0"/>
    </xf>
    <xf numFmtId="0" fontId="5" fillId="0" borderId="202" xfId="0" applyFont="1" applyBorder="1" applyProtection="1">
      <protection locked="0"/>
    </xf>
    <xf numFmtId="0" fontId="0" fillId="0" borderId="174" xfId="0" applyBorder="1" applyAlignment="1">
      <alignment vertical="top"/>
    </xf>
    <xf numFmtId="0" fontId="3" fillId="3" borderId="202" xfId="0" applyFont="1" applyFill="1" applyBorder="1" applyAlignment="1">
      <alignment horizontal="center" wrapText="1"/>
    </xf>
    <xf numFmtId="0" fontId="34" fillId="0" borderId="175" xfId="0" applyFont="1" applyBorder="1" applyAlignment="1">
      <alignment horizontal="left" wrapText="1"/>
    </xf>
    <xf numFmtId="0" fontId="5" fillId="0" borderId="204" xfId="0" applyFont="1" applyBorder="1" applyProtection="1">
      <protection locked="0"/>
    </xf>
    <xf numFmtId="0" fontId="28" fillId="0" borderId="246" xfId="0" applyFont="1" applyBorder="1" applyAlignment="1">
      <alignment vertical="center"/>
    </xf>
    <xf numFmtId="0" fontId="28" fillId="0" borderId="247" xfId="0" applyFont="1" applyBorder="1" applyAlignment="1">
      <alignment vertical="center"/>
    </xf>
    <xf numFmtId="0" fontId="28" fillId="0" borderId="247" xfId="0" quotePrefix="1" applyFont="1" applyBorder="1"/>
    <xf numFmtId="0" fontId="28" fillId="22" borderId="247" xfId="0" applyFont="1" applyFill="1" applyBorder="1" applyAlignment="1">
      <alignment horizontal="center"/>
    </xf>
    <xf numFmtId="0" fontId="28" fillId="25" borderId="247" xfId="0" applyFont="1" applyFill="1" applyBorder="1" applyAlignment="1">
      <alignment horizontal="left"/>
    </xf>
    <xf numFmtId="0" fontId="5" fillId="25" borderId="202" xfId="0" applyFont="1" applyFill="1" applyBorder="1" applyProtection="1">
      <protection locked="0"/>
    </xf>
    <xf numFmtId="0" fontId="0" fillId="25" borderId="202" xfId="0" applyFill="1" applyBorder="1" applyProtection="1">
      <protection locked="0"/>
    </xf>
    <xf numFmtId="165" fontId="0" fillId="25" borderId="202" xfId="0" applyNumberFormat="1" applyFill="1" applyBorder="1" applyProtection="1">
      <protection locked="0"/>
    </xf>
    <xf numFmtId="0" fontId="0" fillId="25" borderId="203" xfId="0" applyFill="1" applyBorder="1" applyProtection="1">
      <protection locked="0"/>
    </xf>
    <xf numFmtId="42" fontId="0" fillId="25" borderId="248" xfId="0" applyNumberFormat="1" applyFill="1" applyBorder="1" applyAlignment="1" applyProtection="1">
      <alignment horizontal="left"/>
      <protection locked="0"/>
    </xf>
    <xf numFmtId="0" fontId="0" fillId="25" borderId="248" xfId="0" applyFill="1" applyBorder="1" applyProtection="1">
      <protection locked="0"/>
    </xf>
    <xf numFmtId="0" fontId="28" fillId="9" borderId="247" xfId="0" applyFont="1" applyFill="1" applyBorder="1" applyAlignment="1">
      <alignment horizontal="left"/>
    </xf>
    <xf numFmtId="165" fontId="0" fillId="0" borderId="202" xfId="0" applyNumberFormat="1" applyBorder="1" applyProtection="1">
      <protection locked="0"/>
    </xf>
    <xf numFmtId="0" fontId="29" fillId="26" borderId="247" xfId="0" applyFont="1" applyFill="1" applyBorder="1" applyAlignment="1">
      <alignment horizontal="left"/>
    </xf>
    <xf numFmtId="0" fontId="28" fillId="9" borderId="247" xfId="0" applyFont="1" applyFill="1" applyBorder="1" applyAlignment="1">
      <alignment horizontal="left" indent="1"/>
    </xf>
    <xf numFmtId="0" fontId="6" fillId="0" borderId="202" xfId="0" applyFont="1" applyBorder="1" applyAlignment="1">
      <alignment horizontal="left" vertical="center" wrapText="1"/>
    </xf>
    <xf numFmtId="0" fontId="28" fillId="9" borderId="163" xfId="0" applyFont="1" applyFill="1" applyBorder="1" applyAlignment="1">
      <alignment horizontal="left" vertical="center" wrapText="1" indent="1"/>
    </xf>
    <xf numFmtId="0" fontId="0" fillId="6" borderId="202" xfId="0" applyFill="1" applyBorder="1" applyAlignment="1">
      <alignment wrapText="1"/>
    </xf>
    <xf numFmtId="0" fontId="0" fillId="6" borderId="202" xfId="0" applyFill="1" applyBorder="1" applyProtection="1">
      <protection locked="0"/>
    </xf>
    <xf numFmtId="0" fontId="0" fillId="6" borderId="202" xfId="0" applyFill="1" applyBorder="1" applyAlignment="1" applyProtection="1">
      <alignment vertical="center"/>
      <protection locked="0"/>
    </xf>
    <xf numFmtId="0" fontId="0" fillId="6" borderId="202" xfId="0" applyFill="1" applyBorder="1" applyAlignment="1" applyProtection="1">
      <alignment horizontal="right" vertical="center"/>
      <protection locked="0"/>
    </xf>
    <xf numFmtId="0" fontId="0" fillId="6" borderId="203" xfId="0" applyFill="1" applyBorder="1" applyAlignment="1" applyProtection="1">
      <alignment horizontal="right"/>
      <protection locked="0"/>
    </xf>
    <xf numFmtId="0" fontId="10" fillId="6" borderId="202" xfId="0" applyFont="1" applyFill="1" applyBorder="1" applyAlignment="1" applyProtection="1">
      <alignment horizontal="right" vertical="center"/>
      <protection locked="0"/>
    </xf>
    <xf numFmtId="164" fontId="10" fillId="6" borderId="203" xfId="1" applyNumberFormat="1" applyFont="1" applyFill="1" applyBorder="1" applyAlignment="1" applyProtection="1">
      <alignment horizontal="right"/>
      <protection locked="0"/>
    </xf>
    <xf numFmtId="0" fontId="10" fillId="6" borderId="203" xfId="0" applyFont="1" applyFill="1" applyBorder="1" applyAlignment="1" applyProtection="1">
      <alignment horizontal="right"/>
      <protection locked="0"/>
    </xf>
    <xf numFmtId="0" fontId="0" fillId="0" borderId="249" xfId="0" applyBorder="1"/>
    <xf numFmtId="0" fontId="0" fillId="0" borderId="250" xfId="0" applyBorder="1" applyProtection="1">
      <protection locked="0"/>
    </xf>
    <xf numFmtId="0" fontId="0" fillId="0" borderId="251" xfId="0" applyBorder="1" applyProtection="1">
      <protection locked="0"/>
    </xf>
    <xf numFmtId="165" fontId="0" fillId="0" borderId="248" xfId="0" applyNumberFormat="1" applyBorder="1" applyProtection="1">
      <protection locked="0"/>
    </xf>
    <xf numFmtId="165" fontId="0" fillId="0" borderId="252" xfId="0" applyNumberFormat="1" applyBorder="1" applyProtection="1">
      <protection locked="0"/>
    </xf>
    <xf numFmtId="0" fontId="0" fillId="0" borderId="253" xfId="0" applyBorder="1" applyProtection="1">
      <protection locked="0"/>
    </xf>
    <xf numFmtId="165" fontId="0" fillId="0" borderId="244" xfId="0" applyNumberFormat="1" applyBorder="1" applyAlignment="1" applyProtection="1">
      <alignment horizontal="right"/>
      <protection locked="0"/>
    </xf>
    <xf numFmtId="0" fontId="0" fillId="0" borderId="202" xfId="0" applyBorder="1" applyAlignment="1" applyProtection="1">
      <alignment wrapText="1"/>
      <protection locked="0"/>
    </xf>
    <xf numFmtId="44" fontId="0" fillId="0" borderId="244" xfId="0" applyNumberFormat="1" applyBorder="1" applyProtection="1">
      <protection locked="0"/>
    </xf>
    <xf numFmtId="0" fontId="0" fillId="0" borderId="249" xfId="0" applyBorder="1" applyProtection="1">
      <protection locked="0"/>
    </xf>
    <xf numFmtId="0" fontId="0" fillId="0" borderId="250" xfId="0" applyBorder="1" applyAlignment="1" applyProtection="1">
      <alignment wrapText="1"/>
      <protection locked="0"/>
    </xf>
    <xf numFmtId="165" fontId="0" fillId="0" borderId="244" xfId="0" applyNumberFormat="1" applyBorder="1" applyProtection="1">
      <protection locked="0"/>
    </xf>
    <xf numFmtId="0" fontId="0" fillId="0" borderId="250" xfId="0" applyBorder="1" applyAlignment="1">
      <alignment wrapText="1"/>
    </xf>
    <xf numFmtId="0" fontId="0" fillId="0" borderId="252" xfId="0" applyBorder="1" applyProtection="1">
      <protection locked="0"/>
    </xf>
    <xf numFmtId="0" fontId="0" fillId="0" borderId="244" xfId="0" applyBorder="1" applyProtection="1">
      <protection locked="0"/>
    </xf>
    <xf numFmtId="164" fontId="67" fillId="0" borderId="172" xfId="1" applyNumberFormat="1" applyFont="1" applyFill="1" applyBorder="1" applyAlignment="1">
      <alignment horizontal="right"/>
    </xf>
    <xf numFmtId="2" fontId="67" fillId="0" borderId="172" xfId="1" applyNumberFormat="1" applyFont="1" applyBorder="1" applyAlignment="1">
      <alignment horizontal="right"/>
    </xf>
    <xf numFmtId="0" fontId="64" fillId="35" borderId="206" xfId="0" applyFont="1" applyFill="1" applyBorder="1" applyAlignment="1">
      <alignment horizontal="center" vertical="center"/>
    </xf>
    <xf numFmtId="0" fontId="3" fillId="28" borderId="238" xfId="0" applyFont="1" applyFill="1" applyBorder="1" applyAlignment="1">
      <alignment horizontal="center"/>
    </xf>
    <xf numFmtId="0" fontId="3" fillId="28" borderId="217" xfId="0" applyFont="1" applyFill="1" applyBorder="1" applyAlignment="1">
      <alignment horizontal="center"/>
    </xf>
    <xf numFmtId="0" fontId="3" fillId="28" borderId="239" xfId="0" applyFont="1" applyFill="1" applyBorder="1" applyAlignment="1">
      <alignment horizontal="center"/>
    </xf>
    <xf numFmtId="0" fontId="3" fillId="0" borderId="241" xfId="0" applyFont="1" applyBorder="1" applyAlignment="1">
      <alignment horizontal="left"/>
    </xf>
    <xf numFmtId="42" fontId="3" fillId="0" borderId="242" xfId="0" applyNumberFormat="1" applyFont="1" applyBorder="1" applyAlignment="1">
      <alignment horizontal="center"/>
    </xf>
    <xf numFmtId="0" fontId="3" fillId="0" borderId="242" xfId="0" applyFont="1" applyBorder="1" applyAlignment="1">
      <alignment horizontal="center"/>
    </xf>
    <xf numFmtId="0" fontId="3" fillId="0" borderId="243" xfId="0" applyFont="1" applyBorder="1" applyAlignment="1">
      <alignment horizontal="center"/>
    </xf>
    <xf numFmtId="42" fontId="0" fillId="0" borderId="206" xfId="0" applyNumberFormat="1" applyBorder="1" applyAlignment="1">
      <alignment horizontal="left"/>
    </xf>
    <xf numFmtId="0" fontId="0" fillId="0" borderId="206" xfId="0" applyBorder="1" applyAlignment="1">
      <alignment horizontal="left"/>
    </xf>
    <xf numFmtId="0" fontId="0" fillId="0" borderId="194" xfId="0" applyBorder="1" applyAlignment="1">
      <alignment horizontal="left"/>
    </xf>
    <xf numFmtId="42" fontId="0" fillId="0" borderId="202" xfId="0" applyNumberFormat="1" applyBorder="1" applyAlignment="1">
      <alignment horizontal="left"/>
    </xf>
    <xf numFmtId="42" fontId="0" fillId="0" borderId="195" xfId="0" applyNumberFormat="1" applyBorder="1"/>
    <xf numFmtId="10" fontId="0" fillId="0" borderId="194" xfId="0" applyNumberFormat="1" applyBorder="1" applyAlignment="1">
      <alignment horizontal="center"/>
    </xf>
    <xf numFmtId="0" fontId="0" fillId="0" borderId="198" xfId="0" applyBorder="1" applyAlignment="1">
      <alignment horizontal="left"/>
    </xf>
    <xf numFmtId="42" fontId="0" fillId="0" borderId="224" xfId="0" applyNumberFormat="1" applyBorder="1" applyAlignment="1">
      <alignment horizontal="left"/>
    </xf>
    <xf numFmtId="0" fontId="0" fillId="0" borderId="224" xfId="0" applyBorder="1" applyAlignment="1">
      <alignment horizontal="left"/>
    </xf>
    <xf numFmtId="42" fontId="0" fillId="0" borderId="199" xfId="0" applyNumberFormat="1" applyBorder="1"/>
    <xf numFmtId="0" fontId="3" fillId="0" borderId="250" xfId="0" applyFont="1" applyBorder="1" applyAlignment="1">
      <alignment wrapText="1"/>
    </xf>
    <xf numFmtId="0" fontId="0" fillId="0" borderId="249" xfId="0" applyBorder="1" applyAlignment="1">
      <alignment vertical="top"/>
    </xf>
    <xf numFmtId="3" fontId="0" fillId="0" borderId="248" xfId="0" applyNumberFormat="1" applyBorder="1" applyAlignment="1" applyProtection="1">
      <alignment horizontal="left"/>
      <protection locked="0"/>
    </xf>
    <xf numFmtId="0" fontId="0" fillId="0" borderId="248" xfId="0" applyBorder="1" applyProtection="1">
      <protection locked="0"/>
    </xf>
    <xf numFmtId="0" fontId="34" fillId="0" borderId="250" xfId="0" applyFont="1" applyBorder="1" applyAlignment="1">
      <alignment horizontal="left" wrapText="1"/>
    </xf>
    <xf numFmtId="0" fontId="0" fillId="0" borderId="254" xfId="0" applyBorder="1" applyAlignment="1">
      <alignment vertical="top"/>
    </xf>
    <xf numFmtId="0" fontId="28" fillId="0" borderId="255" xfId="0" applyFont="1" applyBorder="1" applyAlignment="1">
      <alignment vertical="center"/>
    </xf>
    <xf numFmtId="0" fontId="28" fillId="0" borderId="255" xfId="0" quotePrefix="1" applyFont="1" applyBorder="1"/>
    <xf numFmtId="3" fontId="0" fillId="0" borderId="256" xfId="0" applyNumberFormat="1" applyBorder="1" applyAlignment="1" applyProtection="1">
      <alignment horizontal="left"/>
      <protection locked="0"/>
    </xf>
    <xf numFmtId="0" fontId="0" fillId="0" borderId="256" xfId="0" applyBorder="1" applyProtection="1">
      <protection locked="0"/>
    </xf>
    <xf numFmtId="0" fontId="28" fillId="22" borderId="255" xfId="0" applyFont="1" applyFill="1" applyBorder="1" applyAlignment="1">
      <alignment horizontal="center"/>
    </xf>
    <xf numFmtId="0" fontId="28" fillId="25" borderId="255" xfId="0" applyFont="1" applyFill="1" applyBorder="1" applyAlignment="1">
      <alignment horizontal="left"/>
    </xf>
    <xf numFmtId="3" fontId="0" fillId="25" borderId="256" xfId="0" applyNumberFormat="1" applyFill="1" applyBorder="1" applyAlignment="1" applyProtection="1">
      <alignment horizontal="left"/>
      <protection locked="0"/>
    </xf>
    <xf numFmtId="0" fontId="0" fillId="25" borderId="256" xfId="0" applyFill="1" applyBorder="1" applyProtection="1">
      <protection locked="0"/>
    </xf>
    <xf numFmtId="0" fontId="28" fillId="9" borderId="255" xfId="0" applyFont="1" applyFill="1" applyBorder="1" applyAlignment="1">
      <alignment horizontal="left"/>
    </xf>
    <xf numFmtId="0" fontId="28" fillId="30" borderId="255" xfId="0" applyFont="1" applyFill="1" applyBorder="1" applyAlignment="1">
      <alignment horizontal="left"/>
    </xf>
    <xf numFmtId="0" fontId="5" fillId="30" borderId="202" xfId="0" applyFont="1" applyFill="1" applyBorder="1" applyProtection="1">
      <protection locked="0"/>
    </xf>
    <xf numFmtId="0" fontId="0" fillId="30" borderId="202" xfId="0" applyFill="1" applyBorder="1" applyProtection="1">
      <protection locked="0"/>
    </xf>
    <xf numFmtId="165" fontId="0" fillId="30" borderId="202" xfId="0" applyNumberFormat="1" applyFill="1" applyBorder="1" applyProtection="1">
      <protection locked="0"/>
    </xf>
    <xf numFmtId="0" fontId="0" fillId="30" borderId="203" xfId="0" applyFill="1" applyBorder="1" applyProtection="1">
      <protection locked="0"/>
    </xf>
    <xf numFmtId="3" fontId="0" fillId="30" borderId="256" xfId="0" applyNumberFormat="1" applyFill="1" applyBorder="1" applyAlignment="1" applyProtection="1">
      <alignment horizontal="left"/>
      <protection locked="0"/>
    </xf>
    <xf numFmtId="0" fontId="0" fillId="30" borderId="256" xfId="0" applyFill="1" applyBorder="1" applyProtection="1">
      <protection locked="0"/>
    </xf>
    <xf numFmtId="0" fontId="28" fillId="12" borderId="255" xfId="0" applyFont="1" applyFill="1" applyBorder="1" applyAlignment="1">
      <alignment horizontal="left"/>
    </xf>
    <xf numFmtId="0" fontId="5" fillId="12" borderId="202" xfId="0" applyFont="1" applyFill="1" applyBorder="1" applyProtection="1">
      <protection locked="0"/>
    </xf>
    <xf numFmtId="0" fontId="0" fillId="12" borderId="202" xfId="0" applyFill="1" applyBorder="1" applyProtection="1">
      <protection locked="0"/>
    </xf>
    <xf numFmtId="165" fontId="0" fillId="12" borderId="202" xfId="0" applyNumberFormat="1" applyFill="1" applyBorder="1" applyProtection="1">
      <protection locked="0"/>
    </xf>
    <xf numFmtId="0" fontId="0" fillId="12" borderId="203" xfId="0" applyFill="1" applyBorder="1" applyProtection="1">
      <protection locked="0"/>
    </xf>
    <xf numFmtId="3" fontId="0" fillId="12" borderId="256" xfId="0" applyNumberFormat="1" applyFill="1" applyBorder="1" applyAlignment="1" applyProtection="1">
      <alignment horizontal="left"/>
      <protection locked="0"/>
    </xf>
    <xf numFmtId="0" fontId="0" fillId="12" borderId="256" xfId="0" applyFill="1" applyBorder="1" applyProtection="1">
      <protection locked="0"/>
    </xf>
    <xf numFmtId="0" fontId="0" fillId="0" borderId="202" xfId="0" applyBorder="1" applyAlignment="1" applyProtection="1">
      <alignment vertical="top"/>
      <protection locked="0"/>
    </xf>
    <xf numFmtId="165" fontId="0" fillId="0" borderId="203" xfId="0" applyNumberFormat="1" applyBorder="1" applyProtection="1">
      <protection locked="0"/>
    </xf>
    <xf numFmtId="2" fontId="0" fillId="0" borderId="202" xfId="0" applyNumberFormat="1" applyBorder="1" applyProtection="1">
      <protection locked="0"/>
    </xf>
    <xf numFmtId="0" fontId="0" fillId="30" borderId="202" xfId="0" applyFill="1" applyBorder="1" applyAlignment="1" applyProtection="1">
      <alignment vertical="top"/>
      <protection locked="0"/>
    </xf>
    <xf numFmtId="0" fontId="0" fillId="12" borderId="202" xfId="0" applyFill="1" applyBorder="1" applyAlignment="1" applyProtection="1">
      <alignment vertical="top"/>
      <protection locked="0"/>
    </xf>
    <xf numFmtId="0" fontId="82" fillId="9" borderId="163" xfId="0" applyFont="1" applyFill="1" applyBorder="1" applyAlignment="1">
      <alignment vertical="center" wrapText="1"/>
    </xf>
    <xf numFmtId="0" fontId="28" fillId="23" borderId="163" xfId="0" applyFont="1" applyFill="1" applyBorder="1" applyAlignment="1">
      <alignment vertical="center" wrapText="1"/>
    </xf>
    <xf numFmtId="0" fontId="0" fillId="0" borderId="257" xfId="0" applyBorder="1"/>
    <xf numFmtId="0" fontId="0" fillId="0" borderId="258" xfId="0" applyBorder="1" applyProtection="1">
      <protection locked="0"/>
    </xf>
    <xf numFmtId="0" fontId="0" fillId="0" borderId="259" xfId="0" applyBorder="1" applyProtection="1">
      <protection locked="0"/>
    </xf>
    <xf numFmtId="165" fontId="0" fillId="0" borderId="256" xfId="0" applyNumberFormat="1" applyBorder="1" applyProtection="1">
      <protection locked="0"/>
    </xf>
    <xf numFmtId="165" fontId="0" fillId="0" borderId="260" xfId="0" applyNumberFormat="1" applyBorder="1" applyProtection="1">
      <protection locked="0"/>
    </xf>
    <xf numFmtId="0" fontId="0" fillId="0" borderId="257" xfId="0" applyBorder="1" applyProtection="1">
      <protection locked="0"/>
    </xf>
    <xf numFmtId="0" fontId="0" fillId="0" borderId="258" xfId="0" applyBorder="1" applyAlignment="1" applyProtection="1">
      <alignment wrapText="1"/>
      <protection locked="0"/>
    </xf>
    <xf numFmtId="0" fontId="0" fillId="0" borderId="258" xfId="0" applyBorder="1" applyAlignment="1">
      <alignment wrapText="1"/>
    </xf>
    <xf numFmtId="0" fontId="0" fillId="0" borderId="260" xfId="0" applyBorder="1" applyProtection="1">
      <protection locked="0"/>
    </xf>
    <xf numFmtId="0" fontId="3" fillId="0" borderId="258" xfId="0" applyFont="1" applyBorder="1" applyAlignment="1">
      <alignment wrapText="1"/>
    </xf>
    <xf numFmtId="0" fontId="0" fillId="0" borderId="257" xfId="0" applyBorder="1" applyAlignment="1">
      <alignment vertical="top"/>
    </xf>
    <xf numFmtId="0" fontId="0" fillId="0" borderId="261" xfId="0" applyBorder="1" applyAlignment="1">
      <alignment vertical="top"/>
    </xf>
    <xf numFmtId="0" fontId="28" fillId="0" borderId="262" xfId="0" applyFont="1" applyBorder="1" applyAlignment="1">
      <alignment vertical="center"/>
    </xf>
    <xf numFmtId="0" fontId="28" fillId="0" borderId="262" xfId="0" quotePrefix="1" applyFont="1" applyBorder="1"/>
    <xf numFmtId="3" fontId="0" fillId="0" borderId="263" xfId="0" applyNumberFormat="1" applyBorder="1" applyAlignment="1" applyProtection="1">
      <alignment horizontal="left"/>
      <protection locked="0"/>
    </xf>
    <xf numFmtId="0" fontId="0" fillId="0" borderId="263" xfId="0" applyBorder="1" applyProtection="1">
      <protection locked="0"/>
    </xf>
    <xf numFmtId="0" fontId="28" fillId="22" borderId="262" xfId="0" applyFont="1" applyFill="1" applyBorder="1" applyAlignment="1">
      <alignment horizontal="center"/>
    </xf>
    <xf numFmtId="0" fontId="28" fillId="25" borderId="262" xfId="0" applyFont="1" applyFill="1" applyBorder="1" applyAlignment="1">
      <alignment horizontal="left"/>
    </xf>
    <xf numFmtId="3" fontId="0" fillId="25" borderId="263" xfId="0" applyNumberFormat="1" applyFill="1" applyBorder="1" applyAlignment="1" applyProtection="1">
      <alignment horizontal="left"/>
      <protection locked="0"/>
    </xf>
    <xf numFmtId="0" fontId="0" fillId="25" borderId="263" xfId="0" applyFill="1" applyBorder="1" applyProtection="1">
      <protection locked="0"/>
    </xf>
    <xf numFmtId="0" fontId="28" fillId="9" borderId="262" xfId="0" applyFont="1" applyFill="1" applyBorder="1" applyAlignment="1">
      <alignment horizontal="left"/>
    </xf>
    <xf numFmtId="0" fontId="0" fillId="0" borderId="264" xfId="0" applyBorder="1"/>
    <xf numFmtId="0" fontId="0" fillId="0" borderId="265" xfId="0" applyBorder="1" applyProtection="1">
      <protection locked="0"/>
    </xf>
    <xf numFmtId="0" fontId="0" fillId="0" borderId="266" xfId="0" applyBorder="1" applyProtection="1">
      <protection locked="0"/>
    </xf>
    <xf numFmtId="165" fontId="0" fillId="0" borderId="267" xfId="0" applyNumberFormat="1" applyBorder="1" applyProtection="1">
      <protection locked="0"/>
    </xf>
    <xf numFmtId="0" fontId="0" fillId="0" borderId="264" xfId="0" applyBorder="1" applyProtection="1">
      <protection locked="0"/>
    </xf>
    <xf numFmtId="0" fontId="0" fillId="0" borderId="265" xfId="0" applyBorder="1" applyAlignment="1" applyProtection="1">
      <alignment wrapText="1"/>
      <protection locked="0"/>
    </xf>
    <xf numFmtId="0" fontId="0" fillId="0" borderId="265" xfId="0" applyBorder="1" applyAlignment="1">
      <alignment wrapText="1"/>
    </xf>
    <xf numFmtId="0" fontId="0" fillId="0" borderId="267" xfId="0" applyBorder="1" applyProtection="1">
      <protection locked="0"/>
    </xf>
    <xf numFmtId="0" fontId="3" fillId="0" borderId="265" xfId="0" applyFont="1" applyBorder="1" applyAlignment="1">
      <alignment wrapText="1"/>
    </xf>
    <xf numFmtId="0" fontId="0" fillId="0" borderId="264" xfId="0" applyBorder="1" applyAlignment="1">
      <alignment vertical="top"/>
    </xf>
    <xf numFmtId="0" fontId="0" fillId="0" borderId="268" xfId="0" applyBorder="1" applyAlignment="1">
      <alignment vertical="top"/>
    </xf>
    <xf numFmtId="0" fontId="28" fillId="0" borderId="269" xfId="0" applyFont="1" applyBorder="1" applyAlignment="1">
      <alignment vertical="center"/>
    </xf>
    <xf numFmtId="0" fontId="28" fillId="0" borderId="269" xfId="0" quotePrefix="1" applyFont="1" applyBorder="1"/>
    <xf numFmtId="3" fontId="0" fillId="0" borderId="270" xfId="0" applyNumberFormat="1" applyBorder="1" applyAlignment="1" applyProtection="1">
      <alignment horizontal="left"/>
      <protection locked="0"/>
    </xf>
    <xf numFmtId="0" fontId="0" fillId="0" borderId="270" xfId="0" applyBorder="1" applyProtection="1">
      <protection locked="0"/>
    </xf>
    <xf numFmtId="0" fontId="28" fillId="22" borderId="269" xfId="0" applyFont="1" applyFill="1" applyBorder="1" applyAlignment="1">
      <alignment horizontal="center"/>
    </xf>
    <xf numFmtId="0" fontId="28" fillId="25" borderId="269" xfId="0" applyFont="1" applyFill="1" applyBorder="1" applyAlignment="1">
      <alignment horizontal="left"/>
    </xf>
    <xf numFmtId="3" fontId="0" fillId="25" borderId="270" xfId="0" applyNumberFormat="1" applyFill="1" applyBorder="1" applyAlignment="1" applyProtection="1">
      <alignment horizontal="left"/>
      <protection locked="0"/>
    </xf>
    <xf numFmtId="0" fontId="0" fillId="25" borderId="270" xfId="0" applyFill="1" applyBorder="1" applyProtection="1">
      <protection locked="0"/>
    </xf>
    <xf numFmtId="0" fontId="28" fillId="9" borderId="269" xfId="0" applyFont="1" applyFill="1" applyBorder="1" applyAlignment="1">
      <alignment horizontal="left"/>
    </xf>
    <xf numFmtId="0" fontId="0" fillId="0" borderId="271" xfId="0" applyBorder="1"/>
    <xf numFmtId="0" fontId="0" fillId="0" borderId="272" xfId="0" applyBorder="1" applyProtection="1">
      <protection locked="0"/>
    </xf>
    <xf numFmtId="0" fontId="0" fillId="0" borderId="273" xfId="0" applyBorder="1" applyProtection="1">
      <protection locked="0"/>
    </xf>
    <xf numFmtId="165" fontId="0" fillId="0" borderId="274" xfId="0" applyNumberFormat="1" applyBorder="1" applyProtection="1">
      <protection locked="0"/>
    </xf>
    <xf numFmtId="0" fontId="0" fillId="0" borderId="271" xfId="0" applyBorder="1" applyProtection="1">
      <protection locked="0"/>
    </xf>
    <xf numFmtId="0" fontId="0" fillId="0" borderId="272" xfId="0" applyBorder="1" applyAlignment="1" applyProtection="1">
      <alignment wrapText="1"/>
      <protection locked="0"/>
    </xf>
    <xf numFmtId="0" fontId="0" fillId="0" borderId="272" xfId="0" applyBorder="1" applyAlignment="1">
      <alignment wrapText="1"/>
    </xf>
    <xf numFmtId="0" fontId="0" fillId="0" borderId="274" xfId="0" applyBorder="1" applyProtection="1">
      <protection locked="0"/>
    </xf>
    <xf numFmtId="0" fontId="3" fillId="0" borderId="272" xfId="0" applyFont="1" applyBorder="1" applyAlignment="1">
      <alignment wrapText="1"/>
    </xf>
    <xf numFmtId="0" fontId="0" fillId="0" borderId="162" xfId="0" applyBorder="1"/>
    <xf numFmtId="0" fontId="0" fillId="0" borderId="275" xfId="0" applyBorder="1" applyAlignment="1">
      <alignment vertical="top"/>
    </xf>
    <xf numFmtId="0" fontId="3" fillId="3" borderId="163" xfId="0" applyFont="1" applyFill="1" applyBorder="1" applyAlignment="1">
      <alignment horizontal="center" wrapText="1"/>
    </xf>
    <xf numFmtId="0" fontId="34" fillId="0" borderId="276" xfId="0" applyFont="1" applyBorder="1" applyAlignment="1">
      <alignment horizontal="left" wrapText="1"/>
    </xf>
    <xf numFmtId="0" fontId="0" fillId="0" borderId="271" xfId="0" applyBorder="1" applyAlignment="1">
      <alignment vertical="top"/>
    </xf>
    <xf numFmtId="0" fontId="28" fillId="0" borderId="277" xfId="0" applyFont="1" applyBorder="1" applyAlignment="1">
      <alignment vertical="center"/>
    </xf>
    <xf numFmtId="0" fontId="28" fillId="0" borderId="277" xfId="0" quotePrefix="1" applyFont="1" applyBorder="1"/>
    <xf numFmtId="3" fontId="0" fillId="0" borderId="278" xfId="0" applyNumberFormat="1" applyBorder="1" applyAlignment="1" applyProtection="1">
      <alignment horizontal="left"/>
      <protection locked="0"/>
    </xf>
    <xf numFmtId="0" fontId="0" fillId="0" borderId="278" xfId="0" applyBorder="1" applyProtection="1">
      <protection locked="0"/>
    </xf>
    <xf numFmtId="0" fontId="28" fillId="22" borderId="277" xfId="0" applyFont="1" applyFill="1" applyBorder="1" applyAlignment="1">
      <alignment horizontal="center"/>
    </xf>
    <xf numFmtId="0" fontId="28" fillId="25" borderId="277" xfId="0" applyFont="1" applyFill="1" applyBorder="1" applyAlignment="1">
      <alignment horizontal="left"/>
    </xf>
    <xf numFmtId="3" fontId="0" fillId="25" borderId="278" xfId="0" applyNumberFormat="1" applyFill="1" applyBorder="1" applyAlignment="1" applyProtection="1">
      <alignment horizontal="left"/>
      <protection locked="0"/>
    </xf>
    <xf numFmtId="0" fontId="0" fillId="25" borderId="278" xfId="0" applyFill="1" applyBorder="1" applyProtection="1">
      <protection locked="0"/>
    </xf>
    <xf numFmtId="0" fontId="28" fillId="9" borderId="277" xfId="0" applyFont="1" applyFill="1" applyBorder="1" applyAlignment="1">
      <alignment horizontal="left"/>
    </xf>
    <xf numFmtId="0" fontId="28" fillId="30" borderId="277" xfId="0" applyFont="1" applyFill="1" applyBorder="1" applyAlignment="1">
      <alignment horizontal="left"/>
    </xf>
    <xf numFmtId="3" fontId="0" fillId="30" borderId="278" xfId="0" applyNumberFormat="1" applyFill="1" applyBorder="1" applyAlignment="1" applyProtection="1">
      <alignment horizontal="left"/>
      <protection locked="0"/>
    </xf>
    <xf numFmtId="0" fontId="0" fillId="30" borderId="278" xfId="0" applyFill="1" applyBorder="1" applyProtection="1">
      <protection locked="0"/>
    </xf>
    <xf numFmtId="0" fontId="0" fillId="0" borderId="279" xfId="0" applyBorder="1" applyAlignment="1">
      <alignment vertical="top"/>
    </xf>
    <xf numFmtId="0" fontId="28" fillId="9" borderId="280" xfId="0" applyFont="1" applyFill="1" applyBorder="1" applyAlignment="1">
      <alignment horizontal="left"/>
    </xf>
    <xf numFmtId="3" fontId="0" fillId="0" borderId="281" xfId="0" applyNumberFormat="1" applyBorder="1" applyAlignment="1" applyProtection="1">
      <alignment horizontal="left"/>
      <protection locked="0"/>
    </xf>
    <xf numFmtId="0" fontId="0" fillId="0" borderId="281" xfId="0" applyBorder="1" applyProtection="1">
      <protection locked="0"/>
    </xf>
    <xf numFmtId="0" fontId="0" fillId="0" borderId="282" xfId="0" applyBorder="1" applyAlignment="1">
      <alignment vertical="top"/>
    </xf>
    <xf numFmtId="0" fontId="28" fillId="12" borderId="283" xfId="0" applyFont="1" applyFill="1" applyBorder="1" applyAlignment="1">
      <alignment horizontal="left"/>
    </xf>
    <xf numFmtId="3" fontId="0" fillId="12" borderId="284" xfId="0" applyNumberFormat="1" applyFill="1" applyBorder="1" applyAlignment="1" applyProtection="1">
      <alignment horizontal="left"/>
      <protection locked="0"/>
    </xf>
    <xf numFmtId="0" fontId="0" fillId="12" borderId="284" xfId="0" applyFill="1" applyBorder="1" applyProtection="1">
      <protection locked="0"/>
    </xf>
    <xf numFmtId="0" fontId="0" fillId="0" borderId="285" xfId="0" applyBorder="1" applyAlignment="1">
      <alignment vertical="top"/>
    </xf>
    <xf numFmtId="0" fontId="28" fillId="0" borderId="286" xfId="0" applyFont="1" applyBorder="1" applyAlignment="1">
      <alignment horizontal="left"/>
    </xf>
    <xf numFmtId="44" fontId="28" fillId="0" borderId="154" xfId="2" applyFont="1" applyFill="1" applyBorder="1" applyAlignment="1">
      <alignment horizontal="center" vertical="center"/>
    </xf>
    <xf numFmtId="3" fontId="0" fillId="0" borderId="287" xfId="0" applyNumberFormat="1" applyBorder="1" applyAlignment="1" applyProtection="1">
      <alignment horizontal="left"/>
      <protection locked="0"/>
    </xf>
    <xf numFmtId="0" fontId="0" fillId="0" borderId="287" xfId="0" applyBorder="1" applyProtection="1">
      <protection locked="0"/>
    </xf>
    <xf numFmtId="0" fontId="0" fillId="0" borderId="288" xfId="0" applyBorder="1" applyAlignment="1">
      <alignment vertical="top"/>
    </xf>
    <xf numFmtId="0" fontId="28" fillId="0" borderId="289" xfId="0" applyFont="1" applyBorder="1" applyAlignment="1">
      <alignment horizontal="left"/>
    </xf>
    <xf numFmtId="0" fontId="0" fillId="0" borderId="290" xfId="0" applyBorder="1" applyProtection="1">
      <protection locked="0"/>
    </xf>
    <xf numFmtId="0" fontId="0" fillId="0" borderId="291" xfId="0" applyBorder="1" applyAlignment="1">
      <alignment vertical="top"/>
    </xf>
    <xf numFmtId="0" fontId="28" fillId="0" borderId="292" xfId="0" applyFont="1" applyBorder="1" applyAlignment="1">
      <alignment horizontal="left"/>
    </xf>
    <xf numFmtId="0" fontId="0" fillId="0" borderId="293" xfId="0" applyBorder="1" applyProtection="1">
      <protection locked="0"/>
    </xf>
    <xf numFmtId="0" fontId="0" fillId="0" borderId="294" xfId="0" applyBorder="1" applyAlignment="1">
      <alignment vertical="top"/>
    </xf>
    <xf numFmtId="0" fontId="28" fillId="0" borderId="295" xfId="0" applyFont="1" applyBorder="1" applyAlignment="1">
      <alignment horizontal="left"/>
    </xf>
    <xf numFmtId="0" fontId="0" fillId="0" borderId="296" xfId="0" applyBorder="1" applyProtection="1">
      <protection locked="0"/>
    </xf>
    <xf numFmtId="0" fontId="0" fillId="0" borderId="297" xfId="0" applyBorder="1" applyAlignment="1">
      <alignment vertical="top"/>
    </xf>
    <xf numFmtId="0" fontId="28" fillId="9" borderId="298" xfId="0" applyFont="1" applyFill="1" applyBorder="1" applyAlignment="1">
      <alignment horizontal="left"/>
    </xf>
    <xf numFmtId="3" fontId="0" fillId="0" borderId="299" xfId="0" applyNumberFormat="1" applyBorder="1" applyAlignment="1" applyProtection="1">
      <alignment horizontal="left"/>
      <protection locked="0"/>
    </xf>
    <xf numFmtId="0" fontId="0" fillId="0" borderId="299" xfId="0" applyBorder="1" applyProtection="1">
      <protection locked="0"/>
    </xf>
    <xf numFmtId="0" fontId="0" fillId="0" borderId="300" xfId="0" applyBorder="1" applyAlignment="1">
      <alignment vertical="top"/>
    </xf>
    <xf numFmtId="0" fontId="28" fillId="30" borderId="301" xfId="0" applyFont="1" applyFill="1" applyBorder="1" applyAlignment="1">
      <alignment horizontal="left"/>
    </xf>
    <xf numFmtId="3" fontId="0" fillId="30" borderId="302" xfId="0" applyNumberFormat="1" applyFill="1" applyBorder="1" applyAlignment="1" applyProtection="1">
      <alignment horizontal="left"/>
      <protection locked="0"/>
    </xf>
    <xf numFmtId="0" fontId="0" fillId="30" borderId="302" xfId="0" applyFill="1" applyBorder="1" applyProtection="1">
      <protection locked="0"/>
    </xf>
    <xf numFmtId="0" fontId="0" fillId="0" borderId="303" xfId="0" applyBorder="1" applyAlignment="1">
      <alignment vertical="top"/>
    </xf>
    <xf numFmtId="0" fontId="28" fillId="9" borderId="304" xfId="0" applyFont="1" applyFill="1" applyBorder="1" applyAlignment="1">
      <alignment horizontal="left"/>
    </xf>
    <xf numFmtId="3" fontId="0" fillId="0" borderId="305" xfId="0" applyNumberFormat="1" applyBorder="1" applyAlignment="1" applyProtection="1">
      <alignment horizontal="left"/>
      <protection locked="0"/>
    </xf>
    <xf numFmtId="0" fontId="0" fillId="0" borderId="305" xfId="0" applyBorder="1" applyProtection="1">
      <protection locked="0"/>
    </xf>
    <xf numFmtId="0" fontId="0" fillId="0" borderId="306" xfId="0" applyBorder="1" applyAlignment="1">
      <alignment vertical="top"/>
    </xf>
    <xf numFmtId="0" fontId="28" fillId="12" borderId="307" xfId="0" applyFont="1" applyFill="1" applyBorder="1" applyAlignment="1">
      <alignment horizontal="left"/>
    </xf>
    <xf numFmtId="3" fontId="0" fillId="12" borderId="308" xfId="0" applyNumberFormat="1" applyFill="1" applyBorder="1" applyAlignment="1" applyProtection="1">
      <alignment horizontal="left"/>
      <protection locked="0"/>
    </xf>
    <xf numFmtId="0" fontId="0" fillId="12" borderId="308" xfId="0" applyFill="1" applyBorder="1" applyProtection="1">
      <protection locked="0"/>
    </xf>
    <xf numFmtId="0" fontId="0" fillId="0" borderId="309" xfId="0" applyBorder="1" applyAlignment="1">
      <alignment vertical="top"/>
    </xf>
    <xf numFmtId="0" fontId="28" fillId="9" borderId="310" xfId="0" applyFont="1" applyFill="1" applyBorder="1" applyAlignment="1">
      <alignment horizontal="left"/>
    </xf>
    <xf numFmtId="3" fontId="0" fillId="0" borderId="311" xfId="0" applyNumberFormat="1" applyBorder="1" applyAlignment="1" applyProtection="1">
      <alignment horizontal="left"/>
      <protection locked="0"/>
    </xf>
    <xf numFmtId="0" fontId="0" fillId="0" borderId="311" xfId="0" applyBorder="1" applyProtection="1">
      <protection locked="0"/>
    </xf>
    <xf numFmtId="0" fontId="0" fillId="0" borderId="312" xfId="0" applyBorder="1" applyAlignment="1">
      <alignment vertical="top"/>
    </xf>
    <xf numFmtId="0" fontId="28" fillId="30" borderId="313" xfId="0" applyFont="1" applyFill="1" applyBorder="1" applyAlignment="1">
      <alignment horizontal="left"/>
    </xf>
    <xf numFmtId="3" fontId="0" fillId="30" borderId="314" xfId="0" applyNumberFormat="1" applyFill="1" applyBorder="1" applyAlignment="1" applyProtection="1">
      <alignment horizontal="left"/>
      <protection locked="0"/>
    </xf>
    <xf numFmtId="0" fontId="0" fillId="30" borderId="314" xfId="0" applyFill="1" applyBorder="1" applyProtection="1">
      <protection locked="0"/>
    </xf>
    <xf numFmtId="0" fontId="0" fillId="0" borderId="315" xfId="0" applyBorder="1" applyAlignment="1">
      <alignment vertical="top"/>
    </xf>
    <xf numFmtId="0" fontId="28" fillId="9" borderId="316" xfId="0" applyFont="1" applyFill="1" applyBorder="1" applyAlignment="1">
      <alignment horizontal="left"/>
    </xf>
    <xf numFmtId="3" fontId="0" fillId="0" borderId="317" xfId="0" applyNumberFormat="1" applyBorder="1" applyAlignment="1" applyProtection="1">
      <alignment horizontal="left"/>
      <protection locked="0"/>
    </xf>
    <xf numFmtId="0" fontId="0" fillId="0" borderId="317" xfId="0" applyBorder="1" applyProtection="1">
      <protection locked="0"/>
    </xf>
    <xf numFmtId="0" fontId="0" fillId="0" borderId="318" xfId="0" applyBorder="1" applyAlignment="1">
      <alignment vertical="top"/>
    </xf>
    <xf numFmtId="0" fontId="28" fillId="12" borderId="319" xfId="0" applyFont="1" applyFill="1" applyBorder="1" applyAlignment="1">
      <alignment horizontal="left"/>
    </xf>
    <xf numFmtId="3" fontId="0" fillId="12" borderId="320" xfId="0" applyNumberFormat="1" applyFill="1" applyBorder="1" applyAlignment="1" applyProtection="1">
      <alignment horizontal="left"/>
      <protection locked="0"/>
    </xf>
    <xf numFmtId="0" fontId="0" fillId="12" borderId="320" xfId="0" applyFill="1" applyBorder="1" applyProtection="1">
      <protection locked="0"/>
    </xf>
    <xf numFmtId="0" fontId="0" fillId="0" borderId="321" xfId="0" applyBorder="1" applyAlignment="1">
      <alignment vertical="top"/>
    </xf>
    <xf numFmtId="0" fontId="28" fillId="9" borderId="322" xfId="0" applyFont="1" applyFill="1" applyBorder="1" applyAlignment="1">
      <alignment horizontal="left"/>
    </xf>
    <xf numFmtId="0" fontId="0" fillId="0" borderId="323" xfId="0" applyBorder="1" applyProtection="1">
      <protection locked="0"/>
    </xf>
    <xf numFmtId="0" fontId="0" fillId="0" borderId="324" xfId="0" applyBorder="1" applyAlignment="1">
      <alignment vertical="top"/>
    </xf>
    <xf numFmtId="0" fontId="28" fillId="9" borderId="325" xfId="0" applyFont="1" applyFill="1" applyBorder="1" applyAlignment="1">
      <alignment horizontal="left"/>
    </xf>
    <xf numFmtId="0" fontId="0" fillId="0" borderId="202" xfId="0" applyBorder="1" applyAlignment="1" applyProtection="1">
      <alignment vertical="top" wrapText="1"/>
      <protection locked="0"/>
    </xf>
    <xf numFmtId="0" fontId="0" fillId="0" borderId="326" xfId="0" applyBorder="1" applyProtection="1">
      <protection locked="0"/>
    </xf>
    <xf numFmtId="0" fontId="0" fillId="0" borderId="327" xfId="0" applyBorder="1" applyAlignment="1">
      <alignment vertical="top"/>
    </xf>
    <xf numFmtId="0" fontId="28" fillId="9" borderId="328" xfId="0" applyFont="1" applyFill="1" applyBorder="1" applyAlignment="1">
      <alignment horizontal="left"/>
    </xf>
    <xf numFmtId="3" fontId="0" fillId="0" borderId="329" xfId="0" applyNumberFormat="1" applyBorder="1" applyAlignment="1" applyProtection="1">
      <alignment horizontal="left"/>
      <protection locked="0"/>
    </xf>
    <xf numFmtId="0" fontId="0" fillId="0" borderId="329" xfId="0" applyBorder="1" applyProtection="1">
      <protection locked="0"/>
    </xf>
    <xf numFmtId="0" fontId="0" fillId="0" borderId="330" xfId="0" applyBorder="1" applyAlignment="1">
      <alignment vertical="top"/>
    </xf>
    <xf numFmtId="0" fontId="28" fillId="9" borderId="331" xfId="0" applyFont="1" applyFill="1" applyBorder="1" applyAlignment="1">
      <alignment horizontal="left"/>
    </xf>
    <xf numFmtId="3" fontId="0" fillId="0" borderId="332" xfId="0" applyNumberFormat="1" applyBorder="1" applyAlignment="1" applyProtection="1">
      <alignment horizontal="left"/>
      <protection locked="0"/>
    </xf>
    <xf numFmtId="0" fontId="0" fillId="0" borderId="332" xfId="0" applyBorder="1" applyProtection="1">
      <protection locked="0"/>
    </xf>
    <xf numFmtId="0" fontId="0" fillId="0" borderId="333" xfId="0" applyBorder="1" applyAlignment="1">
      <alignment vertical="top"/>
    </xf>
    <xf numFmtId="0" fontId="28" fillId="30" borderId="334" xfId="0" applyFont="1" applyFill="1" applyBorder="1" applyAlignment="1">
      <alignment horizontal="left"/>
    </xf>
    <xf numFmtId="3" fontId="0" fillId="30" borderId="335" xfId="0" applyNumberFormat="1" applyFill="1" applyBorder="1" applyAlignment="1" applyProtection="1">
      <alignment horizontal="left"/>
      <protection locked="0"/>
    </xf>
    <xf numFmtId="0" fontId="0" fillId="30" borderId="335" xfId="0" applyFill="1" applyBorder="1" applyProtection="1">
      <protection locked="0"/>
    </xf>
    <xf numFmtId="0" fontId="0" fillId="0" borderId="336" xfId="0" applyBorder="1" applyAlignment="1">
      <alignment vertical="top"/>
    </xf>
    <xf numFmtId="0" fontId="28" fillId="9" borderId="337" xfId="0" applyFont="1" applyFill="1" applyBorder="1" applyAlignment="1">
      <alignment horizontal="left"/>
    </xf>
    <xf numFmtId="3" fontId="0" fillId="0" borderId="338" xfId="0" applyNumberFormat="1" applyBorder="1" applyAlignment="1" applyProtection="1">
      <alignment horizontal="left"/>
      <protection locked="0"/>
    </xf>
    <xf numFmtId="0" fontId="0" fillId="0" borderId="338" xfId="0" applyBorder="1" applyProtection="1">
      <protection locked="0"/>
    </xf>
    <xf numFmtId="0" fontId="0" fillId="0" borderId="339" xfId="0" applyBorder="1" applyAlignment="1">
      <alignment vertical="top"/>
    </xf>
    <xf numFmtId="0" fontId="28" fillId="12" borderId="340" xfId="0" applyFont="1" applyFill="1" applyBorder="1" applyAlignment="1">
      <alignment horizontal="left"/>
    </xf>
    <xf numFmtId="3" fontId="0" fillId="12" borderId="341" xfId="0" applyNumberFormat="1" applyFill="1" applyBorder="1" applyAlignment="1" applyProtection="1">
      <alignment horizontal="left"/>
      <protection locked="0"/>
    </xf>
    <xf numFmtId="0" fontId="0" fillId="12" borderId="341" xfId="0" applyFill="1" applyBorder="1" applyProtection="1">
      <protection locked="0"/>
    </xf>
    <xf numFmtId="0" fontId="0" fillId="0" borderId="342" xfId="0" applyBorder="1" applyAlignment="1">
      <alignment vertical="top"/>
    </xf>
    <xf numFmtId="0" fontId="28" fillId="9" borderId="343" xfId="0" applyFont="1" applyFill="1" applyBorder="1" applyAlignment="1">
      <alignment horizontal="left"/>
    </xf>
    <xf numFmtId="3" fontId="0" fillId="0" borderId="344" xfId="0" applyNumberFormat="1" applyBorder="1" applyAlignment="1" applyProtection="1">
      <alignment horizontal="left"/>
      <protection locked="0"/>
    </xf>
    <xf numFmtId="0" fontId="0" fillId="0" borderId="344" xfId="0" applyBorder="1" applyProtection="1">
      <protection locked="0"/>
    </xf>
    <xf numFmtId="0" fontId="0" fillId="0" borderId="345" xfId="0" applyBorder="1" applyAlignment="1">
      <alignment vertical="top"/>
    </xf>
    <xf numFmtId="0" fontId="0" fillId="0" borderId="346" xfId="0" applyBorder="1" applyProtection="1">
      <protection locked="0"/>
    </xf>
    <xf numFmtId="165" fontId="0" fillId="0" borderId="347" xfId="0" applyNumberFormat="1" applyBorder="1" applyProtection="1">
      <protection locked="0"/>
    </xf>
    <xf numFmtId="0" fontId="0" fillId="0" borderId="345" xfId="0" applyBorder="1" applyProtection="1">
      <protection locked="0"/>
    </xf>
    <xf numFmtId="0" fontId="0" fillId="0" borderId="348" xfId="0" applyBorder="1" applyAlignment="1" applyProtection="1">
      <alignment wrapText="1"/>
      <protection locked="0"/>
    </xf>
    <xf numFmtId="0" fontId="0" fillId="0" borderId="348" xfId="0" applyBorder="1" applyAlignment="1">
      <alignment wrapText="1"/>
    </xf>
    <xf numFmtId="0" fontId="0" fillId="0" borderId="347" xfId="0" applyBorder="1" applyProtection="1">
      <protection locked="0"/>
    </xf>
    <xf numFmtId="0" fontId="0" fillId="0" borderId="345" xfId="0" applyBorder="1"/>
    <xf numFmtId="0" fontId="3" fillId="0" borderId="348" xfId="0" applyFont="1" applyBorder="1" applyAlignment="1">
      <alignment wrapText="1"/>
    </xf>
    <xf numFmtId="0" fontId="0" fillId="0" borderId="348" xfId="0" applyBorder="1" applyProtection="1">
      <protection locked="0"/>
    </xf>
    <xf numFmtId="0" fontId="0" fillId="0" borderId="349" xfId="0" applyBorder="1" applyAlignment="1">
      <alignment vertical="top"/>
    </xf>
    <xf numFmtId="0" fontId="34" fillId="0" borderId="350" xfId="0" applyFont="1" applyBorder="1" applyAlignment="1">
      <alignment horizontal="left" wrapText="1"/>
    </xf>
    <xf numFmtId="0" fontId="28" fillId="0" borderId="351" xfId="0" applyFont="1" applyBorder="1" applyAlignment="1">
      <alignment vertical="center"/>
    </xf>
    <xf numFmtId="0" fontId="28" fillId="0" borderId="351" xfId="0" quotePrefix="1" applyFont="1" applyBorder="1"/>
    <xf numFmtId="3" fontId="0" fillId="0" borderId="352" xfId="0" applyNumberFormat="1" applyBorder="1" applyAlignment="1" applyProtection="1">
      <alignment horizontal="left"/>
      <protection locked="0"/>
    </xf>
    <xf numFmtId="0" fontId="0" fillId="0" borderId="352" xfId="0" applyBorder="1" applyProtection="1">
      <protection locked="0"/>
    </xf>
    <xf numFmtId="0" fontId="28" fillId="22" borderId="351" xfId="0" applyFont="1" applyFill="1" applyBorder="1" applyAlignment="1">
      <alignment horizontal="center"/>
    </xf>
    <xf numFmtId="0" fontId="28" fillId="25" borderId="351" xfId="0" applyFont="1" applyFill="1" applyBorder="1" applyAlignment="1">
      <alignment horizontal="left"/>
    </xf>
    <xf numFmtId="3" fontId="0" fillId="25" borderId="352" xfId="0" applyNumberFormat="1" applyFill="1" applyBorder="1" applyAlignment="1" applyProtection="1">
      <alignment horizontal="left"/>
      <protection locked="0"/>
    </xf>
    <xf numFmtId="0" fontId="0" fillId="25" borderId="352" xfId="0" applyFill="1" applyBorder="1" applyProtection="1">
      <protection locked="0"/>
    </xf>
    <xf numFmtId="0" fontId="28" fillId="9" borderId="351" xfId="0" applyFont="1" applyFill="1" applyBorder="1" applyAlignment="1">
      <alignment horizontal="left"/>
    </xf>
    <xf numFmtId="0" fontId="0" fillId="0" borderId="353" xfId="0" applyBorder="1" applyProtection="1">
      <protection locked="0"/>
    </xf>
    <xf numFmtId="165" fontId="0" fillId="0" borderId="354" xfId="0" applyNumberFormat="1" applyBorder="1" applyProtection="1">
      <protection locked="0"/>
    </xf>
    <xf numFmtId="0" fontId="0" fillId="0" borderId="355" xfId="0" applyBorder="1" applyProtection="1">
      <protection locked="0"/>
    </xf>
    <xf numFmtId="0" fontId="0" fillId="0" borderId="356" xfId="0" applyBorder="1" applyAlignment="1" applyProtection="1">
      <alignment wrapText="1"/>
      <protection locked="0"/>
    </xf>
    <xf numFmtId="0" fontId="0" fillId="0" borderId="356" xfId="0" applyBorder="1" applyAlignment="1">
      <alignment wrapText="1"/>
    </xf>
    <xf numFmtId="0" fontId="0" fillId="0" borderId="354" xfId="0" applyBorder="1" applyProtection="1">
      <protection locked="0"/>
    </xf>
    <xf numFmtId="0" fontId="62" fillId="0" borderId="244" xfId="0" applyFont="1" applyBorder="1" applyAlignment="1">
      <alignment horizontal="center"/>
    </xf>
    <xf numFmtId="0" fontId="4" fillId="0" borderId="162" xfId="4" applyBorder="1" applyAlignment="1">
      <alignment horizontal="center" vertical="center"/>
    </xf>
    <xf numFmtId="0" fontId="4" fillId="0" borderId="244" xfId="4" applyBorder="1" applyAlignment="1">
      <alignment horizontal="center" vertical="center"/>
    </xf>
    <xf numFmtId="0" fontId="3" fillId="0" borderId="356" xfId="0" applyFont="1" applyBorder="1" applyAlignment="1">
      <alignment wrapText="1"/>
    </xf>
    <xf numFmtId="0" fontId="0" fillId="0" borderId="355" xfId="0" applyBorder="1" applyAlignment="1">
      <alignment vertical="top"/>
    </xf>
    <xf numFmtId="0" fontId="21" fillId="0" borderId="357" xfId="0" applyFont="1" applyBorder="1" applyAlignment="1">
      <alignment vertical="top"/>
    </xf>
    <xf numFmtId="0" fontId="28" fillId="22" borderId="358" xfId="0" applyFont="1" applyFill="1" applyBorder="1" applyAlignment="1">
      <alignment horizontal="center" vertical="center"/>
    </xf>
    <xf numFmtId="0" fontId="0" fillId="0" borderId="352" xfId="0" applyBorder="1" applyAlignment="1" applyProtection="1">
      <alignment horizontal="left"/>
      <protection locked="0"/>
    </xf>
    <xf numFmtId="0" fontId="28" fillId="0" borderId="359" xfId="0" applyFont="1" applyBorder="1" applyAlignment="1">
      <alignment vertical="center"/>
    </xf>
    <xf numFmtId="0" fontId="28" fillId="0" borderId="360" xfId="0" applyFont="1" applyBorder="1" applyAlignment="1">
      <alignment vertical="center"/>
    </xf>
    <xf numFmtId="3" fontId="0" fillId="0" borderId="361" xfId="0" applyNumberFormat="1" applyBorder="1" applyAlignment="1" applyProtection="1">
      <alignment horizontal="left"/>
      <protection locked="0"/>
    </xf>
    <xf numFmtId="0" fontId="28" fillId="0" borderId="360" xfId="0" quotePrefix="1" applyFont="1" applyBorder="1"/>
    <xf numFmtId="0" fontId="0" fillId="0" borderId="204" xfId="0" applyBorder="1" applyProtection="1">
      <protection locked="0"/>
    </xf>
    <xf numFmtId="0" fontId="28" fillId="22" borderId="360" xfId="0" applyFont="1" applyFill="1" applyBorder="1" applyAlignment="1">
      <alignment horizontal="center"/>
    </xf>
    <xf numFmtId="0" fontId="0" fillId="24" borderId="355" xfId="0" applyFill="1" applyBorder="1" applyAlignment="1">
      <alignment vertical="top"/>
    </xf>
    <xf numFmtId="0" fontId="29" fillId="24" borderId="360" xfId="0" applyFont="1" applyFill="1" applyBorder="1" applyAlignment="1">
      <alignment horizontal="left"/>
    </xf>
    <xf numFmtId="0" fontId="0" fillId="24" borderId="202" xfId="0" applyFill="1" applyBorder="1" applyAlignment="1" applyProtection="1">
      <alignment vertical="top"/>
      <protection locked="0"/>
    </xf>
    <xf numFmtId="0" fontId="0" fillId="24" borderId="204" xfId="0" applyFill="1" applyBorder="1" applyProtection="1">
      <protection locked="0"/>
    </xf>
    <xf numFmtId="0" fontId="0" fillId="24" borderId="202" xfId="0" applyFill="1" applyBorder="1" applyProtection="1">
      <protection locked="0"/>
    </xf>
    <xf numFmtId="6" fontId="0" fillId="24" borderId="203" xfId="0" applyNumberFormat="1" applyFill="1" applyBorder="1" applyProtection="1">
      <protection locked="0"/>
    </xf>
    <xf numFmtId="0" fontId="5" fillId="24" borderId="154" xfId="0" applyFont="1" applyFill="1" applyBorder="1" applyProtection="1">
      <protection locked="0"/>
    </xf>
    <xf numFmtId="3" fontId="0" fillId="24" borderId="361" xfId="0" applyNumberFormat="1" applyFill="1" applyBorder="1" applyAlignment="1" applyProtection="1">
      <alignment horizontal="left"/>
      <protection locked="0"/>
    </xf>
    <xf numFmtId="0" fontId="0" fillId="24" borderId="361" xfId="0" applyFill="1" applyBorder="1" applyProtection="1">
      <protection locked="0"/>
    </xf>
    <xf numFmtId="0" fontId="29" fillId="9" borderId="362" xfId="0" applyFont="1" applyFill="1" applyBorder="1" applyAlignment="1">
      <alignment horizontal="left"/>
    </xf>
    <xf numFmtId="0" fontId="29" fillId="30" borderId="362" xfId="0" applyFont="1" applyFill="1" applyBorder="1" applyAlignment="1">
      <alignment horizontal="left"/>
    </xf>
    <xf numFmtId="0" fontId="0" fillId="30" borderId="204" xfId="0" applyFill="1" applyBorder="1" applyProtection="1">
      <protection locked="0"/>
    </xf>
    <xf numFmtId="0" fontId="0" fillId="30" borderId="361" xfId="0" applyFill="1" applyBorder="1" applyProtection="1">
      <protection locked="0"/>
    </xf>
    <xf numFmtId="3" fontId="0" fillId="30" borderId="361" xfId="0" applyNumberFormat="1" applyFill="1" applyBorder="1" applyAlignment="1" applyProtection="1">
      <alignment horizontal="left"/>
      <protection locked="0"/>
    </xf>
    <xf numFmtId="0" fontId="29" fillId="12" borderId="362" xfId="0" applyFont="1" applyFill="1" applyBorder="1" applyAlignment="1">
      <alignment horizontal="left"/>
    </xf>
    <xf numFmtId="0" fontId="0" fillId="12" borderId="204" xfId="0" applyFill="1" applyBorder="1" applyProtection="1">
      <protection locked="0"/>
    </xf>
    <xf numFmtId="0" fontId="0" fillId="12" borderId="361" xfId="0" applyFill="1" applyBorder="1" applyProtection="1">
      <protection locked="0"/>
    </xf>
    <xf numFmtId="3" fontId="0" fillId="12" borderId="361" xfId="0" applyNumberFormat="1" applyFill="1" applyBorder="1" applyAlignment="1" applyProtection="1">
      <alignment horizontal="left"/>
      <protection locked="0"/>
    </xf>
    <xf numFmtId="0" fontId="28" fillId="9" borderId="362" xfId="0" applyFont="1" applyFill="1" applyBorder="1" applyAlignment="1">
      <alignment horizontal="left"/>
    </xf>
    <xf numFmtId="2" fontId="0" fillId="0" borderId="202" xfId="2" applyNumberFormat="1" applyFont="1" applyBorder="1" applyProtection="1">
      <protection locked="0"/>
    </xf>
    <xf numFmtId="44" fontId="0" fillId="0" borderId="202" xfId="2" applyFont="1" applyBorder="1" applyProtection="1">
      <protection locked="0"/>
    </xf>
    <xf numFmtId="44" fontId="0" fillId="0" borderId="203" xfId="2" applyFont="1" applyBorder="1" applyProtection="1">
      <protection locked="0"/>
    </xf>
    <xf numFmtId="0" fontId="0" fillId="0" borderId="363" xfId="0" applyBorder="1" applyAlignment="1">
      <alignment vertical="top"/>
    </xf>
    <xf numFmtId="0" fontId="0" fillId="0" borderId="225" xfId="0" applyBorder="1" applyProtection="1">
      <protection locked="0"/>
    </xf>
    <xf numFmtId="0" fontId="0" fillId="0" borderId="224" xfId="0" applyBorder="1" applyProtection="1">
      <protection locked="0"/>
    </xf>
    <xf numFmtId="3" fontId="0" fillId="0" borderId="364" xfId="0" applyNumberFormat="1" applyBorder="1" applyAlignment="1" applyProtection="1">
      <alignment horizontal="left"/>
      <protection locked="0"/>
    </xf>
    <xf numFmtId="9" fontId="0" fillId="6" borderId="244" xfId="3" applyFont="1" applyFill="1" applyBorder="1" applyProtection="1">
      <protection locked="0"/>
    </xf>
    <xf numFmtId="44" fontId="0" fillId="6" borderId="244" xfId="2" applyFont="1" applyFill="1" applyBorder="1" applyProtection="1">
      <protection locked="0"/>
    </xf>
    <xf numFmtId="0" fontId="0" fillId="6" borderId="203" xfId="0" applyFill="1" applyBorder="1" applyAlignment="1" applyProtection="1">
      <alignment horizontal="center" vertical="center"/>
      <protection locked="0"/>
    </xf>
    <xf numFmtId="0" fontId="0" fillId="6" borderId="204" xfId="0" applyFill="1" applyBorder="1" applyAlignment="1" applyProtection="1">
      <alignment horizontal="center" vertical="center"/>
      <protection locked="0"/>
    </xf>
    <xf numFmtId="10" fontId="0" fillId="6" borderId="154" xfId="2" applyNumberFormat="1" applyFont="1" applyFill="1" applyBorder="1" applyProtection="1">
      <protection locked="0"/>
    </xf>
    <xf numFmtId="44" fontId="0" fillId="6" borderId="244" xfId="0" applyNumberFormat="1" applyFill="1" applyBorder="1" applyProtection="1">
      <protection locked="0"/>
    </xf>
    <xf numFmtId="165" fontId="11" fillId="6" borderId="244" xfId="0" applyNumberFormat="1" applyFont="1" applyFill="1" applyBorder="1" applyAlignment="1" applyProtection="1">
      <alignment horizontal="center"/>
      <protection locked="0"/>
    </xf>
    <xf numFmtId="0" fontId="0" fillId="0" borderId="365" xfId="0" applyBorder="1" applyProtection="1">
      <protection locked="0"/>
    </xf>
    <xf numFmtId="165" fontId="0" fillId="0" borderId="341" xfId="0" applyNumberFormat="1" applyBorder="1" applyProtection="1">
      <protection locked="0"/>
    </xf>
    <xf numFmtId="0" fontId="0" fillId="0" borderId="342" xfId="0" applyBorder="1" applyProtection="1">
      <protection locked="0"/>
    </xf>
    <xf numFmtId="0" fontId="0" fillId="0" borderId="366" xfId="0" applyBorder="1" applyAlignment="1" applyProtection="1">
      <alignment wrapText="1"/>
      <protection locked="0"/>
    </xf>
    <xf numFmtId="0" fontId="0" fillId="2" borderId="154" xfId="0" applyFill="1" applyBorder="1" applyProtection="1">
      <protection locked="0"/>
    </xf>
    <xf numFmtId="170" fontId="0" fillId="0" borderId="202" xfId="0" applyNumberFormat="1" applyBorder="1" applyProtection="1">
      <protection locked="0"/>
    </xf>
    <xf numFmtId="0" fontId="0" fillId="0" borderId="366" xfId="0" applyBorder="1" applyAlignment="1">
      <alignment wrapText="1"/>
    </xf>
    <xf numFmtId="169" fontId="42" fillId="0" borderId="162" xfId="0" applyNumberFormat="1" applyFont="1" applyBorder="1" applyAlignment="1" applyProtection="1">
      <alignment horizontal="center"/>
      <protection locked="0"/>
    </xf>
    <xf numFmtId="0" fontId="3" fillId="0" borderId="366" xfId="0" applyFont="1" applyBorder="1" applyAlignment="1">
      <alignment wrapText="1"/>
    </xf>
    <xf numFmtId="0" fontId="0" fillId="0" borderId="341" xfId="0" applyBorder="1" applyProtection="1">
      <protection locked="0"/>
    </xf>
    <xf numFmtId="0" fontId="21" fillId="0" borderId="367" xfId="0" applyFont="1" applyBorder="1" applyAlignment="1">
      <alignment vertical="top"/>
    </xf>
    <xf numFmtId="0" fontId="0" fillId="0" borderId="341" xfId="0" applyBorder="1" applyAlignment="1" applyProtection="1">
      <alignment horizontal="left"/>
      <protection locked="0"/>
    </xf>
    <xf numFmtId="0" fontId="28" fillId="25" borderId="360" xfId="0" applyFont="1" applyFill="1" applyBorder="1" applyAlignment="1">
      <alignment horizontal="left"/>
    </xf>
    <xf numFmtId="0" fontId="0" fillId="25" borderId="202" xfId="0" applyFill="1" applyBorder="1" applyAlignment="1" applyProtection="1">
      <alignment vertical="top"/>
      <protection locked="0"/>
    </xf>
    <xf numFmtId="0" fontId="0" fillId="25" borderId="204" xfId="0" applyFill="1" applyBorder="1" applyProtection="1">
      <protection locked="0"/>
    </xf>
    <xf numFmtId="3" fontId="0" fillId="25" borderId="361" xfId="0" applyNumberFormat="1" applyFill="1" applyBorder="1" applyAlignment="1" applyProtection="1">
      <alignment horizontal="left"/>
      <protection locked="0"/>
    </xf>
    <xf numFmtId="0" fontId="0" fillId="25" borderId="361" xfId="0" applyFill="1" applyBorder="1" applyProtection="1">
      <protection locked="0"/>
    </xf>
    <xf numFmtId="0" fontId="5" fillId="25" borderId="162" xfId="0" applyFont="1" applyFill="1" applyBorder="1" applyProtection="1">
      <protection locked="0"/>
    </xf>
    <xf numFmtId="0" fontId="5" fillId="25" borderId="244" xfId="0" applyFont="1" applyFill="1" applyBorder="1" applyProtection="1">
      <protection locked="0"/>
    </xf>
    <xf numFmtId="0" fontId="29" fillId="9" borderId="368" xfId="0" applyFont="1" applyFill="1" applyBorder="1" applyAlignment="1">
      <alignment horizontal="left" wrapText="1"/>
    </xf>
    <xf numFmtId="0" fontId="29" fillId="0" borderId="163" xfId="0" applyFont="1" applyBorder="1" applyAlignment="1">
      <alignment vertical="center" wrapText="1"/>
    </xf>
    <xf numFmtId="0" fontId="29" fillId="0" borderId="163" xfId="0" applyFont="1" applyBorder="1"/>
    <xf numFmtId="0" fontId="28" fillId="0" borderId="163" xfId="0" applyFont="1" applyBorder="1"/>
    <xf numFmtId="3" fontId="0" fillId="0" borderId="155" xfId="0" applyNumberFormat="1" applyBorder="1" applyAlignment="1" applyProtection="1">
      <alignment horizontal="left"/>
      <protection locked="0"/>
    </xf>
    <xf numFmtId="0" fontId="0" fillId="0" borderId="342" xfId="0" applyBorder="1"/>
    <xf numFmtId="0" fontId="0" fillId="0" borderId="366" xfId="0" applyBorder="1" applyProtection="1">
      <protection locked="0"/>
    </xf>
    <xf numFmtId="0" fontId="21" fillId="0" borderId="342" xfId="0" applyFont="1" applyBorder="1" applyAlignment="1">
      <alignment vertical="top"/>
    </xf>
    <xf numFmtId="0" fontId="28" fillId="0" borderId="369" xfId="0" applyFont="1" applyBorder="1" applyAlignment="1">
      <alignment vertical="center"/>
    </xf>
    <xf numFmtId="3" fontId="0" fillId="0" borderId="341" xfId="0" applyNumberFormat="1" applyBorder="1" applyAlignment="1" applyProtection="1">
      <alignment horizontal="left"/>
      <protection locked="0"/>
    </xf>
    <xf numFmtId="0" fontId="28" fillId="0" borderId="369" xfId="0" quotePrefix="1" applyFont="1" applyBorder="1"/>
    <xf numFmtId="0" fontId="28" fillId="22" borderId="369" xfId="0" applyFont="1" applyFill="1" applyBorder="1" applyAlignment="1">
      <alignment horizontal="center"/>
    </xf>
    <xf numFmtId="0" fontId="28" fillId="25" borderId="369" xfId="0" applyFont="1" applyFill="1" applyBorder="1" applyAlignment="1">
      <alignment horizontal="left"/>
    </xf>
    <xf numFmtId="3" fontId="0" fillId="25" borderId="341" xfId="0" applyNumberFormat="1" applyFill="1" applyBorder="1" applyAlignment="1" applyProtection="1">
      <alignment horizontal="left"/>
      <protection locked="0"/>
    </xf>
    <xf numFmtId="0" fontId="0" fillId="25" borderId="341" xfId="0" applyFill="1" applyBorder="1" applyProtection="1">
      <protection locked="0"/>
    </xf>
    <xf numFmtId="0" fontId="29" fillId="9" borderId="340" xfId="0" applyFont="1" applyFill="1" applyBorder="1" applyAlignment="1">
      <alignment horizontal="left" wrapText="1"/>
    </xf>
    <xf numFmtId="0" fontId="5" fillId="0" borderId="364" xfId="0" applyFont="1" applyBorder="1" applyProtection="1">
      <protection locked="0"/>
    </xf>
    <xf numFmtId="0" fontId="0" fillId="0" borderId="339" xfId="0" applyBorder="1"/>
    <xf numFmtId="0" fontId="0" fillId="0" borderId="370" xfId="0" applyBorder="1" applyProtection="1">
      <protection locked="0"/>
    </xf>
    <xf numFmtId="0" fontId="0" fillId="0" borderId="371" xfId="0" applyBorder="1" applyProtection="1">
      <protection locked="0"/>
    </xf>
    <xf numFmtId="165" fontId="0" fillId="0" borderId="372" xfId="0" applyNumberFormat="1" applyBorder="1" applyProtection="1">
      <protection locked="0"/>
    </xf>
    <xf numFmtId="0" fontId="0" fillId="0" borderId="339" xfId="0" applyBorder="1" applyProtection="1">
      <protection locked="0"/>
    </xf>
    <xf numFmtId="0" fontId="0" fillId="0" borderId="370" xfId="0" applyBorder="1" applyAlignment="1" applyProtection="1">
      <alignment wrapText="1"/>
      <protection locked="0"/>
    </xf>
    <xf numFmtId="0" fontId="0" fillId="0" borderId="370" xfId="0" applyBorder="1" applyAlignment="1">
      <alignment wrapText="1"/>
    </xf>
    <xf numFmtId="0" fontId="0" fillId="0" borderId="372" xfId="0" applyBorder="1" applyProtection="1">
      <protection locked="0"/>
    </xf>
    <xf numFmtId="0" fontId="3" fillId="0" borderId="370" xfId="0" applyFont="1" applyBorder="1" applyAlignment="1">
      <alignment wrapText="1"/>
    </xf>
    <xf numFmtId="0" fontId="21" fillId="0" borderId="373" xfId="0" applyFont="1" applyBorder="1" applyAlignment="1">
      <alignment vertical="top"/>
    </xf>
    <xf numFmtId="0" fontId="0" fillId="0" borderId="329" xfId="0" applyBorder="1" applyAlignment="1" applyProtection="1">
      <alignment horizontal="left"/>
      <protection locked="0"/>
    </xf>
    <xf numFmtId="0" fontId="28" fillId="0" borderId="374" xfId="0" applyFont="1" applyBorder="1" applyAlignment="1">
      <alignment vertical="center"/>
    </xf>
    <xf numFmtId="0" fontId="28" fillId="0" borderId="374" xfId="0" quotePrefix="1" applyFont="1" applyBorder="1"/>
    <xf numFmtId="0" fontId="28" fillId="22" borderId="374" xfId="0" applyFont="1" applyFill="1" applyBorder="1" applyAlignment="1">
      <alignment horizontal="center"/>
    </xf>
    <xf numFmtId="0" fontId="28" fillId="25" borderId="374" xfId="0" applyFont="1" applyFill="1" applyBorder="1" applyAlignment="1">
      <alignment horizontal="left"/>
    </xf>
    <xf numFmtId="3" fontId="0" fillId="25" borderId="329" xfId="0" applyNumberFormat="1" applyFill="1" applyBorder="1" applyAlignment="1" applyProtection="1">
      <alignment horizontal="left"/>
      <protection locked="0"/>
    </xf>
    <xf numFmtId="0" fontId="0" fillId="25" borderId="329" xfId="0" applyFill="1" applyBorder="1" applyProtection="1">
      <protection locked="0"/>
    </xf>
    <xf numFmtId="0" fontId="29" fillId="9" borderId="328" xfId="0" applyFont="1" applyFill="1" applyBorder="1" applyAlignment="1">
      <alignment horizontal="left" wrapText="1"/>
    </xf>
    <xf numFmtId="0" fontId="0" fillId="0" borderId="327" xfId="0" applyBorder="1"/>
    <xf numFmtId="0" fontId="0" fillId="0" borderId="375" xfId="0" applyBorder="1" applyProtection="1">
      <protection locked="0"/>
    </xf>
    <xf numFmtId="0" fontId="0" fillId="0" borderId="376" xfId="0" applyBorder="1" applyProtection="1">
      <protection locked="0"/>
    </xf>
    <xf numFmtId="165" fontId="0" fillId="0" borderId="377" xfId="0" applyNumberFormat="1" applyBorder="1" applyProtection="1">
      <protection locked="0"/>
    </xf>
    <xf numFmtId="0" fontId="0" fillId="0" borderId="327" xfId="0" applyBorder="1" applyProtection="1">
      <protection locked="0"/>
    </xf>
    <xf numFmtId="0" fontId="0" fillId="0" borderId="375" xfId="0" applyBorder="1" applyAlignment="1" applyProtection="1">
      <alignment wrapText="1"/>
      <protection locked="0"/>
    </xf>
    <xf numFmtId="0" fontId="0" fillId="0" borderId="375" xfId="0" applyBorder="1" applyAlignment="1">
      <alignment wrapText="1"/>
    </xf>
    <xf numFmtId="0" fontId="0" fillId="0" borderId="377" xfId="0" applyBorder="1" applyProtection="1">
      <protection locked="0"/>
    </xf>
    <xf numFmtId="0" fontId="3" fillId="0" borderId="375" xfId="0" applyFont="1" applyBorder="1" applyAlignment="1">
      <alignment wrapText="1"/>
    </xf>
    <xf numFmtId="0" fontId="21" fillId="0" borderId="327" xfId="0" applyFont="1" applyBorder="1" applyAlignment="1">
      <alignment vertical="top"/>
    </xf>
    <xf numFmtId="0" fontId="0" fillId="0" borderId="317" xfId="0" applyBorder="1" applyAlignment="1" applyProtection="1">
      <alignment horizontal="left"/>
      <protection locked="0"/>
    </xf>
    <xf numFmtId="0" fontId="28" fillId="0" borderId="378" xfId="0" applyFont="1" applyBorder="1" applyAlignment="1">
      <alignment vertical="center"/>
    </xf>
    <xf numFmtId="0" fontId="28" fillId="0" borderId="378" xfId="0" quotePrefix="1" applyFont="1" applyBorder="1"/>
    <xf numFmtId="0" fontId="28" fillId="22" borderId="378" xfId="0" applyFont="1" applyFill="1" applyBorder="1" applyAlignment="1">
      <alignment horizontal="center"/>
    </xf>
    <xf numFmtId="0" fontId="28" fillId="25" borderId="378" xfId="0" applyFont="1" applyFill="1" applyBorder="1" applyAlignment="1">
      <alignment horizontal="left"/>
    </xf>
    <xf numFmtId="3" fontId="0" fillId="25" borderId="317" xfId="0" applyNumberFormat="1" applyFill="1" applyBorder="1" applyAlignment="1" applyProtection="1">
      <alignment horizontal="left"/>
      <protection locked="0"/>
    </xf>
    <xf numFmtId="0" fontId="0" fillId="25" borderId="317" xfId="0" applyFill="1" applyBorder="1" applyProtection="1">
      <protection locked="0"/>
    </xf>
    <xf numFmtId="0" fontId="29" fillId="9" borderId="316" xfId="0" applyFont="1" applyFill="1" applyBorder="1" applyAlignment="1">
      <alignment horizontal="left" wrapText="1"/>
    </xf>
    <xf numFmtId="10" fontId="0" fillId="6" borderId="203" xfId="0" applyNumberFormat="1" applyFill="1" applyBorder="1" applyAlignment="1" applyProtection="1">
      <alignment horizontal="right"/>
      <protection locked="0"/>
    </xf>
    <xf numFmtId="0" fontId="21" fillId="0" borderId="339" xfId="0" applyFont="1" applyBorder="1" applyAlignment="1">
      <alignment vertical="top"/>
    </xf>
    <xf numFmtId="0" fontId="0" fillId="0" borderId="379" xfId="0" applyBorder="1"/>
    <xf numFmtId="0" fontId="0" fillId="0" borderId="380" xfId="0" applyBorder="1" applyProtection="1">
      <protection locked="0"/>
    </xf>
    <xf numFmtId="0" fontId="0" fillId="0" borderId="381" xfId="0" applyBorder="1" applyProtection="1">
      <protection locked="0"/>
    </xf>
    <xf numFmtId="165" fontId="0" fillId="0" borderId="382" xfId="0" applyNumberFormat="1" applyBorder="1" applyProtection="1">
      <protection locked="0"/>
    </xf>
    <xf numFmtId="0" fontId="0" fillId="0" borderId="379" xfId="0" applyBorder="1" applyProtection="1">
      <protection locked="0"/>
    </xf>
    <xf numFmtId="0" fontId="0" fillId="0" borderId="380" xfId="0" applyBorder="1" applyAlignment="1" applyProtection="1">
      <alignment wrapText="1"/>
      <protection locked="0"/>
    </xf>
    <xf numFmtId="0" fontId="0" fillId="0" borderId="380" xfId="0" applyBorder="1" applyAlignment="1">
      <alignment wrapText="1"/>
    </xf>
    <xf numFmtId="0" fontId="0" fillId="0" borderId="382" xfId="0" applyBorder="1" applyProtection="1">
      <protection locked="0"/>
    </xf>
    <xf numFmtId="0" fontId="3" fillId="0" borderId="380" xfId="0" applyFont="1" applyBorder="1" applyAlignment="1">
      <alignment wrapText="1"/>
    </xf>
    <xf numFmtId="5" fontId="0" fillId="0" borderId="361" xfId="2" applyNumberFormat="1" applyFont="1" applyBorder="1" applyProtection="1">
      <protection locked="0"/>
    </xf>
    <xf numFmtId="0" fontId="0" fillId="0" borderId="379" xfId="0" applyBorder="1" applyAlignment="1">
      <alignment vertical="top"/>
    </xf>
    <xf numFmtId="0" fontId="0" fillId="0" borderId="361" xfId="0" applyBorder="1" applyProtection="1">
      <protection locked="0"/>
    </xf>
    <xf numFmtId="0" fontId="21" fillId="0" borderId="379" xfId="0" applyFont="1" applyBorder="1" applyAlignment="1">
      <alignment vertical="top"/>
    </xf>
    <xf numFmtId="0" fontId="0" fillId="0" borderId="361" xfId="0" applyBorder="1" applyAlignment="1" applyProtection="1">
      <alignment horizontal="left"/>
      <protection locked="0"/>
    </xf>
    <xf numFmtId="0" fontId="29" fillId="0" borderId="163" xfId="0" applyFont="1" applyBorder="1" applyAlignment="1">
      <alignment wrapText="1"/>
    </xf>
    <xf numFmtId="0" fontId="28" fillId="0" borderId="163" xfId="0" applyFont="1" applyBorder="1" applyAlignment="1">
      <alignment wrapText="1"/>
    </xf>
    <xf numFmtId="0" fontId="28" fillId="0" borderId="163" xfId="0" applyFont="1" applyBorder="1" applyAlignment="1">
      <alignment horizontal="left" wrapText="1"/>
    </xf>
    <xf numFmtId="5" fontId="0" fillId="0" borderId="154" xfId="2" applyNumberFormat="1" applyFont="1" applyBorder="1" applyAlignment="1" applyProtection="1">
      <alignment horizontal="left"/>
      <protection locked="0"/>
    </xf>
    <xf numFmtId="0" fontId="0" fillId="0" borderId="383" xfId="0" applyBorder="1" applyProtection="1">
      <protection locked="0"/>
    </xf>
    <xf numFmtId="0" fontId="0" fillId="25" borderId="384" xfId="0" applyFill="1" applyBorder="1" applyAlignment="1">
      <alignment wrapText="1"/>
    </xf>
    <xf numFmtId="0" fontId="0" fillId="25" borderId="385" xfId="0" applyFill="1" applyBorder="1" applyProtection="1">
      <protection locked="0"/>
    </xf>
    <xf numFmtId="0" fontId="29" fillId="30" borderId="301" xfId="0" applyFont="1" applyFill="1" applyBorder="1" applyAlignment="1">
      <alignment horizontal="left" vertical="center" wrapText="1"/>
    </xf>
    <xf numFmtId="165" fontId="0" fillId="30" borderId="203" xfId="0" applyNumberFormat="1" applyFill="1" applyBorder="1" applyProtection="1">
      <protection locked="0"/>
    </xf>
    <xf numFmtId="0" fontId="29" fillId="9" borderId="301" xfId="0" applyFont="1" applyFill="1" applyBorder="1" applyAlignment="1">
      <alignment horizontal="left" vertical="center" wrapText="1"/>
    </xf>
    <xf numFmtId="0" fontId="29" fillId="12" borderId="301" xfId="0" applyFont="1" applyFill="1" applyBorder="1" applyAlignment="1">
      <alignment horizontal="left" vertical="center" wrapText="1"/>
    </xf>
    <xf numFmtId="165" fontId="0" fillId="12" borderId="203" xfId="0" applyNumberFormat="1" applyFill="1" applyBorder="1" applyProtection="1">
      <protection locked="0"/>
    </xf>
    <xf numFmtId="0" fontId="0" fillId="0" borderId="382" xfId="0" applyBorder="1" applyAlignment="1" applyProtection="1">
      <alignment horizontal="left"/>
      <protection locked="0"/>
    </xf>
    <xf numFmtId="0" fontId="6" fillId="0" borderId="385" xfId="0" applyFont="1" applyBorder="1" applyAlignment="1">
      <alignment vertical="top" wrapText="1"/>
    </xf>
    <xf numFmtId="0" fontId="0" fillId="6" borderId="386" xfId="0" applyFill="1" applyBorder="1" applyAlignment="1" applyProtection="1">
      <alignment horizontal="center"/>
      <protection locked="0"/>
    </xf>
    <xf numFmtId="0" fontId="0" fillId="0" borderId="387" xfId="0" applyBorder="1" applyAlignment="1" applyProtection="1">
      <alignment horizontal="center"/>
      <protection locked="0"/>
    </xf>
    <xf numFmtId="0" fontId="0" fillId="0" borderId="361" xfId="0" applyBorder="1" applyAlignment="1" applyProtection="1">
      <alignment horizontal="center"/>
      <protection locked="0"/>
    </xf>
    <xf numFmtId="0" fontId="5" fillId="3" borderId="202" xfId="0" applyFont="1" applyFill="1" applyBorder="1" applyProtection="1">
      <protection locked="0"/>
    </xf>
    <xf numFmtId="0" fontId="28" fillId="0" borderId="301" xfId="0" applyFont="1" applyBorder="1" applyAlignment="1">
      <alignment vertical="center"/>
    </xf>
    <xf numFmtId="0" fontId="28" fillId="0" borderId="301" xfId="0" quotePrefix="1" applyFont="1" applyBorder="1"/>
    <xf numFmtId="0" fontId="28" fillId="22" borderId="301" xfId="0" applyFont="1" applyFill="1" applyBorder="1" applyAlignment="1">
      <alignment horizontal="center"/>
    </xf>
    <xf numFmtId="0" fontId="28" fillId="25" borderId="301" xfId="0" applyFont="1" applyFill="1" applyBorder="1" applyAlignment="1">
      <alignment horizontal="left"/>
    </xf>
    <xf numFmtId="0" fontId="28" fillId="9" borderId="301" xfId="0" applyFont="1" applyFill="1" applyBorder="1" applyAlignment="1">
      <alignment horizontal="left" wrapText="1"/>
    </xf>
    <xf numFmtId="0" fontId="28" fillId="0" borderId="301" xfId="0" applyFont="1" applyBorder="1" applyAlignment="1">
      <alignment horizontal="left" vertical="center" wrapText="1"/>
    </xf>
    <xf numFmtId="0" fontId="28" fillId="9" borderId="301" xfId="0" applyFont="1" applyFill="1" applyBorder="1" applyAlignment="1">
      <alignment horizontal="left" vertical="center" wrapText="1"/>
    </xf>
    <xf numFmtId="7" fontId="0" fillId="6" borderId="155" xfId="0" applyNumberFormat="1" applyFill="1" applyBorder="1" applyAlignment="1" applyProtection="1">
      <alignment horizontal="center"/>
      <protection locked="0"/>
    </xf>
    <xf numFmtId="0" fontId="28" fillId="0" borderId="388" xfId="0" applyFont="1" applyBorder="1" applyAlignment="1">
      <alignment vertical="center"/>
    </xf>
    <xf numFmtId="0" fontId="28" fillId="0" borderId="388" xfId="0" quotePrefix="1" applyFont="1" applyBorder="1"/>
    <xf numFmtId="0" fontId="28" fillId="22" borderId="388" xfId="0" applyFont="1" applyFill="1" applyBorder="1" applyAlignment="1">
      <alignment horizontal="center"/>
    </xf>
    <xf numFmtId="0" fontId="28" fillId="25" borderId="388" xfId="0" applyFont="1" applyFill="1" applyBorder="1" applyAlignment="1">
      <alignment horizontal="left"/>
    </xf>
    <xf numFmtId="3" fontId="0" fillId="25" borderId="389" xfId="0" applyNumberFormat="1" applyFill="1" applyBorder="1" applyAlignment="1" applyProtection="1">
      <alignment horizontal="left"/>
      <protection locked="0"/>
    </xf>
    <xf numFmtId="0" fontId="0" fillId="25" borderId="389" xfId="0" applyFill="1" applyBorder="1" applyProtection="1">
      <protection locked="0"/>
    </xf>
    <xf numFmtId="0" fontId="29" fillId="9" borderId="388" xfId="0" applyFont="1" applyFill="1" applyBorder="1" applyAlignment="1">
      <alignment horizontal="left" vertical="center" wrapText="1"/>
    </xf>
    <xf numFmtId="0" fontId="28" fillId="9" borderId="388" xfId="0" applyFont="1" applyFill="1" applyBorder="1" applyAlignment="1">
      <alignment horizontal="left" wrapText="1"/>
    </xf>
    <xf numFmtId="0" fontId="28" fillId="0" borderId="388" xfId="0" applyFont="1" applyBorder="1" applyAlignment="1">
      <alignment horizontal="left" vertical="center" wrapText="1"/>
    </xf>
    <xf numFmtId="0" fontId="28" fillId="9" borderId="388" xfId="0" applyFont="1" applyFill="1" applyBorder="1" applyAlignment="1">
      <alignment horizontal="left" vertical="center" wrapText="1"/>
    </xf>
    <xf numFmtId="0" fontId="0" fillId="0" borderId="389" xfId="0" applyBorder="1" applyAlignment="1" applyProtection="1">
      <alignment horizontal="left"/>
      <protection locked="0"/>
    </xf>
    <xf numFmtId="0" fontId="0" fillId="0" borderId="390" xfId="0" applyBorder="1" applyProtection="1">
      <protection locked="0"/>
    </xf>
    <xf numFmtId="0" fontId="0" fillId="0" borderId="391" xfId="0" applyBorder="1" applyProtection="1">
      <protection locked="0"/>
    </xf>
    <xf numFmtId="165" fontId="0" fillId="0" borderId="392" xfId="0" applyNumberFormat="1" applyBorder="1" applyProtection="1">
      <protection locked="0"/>
    </xf>
    <xf numFmtId="0" fontId="0" fillId="0" borderId="393" xfId="0" applyBorder="1" applyProtection="1">
      <protection locked="0"/>
    </xf>
    <xf numFmtId="0" fontId="0" fillId="0" borderId="390" xfId="0" applyBorder="1" applyAlignment="1" applyProtection="1">
      <alignment wrapText="1"/>
      <protection locked="0"/>
    </xf>
    <xf numFmtId="0" fontId="0" fillId="0" borderId="390" xfId="0" applyBorder="1" applyAlignment="1">
      <alignment wrapText="1"/>
    </xf>
    <xf numFmtId="0" fontId="0" fillId="0" borderId="392" xfId="0" applyBorder="1" applyProtection="1">
      <protection locked="0"/>
    </xf>
    <xf numFmtId="0" fontId="0" fillId="0" borderId="394" xfId="0" applyBorder="1" applyAlignment="1" applyProtection="1">
      <alignment horizontal="center"/>
      <protection locked="0"/>
    </xf>
    <xf numFmtId="0" fontId="0" fillId="0" borderId="389" xfId="0" applyBorder="1" applyAlignment="1" applyProtection="1">
      <alignment horizontal="center"/>
      <protection locked="0"/>
    </xf>
    <xf numFmtId="0" fontId="3" fillId="0" borderId="390" xfId="0" applyFont="1" applyBorder="1" applyAlignment="1">
      <alignment wrapText="1"/>
    </xf>
    <xf numFmtId="0" fontId="0" fillId="0" borderId="393" xfId="0" applyBorder="1" applyAlignment="1">
      <alignment vertical="top"/>
    </xf>
    <xf numFmtId="0" fontId="0" fillId="0" borderId="389" xfId="0" applyBorder="1" applyProtection="1">
      <protection locked="0"/>
    </xf>
    <xf numFmtId="3" fontId="0" fillId="0" borderId="389" xfId="0" applyNumberFormat="1" applyBorder="1" applyAlignment="1" applyProtection="1">
      <alignment horizontal="left"/>
      <protection locked="0"/>
    </xf>
    <xf numFmtId="165" fontId="0" fillId="25" borderId="203" xfId="0" applyNumberFormat="1" applyFill="1" applyBorder="1" applyProtection="1">
      <protection locked="0"/>
    </xf>
    <xf numFmtId="0" fontId="29" fillId="30" borderId="388" xfId="0" applyFont="1" applyFill="1" applyBorder="1" applyAlignment="1">
      <alignment horizontal="left" vertical="center" wrapText="1"/>
    </xf>
    <xf numFmtId="3" fontId="0" fillId="30" borderId="389" xfId="0" applyNumberFormat="1" applyFill="1" applyBorder="1" applyAlignment="1" applyProtection="1">
      <alignment horizontal="left"/>
      <protection locked="0"/>
    </xf>
    <xf numFmtId="0" fontId="0" fillId="30" borderId="389" xfId="0" applyFill="1" applyBorder="1" applyProtection="1">
      <protection locked="0"/>
    </xf>
    <xf numFmtId="0" fontId="29" fillId="12" borderId="388" xfId="0" applyFont="1" applyFill="1" applyBorder="1" applyAlignment="1">
      <alignment horizontal="left" vertical="center" wrapText="1"/>
    </xf>
    <xf numFmtId="3" fontId="0" fillId="12" borderId="389" xfId="0" applyNumberFormat="1" applyFill="1" applyBorder="1" applyAlignment="1" applyProtection="1">
      <alignment horizontal="left"/>
      <protection locked="0"/>
    </xf>
    <xf numFmtId="0" fontId="0" fillId="12" borderId="389" xfId="0" applyFill="1" applyBorder="1" applyProtection="1">
      <protection locked="0"/>
    </xf>
    <xf numFmtId="0" fontId="28" fillId="0" borderId="388" xfId="0" applyFont="1" applyBorder="1" applyAlignment="1">
      <alignment horizontal="left" wrapText="1"/>
    </xf>
    <xf numFmtId="0" fontId="7" fillId="0" borderId="202" xfId="5" applyFont="1" applyBorder="1" applyAlignment="1">
      <alignment horizontal="left" vertical="top" wrapText="1"/>
    </xf>
    <xf numFmtId="0" fontId="0" fillId="0" borderId="393" xfId="0" applyBorder="1"/>
    <xf numFmtId="0" fontId="28" fillId="25" borderId="163" xfId="0" applyFont="1" applyFill="1" applyBorder="1" applyAlignment="1">
      <alignment horizontal="left" vertical="center"/>
    </xf>
    <xf numFmtId="0" fontId="28" fillId="9" borderId="163" xfId="0" applyFont="1" applyFill="1" applyBorder="1" applyAlignment="1">
      <alignment horizontal="left" vertical="center"/>
    </xf>
    <xf numFmtId="0" fontId="28" fillId="30" borderId="163" xfId="0" applyFont="1" applyFill="1" applyBorder="1" applyAlignment="1">
      <alignment horizontal="left" vertical="center"/>
    </xf>
    <xf numFmtId="0" fontId="28" fillId="12" borderId="163" xfId="0" applyFont="1" applyFill="1" applyBorder="1" applyAlignment="1">
      <alignment horizontal="left" vertical="center"/>
    </xf>
    <xf numFmtId="0" fontId="86" fillId="0" borderId="390" xfId="0" applyFont="1" applyBorder="1"/>
    <xf numFmtId="0" fontId="86" fillId="0" borderId="395" xfId="0" applyFont="1" applyBorder="1"/>
    <xf numFmtId="8" fontId="86" fillId="0" borderId="396" xfId="0" applyNumberFormat="1" applyFont="1" applyBorder="1"/>
    <xf numFmtId="8" fontId="0" fillId="0" borderId="203" xfId="0" applyNumberFormat="1" applyBorder="1" applyProtection="1">
      <protection locked="0"/>
    </xf>
    <xf numFmtId="0" fontId="28" fillId="7" borderId="163" xfId="0" applyFont="1" applyFill="1" applyBorder="1" applyAlignment="1">
      <alignment horizontal="left" vertical="center"/>
    </xf>
    <xf numFmtId="0" fontId="28" fillId="0" borderId="163" xfId="0" applyFont="1" applyBorder="1" applyAlignment="1">
      <alignment horizontal="left" vertical="center"/>
    </xf>
    <xf numFmtId="5" fontId="0" fillId="0" borderId="389" xfId="2" applyNumberFormat="1" applyFont="1" applyBorder="1" applyProtection="1">
      <protection locked="0"/>
    </xf>
    <xf numFmtId="8" fontId="28" fillId="0" borderId="204" xfId="0" applyNumberFormat="1" applyFont="1" applyBorder="1"/>
    <xf numFmtId="8" fontId="0" fillId="0" borderId="202" xfId="0" applyNumberFormat="1" applyBorder="1" applyProtection="1">
      <protection locked="0"/>
    </xf>
    <xf numFmtId="0" fontId="28" fillId="9" borderId="388" xfId="0" applyFont="1" applyFill="1" applyBorder="1" applyAlignment="1">
      <alignment horizontal="left"/>
    </xf>
    <xf numFmtId="0" fontId="28" fillId="9" borderId="397" xfId="0" applyFont="1" applyFill="1" applyBorder="1" applyAlignment="1">
      <alignment horizontal="left"/>
    </xf>
    <xf numFmtId="0" fontId="29" fillId="0" borderId="398" xfId="0" applyFont="1" applyBorder="1" applyAlignment="1">
      <alignment wrapText="1"/>
    </xf>
    <xf numFmtId="0" fontId="28" fillId="0" borderId="398" xfId="0" applyFont="1" applyBorder="1" applyAlignment="1">
      <alignment wrapText="1"/>
    </xf>
    <xf numFmtId="0" fontId="0" fillId="6" borderId="399" xfId="0" applyFill="1" applyBorder="1"/>
    <xf numFmtId="9" fontId="0" fillId="6" borderId="400" xfId="3" applyFont="1" applyFill="1" applyBorder="1" applyProtection="1">
      <protection locked="0"/>
    </xf>
    <xf numFmtId="9" fontId="0" fillId="6" borderId="400" xfId="3" applyFont="1" applyFill="1" applyBorder="1" applyAlignment="1" applyProtection="1">
      <alignment horizontal="left"/>
      <protection locked="0"/>
    </xf>
    <xf numFmtId="44" fontId="0" fillId="6" borderId="400" xfId="2" applyFont="1" applyFill="1" applyBorder="1" applyProtection="1">
      <protection locked="0"/>
    </xf>
    <xf numFmtId="5" fontId="0" fillId="6" borderId="400" xfId="2" applyNumberFormat="1" applyFont="1" applyFill="1" applyBorder="1" applyAlignment="1" applyProtection="1">
      <alignment horizontal="left"/>
      <protection locked="0"/>
    </xf>
    <xf numFmtId="10" fontId="0" fillId="6" borderId="400" xfId="2" applyNumberFormat="1" applyFont="1" applyFill="1" applyBorder="1" applyProtection="1">
      <protection locked="0"/>
    </xf>
    <xf numFmtId="5" fontId="0" fillId="6" borderId="400" xfId="0" applyNumberFormat="1" applyFill="1" applyBorder="1" applyAlignment="1" applyProtection="1">
      <alignment horizontal="left"/>
      <protection locked="0"/>
    </xf>
    <xf numFmtId="44" fontId="0" fillId="6" borderId="400" xfId="2" applyFont="1" applyFill="1" applyBorder="1" applyAlignment="1" applyProtection="1">
      <alignment horizontal="left"/>
      <protection locked="0"/>
    </xf>
    <xf numFmtId="44" fontId="0" fillId="6" borderId="400" xfId="0" applyNumberFormat="1" applyFill="1" applyBorder="1" applyProtection="1">
      <protection locked="0"/>
    </xf>
    <xf numFmtId="165" fontId="11" fillId="6" borderId="400" xfId="0" applyNumberFormat="1" applyFont="1" applyFill="1" applyBorder="1" applyAlignment="1" applyProtection="1">
      <alignment horizontal="center"/>
      <protection locked="0"/>
    </xf>
    <xf numFmtId="165" fontId="11" fillId="6" borderId="400" xfId="0" applyNumberFormat="1" applyFont="1" applyFill="1" applyBorder="1" applyAlignment="1" applyProtection="1">
      <alignment horizontal="left"/>
      <protection locked="0"/>
    </xf>
    <xf numFmtId="0" fontId="0" fillId="6" borderId="401" xfId="0" applyFill="1" applyBorder="1" applyAlignment="1" applyProtection="1">
      <alignment horizontal="center"/>
      <protection locked="0"/>
    </xf>
    <xf numFmtId="7" fontId="0" fillId="6" borderId="400" xfId="0" applyNumberFormat="1" applyFill="1" applyBorder="1" applyAlignment="1" applyProtection="1">
      <alignment horizontal="center"/>
      <protection locked="0"/>
    </xf>
    <xf numFmtId="0" fontId="0" fillId="6" borderId="400" xfId="0" applyFill="1" applyBorder="1" applyAlignment="1" applyProtection="1">
      <alignment horizontal="center"/>
      <protection locked="0"/>
    </xf>
    <xf numFmtId="165" fontId="0" fillId="0" borderId="400" xfId="0" applyNumberFormat="1" applyBorder="1" applyAlignment="1" applyProtection="1">
      <alignment horizontal="right"/>
      <protection locked="0"/>
    </xf>
    <xf numFmtId="0" fontId="0" fillId="0" borderId="399" xfId="0" applyBorder="1" applyProtection="1">
      <protection locked="0"/>
    </xf>
    <xf numFmtId="44" fontId="0" fillId="0" borderId="400" xfId="0" applyNumberFormat="1" applyBorder="1" applyProtection="1">
      <protection locked="0"/>
    </xf>
    <xf numFmtId="165" fontId="0" fillId="0" borderId="400" xfId="0" applyNumberFormat="1" applyBorder="1" applyProtection="1">
      <protection locked="0"/>
    </xf>
    <xf numFmtId="0" fontId="0" fillId="0" borderId="400" xfId="0" applyBorder="1" applyProtection="1">
      <protection locked="0"/>
    </xf>
    <xf numFmtId="0" fontId="0" fillId="0" borderId="402" xfId="0" applyBorder="1"/>
    <xf numFmtId="0" fontId="0" fillId="0" borderId="403" xfId="0" applyBorder="1" applyAlignment="1">
      <alignment wrapText="1"/>
    </xf>
    <xf numFmtId="0" fontId="0" fillId="0" borderId="403" xfId="0" applyBorder="1" applyProtection="1">
      <protection locked="0"/>
    </xf>
    <xf numFmtId="0" fontId="0" fillId="0" borderId="404" xfId="0" applyBorder="1" applyProtection="1">
      <protection locked="0"/>
    </xf>
    <xf numFmtId="0" fontId="0" fillId="0" borderId="401" xfId="0" applyBorder="1" applyProtection="1">
      <protection locked="0"/>
    </xf>
    <xf numFmtId="0" fontId="0" fillId="0" borderId="400" xfId="0" applyBorder="1" applyAlignment="1" applyProtection="1">
      <alignment horizontal="center"/>
      <protection locked="0"/>
    </xf>
    <xf numFmtId="0" fontId="3" fillId="0" borderId="400" xfId="0" applyFont="1" applyBorder="1" applyAlignment="1" applyProtection="1">
      <alignment horizontal="right"/>
      <protection locked="0"/>
    </xf>
    <xf numFmtId="169" fontId="0" fillId="0" borderId="400" xfId="0" applyNumberFormat="1" applyBorder="1" applyAlignment="1" applyProtection="1">
      <alignment horizontal="center"/>
      <protection locked="0"/>
    </xf>
    <xf numFmtId="0" fontId="4" fillId="0" borderId="400" xfId="4" applyBorder="1" applyAlignment="1" applyProtection="1">
      <alignment horizontal="center" vertical="center"/>
      <protection locked="0"/>
    </xf>
    <xf numFmtId="0" fontId="3" fillId="0" borderId="402" xfId="0" applyFont="1" applyBorder="1" applyAlignment="1" applyProtection="1">
      <alignment horizontal="right"/>
      <protection locked="0"/>
    </xf>
    <xf numFmtId="5" fontId="0" fillId="0" borderId="401" xfId="2" applyNumberFormat="1" applyFont="1" applyBorder="1" applyAlignment="1" applyProtection="1">
      <alignment horizontal="center"/>
      <protection locked="0"/>
    </xf>
    <xf numFmtId="0" fontId="6" fillId="0" borderId="244" xfId="0" applyFont="1" applyBorder="1" applyAlignment="1" applyProtection="1">
      <alignment horizontal="center"/>
      <protection locked="0"/>
    </xf>
    <xf numFmtId="0" fontId="6" fillId="0" borderId="161" xfId="0" applyFont="1" applyBorder="1" applyAlignment="1">
      <alignment horizontal="right"/>
    </xf>
    <xf numFmtId="0" fontId="6" fillId="0" borderId="202" xfId="0" applyFont="1" applyBorder="1" applyAlignment="1">
      <alignment wrapText="1"/>
    </xf>
    <xf numFmtId="0" fontId="6" fillId="0" borderId="202" xfId="0" applyFont="1" applyBorder="1" applyProtection="1">
      <protection locked="0"/>
    </xf>
    <xf numFmtId="0" fontId="6" fillId="0" borderId="203" xfId="0" applyFont="1" applyBorder="1" applyAlignment="1" applyProtection="1">
      <alignment horizontal="right"/>
      <protection locked="0"/>
    </xf>
    <xf numFmtId="0" fontId="0" fillId="0" borderId="385" xfId="0" applyBorder="1" applyAlignment="1" applyProtection="1">
      <alignment horizontal="center"/>
      <protection locked="0"/>
    </xf>
    <xf numFmtId="0" fontId="6" fillId="0" borderId="202" xfId="0" applyFont="1" applyBorder="1" applyAlignment="1">
      <alignment horizontal="left" wrapText="1"/>
    </xf>
    <xf numFmtId="169" fontId="6" fillId="0" borderId="244" xfId="0" applyNumberFormat="1" applyFont="1" applyBorder="1" applyAlignment="1" applyProtection="1">
      <alignment horizontal="center"/>
      <protection locked="0"/>
    </xf>
    <xf numFmtId="14" fontId="6" fillId="0" borderId="202" xfId="0" applyNumberFormat="1" applyFont="1" applyBorder="1" applyAlignment="1">
      <alignment horizontal="left" wrapText="1"/>
    </xf>
    <xf numFmtId="0" fontId="38" fillId="0" borderId="244" xfId="4" applyFont="1" applyBorder="1" applyAlignment="1" applyProtection="1">
      <alignment horizontal="center" vertical="center"/>
      <protection locked="0"/>
    </xf>
    <xf numFmtId="0" fontId="38" fillId="0" borderId="244" xfId="4" applyFont="1" applyFill="1" applyBorder="1" applyAlignment="1" applyProtection="1">
      <alignment horizontal="center" vertical="center"/>
      <protection locked="0"/>
    </xf>
    <xf numFmtId="5" fontId="6" fillId="0" borderId="405" xfId="2" applyNumberFormat="1" applyFont="1" applyBorder="1" applyAlignment="1" applyProtection="1">
      <alignment horizontal="center"/>
      <protection locked="0"/>
    </xf>
    <xf numFmtId="5" fontId="6" fillId="0" borderId="406" xfId="2" applyNumberFormat="1" applyFont="1" applyBorder="1" applyAlignment="1" applyProtection="1">
      <alignment horizontal="center"/>
      <protection locked="0"/>
    </xf>
    <xf numFmtId="5" fontId="6" fillId="0" borderId="407" xfId="2" applyNumberFormat="1" applyFont="1" applyBorder="1" applyAlignment="1" applyProtection="1">
      <alignment horizontal="center"/>
      <protection locked="0"/>
    </xf>
    <xf numFmtId="5" fontId="6" fillId="0" borderId="405" xfId="2" applyNumberFormat="1" applyFont="1" applyFill="1" applyBorder="1" applyAlignment="1" applyProtection="1">
      <alignment horizontal="center"/>
      <protection locked="0"/>
    </xf>
    <xf numFmtId="5" fontId="6" fillId="0" borderId="406" xfId="2" applyNumberFormat="1" applyFont="1" applyFill="1" applyBorder="1" applyAlignment="1" applyProtection="1">
      <alignment horizontal="center"/>
      <protection locked="0"/>
    </xf>
    <xf numFmtId="0" fontId="6" fillId="0" borderId="161" xfId="0" applyFont="1" applyBorder="1"/>
    <xf numFmtId="0" fontId="6" fillId="0" borderId="203" xfId="0" applyFont="1" applyBorder="1" applyProtection="1">
      <protection locked="0"/>
    </xf>
    <xf numFmtId="5" fontId="6" fillId="0" borderId="400" xfId="2" applyNumberFormat="1" applyFont="1" applyBorder="1" applyProtection="1">
      <protection locked="0"/>
    </xf>
    <xf numFmtId="3" fontId="6" fillId="0" borderId="400" xfId="2" applyNumberFormat="1" applyFont="1" applyBorder="1" applyProtection="1">
      <protection locked="0"/>
    </xf>
    <xf numFmtId="5" fontId="6" fillId="0" borderId="244" xfId="2" applyNumberFormat="1" applyFont="1" applyBorder="1" applyProtection="1">
      <protection locked="0"/>
    </xf>
    <xf numFmtId="0" fontId="36" fillId="0" borderId="202" xfId="0" applyFont="1" applyBorder="1" applyProtection="1">
      <protection locked="0"/>
    </xf>
    <xf numFmtId="44" fontId="28" fillId="0" borderId="400" xfId="2" applyFont="1" applyBorder="1" applyAlignment="1">
      <alignment horizontal="center" vertical="center"/>
    </xf>
    <xf numFmtId="0" fontId="6" fillId="0" borderId="379" xfId="0" applyFont="1" applyBorder="1" applyAlignment="1">
      <alignment vertical="top"/>
    </xf>
    <xf numFmtId="3" fontId="6" fillId="0" borderId="361" xfId="0" applyNumberFormat="1" applyFont="1" applyBorder="1" applyProtection="1">
      <protection locked="0"/>
    </xf>
    <xf numFmtId="0" fontId="6" fillId="0" borderId="361" xfId="0" applyFont="1" applyBorder="1" applyProtection="1">
      <protection locked="0"/>
    </xf>
    <xf numFmtId="3" fontId="6" fillId="0" borderId="361" xfId="0" applyNumberFormat="1" applyFont="1" applyBorder="1" applyAlignment="1" applyProtection="1">
      <alignment horizontal="left"/>
      <protection locked="0"/>
    </xf>
    <xf numFmtId="0" fontId="6" fillId="0" borderId="202" xfId="0" applyFont="1" applyBorder="1" applyAlignment="1" applyProtection="1">
      <alignment horizontal="left"/>
      <protection locked="0"/>
    </xf>
    <xf numFmtId="6" fontId="6" fillId="0" borderId="202" xfId="0" applyNumberFormat="1" applyFont="1" applyBorder="1" applyAlignment="1" applyProtection="1">
      <alignment horizontal="left"/>
      <protection locked="0"/>
    </xf>
    <xf numFmtId="6" fontId="6" fillId="0" borderId="203" xfId="0" applyNumberFormat="1" applyFont="1" applyBorder="1" applyAlignment="1" applyProtection="1">
      <alignment horizontal="left"/>
      <protection locked="0"/>
    </xf>
    <xf numFmtId="0" fontId="6" fillId="25" borderId="203" xfId="0" applyFont="1" applyFill="1" applyBorder="1" applyProtection="1">
      <protection locked="0"/>
    </xf>
    <xf numFmtId="0" fontId="6" fillId="25" borderId="202" xfId="0" applyFont="1" applyFill="1" applyBorder="1" applyAlignment="1" applyProtection="1">
      <alignment horizontal="left"/>
      <protection locked="0"/>
    </xf>
    <xf numFmtId="0" fontId="6" fillId="25" borderId="202" xfId="0" applyFont="1" applyFill="1" applyBorder="1" applyProtection="1">
      <protection locked="0"/>
    </xf>
    <xf numFmtId="0" fontId="36" fillId="25" borderId="400" xfId="0" applyFont="1" applyFill="1" applyBorder="1" applyProtection="1">
      <protection locked="0"/>
    </xf>
    <xf numFmtId="3" fontId="6" fillId="25" borderId="361" xfId="0" applyNumberFormat="1" applyFont="1" applyFill="1" applyBorder="1" applyProtection="1">
      <protection locked="0"/>
    </xf>
    <xf numFmtId="0" fontId="36" fillId="25" borderId="244" xfId="0" applyFont="1" applyFill="1" applyBorder="1" applyProtection="1">
      <protection locked="0"/>
    </xf>
    <xf numFmtId="3" fontId="6" fillId="25" borderId="361" xfId="0" applyNumberFormat="1" applyFont="1" applyFill="1" applyBorder="1" applyAlignment="1" applyProtection="1">
      <alignment horizontal="left"/>
      <protection locked="0"/>
    </xf>
    <xf numFmtId="0" fontId="6" fillId="25" borderId="361" xfId="0" applyFont="1" applyFill="1" applyBorder="1" applyProtection="1">
      <protection locked="0"/>
    </xf>
    <xf numFmtId="0" fontId="28" fillId="9" borderId="301" xfId="0" applyFont="1" applyFill="1" applyBorder="1" applyAlignment="1">
      <alignment horizontal="left"/>
    </xf>
    <xf numFmtId="0" fontId="36" fillId="0" borderId="203" xfId="0" applyFont="1" applyBorder="1" applyProtection="1">
      <protection locked="0"/>
    </xf>
    <xf numFmtId="0" fontId="6" fillId="6" borderId="161" xfId="0" applyFont="1" applyFill="1" applyBorder="1"/>
    <xf numFmtId="0" fontId="6" fillId="6" borderId="202" xfId="0" applyFont="1" applyFill="1" applyBorder="1" applyAlignment="1">
      <alignment wrapText="1"/>
    </xf>
    <xf numFmtId="0" fontId="6" fillId="6" borderId="202" xfId="0" applyFont="1" applyFill="1" applyBorder="1" applyProtection="1">
      <protection locked="0"/>
    </xf>
    <xf numFmtId="0" fontId="6" fillId="6" borderId="202" xfId="0" applyFont="1" applyFill="1" applyBorder="1" applyAlignment="1" applyProtection="1">
      <alignment vertical="center"/>
      <protection locked="0"/>
    </xf>
    <xf numFmtId="0" fontId="6" fillId="6" borderId="202" xfId="0" applyFont="1" applyFill="1" applyBorder="1" applyAlignment="1" applyProtection="1">
      <alignment horizontal="right" vertical="center"/>
      <protection locked="0"/>
    </xf>
    <xf numFmtId="0" fontId="6" fillId="6" borderId="203" xfId="0" applyFont="1" applyFill="1" applyBorder="1" applyAlignment="1" applyProtection="1">
      <alignment horizontal="right"/>
      <protection locked="0"/>
    </xf>
    <xf numFmtId="9" fontId="6" fillId="6" borderId="400" xfId="3" applyFont="1" applyFill="1" applyBorder="1" applyProtection="1">
      <protection locked="0"/>
    </xf>
    <xf numFmtId="9" fontId="6" fillId="6" borderId="400" xfId="3" applyFont="1" applyFill="1" applyBorder="1" applyAlignment="1" applyProtection="1">
      <alignment horizontal="left"/>
      <protection locked="0"/>
    </xf>
    <xf numFmtId="9" fontId="6" fillId="6" borderId="244" xfId="3" applyFont="1" applyFill="1" applyBorder="1" applyProtection="1">
      <protection locked="0"/>
    </xf>
    <xf numFmtId="44" fontId="6" fillId="6" borderId="400" xfId="2" applyFont="1" applyFill="1" applyBorder="1" applyProtection="1">
      <protection locked="0"/>
    </xf>
    <xf numFmtId="5" fontId="6" fillId="6" borderId="400" xfId="2" applyNumberFormat="1" applyFont="1" applyFill="1" applyBorder="1" applyAlignment="1" applyProtection="1">
      <alignment horizontal="left"/>
      <protection locked="0"/>
    </xf>
    <xf numFmtId="44" fontId="6" fillId="6" borderId="244" xfId="2" applyFont="1" applyFill="1" applyBorder="1" applyProtection="1">
      <protection locked="0"/>
    </xf>
    <xf numFmtId="44" fontId="6" fillId="6" borderId="400" xfId="2" applyFont="1" applyFill="1" applyBorder="1" applyAlignment="1" applyProtection="1">
      <alignment horizontal="left"/>
      <protection locked="0"/>
    </xf>
    <xf numFmtId="44" fontId="6" fillId="6" borderId="400" xfId="0" applyNumberFormat="1" applyFont="1" applyFill="1" applyBorder="1" applyProtection="1">
      <protection locked="0"/>
    </xf>
    <xf numFmtId="5" fontId="6" fillId="6" borderId="400" xfId="0" applyNumberFormat="1" applyFont="1" applyFill="1" applyBorder="1" applyAlignment="1" applyProtection="1">
      <alignment horizontal="left"/>
      <protection locked="0"/>
    </xf>
    <xf numFmtId="44" fontId="6" fillId="6" borderId="244" xfId="0" applyNumberFormat="1" applyFont="1" applyFill="1" applyBorder="1" applyProtection="1">
      <protection locked="0"/>
    </xf>
    <xf numFmtId="164" fontId="6" fillId="6" borderId="203" xfId="1" applyNumberFormat="1" applyFont="1" applyFill="1" applyBorder="1" applyAlignment="1" applyProtection="1">
      <alignment horizontal="right"/>
      <protection locked="0"/>
    </xf>
    <xf numFmtId="165" fontId="6" fillId="6" borderId="400" xfId="0" applyNumberFormat="1" applyFont="1" applyFill="1" applyBorder="1" applyAlignment="1" applyProtection="1">
      <alignment horizontal="center"/>
      <protection locked="0"/>
    </xf>
    <xf numFmtId="165" fontId="6" fillId="6" borderId="244" xfId="0" applyNumberFormat="1" applyFont="1" applyFill="1" applyBorder="1" applyAlignment="1" applyProtection="1">
      <alignment horizontal="center"/>
      <protection locked="0"/>
    </xf>
    <xf numFmtId="0" fontId="0" fillId="6" borderId="406" xfId="0" applyFill="1" applyBorder="1" applyAlignment="1" applyProtection="1">
      <alignment horizontal="center"/>
      <protection locked="0"/>
    </xf>
    <xf numFmtId="0" fontId="0" fillId="0" borderId="297" xfId="0" applyBorder="1"/>
    <xf numFmtId="0" fontId="0" fillId="0" borderId="408" xfId="0" applyBorder="1" applyProtection="1">
      <protection locked="0"/>
    </xf>
    <xf numFmtId="0" fontId="0" fillId="0" borderId="409" xfId="0" applyBorder="1" applyProtection="1">
      <protection locked="0"/>
    </xf>
    <xf numFmtId="165" fontId="0" fillId="0" borderId="410" xfId="0" applyNumberFormat="1" applyBorder="1" applyProtection="1">
      <protection locked="0"/>
    </xf>
    <xf numFmtId="165" fontId="0" fillId="0" borderId="293" xfId="0" applyNumberFormat="1" applyBorder="1" applyProtection="1">
      <protection locked="0"/>
    </xf>
    <xf numFmtId="0" fontId="0" fillId="0" borderId="300" xfId="0" applyBorder="1" applyProtection="1">
      <protection locked="0"/>
    </xf>
    <xf numFmtId="0" fontId="0" fillId="0" borderId="408" xfId="0" applyBorder="1" applyAlignment="1" applyProtection="1">
      <alignment wrapText="1"/>
      <protection locked="0"/>
    </xf>
    <xf numFmtId="0" fontId="0" fillId="0" borderId="406" xfId="0" applyBorder="1" applyProtection="1">
      <protection locked="0"/>
    </xf>
    <xf numFmtId="5" fontId="0" fillId="0" borderId="405" xfId="2" applyNumberFormat="1" applyFont="1" applyBorder="1" applyAlignment="1" applyProtection="1">
      <alignment horizontal="center"/>
      <protection locked="0"/>
    </xf>
    <xf numFmtId="5" fontId="0" fillId="0" borderId="406" xfId="2" applyNumberFormat="1" applyFont="1" applyBorder="1" applyAlignment="1" applyProtection="1">
      <alignment horizontal="center"/>
      <protection locked="0"/>
    </xf>
    <xf numFmtId="5" fontId="0" fillId="0" borderId="400" xfId="2" applyNumberFormat="1" applyFont="1" applyBorder="1" applyProtection="1">
      <protection locked="0"/>
    </xf>
    <xf numFmtId="0" fontId="5" fillId="25" borderId="400" xfId="0" applyFont="1" applyFill="1" applyBorder="1" applyProtection="1">
      <protection locked="0"/>
    </xf>
    <xf numFmtId="0" fontId="28" fillId="9" borderId="411" xfId="0" applyFont="1" applyFill="1" applyBorder="1" applyAlignment="1">
      <alignment horizontal="left"/>
    </xf>
    <xf numFmtId="0" fontId="29" fillId="0" borderId="412" xfId="0" applyFont="1" applyBorder="1" applyAlignment="1">
      <alignment wrapText="1"/>
    </xf>
    <xf numFmtId="0" fontId="28" fillId="0" borderId="412" xfId="0" applyFont="1" applyBorder="1" applyAlignment="1">
      <alignment wrapText="1"/>
    </xf>
    <xf numFmtId="0" fontId="0" fillId="6" borderId="413" xfId="0" applyFill="1" applyBorder="1"/>
    <xf numFmtId="9" fontId="0" fillId="6" borderId="414" xfId="3" applyFont="1" applyFill="1" applyBorder="1" applyProtection="1">
      <protection locked="0"/>
    </xf>
    <xf numFmtId="9" fontId="0" fillId="6" borderId="414" xfId="3" applyFont="1" applyFill="1" applyBorder="1" applyAlignment="1" applyProtection="1">
      <alignment horizontal="left"/>
      <protection locked="0"/>
    </xf>
    <xf numFmtId="44" fontId="0" fillId="6" borderId="414" xfId="2" applyFont="1" applyFill="1" applyBorder="1" applyProtection="1">
      <protection locked="0"/>
    </xf>
    <xf numFmtId="5" fontId="0" fillId="6" borderId="414" xfId="2" applyNumberFormat="1" applyFont="1" applyFill="1" applyBorder="1" applyAlignment="1" applyProtection="1">
      <alignment horizontal="left"/>
      <protection locked="0"/>
    </xf>
    <xf numFmtId="10" fontId="0" fillId="6" borderId="414" xfId="2" applyNumberFormat="1" applyFont="1" applyFill="1" applyBorder="1" applyProtection="1">
      <protection locked="0"/>
    </xf>
    <xf numFmtId="5" fontId="0" fillId="6" borderId="414" xfId="0" applyNumberFormat="1" applyFill="1" applyBorder="1" applyAlignment="1" applyProtection="1">
      <alignment horizontal="left"/>
      <protection locked="0"/>
    </xf>
    <xf numFmtId="44" fontId="0" fillId="6" borderId="414" xfId="2" applyFont="1" applyFill="1" applyBorder="1" applyAlignment="1" applyProtection="1">
      <alignment horizontal="left"/>
      <protection locked="0"/>
    </xf>
    <xf numFmtId="44" fontId="0" fillId="6" borderId="414" xfId="0" applyNumberFormat="1" applyFill="1" applyBorder="1" applyProtection="1">
      <protection locked="0"/>
    </xf>
    <xf numFmtId="165" fontId="11" fillId="6" borderId="414" xfId="0" applyNumberFormat="1" applyFont="1" applyFill="1" applyBorder="1" applyAlignment="1" applyProtection="1">
      <alignment horizontal="center"/>
      <protection locked="0"/>
    </xf>
    <xf numFmtId="165" fontId="11" fillId="6" borderId="414" xfId="0" applyNumberFormat="1" applyFont="1" applyFill="1" applyBorder="1" applyAlignment="1" applyProtection="1">
      <alignment horizontal="left"/>
      <protection locked="0"/>
    </xf>
    <xf numFmtId="0" fontId="0" fillId="6" borderId="415" xfId="0" applyFill="1" applyBorder="1" applyAlignment="1" applyProtection="1">
      <alignment horizontal="center"/>
      <protection locked="0"/>
    </xf>
    <xf numFmtId="7" fontId="0" fillId="6" borderId="414" xfId="0" applyNumberFormat="1" applyFill="1" applyBorder="1" applyAlignment="1" applyProtection="1">
      <alignment horizontal="center"/>
      <protection locked="0"/>
    </xf>
    <xf numFmtId="0" fontId="0" fillId="6" borderId="414" xfId="0" applyFill="1" applyBorder="1" applyAlignment="1" applyProtection="1">
      <alignment horizontal="center"/>
      <protection locked="0"/>
    </xf>
    <xf numFmtId="165" fontId="0" fillId="0" borderId="414" xfId="0" applyNumberFormat="1" applyBorder="1" applyAlignment="1" applyProtection="1">
      <alignment horizontal="right"/>
      <protection locked="0"/>
    </xf>
    <xf numFmtId="0" fontId="0" fillId="0" borderId="413" xfId="0" applyBorder="1" applyProtection="1">
      <protection locked="0"/>
    </xf>
    <xf numFmtId="44" fontId="0" fillId="0" borderId="414" xfId="0" applyNumberFormat="1" applyBorder="1" applyProtection="1">
      <protection locked="0"/>
    </xf>
    <xf numFmtId="165" fontId="0" fillId="0" borderId="414" xfId="0" applyNumberFormat="1" applyBorder="1" applyProtection="1">
      <protection locked="0"/>
    </xf>
    <xf numFmtId="0" fontId="0" fillId="0" borderId="414" xfId="0" applyBorder="1" applyProtection="1">
      <protection locked="0"/>
    </xf>
    <xf numFmtId="0" fontId="0" fillId="0" borderId="416" xfId="0" applyBorder="1"/>
    <xf numFmtId="0" fontId="0" fillId="0" borderId="417" xfId="0" applyBorder="1" applyAlignment="1">
      <alignment wrapText="1"/>
    </xf>
    <xf numFmtId="0" fontId="0" fillId="0" borderId="417" xfId="0" applyBorder="1" applyProtection="1">
      <protection locked="0"/>
    </xf>
    <xf numFmtId="0" fontId="0" fillId="0" borderId="418" xfId="0" applyBorder="1" applyProtection="1">
      <protection locked="0"/>
    </xf>
    <xf numFmtId="0" fontId="0" fillId="0" borderId="415" xfId="0" applyBorder="1" applyProtection="1">
      <protection locked="0"/>
    </xf>
    <xf numFmtId="0" fontId="0" fillId="0" borderId="414" xfId="0" applyBorder="1" applyAlignment="1" applyProtection="1">
      <alignment horizontal="center"/>
      <protection locked="0"/>
    </xf>
    <xf numFmtId="0" fontId="3" fillId="0" borderId="419" xfId="0" applyFont="1" applyBorder="1" applyAlignment="1" applyProtection="1">
      <alignment horizontal="right"/>
      <protection locked="0"/>
    </xf>
    <xf numFmtId="0" fontId="3" fillId="0" borderId="414" xfId="0" applyFont="1" applyBorder="1" applyAlignment="1" applyProtection="1">
      <alignment horizontal="right"/>
      <protection locked="0"/>
    </xf>
    <xf numFmtId="169" fontId="0" fillId="0" borderId="414" xfId="0" applyNumberFormat="1" applyBorder="1" applyAlignment="1" applyProtection="1">
      <alignment horizontal="center"/>
      <protection locked="0"/>
    </xf>
    <xf numFmtId="0" fontId="4" fillId="0" borderId="414" xfId="4" applyBorder="1" applyAlignment="1" applyProtection="1">
      <alignment horizontal="center" vertical="center"/>
      <protection locked="0"/>
    </xf>
    <xf numFmtId="0" fontId="3" fillId="0" borderId="416" xfId="0" applyFont="1" applyBorder="1" applyAlignment="1" applyProtection="1">
      <alignment horizontal="right"/>
      <protection locked="0"/>
    </xf>
    <xf numFmtId="5" fontId="0" fillId="0" borderId="415" xfId="2" applyNumberFormat="1" applyFont="1" applyBorder="1" applyAlignment="1" applyProtection="1">
      <alignment horizontal="center"/>
      <protection locked="0"/>
    </xf>
    <xf numFmtId="0" fontId="0" fillId="0" borderId="413" xfId="0" applyBorder="1" applyAlignment="1">
      <alignment horizontal="right"/>
    </xf>
    <xf numFmtId="0" fontId="0" fillId="0" borderId="419" xfId="0" applyBorder="1" applyAlignment="1" applyProtection="1">
      <alignment horizontal="center"/>
      <protection locked="0"/>
    </xf>
    <xf numFmtId="169" fontId="0" fillId="0" borderId="419" xfId="0" applyNumberFormat="1" applyBorder="1" applyAlignment="1" applyProtection="1">
      <alignment horizontal="center"/>
      <protection locked="0"/>
    </xf>
    <xf numFmtId="0" fontId="4" fillId="0" borderId="419" xfId="4" applyBorder="1" applyAlignment="1" applyProtection="1">
      <alignment horizontal="center"/>
      <protection locked="0"/>
    </xf>
    <xf numFmtId="5" fontId="0" fillId="0" borderId="420" xfId="2" applyNumberFormat="1" applyFont="1" applyBorder="1" applyAlignment="1" applyProtection="1">
      <alignment horizontal="center"/>
      <protection locked="0"/>
    </xf>
    <xf numFmtId="5" fontId="0" fillId="0" borderId="421" xfId="2" applyNumberFormat="1" applyFont="1" applyBorder="1" applyAlignment="1" applyProtection="1">
      <alignment horizontal="center"/>
      <protection locked="0"/>
    </xf>
    <xf numFmtId="0" fontId="0" fillId="0" borderId="413" xfId="0" applyBorder="1"/>
    <xf numFmtId="5" fontId="0" fillId="0" borderId="414" xfId="2" applyNumberFormat="1" applyFont="1" applyBorder="1" applyProtection="1">
      <protection locked="0"/>
    </xf>
    <xf numFmtId="44" fontId="28" fillId="0" borderId="414" xfId="2" applyFont="1" applyBorder="1" applyAlignment="1">
      <alignment horizontal="center" vertical="center"/>
    </xf>
    <xf numFmtId="0" fontId="5" fillId="25" borderId="414" xfId="0" applyFont="1" applyFill="1" applyBorder="1" applyProtection="1">
      <protection locked="0"/>
    </xf>
    <xf numFmtId="0" fontId="0" fillId="25" borderId="361" xfId="0" applyFill="1" applyBorder="1" applyAlignment="1" applyProtection="1">
      <alignment horizontal="left"/>
      <protection locked="0"/>
    </xf>
    <xf numFmtId="3" fontId="0" fillId="0" borderId="361" xfId="0" applyNumberFormat="1" applyBorder="1" applyProtection="1">
      <protection locked="0"/>
    </xf>
    <xf numFmtId="0" fontId="0" fillId="0" borderId="413" xfId="0" applyBorder="1" applyAlignment="1">
      <alignment vertical="top"/>
    </xf>
    <xf numFmtId="10" fontId="0" fillId="6" borderId="414" xfId="3" applyNumberFormat="1" applyFont="1" applyFill="1" applyBorder="1" applyProtection="1">
      <protection locked="0"/>
    </xf>
    <xf numFmtId="0" fontId="4" fillId="0" borderId="244" xfId="4" applyBorder="1" applyAlignment="1" applyProtection="1">
      <alignment horizontal="center"/>
      <protection locked="0"/>
    </xf>
    <xf numFmtId="0" fontId="0" fillId="3" borderId="379" xfId="0" applyFill="1" applyBorder="1" applyAlignment="1">
      <alignment vertical="top"/>
    </xf>
    <xf numFmtId="0" fontId="0" fillId="3" borderId="202" xfId="0" applyFill="1" applyBorder="1" applyProtection="1">
      <protection locked="0"/>
    </xf>
    <xf numFmtId="0" fontId="0" fillId="3" borderId="203" xfId="0" applyFill="1" applyBorder="1" applyProtection="1">
      <protection locked="0"/>
    </xf>
    <xf numFmtId="165" fontId="0" fillId="0" borderId="361" xfId="0" applyNumberFormat="1" applyBorder="1" applyAlignment="1" applyProtection="1">
      <alignment horizontal="left"/>
      <protection locked="0"/>
    </xf>
    <xf numFmtId="0" fontId="6" fillId="0" borderId="419" xfId="0" applyFont="1" applyBorder="1" applyAlignment="1" applyProtection="1">
      <alignment horizontal="center"/>
      <protection locked="0"/>
    </xf>
    <xf numFmtId="0" fontId="6" fillId="0" borderId="413" xfId="0" applyFont="1" applyBorder="1" applyAlignment="1">
      <alignment horizontal="right"/>
    </xf>
    <xf numFmtId="169" fontId="6" fillId="0" borderId="419" xfId="0" applyNumberFormat="1" applyFont="1" applyBorder="1" applyAlignment="1" applyProtection="1">
      <alignment horizontal="center"/>
      <protection locked="0"/>
    </xf>
    <xf numFmtId="0" fontId="4" fillId="0" borderId="419" xfId="4" applyBorder="1" applyAlignment="1" applyProtection="1">
      <alignment horizontal="center" vertical="center"/>
      <protection locked="0"/>
    </xf>
    <xf numFmtId="0" fontId="4" fillId="0" borderId="419" xfId="4" applyFill="1" applyBorder="1" applyAlignment="1" applyProtection="1">
      <alignment horizontal="center" vertical="center"/>
      <protection locked="0"/>
    </xf>
    <xf numFmtId="5" fontId="6" fillId="0" borderId="420" xfId="2" applyNumberFormat="1" applyFont="1" applyBorder="1" applyAlignment="1" applyProtection="1">
      <alignment horizontal="center"/>
      <protection locked="0"/>
    </xf>
    <xf numFmtId="5" fontId="6" fillId="0" borderId="421" xfId="2" applyNumberFormat="1" applyFont="1" applyBorder="1" applyAlignment="1" applyProtection="1">
      <alignment horizontal="center"/>
      <protection locked="0"/>
    </xf>
    <xf numFmtId="5" fontId="6" fillId="0" borderId="422" xfId="2" applyNumberFormat="1" applyFont="1" applyBorder="1" applyAlignment="1" applyProtection="1">
      <alignment horizontal="center"/>
      <protection locked="0"/>
    </xf>
    <xf numFmtId="5" fontId="6" fillId="0" borderId="420" xfId="2" applyNumberFormat="1" applyFont="1" applyFill="1" applyBorder="1" applyAlignment="1" applyProtection="1">
      <alignment horizontal="center"/>
      <protection locked="0"/>
    </xf>
    <xf numFmtId="5" fontId="6" fillId="0" borderId="421" xfId="2" applyNumberFormat="1" applyFont="1" applyFill="1" applyBorder="1" applyAlignment="1" applyProtection="1">
      <alignment horizontal="center"/>
      <protection locked="0"/>
    </xf>
    <xf numFmtId="0" fontId="6" fillId="0" borderId="413" xfId="0" applyFont="1" applyBorder="1"/>
    <xf numFmtId="5" fontId="6" fillId="0" borderId="414" xfId="2" applyNumberFormat="1" applyFont="1" applyBorder="1" applyProtection="1">
      <protection locked="0"/>
    </xf>
    <xf numFmtId="3" fontId="6" fillId="0" borderId="414" xfId="2" applyNumberFormat="1" applyFont="1" applyBorder="1" applyProtection="1">
      <protection locked="0"/>
    </xf>
    <xf numFmtId="4" fontId="6" fillId="0" borderId="202" xfId="0" applyNumberFormat="1" applyFont="1" applyBorder="1" applyAlignment="1" applyProtection="1">
      <alignment horizontal="left"/>
      <protection locked="0"/>
    </xf>
    <xf numFmtId="4" fontId="6" fillId="0" borderId="203" xfId="0" applyNumberFormat="1" applyFont="1" applyBorder="1" applyProtection="1">
      <protection locked="0"/>
    </xf>
    <xf numFmtId="4" fontId="6" fillId="25" borderId="202" xfId="0" applyNumberFormat="1" applyFont="1" applyFill="1" applyBorder="1" applyProtection="1">
      <protection locked="0"/>
    </xf>
    <xf numFmtId="0" fontId="36" fillId="25" borderId="414" xfId="0" applyFont="1" applyFill="1" applyBorder="1" applyProtection="1">
      <protection locked="0"/>
    </xf>
    <xf numFmtId="4" fontId="6" fillId="0" borderId="203" xfId="0" applyNumberFormat="1" applyFont="1" applyBorder="1" applyAlignment="1" applyProtection="1">
      <alignment horizontal="left"/>
      <protection locked="0"/>
    </xf>
    <xf numFmtId="0" fontId="6" fillId="30" borderId="203" xfId="0" applyFont="1" applyFill="1" applyBorder="1" applyProtection="1">
      <protection locked="0"/>
    </xf>
    <xf numFmtId="0" fontId="6" fillId="30" borderId="202" xfId="0" applyFont="1" applyFill="1" applyBorder="1" applyAlignment="1" applyProtection="1">
      <alignment horizontal="left"/>
      <protection locked="0"/>
    </xf>
    <xf numFmtId="0" fontId="6" fillId="30" borderId="202" xfId="0" applyFont="1" applyFill="1" applyBorder="1" applyProtection="1">
      <protection locked="0"/>
    </xf>
    <xf numFmtId="4" fontId="6" fillId="30" borderId="202" xfId="0" applyNumberFormat="1" applyFont="1" applyFill="1" applyBorder="1" applyAlignment="1" applyProtection="1">
      <alignment horizontal="left"/>
      <protection locked="0"/>
    </xf>
    <xf numFmtId="4" fontId="6" fillId="30" borderId="203" xfId="0" applyNumberFormat="1" applyFont="1" applyFill="1" applyBorder="1" applyAlignment="1" applyProtection="1">
      <alignment horizontal="left"/>
      <protection locked="0"/>
    </xf>
    <xf numFmtId="44" fontId="28" fillId="30" borderId="414" xfId="2" applyFont="1" applyFill="1" applyBorder="1" applyAlignment="1">
      <alignment horizontal="center" vertical="center"/>
    </xf>
    <xf numFmtId="3" fontId="6" fillId="30" borderId="361" xfId="0" applyNumberFormat="1" applyFont="1" applyFill="1" applyBorder="1" applyProtection="1">
      <protection locked="0"/>
    </xf>
    <xf numFmtId="3" fontId="6" fillId="30" borderId="361" xfId="0" applyNumberFormat="1" applyFont="1" applyFill="1" applyBorder="1" applyAlignment="1" applyProtection="1">
      <alignment horizontal="left"/>
      <protection locked="0"/>
    </xf>
    <xf numFmtId="0" fontId="6" fillId="30" borderId="361" xfId="0" applyFont="1" applyFill="1" applyBorder="1" applyProtection="1">
      <protection locked="0"/>
    </xf>
    <xf numFmtId="0" fontId="28" fillId="12" borderId="301" xfId="0" applyFont="1" applyFill="1" applyBorder="1" applyAlignment="1">
      <alignment horizontal="left"/>
    </xf>
    <xf numFmtId="0" fontId="6" fillId="12" borderId="203" xfId="0" applyFont="1" applyFill="1" applyBorder="1" applyProtection="1">
      <protection locked="0"/>
    </xf>
    <xf numFmtId="0" fontId="6" fillId="12" borderId="202" xfId="0" applyFont="1" applyFill="1" applyBorder="1" applyAlignment="1" applyProtection="1">
      <alignment horizontal="left"/>
      <protection locked="0"/>
    </xf>
    <xf numFmtId="0" fontId="6" fillId="12" borderId="202" xfId="0" applyFont="1" applyFill="1" applyBorder="1" applyProtection="1">
      <protection locked="0"/>
    </xf>
    <xf numFmtId="4" fontId="6" fillId="12" borderId="202" xfId="0" applyNumberFormat="1" applyFont="1" applyFill="1" applyBorder="1" applyAlignment="1" applyProtection="1">
      <alignment horizontal="left"/>
      <protection locked="0"/>
    </xf>
    <xf numFmtId="4" fontId="6" fillId="12" borderId="203" xfId="0" applyNumberFormat="1" applyFont="1" applyFill="1" applyBorder="1" applyAlignment="1" applyProtection="1">
      <alignment horizontal="left"/>
      <protection locked="0"/>
    </xf>
    <xf numFmtId="44" fontId="28" fillId="12" borderId="414" xfId="2" applyFont="1" applyFill="1" applyBorder="1" applyAlignment="1">
      <alignment horizontal="center" vertical="center"/>
    </xf>
    <xf numFmtId="3" fontId="6" fillId="12" borderId="361" xfId="0" applyNumberFormat="1" applyFont="1" applyFill="1" applyBorder="1" applyProtection="1">
      <protection locked="0"/>
    </xf>
    <xf numFmtId="3" fontId="6" fillId="12" borderId="361" xfId="0" applyNumberFormat="1" applyFont="1" applyFill="1" applyBorder="1" applyAlignment="1" applyProtection="1">
      <alignment horizontal="left"/>
      <protection locked="0"/>
    </xf>
    <xf numFmtId="0" fontId="6" fillId="12" borderId="361" xfId="0" applyFont="1" applyFill="1" applyBorder="1" applyProtection="1">
      <protection locked="0"/>
    </xf>
    <xf numFmtId="0" fontId="6" fillId="7" borderId="379" xfId="0" applyFont="1" applyFill="1" applyBorder="1" applyAlignment="1">
      <alignment vertical="top"/>
    </xf>
    <xf numFmtId="0" fontId="28" fillId="7" borderId="423" xfId="0" applyFont="1" applyFill="1" applyBorder="1" applyAlignment="1">
      <alignment horizontal="left"/>
    </xf>
    <xf numFmtId="0" fontId="6" fillId="7" borderId="203" xfId="0" applyFont="1" applyFill="1" applyBorder="1" applyProtection="1">
      <protection locked="0"/>
    </xf>
    <xf numFmtId="0" fontId="6" fillId="7" borderId="202" xfId="0" applyFont="1" applyFill="1" applyBorder="1" applyAlignment="1" applyProtection="1">
      <alignment horizontal="left"/>
      <protection locked="0"/>
    </xf>
    <xf numFmtId="0" fontId="6" fillId="7" borderId="202" xfId="0" applyFont="1" applyFill="1" applyBorder="1" applyProtection="1">
      <protection locked="0"/>
    </xf>
    <xf numFmtId="4" fontId="6" fillId="7" borderId="202" xfId="0" applyNumberFormat="1" applyFont="1" applyFill="1" applyBorder="1" applyAlignment="1" applyProtection="1">
      <alignment horizontal="left"/>
      <protection locked="0"/>
    </xf>
    <xf numFmtId="4" fontId="6" fillId="7" borderId="203" xfId="0" applyNumberFormat="1" applyFont="1" applyFill="1" applyBorder="1" applyAlignment="1" applyProtection="1">
      <alignment horizontal="left"/>
      <protection locked="0"/>
    </xf>
    <xf numFmtId="44" fontId="28" fillId="7" borderId="414" xfId="2" applyFont="1" applyFill="1" applyBorder="1" applyAlignment="1">
      <alignment horizontal="center" vertical="center"/>
    </xf>
    <xf numFmtId="3" fontId="6" fillId="7" borderId="424" xfId="0" applyNumberFormat="1" applyFont="1" applyFill="1" applyBorder="1" applyProtection="1">
      <protection locked="0"/>
    </xf>
    <xf numFmtId="0" fontId="28" fillId="0" borderId="423" xfId="0" applyFont="1" applyBorder="1" applyAlignment="1">
      <alignment horizontal="left" wrapText="1"/>
    </xf>
    <xf numFmtId="0" fontId="28" fillId="9" borderId="425" xfId="0" applyFont="1" applyFill="1" applyBorder="1" applyAlignment="1">
      <alignment horizontal="left" vertical="center" wrapText="1"/>
    </xf>
    <xf numFmtId="0" fontId="28" fillId="9" borderId="426" xfId="0" applyFont="1" applyFill="1" applyBorder="1" applyAlignment="1">
      <alignment horizontal="left" vertical="center" wrapText="1"/>
    </xf>
    <xf numFmtId="0" fontId="28" fillId="9" borderId="427" xfId="0" applyFont="1" applyFill="1" applyBorder="1" applyAlignment="1">
      <alignment horizontal="left" vertical="center" wrapText="1"/>
    </xf>
    <xf numFmtId="0" fontId="6" fillId="6" borderId="413" xfId="0" applyFont="1" applyFill="1" applyBorder="1"/>
    <xf numFmtId="9" fontId="6" fillId="6" borderId="414" xfId="3" applyFont="1" applyFill="1" applyBorder="1" applyProtection="1">
      <protection locked="0"/>
    </xf>
    <xf numFmtId="9" fontId="6" fillId="6" borderId="414" xfId="3" applyFont="1" applyFill="1" applyBorder="1" applyAlignment="1" applyProtection="1">
      <alignment horizontal="left"/>
      <protection locked="0"/>
    </xf>
    <xf numFmtId="10" fontId="6" fillId="6" borderId="244" xfId="3" applyNumberFormat="1" applyFont="1" applyFill="1" applyBorder="1" applyProtection="1">
      <protection locked="0"/>
    </xf>
    <xf numFmtId="44" fontId="6" fillId="6" borderId="414" xfId="2" applyFont="1" applyFill="1" applyBorder="1" applyProtection="1">
      <protection locked="0"/>
    </xf>
    <xf numFmtId="5" fontId="6" fillId="6" borderId="414" xfId="2" applyNumberFormat="1" applyFont="1" applyFill="1" applyBorder="1" applyAlignment="1" applyProtection="1">
      <alignment horizontal="left"/>
      <protection locked="0"/>
    </xf>
    <xf numFmtId="10" fontId="6" fillId="6" borderId="414" xfId="2" applyNumberFormat="1" applyFont="1" applyFill="1" applyBorder="1" applyProtection="1">
      <protection locked="0"/>
    </xf>
    <xf numFmtId="5" fontId="6" fillId="6" borderId="414" xfId="0" applyNumberFormat="1" applyFont="1" applyFill="1" applyBorder="1" applyAlignment="1" applyProtection="1">
      <alignment horizontal="left"/>
      <protection locked="0"/>
    </xf>
    <xf numFmtId="44" fontId="6" fillId="6" borderId="414" xfId="2" applyFont="1" applyFill="1" applyBorder="1" applyAlignment="1" applyProtection="1">
      <alignment horizontal="left"/>
      <protection locked="0"/>
    </xf>
    <xf numFmtId="44" fontId="6" fillId="6" borderId="414" xfId="0" applyNumberFormat="1" applyFont="1" applyFill="1" applyBorder="1" applyProtection="1">
      <protection locked="0"/>
    </xf>
    <xf numFmtId="165" fontId="6" fillId="6" borderId="414" xfId="0" applyNumberFormat="1" applyFont="1" applyFill="1" applyBorder="1" applyAlignment="1" applyProtection="1">
      <alignment horizontal="center"/>
      <protection locked="0"/>
    </xf>
    <xf numFmtId="0" fontId="6" fillId="6" borderId="244" xfId="0" applyFont="1" applyFill="1" applyBorder="1" applyAlignment="1" applyProtection="1">
      <alignment horizontal="center"/>
      <protection locked="0"/>
    </xf>
    <xf numFmtId="0" fontId="6" fillId="6" borderId="414" xfId="0" applyFont="1" applyFill="1" applyBorder="1" applyAlignment="1" applyProtection="1">
      <alignment horizontal="center"/>
      <protection locked="0"/>
    </xf>
    <xf numFmtId="0" fontId="0" fillId="0" borderId="428" xfId="0" applyBorder="1"/>
    <xf numFmtId="0" fontId="0" fillId="0" borderId="429" xfId="0" applyBorder="1" applyProtection="1">
      <protection locked="0"/>
    </xf>
    <xf numFmtId="0" fontId="0" fillId="0" borderId="430" xfId="0" applyBorder="1" applyProtection="1">
      <protection locked="0"/>
    </xf>
    <xf numFmtId="165" fontId="0" fillId="0" borderId="431" xfId="0" applyNumberFormat="1" applyBorder="1" applyProtection="1">
      <protection locked="0"/>
    </xf>
    <xf numFmtId="165" fontId="0" fillId="0" borderId="424" xfId="0" applyNumberFormat="1" applyBorder="1" applyProtection="1">
      <protection locked="0"/>
    </xf>
    <xf numFmtId="0" fontId="0" fillId="0" borderId="428" xfId="0" applyBorder="1" applyProtection="1">
      <protection locked="0"/>
    </xf>
    <xf numFmtId="0" fontId="0" fillId="0" borderId="429" xfId="0" applyBorder="1" applyAlignment="1" applyProtection="1">
      <alignment wrapText="1"/>
      <protection locked="0"/>
    </xf>
    <xf numFmtId="0" fontId="0" fillId="0" borderId="429" xfId="0" applyBorder="1" applyAlignment="1">
      <alignment wrapText="1"/>
    </xf>
    <xf numFmtId="0" fontId="0" fillId="0" borderId="431" xfId="0" applyBorder="1" applyProtection="1">
      <protection locked="0"/>
    </xf>
    <xf numFmtId="0" fontId="0" fillId="0" borderId="424" xfId="0" applyBorder="1" applyProtection="1">
      <protection locked="0"/>
    </xf>
    <xf numFmtId="0" fontId="0" fillId="0" borderId="421" xfId="0" applyBorder="1" applyProtection="1">
      <protection locked="0"/>
    </xf>
    <xf numFmtId="0" fontId="3" fillId="0" borderId="429" xfId="0" applyFont="1" applyBorder="1" applyAlignment="1">
      <alignment wrapText="1"/>
    </xf>
    <xf numFmtId="5" fontId="0" fillId="0" borderId="424" xfId="2" applyNumberFormat="1" applyFont="1" applyBorder="1" applyProtection="1">
      <protection locked="0"/>
    </xf>
    <xf numFmtId="0" fontId="0" fillId="0" borderId="428" xfId="0" applyBorder="1" applyAlignment="1">
      <alignment vertical="top"/>
    </xf>
    <xf numFmtId="0" fontId="0" fillId="0" borderId="424" xfId="0" applyBorder="1" applyAlignment="1" applyProtection="1">
      <alignment horizontal="left"/>
      <protection locked="0"/>
    </xf>
    <xf numFmtId="0" fontId="28" fillId="0" borderId="202" xfId="0" applyFont="1" applyBorder="1" applyAlignment="1">
      <alignment horizontal="left" vertical="center"/>
    </xf>
    <xf numFmtId="3" fontId="0" fillId="0" borderId="424" xfId="0" applyNumberFormat="1" applyBorder="1" applyAlignment="1" applyProtection="1">
      <alignment horizontal="left"/>
      <protection locked="0"/>
    </xf>
    <xf numFmtId="0" fontId="28" fillId="0" borderId="423" xfId="0" applyFont="1" applyBorder="1" applyAlignment="1">
      <alignment vertical="center"/>
    </xf>
    <xf numFmtId="0" fontId="28" fillId="0" borderId="423" xfId="0" quotePrefix="1" applyFont="1" applyBorder="1"/>
    <xf numFmtId="0" fontId="28" fillId="0" borderId="380" xfId="0" applyFont="1" applyBorder="1" applyAlignment="1">
      <alignment horizontal="left" vertical="center"/>
    </xf>
    <xf numFmtId="0" fontId="28" fillId="22" borderId="423" xfId="0" applyFont="1" applyFill="1" applyBorder="1" applyAlignment="1">
      <alignment horizontal="center"/>
    </xf>
    <xf numFmtId="0" fontId="28" fillId="25" borderId="423" xfId="0" applyFont="1" applyFill="1" applyBorder="1" applyAlignment="1">
      <alignment horizontal="left"/>
    </xf>
    <xf numFmtId="0" fontId="28" fillId="25" borderId="380" xfId="0" applyFont="1" applyFill="1" applyBorder="1" applyAlignment="1">
      <alignment horizontal="left" vertical="center"/>
    </xf>
    <xf numFmtId="0" fontId="0" fillId="25" borderId="392" xfId="0" applyFill="1" applyBorder="1" applyProtection="1">
      <protection locked="0"/>
    </xf>
    <xf numFmtId="0" fontId="0" fillId="30" borderId="409" xfId="0" applyFill="1" applyBorder="1" applyProtection="1">
      <protection locked="0"/>
    </xf>
    <xf numFmtId="0" fontId="0" fillId="30" borderId="361" xfId="0" applyFill="1" applyBorder="1" applyAlignment="1" applyProtection="1">
      <alignment horizontal="left"/>
      <protection locked="0"/>
    </xf>
    <xf numFmtId="3" fontId="0" fillId="30" borderId="361" xfId="0" applyNumberFormat="1" applyFill="1" applyBorder="1" applyProtection="1">
      <protection locked="0"/>
    </xf>
    <xf numFmtId="0" fontId="29" fillId="12" borderId="423" xfId="0" applyFont="1" applyFill="1" applyBorder="1" applyAlignment="1">
      <alignment horizontal="left" vertical="center" wrapText="1"/>
    </xf>
    <xf numFmtId="0" fontId="0" fillId="12" borderId="381" xfId="0" applyFill="1" applyBorder="1" applyProtection="1">
      <protection locked="0"/>
    </xf>
    <xf numFmtId="0" fontId="0" fillId="12" borderId="424" xfId="0" applyFill="1" applyBorder="1" applyAlignment="1" applyProtection="1">
      <alignment horizontal="left"/>
      <protection locked="0"/>
    </xf>
    <xf numFmtId="3" fontId="0" fillId="12" borderId="424" xfId="0" applyNumberFormat="1" applyFill="1" applyBorder="1" applyAlignment="1" applyProtection="1">
      <alignment horizontal="left"/>
      <protection locked="0"/>
    </xf>
    <xf numFmtId="3" fontId="0" fillId="12" borderId="424" xfId="0" applyNumberFormat="1" applyFill="1" applyBorder="1" applyProtection="1">
      <protection locked="0"/>
    </xf>
    <xf numFmtId="0" fontId="0" fillId="12" borderId="424" xfId="0" applyFill="1" applyBorder="1" applyProtection="1">
      <protection locked="0"/>
    </xf>
    <xf numFmtId="0" fontId="28" fillId="9" borderId="423" xfId="0" applyFont="1" applyFill="1" applyBorder="1" applyAlignment="1">
      <alignment horizontal="left" vertical="center" wrapText="1"/>
    </xf>
    <xf numFmtId="165" fontId="0" fillId="0" borderId="424" xfId="0" applyNumberFormat="1" applyBorder="1" applyAlignment="1" applyProtection="1">
      <alignment horizontal="left"/>
      <protection locked="0"/>
    </xf>
    <xf numFmtId="169" fontId="4" fillId="0" borderId="414" xfId="4" applyNumberFormat="1" applyBorder="1" applyAlignment="1" applyProtection="1">
      <alignment horizontal="center" vertical="center"/>
      <protection locked="0"/>
    </xf>
    <xf numFmtId="38" fontId="0" fillId="0" borderId="424" xfId="0" applyNumberFormat="1" applyBorder="1" applyAlignment="1" applyProtection="1">
      <alignment horizontal="left"/>
      <protection locked="0"/>
    </xf>
    <xf numFmtId="3" fontId="0" fillId="25" borderId="424" xfId="0" applyNumberFormat="1" applyFill="1" applyBorder="1" applyAlignment="1" applyProtection="1">
      <alignment horizontal="left"/>
      <protection locked="0"/>
    </xf>
    <xf numFmtId="0" fontId="0" fillId="25" borderId="424" xfId="0" applyFill="1" applyBorder="1" applyProtection="1">
      <protection locked="0"/>
    </xf>
    <xf numFmtId="0" fontId="28" fillId="9" borderId="423" xfId="0" applyFont="1" applyFill="1" applyBorder="1" applyAlignment="1">
      <alignment horizontal="center" wrapText="1"/>
    </xf>
    <xf numFmtId="0" fontId="28" fillId="30" borderId="423" xfId="0" applyFont="1" applyFill="1" applyBorder="1" applyAlignment="1">
      <alignment horizontal="center" wrapText="1"/>
    </xf>
    <xf numFmtId="3" fontId="0" fillId="30" borderId="424" xfId="0" applyNumberFormat="1" applyFill="1" applyBorder="1" applyAlignment="1" applyProtection="1">
      <alignment horizontal="left"/>
      <protection locked="0"/>
    </xf>
    <xf numFmtId="0" fontId="0" fillId="30" borderId="424" xfId="0" applyFill="1" applyBorder="1" applyProtection="1">
      <protection locked="0"/>
    </xf>
    <xf numFmtId="0" fontId="28" fillId="12" borderId="423" xfId="0" applyFont="1" applyFill="1" applyBorder="1" applyAlignment="1">
      <alignment horizontal="center" wrapText="1"/>
    </xf>
    <xf numFmtId="0" fontId="28" fillId="9" borderId="423" xfId="0" applyFont="1" applyFill="1" applyBorder="1" applyAlignment="1">
      <alignment horizontal="left" wrapText="1"/>
    </xf>
    <xf numFmtId="0" fontId="29" fillId="0" borderId="412" xfId="0" applyFont="1" applyBorder="1" applyAlignment="1">
      <alignment horizontal="left" vertical="center" wrapText="1"/>
    </xf>
    <xf numFmtId="0" fontId="28" fillId="0" borderId="412" xfId="0" applyFont="1" applyBorder="1" applyAlignment="1">
      <alignment horizontal="left" vertical="center" wrapText="1"/>
    </xf>
    <xf numFmtId="0" fontId="29" fillId="9" borderId="423" xfId="0" applyFont="1" applyFill="1" applyBorder="1" applyAlignment="1">
      <alignment horizontal="left" wrapText="1"/>
    </xf>
    <xf numFmtId="0" fontId="28" fillId="9" borderId="432" xfId="0" applyFont="1" applyFill="1" applyBorder="1" applyAlignment="1">
      <alignment horizontal="left" wrapText="1"/>
    </xf>
    <xf numFmtId="0" fontId="28" fillId="9" borderId="202" xfId="0" applyFont="1" applyFill="1" applyBorder="1" applyAlignment="1">
      <alignment horizontal="left" wrapText="1"/>
    </xf>
    <xf numFmtId="0" fontId="28" fillId="9" borderId="433" xfId="0" applyFont="1" applyFill="1" applyBorder="1" applyAlignment="1">
      <alignment horizontal="left" wrapText="1"/>
    </xf>
    <xf numFmtId="165" fontId="73" fillId="6" borderId="400" xfId="0" applyNumberFormat="1" applyFont="1" applyFill="1" applyBorder="1" applyAlignment="1" applyProtection="1">
      <alignment horizontal="center"/>
      <protection locked="0"/>
    </xf>
    <xf numFmtId="0" fontId="28" fillId="0" borderId="408" xfId="0" applyFont="1" applyBorder="1" applyAlignment="1">
      <alignment horizontal="left" vertical="center"/>
    </xf>
    <xf numFmtId="0" fontId="28" fillId="25" borderId="408" xfId="0" applyFont="1" applyFill="1" applyBorder="1" applyAlignment="1">
      <alignment horizontal="left" vertical="center"/>
    </xf>
    <xf numFmtId="8" fontId="0" fillId="25" borderId="203" xfId="0" applyNumberFormat="1" applyFill="1" applyBorder="1" applyProtection="1">
      <protection locked="0"/>
    </xf>
    <xf numFmtId="0" fontId="0" fillId="25" borderId="410" xfId="0" applyFill="1" applyBorder="1" applyProtection="1">
      <protection locked="0"/>
    </xf>
    <xf numFmtId="3" fontId="0" fillId="25" borderId="293" xfId="0" applyNumberFormat="1" applyFill="1" applyBorder="1" applyAlignment="1" applyProtection="1">
      <alignment horizontal="left"/>
      <protection locked="0"/>
    </xf>
    <xf numFmtId="0" fontId="0" fillId="25" borderId="293" xfId="0" applyFill="1" applyBorder="1" applyProtection="1">
      <protection locked="0"/>
    </xf>
    <xf numFmtId="0" fontId="29" fillId="9" borderId="289" xfId="0" applyFont="1" applyFill="1" applyBorder="1" applyAlignment="1">
      <alignment horizontal="left" vertical="center" wrapText="1"/>
    </xf>
    <xf numFmtId="0" fontId="28" fillId="9" borderId="289" xfId="0" applyFont="1" applyFill="1" applyBorder="1" applyAlignment="1">
      <alignment horizontal="left" vertical="center" wrapText="1"/>
    </xf>
    <xf numFmtId="4" fontId="28" fillId="0" borderId="434" xfId="0" applyNumberFormat="1" applyFont="1" applyBorder="1" applyAlignment="1">
      <alignment horizontal="left" vertical="center"/>
    </xf>
    <xf numFmtId="0" fontId="0" fillId="6" borderId="400" xfId="0" applyFill="1" applyBorder="1" applyAlignment="1" applyProtection="1">
      <alignment horizontal="left"/>
      <protection locked="0"/>
    </xf>
    <xf numFmtId="0" fontId="0" fillId="0" borderId="282" xfId="0" applyBorder="1"/>
    <xf numFmtId="0" fontId="0" fillId="0" borderId="434" xfId="0" applyBorder="1" applyProtection="1">
      <protection locked="0"/>
    </xf>
    <xf numFmtId="0" fontId="0" fillId="0" borderId="435" xfId="0" applyBorder="1" applyProtection="1">
      <protection locked="0"/>
    </xf>
    <xf numFmtId="0" fontId="0" fillId="0" borderId="282" xfId="0" applyBorder="1" applyProtection="1">
      <protection locked="0"/>
    </xf>
    <xf numFmtId="0" fontId="0" fillId="0" borderId="434" xfId="0" applyBorder="1" applyAlignment="1" applyProtection="1">
      <alignment wrapText="1"/>
      <protection locked="0"/>
    </xf>
    <xf numFmtId="0" fontId="0" fillId="0" borderId="434" xfId="0" applyBorder="1" applyAlignment="1">
      <alignment wrapText="1"/>
    </xf>
    <xf numFmtId="0" fontId="0" fillId="0" borderId="410" xfId="0" applyBorder="1" applyProtection="1">
      <protection locked="0"/>
    </xf>
    <xf numFmtId="0" fontId="0" fillId="0" borderId="436" xfId="0" applyBorder="1" applyAlignment="1" applyProtection="1">
      <alignment horizontal="center"/>
      <protection locked="0"/>
    </xf>
    <xf numFmtId="0" fontId="0" fillId="0" borderId="281" xfId="0" applyBorder="1" applyAlignment="1" applyProtection="1">
      <alignment horizontal="center"/>
      <protection locked="0"/>
    </xf>
    <xf numFmtId="0" fontId="3" fillId="0" borderId="434" xfId="0" applyFont="1" applyBorder="1" applyAlignment="1">
      <alignment wrapText="1"/>
    </xf>
    <xf numFmtId="0" fontId="0" fillId="0" borderId="281" xfId="0" applyBorder="1" applyAlignment="1" applyProtection="1">
      <alignment horizontal="left"/>
      <protection locked="0"/>
    </xf>
    <xf numFmtId="0" fontId="28" fillId="0" borderId="272" xfId="0" applyFont="1" applyBorder="1" applyAlignment="1">
      <alignment horizontal="left" vertical="center"/>
    </xf>
    <xf numFmtId="0" fontId="28" fillId="25" borderId="272" xfId="0" applyFont="1" applyFill="1" applyBorder="1" applyAlignment="1">
      <alignment horizontal="left" vertical="center"/>
    </xf>
    <xf numFmtId="0" fontId="0" fillId="25" borderId="274" xfId="0" applyFill="1" applyBorder="1" applyProtection="1">
      <protection locked="0"/>
    </xf>
    <xf numFmtId="3" fontId="0" fillId="25" borderId="248" xfId="0" applyNumberFormat="1" applyFill="1" applyBorder="1" applyAlignment="1" applyProtection="1">
      <alignment horizontal="left"/>
      <protection locked="0"/>
    </xf>
    <xf numFmtId="0" fontId="29" fillId="9" borderId="437" xfId="0" applyFont="1" applyFill="1" applyBorder="1" applyAlignment="1">
      <alignment horizontal="left" vertical="center" wrapText="1"/>
    </xf>
    <xf numFmtId="44" fontId="28" fillId="30" borderId="400" xfId="2" applyFont="1" applyFill="1" applyBorder="1" applyAlignment="1">
      <alignment horizontal="center" vertical="center"/>
    </xf>
    <xf numFmtId="3" fontId="0" fillId="30" borderId="248" xfId="0" applyNumberFormat="1" applyFill="1" applyBorder="1" applyAlignment="1" applyProtection="1">
      <alignment horizontal="left"/>
      <protection locked="0"/>
    </xf>
    <xf numFmtId="0" fontId="0" fillId="30" borderId="248" xfId="0" applyFill="1" applyBorder="1" applyProtection="1">
      <protection locked="0"/>
    </xf>
    <xf numFmtId="44" fontId="28" fillId="12" borderId="400" xfId="2" applyFont="1" applyFill="1" applyBorder="1" applyAlignment="1">
      <alignment horizontal="center" vertical="center"/>
    </xf>
    <xf numFmtId="3" fontId="0" fillId="12" borderId="248" xfId="0" applyNumberFormat="1" applyFill="1" applyBorder="1" applyAlignment="1" applyProtection="1">
      <alignment horizontal="left"/>
      <protection locked="0"/>
    </xf>
    <xf numFmtId="0" fontId="0" fillId="12" borderId="248" xfId="0" applyFill="1" applyBorder="1" applyProtection="1">
      <protection locked="0"/>
    </xf>
    <xf numFmtId="0" fontId="28" fillId="9" borderId="437" xfId="0" applyFont="1" applyFill="1" applyBorder="1" applyAlignment="1">
      <alignment horizontal="left" vertical="center" wrapText="1"/>
    </xf>
    <xf numFmtId="0" fontId="0" fillId="0" borderId="170" xfId="0" applyBorder="1"/>
    <xf numFmtId="0" fontId="0" fillId="0" borderId="438" xfId="0" applyBorder="1" applyProtection="1">
      <protection locked="0"/>
    </xf>
    <xf numFmtId="0" fontId="0" fillId="0" borderId="439" xfId="0" applyBorder="1" applyProtection="1">
      <protection locked="0"/>
    </xf>
    <xf numFmtId="165" fontId="0" fillId="0" borderId="440" xfId="0" applyNumberFormat="1" applyBorder="1" applyProtection="1">
      <protection locked="0"/>
    </xf>
    <xf numFmtId="0" fontId="0" fillId="0" borderId="170" xfId="0" applyBorder="1" applyProtection="1">
      <protection locked="0"/>
    </xf>
    <xf numFmtId="0" fontId="0" fillId="0" borderId="438" xfId="0" applyBorder="1" applyAlignment="1" applyProtection="1">
      <alignment wrapText="1"/>
      <protection locked="0"/>
    </xf>
    <xf numFmtId="0" fontId="0" fillId="0" borderId="438" xfId="0" applyBorder="1" applyAlignment="1">
      <alignment wrapText="1"/>
    </xf>
    <xf numFmtId="0" fontId="0" fillId="0" borderId="440" xfId="0" applyBorder="1" applyProtection="1">
      <protection locked="0"/>
    </xf>
    <xf numFmtId="0" fontId="4" fillId="0" borderId="162" xfId="4" applyBorder="1" applyAlignment="1" applyProtection="1">
      <alignment horizontal="center"/>
      <protection locked="0"/>
    </xf>
    <xf numFmtId="0" fontId="3" fillId="0" borderId="438" xfId="0" applyFont="1" applyBorder="1" applyAlignment="1">
      <alignment wrapText="1"/>
    </xf>
    <xf numFmtId="0" fontId="0" fillId="0" borderId="169" xfId="0" applyBorder="1" applyProtection="1">
      <protection locked="0"/>
    </xf>
    <xf numFmtId="0" fontId="28" fillId="0" borderId="167" xfId="0" applyFont="1" applyBorder="1" applyAlignment="1">
      <alignment vertical="center"/>
    </xf>
    <xf numFmtId="0" fontId="0" fillId="0" borderId="202" xfId="0" applyBorder="1" applyAlignment="1" applyProtection="1">
      <alignment horizontal="left"/>
      <protection locked="0"/>
    </xf>
    <xf numFmtId="0" fontId="0" fillId="0" borderId="169" xfId="0" applyBorder="1" applyAlignment="1" applyProtection="1">
      <alignment horizontal="left"/>
      <protection locked="0"/>
    </xf>
    <xf numFmtId="0" fontId="28" fillId="0" borderId="167" xfId="0" quotePrefix="1" applyFont="1" applyBorder="1"/>
    <xf numFmtId="0" fontId="28" fillId="22" borderId="167" xfId="0" applyFont="1" applyFill="1" applyBorder="1" applyAlignment="1">
      <alignment horizontal="center"/>
    </xf>
    <xf numFmtId="0" fontId="28" fillId="25" borderId="167" xfId="0" applyFont="1" applyFill="1" applyBorder="1" applyAlignment="1">
      <alignment horizontal="left"/>
    </xf>
    <xf numFmtId="0" fontId="0" fillId="25" borderId="169" xfId="0" applyFill="1" applyBorder="1" applyAlignment="1" applyProtection="1">
      <alignment horizontal="left"/>
      <protection locked="0"/>
    </xf>
    <xf numFmtId="3" fontId="0" fillId="25" borderId="169" xfId="0" applyNumberFormat="1" applyFill="1" applyBorder="1" applyAlignment="1" applyProtection="1">
      <alignment horizontal="left"/>
      <protection locked="0"/>
    </xf>
    <xf numFmtId="0" fontId="0" fillId="25" borderId="169" xfId="0" applyFill="1" applyBorder="1" applyProtection="1">
      <protection locked="0"/>
    </xf>
    <xf numFmtId="0" fontId="0" fillId="0" borderId="441" xfId="0" applyBorder="1" applyAlignment="1">
      <alignment vertical="top"/>
    </xf>
    <xf numFmtId="165" fontId="0" fillId="0" borderId="245" xfId="0" applyNumberFormat="1" applyBorder="1" applyProtection="1">
      <protection locked="0"/>
    </xf>
    <xf numFmtId="165" fontId="0" fillId="30" borderId="169" xfId="0" applyNumberFormat="1" applyFill="1" applyBorder="1" applyProtection="1">
      <protection locked="0"/>
    </xf>
    <xf numFmtId="3" fontId="0" fillId="30" borderId="169" xfId="0" applyNumberFormat="1" applyFill="1" applyBorder="1" applyAlignment="1" applyProtection="1">
      <alignment horizontal="left"/>
      <protection locked="0"/>
    </xf>
    <xf numFmtId="0" fontId="0" fillId="30" borderId="169" xfId="0" applyFill="1" applyBorder="1" applyProtection="1">
      <protection locked="0"/>
    </xf>
    <xf numFmtId="165" fontId="0" fillId="0" borderId="169" xfId="0" applyNumberFormat="1" applyBorder="1" applyProtection="1">
      <protection locked="0"/>
    </xf>
    <xf numFmtId="165" fontId="0" fillId="12" borderId="169" xfId="0" applyNumberFormat="1" applyFill="1" applyBorder="1" applyProtection="1">
      <protection locked="0"/>
    </xf>
    <xf numFmtId="3" fontId="0" fillId="12" borderId="169" xfId="0" applyNumberFormat="1" applyFill="1" applyBorder="1" applyAlignment="1" applyProtection="1">
      <alignment horizontal="left"/>
      <protection locked="0"/>
    </xf>
    <xf numFmtId="0" fontId="0" fillId="12" borderId="169" xfId="0" applyFill="1" applyBorder="1" applyProtection="1">
      <protection locked="0"/>
    </xf>
    <xf numFmtId="0" fontId="28" fillId="0" borderId="442" xfId="0" applyFont="1" applyBorder="1" applyAlignment="1">
      <alignment horizontal="left" vertical="center"/>
    </xf>
    <xf numFmtId="170" fontId="0" fillId="6" borderId="400" xfId="3" applyNumberFormat="1" applyFont="1" applyFill="1" applyBorder="1" applyAlignment="1" applyProtection="1">
      <alignment horizontal="left"/>
      <protection locked="0"/>
    </xf>
    <xf numFmtId="170" fontId="0" fillId="6" borderId="400" xfId="2" applyNumberFormat="1" applyFont="1" applyFill="1" applyBorder="1" applyAlignment="1" applyProtection="1">
      <alignment horizontal="left"/>
      <protection locked="0"/>
    </xf>
    <xf numFmtId="170" fontId="0" fillId="6" borderId="400" xfId="0" applyNumberFormat="1" applyFill="1" applyBorder="1" applyAlignment="1" applyProtection="1">
      <alignment horizontal="left"/>
      <protection locked="0"/>
    </xf>
    <xf numFmtId="0" fontId="5" fillId="0" borderId="440" xfId="0" applyFont="1" applyBorder="1" applyProtection="1">
      <protection locked="0"/>
    </xf>
    <xf numFmtId="0" fontId="28" fillId="0" borderId="443" xfId="0" applyFont="1" applyBorder="1" applyAlignment="1">
      <alignment vertical="center"/>
    </xf>
    <xf numFmtId="0" fontId="0" fillId="0" borderId="444" xfId="0" applyBorder="1" applyProtection="1">
      <protection locked="0"/>
    </xf>
    <xf numFmtId="0" fontId="28" fillId="0" borderId="443" xfId="0" quotePrefix="1" applyFont="1" applyBorder="1"/>
    <xf numFmtId="0" fontId="28" fillId="22" borderId="443" xfId="0" applyFont="1" applyFill="1" applyBorder="1" applyAlignment="1">
      <alignment horizontal="center"/>
    </xf>
    <xf numFmtId="0" fontId="28" fillId="25" borderId="443" xfId="0" applyFont="1" applyFill="1" applyBorder="1" applyAlignment="1">
      <alignment horizontal="left"/>
    </xf>
    <xf numFmtId="0" fontId="5" fillId="25" borderId="440" xfId="0" applyFont="1" applyFill="1" applyBorder="1" applyProtection="1">
      <protection locked="0"/>
    </xf>
    <xf numFmtId="0" fontId="6" fillId="0" borderId="202" xfId="0" applyFont="1" applyBorder="1" applyAlignment="1">
      <alignment horizontal="left" vertical="top" wrapText="1"/>
    </xf>
    <xf numFmtId="3" fontId="0" fillId="0" borderId="400" xfId="0" applyNumberFormat="1" applyBorder="1" applyProtection="1">
      <protection locked="0"/>
    </xf>
    <xf numFmtId="3" fontId="0" fillId="0" borderId="440" xfId="0" applyNumberFormat="1" applyBorder="1" applyProtection="1">
      <protection locked="0"/>
    </xf>
    <xf numFmtId="3" fontId="0" fillId="0" borderId="440" xfId="0" applyNumberFormat="1" applyBorder="1" applyAlignment="1" applyProtection="1">
      <alignment horizontal="center"/>
      <protection locked="0"/>
    </xf>
    <xf numFmtId="0" fontId="28" fillId="0" borderId="445" xfId="0" applyFont="1" applyBorder="1" applyAlignment="1">
      <alignment horizontal="left" vertical="center"/>
    </xf>
    <xf numFmtId="0" fontId="0" fillId="0" borderId="446" xfId="0" applyBorder="1" applyProtection="1">
      <protection locked="0"/>
    </xf>
    <xf numFmtId="0" fontId="0" fillId="0" borderId="447" xfId="0" applyBorder="1" applyProtection="1">
      <protection locked="0"/>
    </xf>
    <xf numFmtId="0" fontId="28" fillId="0" borderId="162" xfId="0" applyFont="1" applyBorder="1" applyAlignment="1">
      <alignment horizontal="center" vertical="center"/>
    </xf>
    <xf numFmtId="0" fontId="28" fillId="0" borderId="244" xfId="0" applyFont="1" applyBorder="1" applyAlignment="1">
      <alignment horizontal="center" vertical="center"/>
    </xf>
    <xf numFmtId="169" fontId="28" fillId="0" borderId="162" xfId="0" applyNumberFormat="1" applyFont="1" applyBorder="1" applyAlignment="1">
      <alignment horizontal="center" vertical="center"/>
    </xf>
    <xf numFmtId="0" fontId="4" fillId="0" borderId="441" xfId="4" applyBorder="1" applyAlignment="1" applyProtection="1">
      <alignment horizontal="center" vertical="center"/>
      <protection locked="0"/>
    </xf>
    <xf numFmtId="0" fontId="4" fillId="0" borderId="169" xfId="4" applyBorder="1" applyAlignment="1" applyProtection="1">
      <alignment horizontal="center" vertical="center"/>
      <protection locked="0"/>
    </xf>
    <xf numFmtId="0" fontId="0" fillId="0" borderId="448" xfId="0" applyBorder="1" applyAlignment="1">
      <alignment vertical="top"/>
    </xf>
    <xf numFmtId="3" fontId="0" fillId="0" borderId="244" xfId="0" applyNumberFormat="1" applyBorder="1" applyAlignment="1" applyProtection="1">
      <alignment horizontal="left"/>
      <protection locked="0"/>
    </xf>
    <xf numFmtId="0" fontId="0" fillId="0" borderId="168" xfId="0" applyBorder="1" applyProtection="1">
      <protection locked="0"/>
    </xf>
    <xf numFmtId="0" fontId="0" fillId="0" borderId="245" xfId="0" applyBorder="1" applyProtection="1">
      <protection locked="0"/>
    </xf>
    <xf numFmtId="3" fontId="0" fillId="25" borderId="168" xfId="0" applyNumberFormat="1" applyFill="1" applyBorder="1" applyAlignment="1" applyProtection="1">
      <alignment horizontal="left"/>
      <protection locked="0"/>
    </xf>
    <xf numFmtId="0" fontId="0" fillId="25" borderId="168" xfId="0" applyFill="1" applyBorder="1" applyProtection="1">
      <protection locked="0"/>
    </xf>
    <xf numFmtId="0" fontId="6" fillId="0" borderId="202" xfId="0" applyFont="1" applyBorder="1" applyAlignment="1">
      <alignment vertical="top" wrapText="1"/>
    </xf>
    <xf numFmtId="10" fontId="0" fillId="6" borderId="400" xfId="3" applyNumberFormat="1" applyFont="1" applyFill="1" applyBorder="1" applyProtection="1">
      <protection locked="0"/>
    </xf>
    <xf numFmtId="0" fontId="28" fillId="25" borderId="425" xfId="0" applyFont="1" applyFill="1" applyBorder="1" applyAlignment="1">
      <alignment horizontal="left"/>
    </xf>
    <xf numFmtId="0" fontId="28" fillId="0" borderId="425" xfId="0" applyFont="1" applyBorder="1" applyAlignment="1">
      <alignment horizontal="left"/>
    </xf>
    <xf numFmtId="0" fontId="28" fillId="30" borderId="425" xfId="0" applyFont="1" applyFill="1" applyBorder="1" applyAlignment="1">
      <alignment horizontal="left"/>
    </xf>
    <xf numFmtId="3" fontId="0" fillId="30" borderId="168" xfId="0" applyNumberFormat="1" applyFill="1" applyBorder="1" applyAlignment="1" applyProtection="1">
      <alignment horizontal="left"/>
      <protection locked="0"/>
    </xf>
    <xf numFmtId="0" fontId="28" fillId="12" borderId="425" xfId="0" applyFont="1" applyFill="1" applyBorder="1" applyAlignment="1">
      <alignment horizontal="left"/>
    </xf>
    <xf numFmtId="3" fontId="0" fillId="12" borderId="168" xfId="0" applyNumberFormat="1" applyFill="1" applyBorder="1" applyAlignment="1" applyProtection="1">
      <alignment horizontal="left"/>
      <protection locked="0"/>
    </xf>
    <xf numFmtId="0" fontId="28" fillId="9" borderId="425" xfId="0" applyFont="1" applyFill="1" applyBorder="1" applyAlignment="1">
      <alignment horizontal="left" wrapText="1"/>
    </xf>
    <xf numFmtId="165" fontId="0" fillId="0" borderId="168" xfId="0" applyNumberFormat="1" applyBorder="1" applyProtection="1">
      <protection locked="0"/>
    </xf>
    <xf numFmtId="0" fontId="28" fillId="9" borderId="425" xfId="0" applyFont="1" applyFill="1" applyBorder="1" applyAlignment="1">
      <alignment horizontal="left"/>
    </xf>
    <xf numFmtId="0" fontId="28" fillId="9" borderId="449" xfId="0" applyFont="1" applyFill="1" applyBorder="1" applyAlignment="1">
      <alignment horizontal="left" wrapText="1"/>
    </xf>
    <xf numFmtId="0" fontId="29" fillId="9" borderId="425" xfId="0" applyFont="1" applyFill="1" applyBorder="1" applyAlignment="1">
      <alignment horizontal="left" wrapText="1"/>
    </xf>
    <xf numFmtId="0" fontId="28" fillId="9" borderId="427" xfId="0" applyFont="1" applyFill="1" applyBorder="1" applyAlignment="1">
      <alignment horizontal="left" wrapText="1"/>
    </xf>
    <xf numFmtId="5" fontId="0" fillId="0" borderId="168" xfId="2" applyNumberFormat="1" applyFont="1" applyBorder="1" applyProtection="1">
      <protection locked="0"/>
    </xf>
    <xf numFmtId="3" fontId="0" fillId="0" borderId="444" xfId="0" applyNumberFormat="1" applyBorder="1" applyAlignment="1" applyProtection="1">
      <alignment horizontal="left"/>
      <protection locked="0"/>
    </xf>
    <xf numFmtId="3" fontId="0" fillId="25" borderId="444" xfId="0" applyNumberFormat="1" applyFill="1" applyBorder="1" applyAlignment="1" applyProtection="1">
      <alignment horizontal="left"/>
      <protection locked="0"/>
    </xf>
    <xf numFmtId="0" fontId="28" fillId="9" borderId="425" xfId="0" applyFont="1" applyFill="1" applyBorder="1" applyAlignment="1">
      <alignment horizontal="center" vertical="center" wrapText="1"/>
    </xf>
    <xf numFmtId="0" fontId="0" fillId="0" borderId="450" xfId="0" applyBorder="1" applyAlignment="1">
      <alignment vertical="top"/>
    </xf>
    <xf numFmtId="0" fontId="28" fillId="30" borderId="425" xfId="0" applyFont="1" applyFill="1" applyBorder="1" applyAlignment="1">
      <alignment horizontal="center" vertical="center" wrapText="1"/>
    </xf>
    <xf numFmtId="3" fontId="0" fillId="30" borderId="444" xfId="0" applyNumberFormat="1" applyFill="1" applyBorder="1" applyAlignment="1" applyProtection="1">
      <alignment horizontal="left"/>
      <protection locked="0"/>
    </xf>
    <xf numFmtId="0" fontId="28" fillId="12" borderId="425" xfId="0" applyFont="1" applyFill="1" applyBorder="1" applyAlignment="1">
      <alignment horizontal="center" vertical="center" wrapText="1"/>
    </xf>
    <xf numFmtId="3" fontId="0" fillId="12" borderId="444" xfId="0" applyNumberFormat="1" applyFill="1" applyBorder="1" applyAlignment="1" applyProtection="1">
      <alignment horizontal="left"/>
      <protection locked="0"/>
    </xf>
    <xf numFmtId="0" fontId="0" fillId="0" borderId="444" xfId="0" applyBorder="1" applyAlignment="1" applyProtection="1">
      <alignment horizontal="left"/>
      <protection locked="0"/>
    </xf>
    <xf numFmtId="0" fontId="0" fillId="0" borderId="450" xfId="0" applyBorder="1"/>
    <xf numFmtId="0" fontId="0" fillId="0" borderId="451" xfId="0" applyBorder="1" applyProtection="1">
      <protection locked="0"/>
    </xf>
    <xf numFmtId="0" fontId="0" fillId="0" borderId="452" xfId="0" applyBorder="1" applyProtection="1">
      <protection locked="0"/>
    </xf>
    <xf numFmtId="165" fontId="0" fillId="0" borderId="453" xfId="0" applyNumberFormat="1" applyBorder="1" applyProtection="1">
      <protection locked="0"/>
    </xf>
    <xf numFmtId="165" fontId="0" fillId="0" borderId="444" xfId="0" applyNumberFormat="1" applyBorder="1" applyProtection="1">
      <protection locked="0"/>
    </xf>
    <xf numFmtId="0" fontId="0" fillId="0" borderId="450" xfId="0" applyBorder="1" applyProtection="1">
      <protection locked="0"/>
    </xf>
    <xf numFmtId="0" fontId="0" fillId="0" borderId="451" xfId="0" applyBorder="1" applyAlignment="1" applyProtection="1">
      <alignment wrapText="1"/>
      <protection locked="0"/>
    </xf>
    <xf numFmtId="0" fontId="0" fillId="0" borderId="451" xfId="0" applyBorder="1" applyAlignment="1">
      <alignment wrapText="1"/>
    </xf>
    <xf numFmtId="0" fontId="0" fillId="0" borderId="453" xfId="0" applyBorder="1" applyProtection="1">
      <protection locked="0"/>
    </xf>
    <xf numFmtId="0" fontId="3" fillId="0" borderId="451" xfId="0" applyFont="1" applyBorder="1" applyAlignment="1">
      <alignment wrapText="1"/>
    </xf>
    <xf numFmtId="0" fontId="28" fillId="22" borderId="454" xfId="0" applyFont="1" applyFill="1" applyBorder="1" applyAlignment="1">
      <alignment horizontal="center" vertical="center"/>
    </xf>
    <xf numFmtId="0" fontId="0" fillId="25" borderId="444" xfId="0" applyFill="1" applyBorder="1" applyProtection="1">
      <protection locked="0"/>
    </xf>
    <xf numFmtId="0" fontId="28" fillId="30" borderId="425" xfId="0" applyFont="1" applyFill="1" applyBorder="1" applyAlignment="1">
      <alignment horizontal="left" vertical="center" wrapText="1"/>
    </xf>
    <xf numFmtId="0" fontId="0" fillId="30" borderId="444" xfId="0" applyFill="1" applyBorder="1" applyProtection="1">
      <protection locked="0"/>
    </xf>
    <xf numFmtId="0" fontId="28" fillId="12" borderId="425" xfId="0" applyFont="1" applyFill="1" applyBorder="1" applyAlignment="1">
      <alignment horizontal="left" vertical="center" wrapText="1"/>
    </xf>
    <xf numFmtId="0" fontId="0" fillId="12" borderId="444" xfId="0" applyFill="1" applyBorder="1" applyProtection="1">
      <protection locked="0"/>
    </xf>
    <xf numFmtId="3" fontId="0" fillId="0" borderId="444" xfId="0" applyNumberFormat="1" applyBorder="1" applyAlignment="1" applyProtection="1">
      <alignment horizontal="right"/>
      <protection locked="0"/>
    </xf>
    <xf numFmtId="0" fontId="0" fillId="0" borderId="455" xfId="0" applyBorder="1" applyProtection="1">
      <protection locked="0"/>
    </xf>
    <xf numFmtId="0" fontId="0" fillId="6" borderId="456" xfId="0" applyFill="1" applyBorder="1"/>
    <xf numFmtId="0" fontId="0" fillId="6" borderId="457" xfId="0" applyFill="1" applyBorder="1" applyAlignment="1">
      <alignment wrapText="1"/>
    </xf>
    <xf numFmtId="0" fontId="0" fillId="6" borderId="457" xfId="0" applyFill="1" applyBorder="1" applyProtection="1">
      <protection locked="0"/>
    </xf>
    <xf numFmtId="0" fontId="0" fillId="6" borderId="457" xfId="0" applyFill="1" applyBorder="1" applyAlignment="1" applyProtection="1">
      <alignment vertical="center"/>
      <protection locked="0"/>
    </xf>
    <xf numFmtId="0" fontId="0" fillId="6" borderId="457" xfId="0" applyFill="1" applyBorder="1" applyAlignment="1" applyProtection="1">
      <alignment horizontal="right" vertical="center"/>
      <protection locked="0"/>
    </xf>
    <xf numFmtId="0" fontId="0" fillId="6" borderId="458" xfId="0" applyFill="1" applyBorder="1" applyAlignment="1" applyProtection="1">
      <alignment horizontal="right"/>
      <protection locked="0"/>
    </xf>
    <xf numFmtId="10" fontId="0" fillId="6" borderId="459" xfId="3" applyNumberFormat="1" applyFont="1" applyFill="1" applyBorder="1" applyProtection="1">
      <protection locked="0"/>
    </xf>
    <xf numFmtId="9" fontId="0" fillId="6" borderId="459" xfId="3" applyFont="1" applyFill="1" applyBorder="1" applyAlignment="1" applyProtection="1">
      <alignment horizontal="left"/>
      <protection locked="0"/>
    </xf>
    <xf numFmtId="9" fontId="0" fillId="6" borderId="459" xfId="3" applyFont="1" applyFill="1" applyBorder="1" applyProtection="1">
      <protection locked="0"/>
    </xf>
    <xf numFmtId="44" fontId="0" fillId="6" borderId="459" xfId="2" applyFont="1" applyFill="1" applyBorder="1" applyProtection="1">
      <protection locked="0"/>
    </xf>
    <xf numFmtId="5" fontId="0" fillId="6" borderId="459" xfId="2" applyNumberFormat="1" applyFont="1" applyFill="1" applyBorder="1" applyAlignment="1" applyProtection="1">
      <alignment horizontal="left"/>
      <protection locked="0"/>
    </xf>
    <xf numFmtId="44" fontId="0" fillId="6" borderId="459" xfId="2" applyFont="1" applyFill="1" applyBorder="1" applyAlignment="1" applyProtection="1">
      <alignment horizontal="left"/>
      <protection locked="0"/>
    </xf>
    <xf numFmtId="44" fontId="0" fillId="6" borderId="459" xfId="0" applyNumberFormat="1" applyFill="1" applyBorder="1" applyProtection="1">
      <protection locked="0"/>
    </xf>
    <xf numFmtId="5" fontId="0" fillId="6" borderId="459" xfId="0" applyNumberFormat="1" applyFill="1" applyBorder="1" applyAlignment="1" applyProtection="1">
      <alignment horizontal="left"/>
      <protection locked="0"/>
    </xf>
    <xf numFmtId="0" fontId="10" fillId="6" borderId="457" xfId="0" applyFont="1" applyFill="1" applyBorder="1" applyAlignment="1" applyProtection="1">
      <alignment horizontal="right" vertical="center"/>
      <protection locked="0"/>
    </xf>
    <xf numFmtId="164" fontId="10" fillId="6" borderId="458" xfId="1" applyNumberFormat="1" applyFont="1" applyFill="1" applyBorder="1" applyAlignment="1" applyProtection="1">
      <alignment horizontal="right"/>
      <protection locked="0"/>
    </xf>
    <xf numFmtId="165" fontId="11" fillId="6" borderId="459" xfId="0" applyNumberFormat="1" applyFont="1" applyFill="1" applyBorder="1" applyAlignment="1" applyProtection="1">
      <alignment horizontal="center"/>
      <protection locked="0"/>
    </xf>
    <xf numFmtId="165" fontId="11" fillId="6" borderId="459" xfId="0" applyNumberFormat="1" applyFont="1" applyFill="1" applyBorder="1" applyAlignment="1" applyProtection="1">
      <alignment horizontal="left"/>
      <protection locked="0"/>
    </xf>
    <xf numFmtId="0" fontId="10" fillId="6" borderId="458" xfId="0" applyFont="1" applyFill="1" applyBorder="1" applyAlignment="1" applyProtection="1">
      <alignment horizontal="right"/>
      <protection locked="0"/>
    </xf>
    <xf numFmtId="10" fontId="0" fillId="6" borderId="458" xfId="0" applyNumberFormat="1" applyFill="1" applyBorder="1" applyAlignment="1" applyProtection="1">
      <alignment horizontal="right"/>
      <protection locked="0"/>
    </xf>
    <xf numFmtId="0" fontId="0" fillId="6" borderId="460" xfId="0" applyFill="1" applyBorder="1" applyAlignment="1" applyProtection="1">
      <alignment horizontal="center"/>
      <protection locked="0"/>
    </xf>
    <xf numFmtId="7" fontId="0" fillId="6" borderId="459" xfId="0" applyNumberFormat="1" applyFill="1" applyBorder="1" applyAlignment="1" applyProtection="1">
      <alignment horizontal="center"/>
      <protection locked="0"/>
    </xf>
    <xf numFmtId="0" fontId="0" fillId="6" borderId="459" xfId="0" applyFill="1" applyBorder="1" applyAlignment="1" applyProtection="1">
      <alignment horizontal="center"/>
      <protection locked="0"/>
    </xf>
    <xf numFmtId="0" fontId="0" fillId="6" borderId="459" xfId="0" applyFill="1" applyBorder="1" applyAlignment="1" applyProtection="1">
      <alignment horizontal="left"/>
      <protection locked="0"/>
    </xf>
    <xf numFmtId="165" fontId="0" fillId="0" borderId="459" xfId="0" applyNumberFormat="1" applyBorder="1" applyAlignment="1" applyProtection="1">
      <alignment horizontal="right"/>
      <protection locked="0"/>
    </xf>
    <xf numFmtId="0" fontId="0" fillId="0" borderId="456" xfId="0" applyBorder="1" applyProtection="1">
      <protection locked="0"/>
    </xf>
    <xf numFmtId="0" fontId="0" fillId="0" borderId="457" xfId="0" applyBorder="1" applyAlignment="1" applyProtection="1">
      <alignment wrapText="1"/>
      <protection locked="0"/>
    </xf>
    <xf numFmtId="44" fontId="0" fillId="0" borderId="459" xfId="0" applyNumberFormat="1" applyBorder="1" applyProtection="1">
      <protection locked="0"/>
    </xf>
    <xf numFmtId="165" fontId="0" fillId="0" borderId="459" xfId="0" applyNumberFormat="1" applyBorder="1" applyProtection="1">
      <protection locked="0"/>
    </xf>
    <xf numFmtId="0" fontId="0" fillId="0" borderId="461" xfId="0" applyBorder="1"/>
    <xf numFmtId="0" fontId="0" fillId="0" borderId="462" xfId="0" applyBorder="1" applyAlignment="1">
      <alignment wrapText="1"/>
    </xf>
    <xf numFmtId="0" fontId="0" fillId="0" borderId="462" xfId="0" applyBorder="1" applyProtection="1">
      <protection locked="0"/>
    </xf>
    <xf numFmtId="0" fontId="0" fillId="0" borderId="463" xfId="0" applyBorder="1" applyProtection="1">
      <protection locked="0"/>
    </xf>
    <xf numFmtId="0" fontId="0" fillId="0" borderId="460" xfId="0" applyBorder="1" applyProtection="1">
      <protection locked="0"/>
    </xf>
    <xf numFmtId="0" fontId="0" fillId="0" borderId="459" xfId="0" applyBorder="1" applyAlignment="1" applyProtection="1">
      <alignment horizontal="center"/>
      <protection locked="0"/>
    </xf>
    <xf numFmtId="0" fontId="3" fillId="0" borderId="464" xfId="0" applyFont="1" applyBorder="1" applyAlignment="1" applyProtection="1">
      <alignment horizontal="right"/>
      <protection locked="0"/>
    </xf>
    <xf numFmtId="0" fontId="3" fillId="0" borderId="459" xfId="0" applyFont="1" applyBorder="1" applyAlignment="1" applyProtection="1">
      <alignment horizontal="right"/>
      <protection locked="0"/>
    </xf>
    <xf numFmtId="169" fontId="0" fillId="0" borderId="459" xfId="0" applyNumberFormat="1" applyBorder="1" applyAlignment="1" applyProtection="1">
      <alignment horizontal="center"/>
      <protection locked="0"/>
    </xf>
    <xf numFmtId="0" fontId="4" fillId="0" borderId="459" xfId="4" applyBorder="1" applyAlignment="1" applyProtection="1">
      <alignment horizontal="center" vertical="center"/>
      <protection locked="0"/>
    </xf>
    <xf numFmtId="0" fontId="3" fillId="0" borderId="461" xfId="0" applyFont="1" applyBorder="1" applyAlignment="1" applyProtection="1">
      <alignment horizontal="right"/>
      <protection locked="0"/>
    </xf>
    <xf numFmtId="5" fontId="0" fillId="0" borderId="460" xfId="2" applyNumberFormat="1" applyFont="1" applyBorder="1" applyAlignment="1" applyProtection="1">
      <alignment horizontal="center"/>
      <protection locked="0"/>
    </xf>
    <xf numFmtId="0" fontId="0" fillId="0" borderId="456" xfId="0" applyBorder="1" applyAlignment="1">
      <alignment horizontal="right"/>
    </xf>
    <xf numFmtId="0" fontId="0" fillId="0" borderId="457" xfId="0" applyBorder="1" applyAlignment="1">
      <alignment wrapText="1"/>
    </xf>
    <xf numFmtId="0" fontId="0" fillId="0" borderId="457" xfId="0" applyBorder="1" applyProtection="1">
      <protection locked="0"/>
    </xf>
    <xf numFmtId="0" fontId="0" fillId="0" borderId="458" xfId="0" applyBorder="1" applyAlignment="1" applyProtection="1">
      <alignment horizontal="right"/>
      <protection locked="0"/>
    </xf>
    <xf numFmtId="0" fontId="0" fillId="0" borderId="464" xfId="0" applyBorder="1" applyAlignment="1" applyProtection="1">
      <alignment horizontal="center"/>
      <protection locked="0"/>
    </xf>
    <xf numFmtId="0" fontId="0" fillId="0" borderId="465" xfId="0" applyBorder="1" applyAlignment="1" applyProtection="1">
      <alignment horizontal="center"/>
      <protection locked="0"/>
    </xf>
    <xf numFmtId="0" fontId="0" fillId="0" borderId="457" xfId="0" applyBorder="1" applyAlignment="1">
      <alignment horizontal="left" wrapText="1"/>
    </xf>
    <xf numFmtId="169" fontId="0" fillId="0" borderId="464" xfId="0" applyNumberFormat="1" applyBorder="1" applyAlignment="1" applyProtection="1">
      <alignment horizontal="center"/>
      <protection locked="0"/>
    </xf>
    <xf numFmtId="169" fontId="0" fillId="0" borderId="465" xfId="0" applyNumberFormat="1" applyBorder="1" applyAlignment="1" applyProtection="1">
      <alignment horizontal="center"/>
      <protection locked="0"/>
    </xf>
    <xf numFmtId="14" fontId="0" fillId="0" borderId="457" xfId="0" applyNumberFormat="1" applyBorder="1" applyAlignment="1">
      <alignment horizontal="left" wrapText="1"/>
    </xf>
    <xf numFmtId="0" fontId="4" fillId="0" borderId="464" xfId="4" applyBorder="1" applyAlignment="1" applyProtection="1">
      <alignment horizontal="center" vertical="center"/>
      <protection locked="0"/>
    </xf>
    <xf numFmtId="0" fontId="4" fillId="0" borderId="465" xfId="4" applyBorder="1" applyAlignment="1" applyProtection="1">
      <alignment horizontal="center" vertical="center"/>
      <protection locked="0"/>
    </xf>
    <xf numFmtId="5" fontId="0" fillId="0" borderId="466" xfId="2" applyNumberFormat="1" applyFont="1" applyBorder="1" applyAlignment="1" applyProtection="1">
      <alignment horizontal="center"/>
      <protection locked="0"/>
    </xf>
    <xf numFmtId="5" fontId="0" fillId="0" borderId="467" xfId="2" applyNumberFormat="1" applyFont="1" applyBorder="1" applyAlignment="1" applyProtection="1">
      <alignment horizontal="center"/>
      <protection locked="0"/>
    </xf>
    <xf numFmtId="0" fontId="0" fillId="0" borderId="456" xfId="0" applyBorder="1"/>
    <xf numFmtId="0" fontId="0" fillId="0" borderId="458" xfId="0" applyBorder="1" applyProtection="1">
      <protection locked="0"/>
    </xf>
    <xf numFmtId="5" fontId="0" fillId="0" borderId="459" xfId="2" applyNumberFormat="1" applyFont="1" applyBorder="1" applyProtection="1">
      <protection locked="0"/>
    </xf>
    <xf numFmtId="0" fontId="5" fillId="0" borderId="457" xfId="0" applyFont="1" applyBorder="1" applyProtection="1">
      <protection locked="0"/>
    </xf>
    <xf numFmtId="44" fontId="28" fillId="0" borderId="459" xfId="2" applyFont="1" applyBorder="1" applyAlignment="1">
      <alignment horizontal="center" vertical="center"/>
    </xf>
    <xf numFmtId="0" fontId="3" fillId="3" borderId="457" xfId="0" applyFont="1" applyFill="1" applyBorder="1" applyAlignment="1">
      <alignment horizontal="center" wrapText="1"/>
    </xf>
    <xf numFmtId="0" fontId="0" fillId="0" borderId="459" xfId="0" applyBorder="1" applyProtection="1">
      <protection locked="0"/>
    </xf>
    <xf numFmtId="0" fontId="0" fillId="0" borderId="465" xfId="0" applyBorder="1" applyProtection="1">
      <protection locked="0"/>
    </xf>
    <xf numFmtId="0" fontId="6" fillId="0" borderId="457" xfId="0" applyFont="1" applyBorder="1" applyAlignment="1">
      <alignment horizontal="left" vertical="center" wrapText="1"/>
    </xf>
    <xf numFmtId="0" fontId="0" fillId="0" borderId="468" xfId="0" applyBorder="1" applyProtection="1">
      <protection locked="0"/>
    </xf>
    <xf numFmtId="0" fontId="28" fillId="30" borderId="449" xfId="0" applyFont="1" applyFill="1" applyBorder="1" applyAlignment="1">
      <alignment vertical="top"/>
    </xf>
    <xf numFmtId="44" fontId="0" fillId="30" borderId="455" xfId="2" applyFont="1" applyFill="1" applyBorder="1" applyProtection="1">
      <protection locked="0"/>
    </xf>
    <xf numFmtId="0" fontId="0" fillId="30" borderId="457" xfId="0" applyFill="1" applyBorder="1" applyProtection="1">
      <protection locked="0"/>
    </xf>
    <xf numFmtId="165" fontId="0" fillId="30" borderId="457" xfId="0" applyNumberFormat="1" applyFill="1" applyBorder="1" applyProtection="1">
      <protection locked="0"/>
    </xf>
    <xf numFmtId="165" fontId="0" fillId="30" borderId="458" xfId="0" applyNumberFormat="1" applyFill="1" applyBorder="1" applyProtection="1">
      <protection locked="0"/>
    </xf>
    <xf numFmtId="44" fontId="28" fillId="30" borderId="459" xfId="2" applyFont="1" applyFill="1" applyBorder="1" applyAlignment="1">
      <alignment horizontal="center" vertical="center"/>
    </xf>
    <xf numFmtId="0" fontId="28" fillId="0" borderId="449" xfId="0" applyFont="1" applyBorder="1" applyAlignment="1">
      <alignment vertical="top"/>
    </xf>
    <xf numFmtId="44" fontId="0" fillId="0" borderId="455" xfId="2" applyFont="1" applyBorder="1" applyProtection="1">
      <protection locked="0"/>
    </xf>
    <xf numFmtId="165" fontId="0" fillId="0" borderId="457" xfId="0" applyNumberFormat="1" applyBorder="1" applyProtection="1">
      <protection locked="0"/>
    </xf>
    <xf numFmtId="165" fontId="0" fillId="0" borderId="458" xfId="0" applyNumberFormat="1" applyBorder="1" applyProtection="1">
      <protection locked="0"/>
    </xf>
    <xf numFmtId="0" fontId="28" fillId="12" borderId="449" xfId="0" applyFont="1" applyFill="1" applyBorder="1" applyAlignment="1">
      <alignment vertical="top"/>
    </xf>
    <xf numFmtId="44" fontId="0" fillId="12" borderId="455" xfId="2" applyFont="1" applyFill="1" applyBorder="1" applyProtection="1">
      <protection locked="0"/>
    </xf>
    <xf numFmtId="0" fontId="0" fillId="12" borderId="457" xfId="0" applyFill="1" applyBorder="1" applyProtection="1">
      <protection locked="0"/>
    </xf>
    <xf numFmtId="165" fontId="0" fillId="12" borderId="457" xfId="0" applyNumberFormat="1" applyFill="1" applyBorder="1" applyProtection="1">
      <protection locked="0"/>
    </xf>
    <xf numFmtId="165" fontId="0" fillId="12" borderId="458" xfId="0" applyNumberFormat="1" applyFill="1" applyBorder="1" applyProtection="1">
      <protection locked="0"/>
    </xf>
    <xf numFmtId="44" fontId="28" fillId="12" borderId="459" xfId="2" applyFont="1" applyFill="1" applyBorder="1" applyAlignment="1">
      <alignment horizontal="center" vertical="center"/>
    </xf>
    <xf numFmtId="0" fontId="28" fillId="0" borderId="449" xfId="0" applyFont="1" applyBorder="1" applyAlignment="1">
      <alignment vertical="top" wrapText="1"/>
    </xf>
    <xf numFmtId="0" fontId="62" fillId="0" borderId="464" xfId="0" applyFont="1" applyBorder="1" applyAlignment="1">
      <alignment horizontal="center"/>
    </xf>
    <xf numFmtId="0" fontId="62" fillId="0" borderId="464" xfId="0" applyFont="1" applyBorder="1" applyAlignment="1">
      <alignment horizontal="center" wrapText="1"/>
    </xf>
    <xf numFmtId="0" fontId="62" fillId="0" borderId="244" xfId="0" applyFont="1" applyBorder="1" applyAlignment="1">
      <alignment horizontal="center" wrapText="1"/>
    </xf>
    <xf numFmtId="0" fontId="4" fillId="0" borderId="464" xfId="4" applyBorder="1" applyAlignment="1">
      <alignment horizontal="center"/>
    </xf>
    <xf numFmtId="0" fontId="4" fillId="0" borderId="244" xfId="4" applyBorder="1" applyAlignment="1">
      <alignment horizontal="center"/>
    </xf>
    <xf numFmtId="0" fontId="28" fillId="25" borderId="469" xfId="0" applyFont="1" applyFill="1" applyBorder="1" applyAlignment="1">
      <alignment horizontal="left"/>
    </xf>
    <xf numFmtId="0" fontId="0" fillId="25" borderId="457" xfId="0" applyFill="1" applyBorder="1" applyProtection="1">
      <protection locked="0"/>
    </xf>
    <xf numFmtId="6" fontId="0" fillId="25" borderId="203" xfId="0" applyNumberFormat="1" applyFill="1" applyBorder="1" applyProtection="1">
      <protection locked="0"/>
    </xf>
    <xf numFmtId="0" fontId="5" fillId="25" borderId="459" xfId="0" applyFont="1" applyFill="1" applyBorder="1" applyProtection="1">
      <protection locked="0"/>
    </xf>
    <xf numFmtId="6" fontId="0" fillId="25" borderId="470" xfId="0" applyNumberFormat="1" applyFill="1" applyBorder="1" applyProtection="1">
      <protection locked="0"/>
    </xf>
    <xf numFmtId="4" fontId="0" fillId="0" borderId="203" xfId="0" applyNumberFormat="1" applyBorder="1" applyProtection="1">
      <protection locked="0"/>
    </xf>
    <xf numFmtId="8" fontId="0" fillId="0" borderId="457" xfId="0" applyNumberFormat="1" applyBorder="1" applyProtection="1">
      <protection locked="0"/>
    </xf>
    <xf numFmtId="6" fontId="0" fillId="0" borderId="203" xfId="0" applyNumberFormat="1" applyBorder="1" applyProtection="1">
      <protection locked="0"/>
    </xf>
    <xf numFmtId="6" fontId="0" fillId="0" borderId="444" xfId="0" applyNumberFormat="1" applyBorder="1" applyProtection="1">
      <protection locked="0"/>
    </xf>
    <xf numFmtId="6" fontId="0" fillId="0" borderId="471" xfId="0" applyNumberFormat="1" applyBorder="1" applyProtection="1">
      <protection locked="0"/>
    </xf>
    <xf numFmtId="6" fontId="0" fillId="0" borderId="470" xfId="0" applyNumberFormat="1" applyBorder="1" applyProtection="1">
      <protection locked="0"/>
    </xf>
    <xf numFmtId="6" fontId="0" fillId="0" borderId="457" xfId="0" applyNumberFormat="1" applyBorder="1" applyProtection="1">
      <protection locked="0"/>
    </xf>
    <xf numFmtId="0" fontId="28" fillId="30" borderId="449" xfId="0" applyFont="1" applyFill="1" applyBorder="1" applyAlignment="1">
      <alignment vertical="top" wrapText="1"/>
    </xf>
    <xf numFmtId="4" fontId="0" fillId="30" borderId="203" xfId="0" applyNumberFormat="1" applyFill="1" applyBorder="1" applyProtection="1">
      <protection locked="0"/>
    </xf>
    <xf numFmtId="8" fontId="0" fillId="30" borderId="457" xfId="0" applyNumberFormat="1" applyFill="1" applyBorder="1" applyProtection="1">
      <protection locked="0"/>
    </xf>
    <xf numFmtId="6" fontId="0" fillId="30" borderId="203" xfId="0" applyNumberFormat="1" applyFill="1" applyBorder="1" applyProtection="1">
      <protection locked="0"/>
    </xf>
    <xf numFmtId="6" fontId="0" fillId="30" borderId="444" xfId="0" applyNumberFormat="1" applyFill="1" applyBorder="1" applyProtection="1">
      <protection locked="0"/>
    </xf>
    <xf numFmtId="6" fontId="0" fillId="30" borderId="471" xfId="0" applyNumberFormat="1" applyFill="1" applyBorder="1" applyProtection="1">
      <protection locked="0"/>
    </xf>
    <xf numFmtId="0" fontId="28" fillId="12" borderId="449" xfId="0" applyFont="1" applyFill="1" applyBorder="1" applyAlignment="1">
      <alignment vertical="top" wrapText="1"/>
    </xf>
    <xf numFmtId="4" fontId="0" fillId="12" borderId="203" xfId="0" applyNumberFormat="1" applyFill="1" applyBorder="1" applyProtection="1">
      <protection locked="0"/>
    </xf>
    <xf numFmtId="8" fontId="0" fillId="12" borderId="457" xfId="0" applyNumberFormat="1" applyFill="1" applyBorder="1" applyProtection="1">
      <protection locked="0"/>
    </xf>
    <xf numFmtId="6" fontId="0" fillId="12" borderId="203" xfId="0" applyNumberFormat="1" applyFill="1" applyBorder="1" applyProtection="1">
      <protection locked="0"/>
    </xf>
    <xf numFmtId="6" fontId="0" fillId="12" borderId="444" xfId="0" applyNumberFormat="1" applyFill="1" applyBorder="1" applyProtection="1">
      <protection locked="0"/>
    </xf>
    <xf numFmtId="6" fontId="0" fillId="12" borderId="471" xfId="0" applyNumberFormat="1" applyFill="1" applyBorder="1" applyProtection="1">
      <protection locked="0"/>
    </xf>
    <xf numFmtId="0" fontId="28" fillId="23" borderId="449" xfId="0" applyFont="1" applyFill="1" applyBorder="1" applyAlignment="1">
      <alignment horizontal="left" vertical="center" wrapText="1"/>
    </xf>
    <xf numFmtId="0" fontId="28" fillId="7" borderId="449" xfId="0" applyFont="1" applyFill="1" applyBorder="1" applyAlignment="1">
      <alignment horizontal="left" vertical="center" wrapText="1"/>
    </xf>
    <xf numFmtId="0" fontId="28" fillId="0" borderId="449" xfId="0" applyFont="1" applyBorder="1" applyAlignment="1">
      <alignment horizontal="left" vertical="center" wrapText="1"/>
    </xf>
    <xf numFmtId="0" fontId="28" fillId="9" borderId="472" xfId="0" applyFont="1" applyFill="1" applyBorder="1" applyAlignment="1">
      <alignment horizontal="left" vertical="center" wrapText="1"/>
    </xf>
    <xf numFmtId="0" fontId="28" fillId="9" borderId="473" xfId="0" applyFont="1" applyFill="1" applyBorder="1" applyAlignment="1">
      <alignment horizontal="left" vertical="center" wrapText="1"/>
    </xf>
    <xf numFmtId="0" fontId="28" fillId="9" borderId="474" xfId="0" applyFont="1" applyFill="1" applyBorder="1" applyAlignment="1">
      <alignment horizontal="left" vertical="center" wrapText="1"/>
    </xf>
    <xf numFmtId="44" fontId="28" fillId="0" borderId="475" xfId="2" applyFont="1" applyBorder="1" applyAlignment="1">
      <alignment horizontal="center" vertical="center"/>
    </xf>
    <xf numFmtId="6" fontId="0" fillId="0" borderId="476" xfId="0" applyNumberFormat="1" applyBorder="1" applyProtection="1">
      <protection locked="0"/>
    </xf>
    <xf numFmtId="3" fontId="0" fillId="0" borderId="477" xfId="0" applyNumberFormat="1" applyBorder="1" applyAlignment="1" applyProtection="1">
      <alignment horizontal="left"/>
      <protection locked="0"/>
    </xf>
    <xf numFmtId="6" fontId="0" fillId="7" borderId="477" xfId="0" applyNumberFormat="1" applyFill="1" applyBorder="1" applyProtection="1">
      <protection locked="0"/>
    </xf>
    <xf numFmtId="0" fontId="28" fillId="23" borderId="478" xfId="0" applyFont="1" applyFill="1" applyBorder="1" applyAlignment="1">
      <alignment horizontal="left" vertical="center" wrapText="1"/>
    </xf>
    <xf numFmtId="0" fontId="28" fillId="0" borderId="478" xfId="0" applyFont="1" applyBorder="1" applyAlignment="1">
      <alignment vertical="top" wrapText="1"/>
    </xf>
    <xf numFmtId="0" fontId="0" fillId="0" borderId="479" xfId="0" applyBorder="1" applyAlignment="1">
      <alignment vertical="top"/>
    </xf>
    <xf numFmtId="0" fontId="28" fillId="9" borderId="480" xfId="0" applyFont="1" applyFill="1" applyBorder="1" applyAlignment="1">
      <alignment horizontal="left" wrapText="1"/>
    </xf>
    <xf numFmtId="0" fontId="0" fillId="6" borderId="479" xfId="0" applyFill="1" applyBorder="1"/>
    <xf numFmtId="10" fontId="0" fillId="6" borderId="475" xfId="3" applyNumberFormat="1" applyFont="1" applyFill="1" applyBorder="1" applyProtection="1">
      <protection locked="0"/>
    </xf>
    <xf numFmtId="9" fontId="0" fillId="6" borderId="475" xfId="3" applyFont="1" applyFill="1" applyBorder="1" applyAlignment="1" applyProtection="1">
      <alignment horizontal="left"/>
      <protection locked="0"/>
    </xf>
    <xf numFmtId="9" fontId="0" fillId="6" borderId="475" xfId="3" applyFont="1" applyFill="1" applyBorder="1" applyProtection="1">
      <protection locked="0"/>
    </xf>
    <xf numFmtId="44" fontId="0" fillId="6" borderId="475" xfId="2" applyFont="1" applyFill="1" applyBorder="1" applyProtection="1">
      <protection locked="0"/>
    </xf>
    <xf numFmtId="5" fontId="0" fillId="6" borderId="475" xfId="2" applyNumberFormat="1" applyFont="1" applyFill="1" applyBorder="1" applyAlignment="1" applyProtection="1">
      <alignment horizontal="left"/>
      <protection locked="0"/>
    </xf>
    <xf numFmtId="44" fontId="0" fillId="6" borderId="475" xfId="2" applyFont="1" applyFill="1" applyBorder="1" applyAlignment="1" applyProtection="1">
      <alignment horizontal="left"/>
      <protection locked="0"/>
    </xf>
    <xf numFmtId="44" fontId="0" fillId="6" borderId="475" xfId="0" applyNumberFormat="1" applyFill="1" applyBorder="1" applyProtection="1">
      <protection locked="0"/>
    </xf>
    <xf numFmtId="5" fontId="0" fillId="6" borderId="475" xfId="0" applyNumberFormat="1" applyFill="1" applyBorder="1" applyAlignment="1" applyProtection="1">
      <alignment horizontal="left"/>
      <protection locked="0"/>
    </xf>
    <xf numFmtId="165" fontId="11" fillId="6" borderId="475" xfId="0" applyNumberFormat="1" applyFont="1" applyFill="1" applyBorder="1" applyAlignment="1" applyProtection="1">
      <alignment horizontal="center"/>
      <protection locked="0"/>
    </xf>
    <xf numFmtId="165" fontId="11" fillId="6" borderId="475" xfId="0" applyNumberFormat="1" applyFont="1" applyFill="1" applyBorder="1" applyAlignment="1" applyProtection="1">
      <alignment horizontal="left"/>
      <protection locked="0"/>
    </xf>
    <xf numFmtId="0" fontId="0" fillId="6" borderId="481" xfId="0" applyFill="1" applyBorder="1" applyAlignment="1" applyProtection="1">
      <alignment horizontal="center"/>
      <protection locked="0"/>
    </xf>
    <xf numFmtId="7" fontId="0" fillId="6" borderId="475" xfId="0" applyNumberFormat="1" applyFill="1" applyBorder="1" applyAlignment="1" applyProtection="1">
      <alignment horizontal="center"/>
      <protection locked="0"/>
    </xf>
    <xf numFmtId="0" fontId="0" fillId="6" borderId="475" xfId="0" applyFill="1" applyBorder="1" applyAlignment="1" applyProtection="1">
      <alignment horizontal="center"/>
      <protection locked="0"/>
    </xf>
    <xf numFmtId="0" fontId="0" fillId="6" borderId="475" xfId="0" applyFill="1" applyBorder="1" applyAlignment="1" applyProtection="1">
      <alignment horizontal="left"/>
      <protection locked="0"/>
    </xf>
    <xf numFmtId="0" fontId="0" fillId="0" borderId="482" xfId="0" applyBorder="1" applyProtection="1">
      <protection locked="0"/>
    </xf>
    <xf numFmtId="0" fontId="0" fillId="0" borderId="483" xfId="0" applyBorder="1" applyProtection="1">
      <protection locked="0"/>
    </xf>
    <xf numFmtId="165" fontId="0" fillId="0" borderId="475" xfId="0" applyNumberFormat="1" applyBorder="1" applyAlignment="1" applyProtection="1">
      <alignment horizontal="right"/>
      <protection locked="0"/>
    </xf>
    <xf numFmtId="0" fontId="0" fillId="0" borderId="479" xfId="0" applyBorder="1" applyProtection="1">
      <protection locked="0"/>
    </xf>
    <xf numFmtId="44" fontId="0" fillId="0" borderId="475" xfId="0" applyNumberFormat="1" applyBorder="1" applyProtection="1">
      <protection locked="0"/>
    </xf>
    <xf numFmtId="0" fontId="0" fillId="0" borderId="482" xfId="0" applyBorder="1" applyAlignment="1" applyProtection="1">
      <alignment wrapText="1"/>
      <protection locked="0"/>
    </xf>
    <xf numFmtId="165" fontId="0" fillId="0" borderId="475" xfId="0" applyNumberFormat="1" applyBorder="1" applyProtection="1">
      <protection locked="0"/>
    </xf>
    <xf numFmtId="0" fontId="0" fillId="0" borderId="482" xfId="0" applyBorder="1" applyAlignment="1">
      <alignment wrapText="1"/>
    </xf>
    <xf numFmtId="0" fontId="0" fillId="0" borderId="484" xfId="0" applyBorder="1"/>
    <xf numFmtId="0" fontId="0" fillId="0" borderId="485" xfId="0" applyBorder="1" applyAlignment="1">
      <alignment wrapText="1"/>
    </xf>
    <xf numFmtId="0" fontId="0" fillId="0" borderId="485" xfId="0" applyBorder="1" applyProtection="1">
      <protection locked="0"/>
    </xf>
    <xf numFmtId="0" fontId="0" fillId="0" borderId="486" xfId="0" applyBorder="1" applyProtection="1">
      <protection locked="0"/>
    </xf>
    <xf numFmtId="0" fontId="0" fillId="0" borderId="481" xfId="0" applyBorder="1" applyProtection="1">
      <protection locked="0"/>
    </xf>
    <xf numFmtId="0" fontId="0" fillId="0" borderId="475" xfId="0" applyBorder="1" applyAlignment="1" applyProtection="1">
      <alignment horizontal="center"/>
      <protection locked="0"/>
    </xf>
    <xf numFmtId="0" fontId="3" fillId="0" borderId="487" xfId="0" applyFont="1" applyBorder="1" applyAlignment="1" applyProtection="1">
      <alignment horizontal="right"/>
      <protection locked="0"/>
    </xf>
    <xf numFmtId="0" fontId="3" fillId="0" borderId="475" xfId="0" applyFont="1" applyBorder="1" applyAlignment="1" applyProtection="1">
      <alignment horizontal="right"/>
      <protection locked="0"/>
    </xf>
    <xf numFmtId="169" fontId="0" fillId="0" borderId="475" xfId="0" applyNumberFormat="1" applyBorder="1" applyAlignment="1" applyProtection="1">
      <alignment horizontal="center"/>
      <protection locked="0"/>
    </xf>
    <xf numFmtId="169" fontId="4" fillId="0" borderId="475" xfId="4" applyNumberFormat="1" applyBorder="1" applyAlignment="1" applyProtection="1">
      <alignment horizontal="center" vertical="center"/>
      <protection locked="0"/>
    </xf>
    <xf numFmtId="0" fontId="3" fillId="0" borderId="484" xfId="0" applyFont="1" applyBorder="1" applyAlignment="1" applyProtection="1">
      <alignment horizontal="right"/>
      <protection locked="0"/>
    </xf>
    <xf numFmtId="5" fontId="0" fillId="0" borderId="481" xfId="2" applyNumberFormat="1" applyFont="1" applyBorder="1" applyAlignment="1" applyProtection="1">
      <alignment horizontal="center"/>
      <protection locked="0"/>
    </xf>
    <xf numFmtId="0" fontId="0" fillId="0" borderId="479" xfId="0" applyBorder="1" applyAlignment="1">
      <alignment horizontal="right"/>
    </xf>
    <xf numFmtId="0" fontId="0" fillId="0" borderId="487" xfId="0" applyBorder="1" applyAlignment="1" applyProtection="1">
      <alignment horizontal="center"/>
      <protection locked="0"/>
    </xf>
    <xf numFmtId="0" fontId="62" fillId="0" borderId="487" xfId="0" applyFont="1" applyBorder="1" applyAlignment="1">
      <alignment horizontal="center"/>
    </xf>
    <xf numFmtId="169" fontId="0" fillId="0" borderId="487" xfId="0" applyNumberFormat="1" applyBorder="1" applyAlignment="1" applyProtection="1">
      <alignment horizontal="center"/>
      <protection locked="0"/>
    </xf>
    <xf numFmtId="0" fontId="62" fillId="0" borderId="487" xfId="0" applyFont="1" applyBorder="1" applyAlignment="1">
      <alignment horizontal="center" wrapText="1"/>
    </xf>
    <xf numFmtId="0" fontId="4" fillId="0" borderId="487" xfId="4" applyBorder="1" applyAlignment="1" applyProtection="1">
      <alignment horizontal="center" vertical="center"/>
      <protection locked="0"/>
    </xf>
    <xf numFmtId="0" fontId="4" fillId="0" borderId="487" xfId="4" applyBorder="1" applyAlignment="1">
      <alignment horizontal="center"/>
    </xf>
    <xf numFmtId="5" fontId="0" fillId="0" borderId="488" xfId="2" applyNumberFormat="1" applyFont="1" applyBorder="1" applyAlignment="1" applyProtection="1">
      <alignment horizontal="center"/>
      <protection locked="0"/>
    </xf>
    <xf numFmtId="5" fontId="0" fillId="0" borderId="489" xfId="2" applyNumberFormat="1" applyFont="1" applyBorder="1" applyAlignment="1" applyProtection="1">
      <alignment horizontal="center"/>
      <protection locked="0"/>
    </xf>
    <xf numFmtId="0" fontId="0" fillId="0" borderId="479" xfId="0" applyBorder="1"/>
    <xf numFmtId="0" fontId="3" fillId="0" borderId="482" xfId="0" applyFont="1" applyBorder="1" applyAlignment="1">
      <alignment wrapText="1"/>
    </xf>
    <xf numFmtId="5" fontId="0" fillId="0" borderId="475" xfId="2" applyNumberFormat="1" applyFont="1" applyBorder="1" applyProtection="1">
      <protection locked="0"/>
    </xf>
    <xf numFmtId="0" fontId="0" fillId="0" borderId="475" xfId="0" applyBorder="1" applyProtection="1">
      <protection locked="0"/>
    </xf>
    <xf numFmtId="0" fontId="0" fillId="0" borderId="477" xfId="0" applyBorder="1" applyProtection="1">
      <protection locked="0"/>
    </xf>
    <xf numFmtId="0" fontId="28" fillId="0" borderId="490" xfId="0" applyFont="1" applyBorder="1" applyAlignment="1">
      <alignment vertical="center"/>
    </xf>
    <xf numFmtId="0" fontId="28" fillId="0" borderId="490" xfId="0" quotePrefix="1" applyFont="1" applyBorder="1"/>
    <xf numFmtId="0" fontId="28" fillId="22" borderId="490" xfId="0" applyFont="1" applyFill="1" applyBorder="1" applyAlignment="1">
      <alignment horizontal="center"/>
    </xf>
    <xf numFmtId="0" fontId="28" fillId="25" borderId="480" xfId="0" applyFont="1" applyFill="1" applyBorder="1" applyAlignment="1">
      <alignment horizontal="left"/>
    </xf>
    <xf numFmtId="0" fontId="5" fillId="25" borderId="475" xfId="0" applyFont="1" applyFill="1" applyBorder="1" applyProtection="1">
      <protection locked="0"/>
    </xf>
    <xf numFmtId="3" fontId="0" fillId="25" borderId="477" xfId="0" applyNumberFormat="1" applyFill="1" applyBorder="1" applyAlignment="1" applyProtection="1">
      <alignment horizontal="left"/>
      <protection locked="0"/>
    </xf>
    <xf numFmtId="0" fontId="28" fillId="9" borderId="491" xfId="0" applyFont="1" applyFill="1" applyBorder="1" applyAlignment="1">
      <alignment horizontal="left" vertical="center" wrapText="1"/>
    </xf>
    <xf numFmtId="0" fontId="28" fillId="30" borderId="491" xfId="0" applyFont="1" applyFill="1" applyBorder="1" applyAlignment="1">
      <alignment horizontal="left" vertical="center" wrapText="1"/>
    </xf>
    <xf numFmtId="44" fontId="28" fillId="30" borderId="475" xfId="2" applyFont="1" applyFill="1" applyBorder="1" applyAlignment="1">
      <alignment horizontal="center" vertical="center"/>
    </xf>
    <xf numFmtId="3" fontId="0" fillId="30" borderId="477" xfId="0" applyNumberFormat="1" applyFill="1" applyBorder="1" applyAlignment="1" applyProtection="1">
      <alignment horizontal="left"/>
      <protection locked="0"/>
    </xf>
    <xf numFmtId="0" fontId="28" fillId="12" borderId="491" xfId="0" applyFont="1" applyFill="1" applyBorder="1" applyAlignment="1">
      <alignment horizontal="left" vertical="center" wrapText="1"/>
    </xf>
    <xf numFmtId="44" fontId="28" fillId="12" borderId="475" xfId="2" applyFont="1" applyFill="1" applyBorder="1" applyAlignment="1">
      <alignment horizontal="center" vertical="center"/>
    </xf>
    <xf numFmtId="3" fontId="0" fillId="12" borderId="477" xfId="0" applyNumberFormat="1" applyFill="1" applyBorder="1" applyAlignment="1" applyProtection="1">
      <alignment horizontal="left"/>
      <protection locked="0"/>
    </xf>
    <xf numFmtId="0" fontId="87" fillId="9" borderId="491" xfId="0" applyFont="1" applyFill="1" applyBorder="1" applyAlignment="1">
      <alignment horizontal="left" vertical="center" wrapText="1"/>
    </xf>
    <xf numFmtId="0" fontId="28" fillId="9" borderId="474" xfId="0" applyFont="1" applyFill="1" applyBorder="1" applyAlignment="1">
      <alignment horizontal="left" wrapText="1"/>
    </xf>
    <xf numFmtId="0" fontId="0" fillId="0" borderId="492" xfId="0" applyBorder="1" applyAlignment="1">
      <alignment vertical="top"/>
    </xf>
    <xf numFmtId="2" fontId="0" fillId="0" borderId="457" xfId="0" applyNumberFormat="1" applyBorder="1" applyProtection="1">
      <protection locked="0"/>
    </xf>
    <xf numFmtId="0" fontId="28" fillId="9" borderId="469" xfId="0" applyFont="1" applyFill="1" applyBorder="1" applyAlignment="1">
      <alignment horizontal="left" vertical="center" wrapText="1"/>
    </xf>
    <xf numFmtId="0" fontId="28" fillId="0" borderId="493" xfId="0" applyFont="1" applyBorder="1" applyAlignment="1">
      <alignment vertical="top"/>
    </xf>
    <xf numFmtId="0" fontId="28" fillId="0" borderId="493" xfId="0" applyFont="1" applyBorder="1" applyAlignment="1">
      <alignment vertical="top" wrapText="1"/>
    </xf>
    <xf numFmtId="0" fontId="28" fillId="9" borderId="443" xfId="0" applyFont="1" applyFill="1" applyBorder="1" applyAlignment="1">
      <alignment horizontal="left" vertical="center"/>
    </xf>
    <xf numFmtId="0" fontId="29" fillId="9" borderId="469" xfId="0" applyFont="1" applyFill="1" applyBorder="1" applyAlignment="1">
      <alignment horizontal="left" wrapText="1"/>
    </xf>
    <xf numFmtId="0" fontId="28" fillId="9" borderId="491" xfId="0" applyFont="1" applyFill="1" applyBorder="1" applyAlignment="1">
      <alignment horizontal="left" wrapText="1"/>
    </xf>
    <xf numFmtId="0" fontId="28" fillId="9" borderId="469" xfId="0" applyFont="1" applyFill="1" applyBorder="1" applyAlignment="1">
      <alignment horizontal="left" wrapText="1"/>
    </xf>
    <xf numFmtId="0" fontId="6" fillId="0" borderId="203" xfId="0" applyFont="1" applyBorder="1" applyAlignment="1">
      <alignment horizontal="left" vertical="center" wrapText="1"/>
    </xf>
    <xf numFmtId="0" fontId="0" fillId="0" borderId="494" xfId="0" applyBorder="1" applyProtection="1">
      <protection locked="0"/>
    </xf>
    <xf numFmtId="0" fontId="0" fillId="0" borderId="495" xfId="0" applyBorder="1" applyProtection="1">
      <protection locked="0"/>
    </xf>
    <xf numFmtId="0" fontId="0" fillId="0" borderId="494" xfId="0" applyBorder="1" applyAlignment="1" applyProtection="1">
      <alignment wrapText="1"/>
      <protection locked="0"/>
    </xf>
    <xf numFmtId="0" fontId="0" fillId="0" borderId="494" xfId="0" applyBorder="1" applyAlignment="1">
      <alignment wrapText="1"/>
    </xf>
    <xf numFmtId="0" fontId="4" fillId="0" borderId="475" xfId="4" applyBorder="1" applyAlignment="1" applyProtection="1">
      <alignment horizontal="center" vertical="center"/>
      <protection locked="0"/>
    </xf>
    <xf numFmtId="0" fontId="3" fillId="0" borderId="494" xfId="0" applyFont="1" applyBorder="1" applyAlignment="1">
      <alignment wrapText="1"/>
    </xf>
    <xf numFmtId="0" fontId="0" fillId="3" borderId="170" xfId="0" applyFill="1" applyBorder="1" applyAlignment="1">
      <alignment vertical="top"/>
    </xf>
    <xf numFmtId="3" fontId="0" fillId="0" borderId="165" xfId="0" applyNumberFormat="1" applyBorder="1" applyAlignment="1" applyProtection="1">
      <alignment horizontal="left"/>
      <protection locked="0"/>
    </xf>
    <xf numFmtId="0" fontId="28" fillId="0" borderId="496" xfId="0" applyFont="1" applyBorder="1" applyAlignment="1">
      <alignment vertical="center"/>
    </xf>
    <xf numFmtId="0" fontId="28" fillId="0" borderId="496" xfId="0" quotePrefix="1" applyFont="1" applyBorder="1"/>
    <xf numFmtId="0" fontId="28" fillId="22" borderId="496" xfId="0" applyFont="1" applyFill="1" applyBorder="1" applyAlignment="1">
      <alignment horizontal="center"/>
    </xf>
    <xf numFmtId="3" fontId="0" fillId="25" borderId="165" xfId="0" applyNumberFormat="1" applyFill="1" applyBorder="1" applyAlignment="1" applyProtection="1">
      <alignment horizontal="left"/>
      <protection locked="0"/>
    </xf>
    <xf numFmtId="0" fontId="28" fillId="9" borderId="469" xfId="0" applyFont="1" applyFill="1" applyBorder="1" applyAlignment="1">
      <alignment horizontal="center" vertical="center" wrapText="1"/>
    </xf>
    <xf numFmtId="0" fontId="28" fillId="30" borderId="496" xfId="0" applyFont="1" applyFill="1" applyBorder="1" applyAlignment="1">
      <alignment horizontal="left"/>
    </xf>
    <xf numFmtId="44" fontId="0" fillId="30" borderId="203" xfId="2" applyFont="1" applyFill="1" applyBorder="1" applyProtection="1">
      <protection locked="0"/>
    </xf>
    <xf numFmtId="39" fontId="0" fillId="30" borderId="457" xfId="2" applyNumberFormat="1" applyFont="1" applyFill="1" applyBorder="1" applyProtection="1">
      <protection locked="0"/>
    </xf>
    <xf numFmtId="44" fontId="0" fillId="30" borderId="457" xfId="2" applyFont="1" applyFill="1" applyBorder="1" applyProtection="1">
      <protection locked="0"/>
    </xf>
    <xf numFmtId="4" fontId="0" fillId="30" borderId="457" xfId="2" applyNumberFormat="1" applyFont="1" applyFill="1" applyBorder="1" applyProtection="1">
      <protection locked="0"/>
    </xf>
    <xf numFmtId="4" fontId="0" fillId="30" borderId="203" xfId="2" applyNumberFormat="1" applyFont="1" applyFill="1" applyBorder="1" applyProtection="1">
      <protection locked="0"/>
    </xf>
    <xf numFmtId="3" fontId="0" fillId="30" borderId="165" xfId="0" applyNumberFormat="1" applyFill="1" applyBorder="1" applyAlignment="1" applyProtection="1">
      <alignment horizontal="left"/>
      <protection locked="0"/>
    </xf>
    <xf numFmtId="44" fontId="0" fillId="30" borderId="165" xfId="2" applyFont="1" applyFill="1" applyBorder="1" applyProtection="1">
      <protection locked="0"/>
    </xf>
    <xf numFmtId="0" fontId="28" fillId="9" borderId="496" xfId="0" applyFont="1" applyFill="1" applyBorder="1" applyAlignment="1">
      <alignment horizontal="left"/>
    </xf>
    <xf numFmtId="39" fontId="0" fillId="0" borderId="457" xfId="2" applyNumberFormat="1" applyFont="1" applyBorder="1" applyProtection="1">
      <protection locked="0"/>
    </xf>
    <xf numFmtId="44" fontId="0" fillId="0" borderId="457" xfId="2" applyFont="1" applyBorder="1" applyProtection="1">
      <protection locked="0"/>
    </xf>
    <xf numFmtId="4" fontId="0" fillId="0" borderId="457" xfId="2" applyNumberFormat="1" applyFont="1" applyBorder="1" applyProtection="1">
      <protection locked="0"/>
    </xf>
    <xf numFmtId="4" fontId="0" fillId="0" borderId="203" xfId="2" applyNumberFormat="1" applyFont="1" applyBorder="1" applyProtection="1">
      <protection locked="0"/>
    </xf>
    <xf numFmtId="44" fontId="0" fillId="0" borderId="165" xfId="2" applyFont="1" applyBorder="1" applyProtection="1">
      <protection locked="0"/>
    </xf>
    <xf numFmtId="0" fontId="28" fillId="12" borderId="496" xfId="0" applyFont="1" applyFill="1" applyBorder="1" applyAlignment="1">
      <alignment horizontal="left"/>
    </xf>
    <xf numFmtId="44" fontId="0" fillId="12" borderId="203" xfId="2" applyFont="1" applyFill="1" applyBorder="1" applyProtection="1">
      <protection locked="0"/>
    </xf>
    <xf numFmtId="39" fontId="0" fillId="12" borderId="457" xfId="2" applyNumberFormat="1" applyFont="1" applyFill="1" applyBorder="1" applyProtection="1">
      <protection locked="0"/>
    </xf>
    <xf numFmtId="44" fontId="0" fillId="12" borderId="457" xfId="2" applyFont="1" applyFill="1" applyBorder="1" applyProtection="1">
      <protection locked="0"/>
    </xf>
    <xf numFmtId="4" fontId="0" fillId="12" borderId="457" xfId="2" applyNumberFormat="1" applyFont="1" applyFill="1" applyBorder="1" applyProtection="1">
      <protection locked="0"/>
    </xf>
    <xf numFmtId="4" fontId="0" fillId="12" borderId="203" xfId="2" applyNumberFormat="1" applyFont="1" applyFill="1" applyBorder="1" applyProtection="1">
      <protection locked="0"/>
    </xf>
    <xf numFmtId="3" fontId="0" fillId="12" borderId="165" xfId="0" applyNumberFormat="1" applyFill="1" applyBorder="1" applyAlignment="1" applyProtection="1">
      <alignment horizontal="left"/>
      <protection locked="0"/>
    </xf>
    <xf numFmtId="44" fontId="0" fillId="12" borderId="165" xfId="2" applyFont="1" applyFill="1" applyBorder="1" applyProtection="1">
      <protection locked="0"/>
    </xf>
    <xf numFmtId="6" fontId="0" fillId="12" borderId="165" xfId="0" applyNumberFormat="1" applyFill="1" applyBorder="1" applyProtection="1">
      <protection locked="0"/>
    </xf>
    <xf numFmtId="0" fontId="28" fillId="9" borderId="497" xfId="0" applyFont="1" applyFill="1" applyBorder="1" applyAlignment="1">
      <alignment horizontal="left" wrapText="1"/>
    </xf>
    <xf numFmtId="0" fontId="28" fillId="9" borderId="497" xfId="0" applyFont="1" applyFill="1" applyBorder="1" applyAlignment="1">
      <alignment horizontal="left" vertical="center" wrapText="1"/>
    </xf>
    <xf numFmtId="0" fontId="28" fillId="9" borderId="498" xfId="0" applyFont="1" applyFill="1" applyBorder="1" applyAlignment="1">
      <alignment horizontal="left" vertical="center" wrapText="1"/>
    </xf>
    <xf numFmtId="0" fontId="29" fillId="9" borderId="498" xfId="0" applyFont="1" applyFill="1" applyBorder="1" applyAlignment="1">
      <alignment horizontal="left" wrapText="1"/>
    </xf>
    <xf numFmtId="0" fontId="28" fillId="9" borderId="498" xfId="0" applyFont="1" applyFill="1" applyBorder="1" applyAlignment="1">
      <alignment horizontal="left" wrapText="1"/>
    </xf>
    <xf numFmtId="0" fontId="0" fillId="0" borderId="499" xfId="0" applyBorder="1" applyAlignment="1">
      <alignment vertical="top"/>
    </xf>
    <xf numFmtId="0" fontId="0" fillId="6" borderId="499" xfId="0" applyFill="1" applyBorder="1"/>
    <xf numFmtId="10" fontId="0" fillId="6" borderId="500" xfId="3" applyNumberFormat="1" applyFont="1" applyFill="1" applyBorder="1" applyProtection="1">
      <protection locked="0"/>
    </xf>
    <xf numFmtId="9" fontId="0" fillId="6" borderId="500" xfId="3" applyFont="1" applyFill="1" applyBorder="1" applyAlignment="1" applyProtection="1">
      <alignment horizontal="left"/>
      <protection locked="0"/>
    </xf>
    <xf numFmtId="9" fontId="0" fillId="6" borderId="500" xfId="3" applyFont="1" applyFill="1" applyBorder="1" applyProtection="1">
      <protection locked="0"/>
    </xf>
    <xf numFmtId="44" fontId="0" fillId="6" borderId="500" xfId="2" applyFont="1" applyFill="1" applyBorder="1" applyProtection="1">
      <protection locked="0"/>
    </xf>
    <xf numFmtId="5" fontId="0" fillId="6" borderId="500" xfId="2" applyNumberFormat="1" applyFont="1" applyFill="1" applyBorder="1" applyAlignment="1" applyProtection="1">
      <alignment horizontal="left"/>
      <protection locked="0"/>
    </xf>
    <xf numFmtId="44" fontId="0" fillId="6" borderId="500" xfId="2" applyFont="1" applyFill="1" applyBorder="1" applyAlignment="1" applyProtection="1">
      <alignment horizontal="left"/>
      <protection locked="0"/>
    </xf>
    <xf numFmtId="44" fontId="0" fillId="6" borderId="500" xfId="0" applyNumberFormat="1" applyFill="1" applyBorder="1" applyProtection="1">
      <protection locked="0"/>
    </xf>
    <xf numFmtId="5" fontId="0" fillId="6" borderId="500" xfId="0" applyNumberFormat="1" applyFill="1" applyBorder="1" applyAlignment="1" applyProtection="1">
      <alignment horizontal="left"/>
      <protection locked="0"/>
    </xf>
    <xf numFmtId="165" fontId="11" fillId="6" borderId="500" xfId="0" applyNumberFormat="1" applyFont="1" applyFill="1" applyBorder="1" applyAlignment="1" applyProtection="1">
      <alignment horizontal="center"/>
      <protection locked="0"/>
    </xf>
    <xf numFmtId="165" fontId="11" fillId="6" borderId="500" xfId="0" applyNumberFormat="1" applyFont="1" applyFill="1" applyBorder="1" applyAlignment="1" applyProtection="1">
      <alignment horizontal="left"/>
      <protection locked="0"/>
    </xf>
    <xf numFmtId="0" fontId="0" fillId="6" borderId="501" xfId="0" applyFill="1" applyBorder="1" applyAlignment="1" applyProtection="1">
      <alignment horizontal="center"/>
      <protection locked="0"/>
    </xf>
    <xf numFmtId="7" fontId="0" fillId="6" borderId="500" xfId="0" applyNumberFormat="1" applyFill="1" applyBorder="1" applyAlignment="1" applyProtection="1">
      <alignment horizontal="center"/>
      <protection locked="0"/>
    </xf>
    <xf numFmtId="0" fontId="0" fillId="6" borderId="500" xfId="0" applyFill="1" applyBorder="1" applyAlignment="1" applyProtection="1">
      <alignment horizontal="center"/>
      <protection locked="0"/>
    </xf>
    <xf numFmtId="0" fontId="0" fillId="6" borderId="500" xfId="0" applyFill="1" applyBorder="1" applyAlignment="1" applyProtection="1">
      <alignment horizontal="left"/>
      <protection locked="0"/>
    </xf>
    <xf numFmtId="165" fontId="0" fillId="0" borderId="500" xfId="0" applyNumberFormat="1" applyBorder="1" applyAlignment="1" applyProtection="1">
      <alignment horizontal="right"/>
      <protection locked="0"/>
    </xf>
    <xf numFmtId="0" fontId="0" fillId="0" borderId="499" xfId="0" applyBorder="1" applyProtection="1">
      <protection locked="0"/>
    </xf>
    <xf numFmtId="44" fontId="0" fillId="0" borderId="500" xfId="0" applyNumberFormat="1" applyBorder="1" applyProtection="1">
      <protection locked="0"/>
    </xf>
    <xf numFmtId="165" fontId="0" fillId="0" borderId="500" xfId="0" applyNumberFormat="1" applyBorder="1" applyProtection="1">
      <protection locked="0"/>
    </xf>
    <xf numFmtId="0" fontId="0" fillId="0" borderId="500" xfId="0" applyBorder="1" applyProtection="1">
      <protection locked="0"/>
    </xf>
    <xf numFmtId="0" fontId="0" fillId="0" borderId="502" xfId="0" applyBorder="1"/>
    <xf numFmtId="0" fontId="0" fillId="0" borderId="503" xfId="0" applyBorder="1" applyAlignment="1">
      <alignment wrapText="1"/>
    </xf>
    <xf numFmtId="0" fontId="0" fillId="0" borderId="503" xfId="0" applyBorder="1" applyProtection="1">
      <protection locked="0"/>
    </xf>
    <xf numFmtId="0" fontId="0" fillId="0" borderId="504" xfId="0" applyBorder="1" applyProtection="1">
      <protection locked="0"/>
    </xf>
    <xf numFmtId="0" fontId="0" fillId="0" borderId="501" xfId="0" applyBorder="1" applyProtection="1">
      <protection locked="0"/>
    </xf>
    <xf numFmtId="0" fontId="0" fillId="0" borderId="500" xfId="0" applyBorder="1" applyAlignment="1" applyProtection="1">
      <alignment horizontal="center"/>
      <protection locked="0"/>
    </xf>
    <xf numFmtId="0" fontId="3" fillId="0" borderId="505" xfId="0" applyFont="1" applyBorder="1" applyAlignment="1" applyProtection="1">
      <alignment horizontal="right"/>
      <protection locked="0"/>
    </xf>
    <xf numFmtId="0" fontId="3" fillId="0" borderId="500" xfId="0" applyFont="1" applyBorder="1" applyAlignment="1" applyProtection="1">
      <alignment horizontal="right"/>
      <protection locked="0"/>
    </xf>
    <xf numFmtId="169" fontId="0" fillId="0" borderId="500" xfId="0" applyNumberFormat="1" applyBorder="1" applyAlignment="1" applyProtection="1">
      <alignment horizontal="center"/>
      <protection locked="0"/>
    </xf>
    <xf numFmtId="0" fontId="4" fillId="0" borderId="500" xfId="4" applyBorder="1" applyAlignment="1" applyProtection="1">
      <alignment horizontal="center" vertical="center"/>
      <protection locked="0"/>
    </xf>
    <xf numFmtId="0" fontId="3" fillId="0" borderId="502" xfId="0" applyFont="1" applyBorder="1" applyAlignment="1" applyProtection="1">
      <alignment horizontal="right"/>
      <protection locked="0"/>
    </xf>
    <xf numFmtId="5" fontId="0" fillId="0" borderId="501" xfId="2" applyNumberFormat="1" applyFont="1" applyBorder="1" applyAlignment="1" applyProtection="1">
      <alignment horizontal="center"/>
      <protection locked="0"/>
    </xf>
    <xf numFmtId="0" fontId="0" fillId="0" borderId="499" xfId="0" applyBorder="1" applyAlignment="1">
      <alignment horizontal="right"/>
    </xf>
    <xf numFmtId="0" fontId="0" fillId="0" borderId="505" xfId="0" applyBorder="1" applyAlignment="1" applyProtection="1">
      <alignment horizontal="center"/>
      <protection locked="0"/>
    </xf>
    <xf numFmtId="169" fontId="0" fillId="0" borderId="505" xfId="0" applyNumberFormat="1" applyBorder="1" applyAlignment="1" applyProtection="1">
      <alignment horizontal="center"/>
      <protection locked="0"/>
    </xf>
    <xf numFmtId="0" fontId="4" fillId="0" borderId="505" xfId="4" applyBorder="1" applyAlignment="1" applyProtection="1">
      <alignment horizontal="center" vertical="center"/>
      <protection locked="0"/>
    </xf>
    <xf numFmtId="5" fontId="0" fillId="0" borderId="506" xfId="2" applyNumberFormat="1" applyFont="1" applyBorder="1" applyAlignment="1" applyProtection="1">
      <alignment horizontal="center"/>
      <protection locked="0"/>
    </xf>
    <xf numFmtId="5" fontId="0" fillId="0" borderId="507" xfId="2" applyNumberFormat="1" applyFont="1" applyBorder="1" applyAlignment="1" applyProtection="1">
      <alignment horizontal="center"/>
      <protection locked="0"/>
    </xf>
    <xf numFmtId="0" fontId="0" fillId="0" borderId="499" xfId="0" applyBorder="1"/>
    <xf numFmtId="5" fontId="0" fillId="0" borderId="500" xfId="2" applyNumberFormat="1" applyFont="1" applyBorder="1" applyProtection="1">
      <protection locked="0"/>
    </xf>
    <xf numFmtId="44" fontId="28" fillId="0" borderId="500" xfId="2" applyFont="1" applyBorder="1" applyAlignment="1">
      <alignment horizontal="center" vertical="center"/>
    </xf>
    <xf numFmtId="3" fontId="0" fillId="0" borderId="500" xfId="0" applyNumberFormat="1" applyBorder="1" applyAlignment="1" applyProtection="1">
      <alignment horizontal="left"/>
      <protection locked="0"/>
    </xf>
    <xf numFmtId="0" fontId="28" fillId="25" borderId="498" xfId="0" applyFont="1" applyFill="1" applyBorder="1" applyAlignment="1">
      <alignment horizontal="left"/>
    </xf>
    <xf numFmtId="0" fontId="5" fillId="25" borderId="500" xfId="0" applyFont="1" applyFill="1" applyBorder="1" applyProtection="1">
      <protection locked="0"/>
    </xf>
    <xf numFmtId="0" fontId="28" fillId="9" borderId="443" xfId="0" applyFont="1" applyFill="1" applyBorder="1" applyAlignment="1">
      <alignment horizontal="left" wrapText="1"/>
    </xf>
    <xf numFmtId="0" fontId="6" fillId="0" borderId="457" xfId="0" applyFont="1" applyBorder="1" applyAlignment="1">
      <alignment horizontal="left" vertical="top" wrapText="1"/>
    </xf>
    <xf numFmtId="0" fontId="7" fillId="0" borderId="457" xfId="5" applyFont="1" applyBorder="1" applyAlignment="1">
      <alignment horizontal="left" vertical="top" wrapText="1"/>
    </xf>
    <xf numFmtId="0" fontId="0" fillId="0" borderId="477" xfId="0" applyBorder="1" applyAlignment="1" applyProtection="1">
      <alignment horizontal="left"/>
      <protection locked="0"/>
    </xf>
    <xf numFmtId="0" fontId="28" fillId="22" borderId="359" xfId="0" applyFont="1" applyFill="1" applyBorder="1" applyAlignment="1">
      <alignment horizontal="center" vertical="center"/>
    </xf>
    <xf numFmtId="0" fontId="28" fillId="0" borderId="508" xfId="0" applyFont="1" applyBorder="1" applyAlignment="1">
      <alignment vertical="center"/>
    </xf>
    <xf numFmtId="0" fontId="28" fillId="0" borderId="508" xfId="0" quotePrefix="1" applyFont="1" applyBorder="1"/>
    <xf numFmtId="0" fontId="0" fillId="0" borderId="509" xfId="0" applyBorder="1" applyProtection="1">
      <protection locked="0"/>
    </xf>
    <xf numFmtId="0" fontId="28" fillId="22" borderId="508" xfId="0" applyFont="1" applyFill="1" applyBorder="1" applyAlignment="1">
      <alignment horizontal="center"/>
    </xf>
    <xf numFmtId="0" fontId="28" fillId="25" borderId="508" xfId="0" applyFont="1" applyFill="1" applyBorder="1" applyAlignment="1">
      <alignment horizontal="left"/>
    </xf>
    <xf numFmtId="0" fontId="5" fillId="25" borderId="457" xfId="0" applyFont="1" applyFill="1" applyBorder="1" applyProtection="1">
      <protection locked="0"/>
    </xf>
    <xf numFmtId="165" fontId="0" fillId="25" borderId="457" xfId="0" applyNumberFormat="1" applyFill="1" applyBorder="1" applyProtection="1">
      <protection locked="0"/>
    </xf>
    <xf numFmtId="0" fontId="5" fillId="25" borderId="510" xfId="0" applyFont="1" applyFill="1" applyBorder="1" applyProtection="1">
      <protection locked="0"/>
    </xf>
    <xf numFmtId="165" fontId="0" fillId="25" borderId="470" xfId="0" applyNumberFormat="1" applyFill="1" applyBorder="1" applyProtection="1">
      <protection locked="0"/>
    </xf>
    <xf numFmtId="0" fontId="0" fillId="25" borderId="509" xfId="0" applyFill="1" applyBorder="1" applyProtection="1">
      <protection locked="0"/>
    </xf>
    <xf numFmtId="0" fontId="28" fillId="9" borderId="508" xfId="0" applyFont="1" applyFill="1" applyBorder="1" applyAlignment="1">
      <alignment horizontal="left" vertical="center" wrapText="1"/>
    </xf>
    <xf numFmtId="0" fontId="28" fillId="30" borderId="508" xfId="0" applyFont="1" applyFill="1" applyBorder="1" applyAlignment="1">
      <alignment horizontal="left" vertical="center" wrapText="1"/>
    </xf>
    <xf numFmtId="44" fontId="28" fillId="30" borderId="500" xfId="2" applyFont="1" applyFill="1" applyBorder="1" applyAlignment="1">
      <alignment horizontal="center" vertical="center"/>
    </xf>
    <xf numFmtId="3" fontId="0" fillId="30" borderId="509" xfId="0" applyNumberFormat="1" applyFill="1" applyBorder="1" applyAlignment="1" applyProtection="1">
      <alignment horizontal="left"/>
      <protection locked="0"/>
    </xf>
    <xf numFmtId="0" fontId="0" fillId="30" borderId="509" xfId="0" applyFill="1" applyBorder="1" applyProtection="1">
      <protection locked="0"/>
    </xf>
    <xf numFmtId="0" fontId="28" fillId="12" borderId="508" xfId="0" applyFont="1" applyFill="1" applyBorder="1" applyAlignment="1">
      <alignment horizontal="left" vertical="center" wrapText="1"/>
    </xf>
    <xf numFmtId="44" fontId="28" fillId="12" borderId="500" xfId="2" applyFont="1" applyFill="1" applyBorder="1" applyAlignment="1">
      <alignment horizontal="center" vertical="center"/>
    </xf>
    <xf numFmtId="3" fontId="0" fillId="12" borderId="509" xfId="0" applyNumberFormat="1" applyFill="1" applyBorder="1" applyAlignment="1" applyProtection="1">
      <alignment horizontal="left"/>
      <protection locked="0"/>
    </xf>
    <xf numFmtId="0" fontId="0" fillId="12" borderId="509" xfId="0" applyFill="1" applyBorder="1" applyProtection="1">
      <protection locked="0"/>
    </xf>
    <xf numFmtId="165" fontId="0" fillId="7" borderId="203" xfId="0" applyNumberFormat="1" applyFill="1" applyBorder="1" applyProtection="1">
      <protection locked="0"/>
    </xf>
    <xf numFmtId="3" fontId="0" fillId="7" borderId="509" xfId="0" applyNumberFormat="1" applyFill="1" applyBorder="1" applyAlignment="1" applyProtection="1">
      <alignment horizontal="left"/>
      <protection locked="0"/>
    </xf>
    <xf numFmtId="0" fontId="87" fillId="9" borderId="508" xfId="0" applyFont="1" applyFill="1" applyBorder="1" applyAlignment="1">
      <alignment horizontal="left" vertical="center" wrapText="1"/>
    </xf>
    <xf numFmtId="0" fontId="28" fillId="9" borderId="511" xfId="0" applyFont="1" applyFill="1" applyBorder="1" applyAlignment="1">
      <alignment horizontal="left" wrapText="1"/>
    </xf>
    <xf numFmtId="0" fontId="28" fillId="23" borderId="512" xfId="0" applyFont="1" applyFill="1" applyBorder="1" applyAlignment="1">
      <alignment horizontal="left" vertical="center" wrapText="1"/>
    </xf>
    <xf numFmtId="0" fontId="87" fillId="23" borderId="512" xfId="0" applyFont="1" applyFill="1" applyBorder="1" applyAlignment="1">
      <alignment horizontal="left" vertical="center" wrapText="1"/>
    </xf>
    <xf numFmtId="0" fontId="28" fillId="9" borderId="511" xfId="0" applyFont="1" applyFill="1" applyBorder="1" applyAlignment="1">
      <alignment horizontal="left" vertical="center" wrapText="1"/>
    </xf>
    <xf numFmtId="170" fontId="0" fillId="6" borderId="500" xfId="3" applyNumberFormat="1" applyFont="1" applyFill="1" applyBorder="1" applyAlignment="1" applyProtection="1">
      <alignment horizontal="left"/>
      <protection locked="0"/>
    </xf>
    <xf numFmtId="170" fontId="0" fillId="6" borderId="500" xfId="2" applyNumberFormat="1" applyFont="1" applyFill="1" applyBorder="1" applyAlignment="1" applyProtection="1">
      <alignment horizontal="left"/>
      <protection locked="0"/>
    </xf>
    <xf numFmtId="170" fontId="0" fillId="6" borderId="500" xfId="0" applyNumberFormat="1" applyFill="1" applyBorder="1" applyAlignment="1" applyProtection="1">
      <alignment horizontal="left"/>
      <protection locked="0"/>
    </xf>
    <xf numFmtId="0" fontId="5" fillId="25" borderId="453" xfId="0" applyFont="1" applyFill="1" applyBorder="1" applyProtection="1">
      <protection locked="0"/>
    </xf>
    <xf numFmtId="0" fontId="0" fillId="25" borderId="477" xfId="0" applyFill="1" applyBorder="1" applyProtection="1">
      <protection locked="0"/>
    </xf>
    <xf numFmtId="0" fontId="28" fillId="9" borderId="443" xfId="0" applyFont="1" applyFill="1" applyBorder="1" applyAlignment="1">
      <alignment horizontal="left" vertical="center" wrapText="1"/>
    </xf>
    <xf numFmtId="0" fontId="29" fillId="0" borderId="512" xfId="0" applyFont="1" applyBorder="1" applyAlignment="1">
      <alignment horizontal="left" vertical="center" wrapText="1"/>
    </xf>
    <xf numFmtId="0" fontId="28" fillId="0" borderId="512" xfId="0" applyFont="1" applyBorder="1" applyAlignment="1">
      <alignment horizontal="left" vertical="center" wrapText="1"/>
    </xf>
    <xf numFmtId="3" fontId="0" fillId="0" borderId="477" xfId="0" applyNumberFormat="1" applyBorder="1" applyProtection="1">
      <protection locked="0"/>
    </xf>
    <xf numFmtId="0" fontId="29" fillId="9" borderId="443" xfId="0" applyFont="1" applyFill="1" applyBorder="1" applyAlignment="1">
      <alignment horizontal="left" vertical="center" wrapText="1"/>
    </xf>
    <xf numFmtId="0" fontId="0" fillId="0" borderId="513" xfId="0" applyBorder="1" applyAlignment="1">
      <alignment vertical="top"/>
    </xf>
    <xf numFmtId="0" fontId="74" fillId="0" borderId="514" xfId="0" applyFont="1" applyBorder="1" applyAlignment="1">
      <alignment horizontal="left" vertical="center" wrapText="1"/>
    </xf>
    <xf numFmtId="0" fontId="57" fillId="0" borderId="514" xfId="0" applyFont="1" applyBorder="1" applyAlignment="1">
      <alignment horizontal="left" vertical="center" wrapText="1"/>
    </xf>
    <xf numFmtId="0" fontId="0" fillId="6" borderId="515" xfId="0" applyFill="1" applyBorder="1"/>
    <xf numFmtId="0" fontId="0" fillId="6" borderId="516" xfId="0" applyFill="1" applyBorder="1" applyAlignment="1">
      <alignment wrapText="1"/>
    </xf>
    <xf numFmtId="0" fontId="0" fillId="6" borderId="516" xfId="0" applyFill="1" applyBorder="1" applyProtection="1">
      <protection locked="0"/>
    </xf>
    <xf numFmtId="0" fontId="0" fillId="6" borderId="516" xfId="0" applyFill="1" applyBorder="1" applyAlignment="1" applyProtection="1">
      <alignment vertical="center"/>
      <protection locked="0"/>
    </xf>
    <xf numFmtId="0" fontId="0" fillId="6" borderId="516" xfId="0" applyFill="1" applyBorder="1" applyAlignment="1" applyProtection="1">
      <alignment horizontal="right" vertical="center"/>
      <protection locked="0"/>
    </xf>
    <xf numFmtId="0" fontId="0" fillId="6" borderId="517" xfId="0" applyFill="1" applyBorder="1" applyAlignment="1" applyProtection="1">
      <alignment horizontal="right"/>
      <protection locked="0"/>
    </xf>
    <xf numFmtId="9" fontId="0" fillId="6" borderId="518" xfId="3" applyFont="1" applyFill="1" applyBorder="1" applyProtection="1">
      <protection locked="0"/>
    </xf>
    <xf numFmtId="170" fontId="0" fillId="6" borderId="518" xfId="3" applyNumberFormat="1" applyFont="1" applyFill="1" applyBorder="1" applyAlignment="1" applyProtection="1">
      <alignment horizontal="left"/>
      <protection locked="0"/>
    </xf>
    <xf numFmtId="44" fontId="0" fillId="6" borderId="518" xfId="2" applyFont="1" applyFill="1" applyBorder="1" applyProtection="1">
      <protection locked="0"/>
    </xf>
    <xf numFmtId="170" fontId="0" fillId="6" borderId="518" xfId="2" applyNumberFormat="1" applyFont="1" applyFill="1" applyBorder="1" applyAlignment="1" applyProtection="1">
      <alignment horizontal="left"/>
      <protection locked="0"/>
    </xf>
    <xf numFmtId="44" fontId="0" fillId="6" borderId="518" xfId="0" applyNumberFormat="1" applyFill="1" applyBorder="1" applyProtection="1">
      <protection locked="0"/>
    </xf>
    <xf numFmtId="170" fontId="0" fillId="6" borderId="518" xfId="0" applyNumberFormat="1" applyFill="1" applyBorder="1" applyAlignment="1" applyProtection="1">
      <alignment horizontal="left"/>
      <protection locked="0"/>
    </xf>
    <xf numFmtId="0" fontId="10" fillId="6" borderId="516" xfId="0" applyFont="1" applyFill="1" applyBorder="1" applyAlignment="1" applyProtection="1">
      <alignment horizontal="right" vertical="center"/>
      <protection locked="0"/>
    </xf>
    <xf numFmtId="164" fontId="10" fillId="6" borderId="517" xfId="1" applyNumberFormat="1" applyFont="1" applyFill="1" applyBorder="1" applyAlignment="1" applyProtection="1">
      <alignment horizontal="right"/>
      <protection locked="0"/>
    </xf>
    <xf numFmtId="165" fontId="11" fillId="6" borderId="518" xfId="0" applyNumberFormat="1" applyFont="1" applyFill="1" applyBorder="1" applyAlignment="1" applyProtection="1">
      <alignment horizontal="center"/>
      <protection locked="0"/>
    </xf>
    <xf numFmtId="165" fontId="11" fillId="6" borderId="518" xfId="0" applyNumberFormat="1" applyFont="1" applyFill="1" applyBorder="1" applyAlignment="1" applyProtection="1">
      <alignment horizontal="left"/>
      <protection locked="0"/>
    </xf>
    <xf numFmtId="0" fontId="10" fillId="6" borderId="517" xfId="0" applyFont="1" applyFill="1" applyBorder="1" applyAlignment="1" applyProtection="1">
      <alignment horizontal="right"/>
      <protection locked="0"/>
    </xf>
    <xf numFmtId="10" fontId="0" fillId="6" borderId="517" xfId="0" applyNumberFormat="1" applyFill="1" applyBorder="1" applyAlignment="1" applyProtection="1">
      <alignment horizontal="right"/>
      <protection locked="0"/>
    </xf>
    <xf numFmtId="0" fontId="0" fillId="6" borderId="519" xfId="0" applyFill="1" applyBorder="1" applyAlignment="1" applyProtection="1">
      <alignment horizontal="center"/>
      <protection locked="0"/>
    </xf>
    <xf numFmtId="7" fontId="0" fillId="6" borderId="518" xfId="0" applyNumberFormat="1" applyFill="1" applyBorder="1" applyAlignment="1" applyProtection="1">
      <alignment horizontal="center"/>
      <protection locked="0"/>
    </xf>
    <xf numFmtId="0" fontId="0" fillId="6" borderId="518" xfId="0" applyFill="1" applyBorder="1" applyAlignment="1" applyProtection="1">
      <alignment horizontal="center"/>
      <protection locked="0"/>
    </xf>
    <xf numFmtId="0" fontId="0" fillId="0" borderId="151" xfId="0" applyBorder="1"/>
    <xf numFmtId="0" fontId="0" fillId="0" borderId="520" xfId="0" applyBorder="1" applyProtection="1">
      <protection locked="0"/>
    </xf>
    <xf numFmtId="0" fontId="0" fillId="0" borderId="521" xfId="0" applyBorder="1" applyProtection="1">
      <protection locked="0"/>
    </xf>
    <xf numFmtId="165" fontId="0" fillId="0" borderId="518" xfId="0" applyNumberFormat="1" applyBorder="1" applyAlignment="1" applyProtection="1">
      <alignment horizontal="right"/>
      <protection locked="0"/>
    </xf>
    <xf numFmtId="0" fontId="0" fillId="0" borderId="515" xfId="0" applyBorder="1" applyProtection="1">
      <protection locked="0"/>
    </xf>
    <xf numFmtId="0" fontId="0" fillId="0" borderId="516" xfId="0" applyBorder="1" applyAlignment="1" applyProtection="1">
      <alignment wrapText="1"/>
      <protection locked="0"/>
    </xf>
    <xf numFmtId="44" fontId="0" fillId="0" borderId="518" xfId="0" applyNumberFormat="1" applyBorder="1" applyProtection="1">
      <protection locked="0"/>
    </xf>
    <xf numFmtId="0" fontId="0" fillId="0" borderId="151" xfId="0" applyBorder="1" applyProtection="1">
      <protection locked="0"/>
    </xf>
    <xf numFmtId="0" fontId="0" fillId="0" borderId="520" xfId="0" applyBorder="1" applyAlignment="1" applyProtection="1">
      <alignment wrapText="1"/>
      <protection locked="0"/>
    </xf>
    <xf numFmtId="165" fontId="0" fillId="0" borderId="518" xfId="0" applyNumberFormat="1" applyBorder="1" applyProtection="1">
      <protection locked="0"/>
    </xf>
    <xf numFmtId="0" fontId="0" fillId="0" borderId="520" xfId="0" applyBorder="1" applyAlignment="1">
      <alignment wrapText="1"/>
    </xf>
    <xf numFmtId="0" fontId="0" fillId="0" borderId="518" xfId="0" applyBorder="1" applyProtection="1">
      <protection locked="0"/>
    </xf>
    <xf numFmtId="0" fontId="0" fillId="0" borderId="522" xfId="0" applyBorder="1"/>
    <xf numFmtId="0" fontId="0" fillId="0" borderId="523" xfId="0" applyBorder="1" applyAlignment="1">
      <alignment wrapText="1"/>
    </xf>
    <xf numFmtId="0" fontId="0" fillId="0" borderId="523" xfId="0" applyBorder="1" applyProtection="1">
      <protection locked="0"/>
    </xf>
    <xf numFmtId="0" fontId="0" fillId="0" borderId="524" xfId="0" applyBorder="1" applyProtection="1">
      <protection locked="0"/>
    </xf>
    <xf numFmtId="0" fontId="0" fillId="0" borderId="519" xfId="0" applyBorder="1" applyProtection="1">
      <protection locked="0"/>
    </xf>
    <xf numFmtId="0" fontId="0" fillId="0" borderId="518" xfId="0" applyBorder="1" applyAlignment="1" applyProtection="1">
      <alignment horizontal="center"/>
      <protection locked="0"/>
    </xf>
    <xf numFmtId="0" fontId="3" fillId="0" borderId="525" xfId="0" applyFont="1" applyBorder="1" applyAlignment="1" applyProtection="1">
      <alignment horizontal="right"/>
      <protection locked="0"/>
    </xf>
    <xf numFmtId="0" fontId="3" fillId="0" borderId="518" xfId="0" applyFont="1" applyBorder="1" applyAlignment="1" applyProtection="1">
      <alignment horizontal="right"/>
      <protection locked="0"/>
    </xf>
    <xf numFmtId="169" fontId="0" fillId="0" borderId="518" xfId="0" applyNumberFormat="1" applyBorder="1" applyAlignment="1" applyProtection="1">
      <alignment horizontal="center"/>
      <protection locked="0"/>
    </xf>
    <xf numFmtId="0" fontId="4" fillId="0" borderId="518" xfId="4" applyBorder="1" applyAlignment="1" applyProtection="1">
      <alignment horizontal="center" vertical="center"/>
      <protection locked="0"/>
    </xf>
    <xf numFmtId="0" fontId="3" fillId="0" borderId="522" xfId="0" applyFont="1" applyBorder="1" applyAlignment="1" applyProtection="1">
      <alignment horizontal="right"/>
      <protection locked="0"/>
    </xf>
    <xf numFmtId="5" fontId="0" fillId="0" borderId="519" xfId="2" applyNumberFormat="1" applyFont="1" applyBorder="1" applyAlignment="1" applyProtection="1">
      <alignment horizontal="center"/>
      <protection locked="0"/>
    </xf>
    <xf numFmtId="0" fontId="0" fillId="0" borderId="515" xfId="0" applyBorder="1" applyAlignment="1">
      <alignment horizontal="right"/>
    </xf>
    <xf numFmtId="0" fontId="0" fillId="0" borderId="516" xfId="0" applyBorder="1" applyAlignment="1">
      <alignment wrapText="1"/>
    </xf>
    <xf numFmtId="0" fontId="0" fillId="0" borderId="516" xfId="0" applyBorder="1" applyProtection="1">
      <protection locked="0"/>
    </xf>
    <xf numFmtId="0" fontId="0" fillId="0" borderId="517" xfId="0" applyBorder="1" applyAlignment="1" applyProtection="1">
      <alignment horizontal="right"/>
      <protection locked="0"/>
    </xf>
    <xf numFmtId="0" fontId="0" fillId="0" borderId="525" xfId="0" applyBorder="1" applyAlignment="1" applyProtection="1">
      <alignment horizontal="center"/>
      <protection locked="0"/>
    </xf>
    <xf numFmtId="0" fontId="0" fillId="0" borderId="526" xfId="0" applyBorder="1" applyAlignment="1" applyProtection="1">
      <alignment horizontal="center"/>
      <protection locked="0"/>
    </xf>
    <xf numFmtId="0" fontId="0" fillId="0" borderId="527" xfId="0" applyBorder="1" applyAlignment="1" applyProtection="1">
      <alignment horizontal="center"/>
      <protection locked="0"/>
    </xf>
    <xf numFmtId="0" fontId="0" fillId="0" borderId="516" xfId="0" applyBorder="1" applyAlignment="1">
      <alignment horizontal="left" wrapText="1"/>
    </xf>
    <xf numFmtId="169" fontId="0" fillId="0" borderId="525" xfId="0" applyNumberFormat="1" applyBorder="1" applyAlignment="1" applyProtection="1">
      <alignment horizontal="center"/>
      <protection locked="0"/>
    </xf>
    <xf numFmtId="169" fontId="0" fillId="0" borderId="526" xfId="0" applyNumberFormat="1" applyBorder="1" applyAlignment="1" applyProtection="1">
      <alignment horizontal="center"/>
      <protection locked="0"/>
    </xf>
    <xf numFmtId="169" fontId="0" fillId="0" borderId="527" xfId="0" applyNumberFormat="1" applyBorder="1" applyAlignment="1" applyProtection="1">
      <alignment horizontal="center"/>
      <protection locked="0"/>
    </xf>
    <xf numFmtId="14" fontId="0" fillId="0" borderId="516" xfId="0" applyNumberFormat="1" applyBorder="1" applyAlignment="1">
      <alignment horizontal="left" wrapText="1"/>
    </xf>
    <xf numFmtId="0" fontId="4" fillId="0" borderId="525" xfId="4" applyBorder="1" applyAlignment="1" applyProtection="1">
      <alignment horizontal="center" vertical="center"/>
      <protection locked="0"/>
    </xf>
    <xf numFmtId="0" fontId="4" fillId="0" borderId="526" xfId="4" applyBorder="1" applyAlignment="1" applyProtection="1">
      <alignment horizontal="center" vertical="center"/>
      <protection locked="0"/>
    </xf>
    <xf numFmtId="0" fontId="4" fillId="0" borderId="527" xfId="4" applyBorder="1" applyAlignment="1" applyProtection="1">
      <alignment horizontal="center" vertical="center"/>
      <protection locked="0"/>
    </xf>
    <xf numFmtId="170" fontId="0" fillId="0" borderId="528" xfId="2" applyNumberFormat="1" applyFont="1" applyBorder="1" applyAlignment="1" applyProtection="1">
      <alignment horizontal="center"/>
      <protection locked="0"/>
    </xf>
    <xf numFmtId="170" fontId="0" fillId="0" borderId="529" xfId="2" applyNumberFormat="1" applyFont="1" applyBorder="1" applyAlignment="1" applyProtection="1">
      <alignment horizontal="center"/>
      <protection locked="0"/>
    </xf>
    <xf numFmtId="170" fontId="0" fillId="0" borderId="530" xfId="2" applyNumberFormat="1" applyFont="1" applyBorder="1" applyAlignment="1" applyProtection="1">
      <alignment horizontal="center"/>
      <protection locked="0"/>
    </xf>
    <xf numFmtId="0" fontId="0" fillId="0" borderId="515" xfId="0" applyBorder="1"/>
    <xf numFmtId="0" fontId="3" fillId="0" borderId="520" xfId="0" applyFont="1" applyBorder="1" applyAlignment="1">
      <alignment wrapText="1"/>
    </xf>
    <xf numFmtId="0" fontId="0" fillId="0" borderId="517" xfId="0" applyBorder="1" applyProtection="1">
      <protection locked="0"/>
    </xf>
    <xf numFmtId="5" fontId="0" fillId="0" borderId="518" xfId="2" applyNumberFormat="1" applyFont="1" applyBorder="1" applyProtection="1">
      <protection locked="0"/>
    </xf>
    <xf numFmtId="5" fontId="0" fillId="0" borderId="526" xfId="2" applyNumberFormat="1" applyFont="1" applyBorder="1" applyProtection="1">
      <protection locked="0"/>
    </xf>
    <xf numFmtId="0" fontId="5" fillId="0" borderId="516" xfId="0" applyFont="1" applyBorder="1" applyProtection="1">
      <protection locked="0"/>
    </xf>
    <xf numFmtId="44" fontId="28" fillId="0" borderId="518" xfId="2" applyFont="1" applyBorder="1" applyAlignment="1">
      <alignment horizontal="center" vertical="center"/>
    </xf>
    <xf numFmtId="0" fontId="3" fillId="3" borderId="516" xfId="0" applyFont="1" applyFill="1" applyBorder="1" applyAlignment="1">
      <alignment horizontal="center" wrapText="1"/>
    </xf>
    <xf numFmtId="0" fontId="28" fillId="0" borderId="531" xfId="0" applyFont="1" applyBorder="1" applyAlignment="1">
      <alignment vertical="center"/>
    </xf>
    <xf numFmtId="0" fontId="5" fillId="0" borderId="517" xfId="0" applyFont="1" applyBorder="1" applyProtection="1">
      <protection locked="0"/>
    </xf>
    <xf numFmtId="44" fontId="0" fillId="0" borderId="151" xfId="2" applyFont="1" applyBorder="1" applyAlignment="1">
      <alignment vertical="top"/>
    </xf>
    <xf numFmtId="44" fontId="0" fillId="0" borderId="517" xfId="2" applyFont="1" applyBorder="1" applyProtection="1">
      <protection locked="0"/>
    </xf>
    <xf numFmtId="44" fontId="0" fillId="0" borderId="516" xfId="2" applyFont="1" applyBorder="1" applyProtection="1">
      <protection locked="0"/>
    </xf>
    <xf numFmtId="44" fontId="0" fillId="0" borderId="509" xfId="2" applyFont="1" applyBorder="1" applyProtection="1">
      <protection locked="0"/>
    </xf>
    <xf numFmtId="44" fontId="0" fillId="25" borderId="517" xfId="2" applyFont="1" applyFill="1" applyBorder="1" applyProtection="1">
      <protection locked="0"/>
    </xf>
    <xf numFmtId="44" fontId="0" fillId="25" borderId="516" xfId="2" applyFont="1" applyFill="1" applyBorder="1" applyProtection="1">
      <protection locked="0"/>
    </xf>
    <xf numFmtId="165" fontId="0" fillId="25" borderId="516" xfId="2" applyNumberFormat="1" applyFont="1" applyFill="1" applyBorder="1" applyProtection="1">
      <protection locked="0"/>
    </xf>
    <xf numFmtId="165" fontId="0" fillId="25" borderId="517" xfId="2" applyNumberFormat="1" applyFont="1" applyFill="1" applyBorder="1" applyProtection="1">
      <protection locked="0"/>
    </xf>
    <xf numFmtId="0" fontId="5" fillId="25" borderId="518" xfId="0" applyFont="1" applyFill="1" applyBorder="1" applyProtection="1">
      <protection locked="0"/>
    </xf>
    <xf numFmtId="3" fontId="0" fillId="25" borderId="509" xfId="0" applyNumberFormat="1" applyFill="1" applyBorder="1" applyAlignment="1" applyProtection="1">
      <alignment horizontal="left"/>
      <protection locked="0"/>
    </xf>
    <xf numFmtId="44" fontId="5" fillId="25" borderId="526" xfId="2" applyFont="1" applyFill="1" applyBorder="1" applyProtection="1">
      <protection locked="0"/>
    </xf>
    <xf numFmtId="44" fontId="0" fillId="25" borderId="509" xfId="2" applyFont="1" applyFill="1" applyBorder="1" applyProtection="1">
      <protection locked="0"/>
    </xf>
    <xf numFmtId="44" fontId="5" fillId="25" borderId="518" xfId="2" applyFont="1" applyFill="1" applyBorder="1" applyProtection="1">
      <protection locked="0"/>
    </xf>
    <xf numFmtId="0" fontId="28" fillId="0" borderId="532" xfId="0" applyFont="1" applyBorder="1" applyAlignment="1">
      <alignment vertical="top"/>
    </xf>
    <xf numFmtId="44" fontId="0" fillId="0" borderId="527" xfId="2" applyFont="1" applyBorder="1" applyProtection="1">
      <protection locked="0"/>
    </xf>
    <xf numFmtId="165" fontId="0" fillId="0" borderId="516" xfId="0" applyNumberFormat="1" applyBorder="1" applyProtection="1">
      <protection locked="0"/>
    </xf>
    <xf numFmtId="165" fontId="0" fillId="0" borderId="517" xfId="0" applyNumberFormat="1" applyBorder="1" applyProtection="1">
      <protection locked="0"/>
    </xf>
    <xf numFmtId="0" fontId="28" fillId="30" borderId="532" xfId="0" applyFont="1" applyFill="1" applyBorder="1" applyAlignment="1">
      <alignment vertical="top"/>
    </xf>
    <xf numFmtId="44" fontId="0" fillId="30" borderId="527" xfId="2" applyFont="1" applyFill="1" applyBorder="1" applyProtection="1">
      <protection locked="0"/>
    </xf>
    <xf numFmtId="0" fontId="0" fillId="30" borderId="516" xfId="0" applyFill="1" applyBorder="1" applyProtection="1">
      <protection locked="0"/>
    </xf>
    <xf numFmtId="165" fontId="0" fillId="30" borderId="516" xfId="0" applyNumberFormat="1" applyFill="1" applyBorder="1" applyProtection="1">
      <protection locked="0"/>
    </xf>
    <xf numFmtId="165" fontId="0" fillId="30" borderId="517" xfId="0" applyNumberFormat="1" applyFill="1" applyBorder="1" applyProtection="1">
      <protection locked="0"/>
    </xf>
    <xf numFmtId="44" fontId="28" fillId="30" borderId="518" xfId="2" applyFont="1" applyFill="1" applyBorder="1" applyAlignment="1">
      <alignment horizontal="center" vertical="center"/>
    </xf>
    <xf numFmtId="0" fontId="28" fillId="12" borderId="532" xfId="0" applyFont="1" applyFill="1" applyBorder="1" applyAlignment="1">
      <alignment vertical="top"/>
    </xf>
    <xf numFmtId="44" fontId="0" fillId="12" borderId="527" xfId="2" applyFont="1" applyFill="1" applyBorder="1" applyProtection="1">
      <protection locked="0"/>
    </xf>
    <xf numFmtId="0" fontId="0" fillId="12" borderId="516" xfId="0" applyFill="1" applyBorder="1" applyProtection="1">
      <protection locked="0"/>
    </xf>
    <xf numFmtId="165" fontId="0" fillId="12" borderId="516" xfId="0" applyNumberFormat="1" applyFill="1" applyBorder="1" applyProtection="1">
      <protection locked="0"/>
    </xf>
    <xf numFmtId="165" fontId="0" fillId="12" borderId="517" xfId="0" applyNumberFormat="1" applyFill="1" applyBorder="1" applyProtection="1">
      <protection locked="0"/>
    </xf>
    <xf numFmtId="44" fontId="28" fillId="12" borderId="518" xfId="2" applyFont="1" applyFill="1" applyBorder="1" applyAlignment="1">
      <alignment horizontal="center" vertical="center"/>
    </xf>
    <xf numFmtId="9" fontId="0" fillId="6" borderId="518" xfId="3" applyFont="1" applyFill="1" applyBorder="1" applyAlignment="1" applyProtection="1">
      <alignment horizontal="left"/>
      <protection locked="0"/>
    </xf>
    <xf numFmtId="9" fontId="0" fillId="6" borderId="526" xfId="3" applyFont="1" applyFill="1" applyBorder="1" applyProtection="1">
      <protection locked="0"/>
    </xf>
    <xf numFmtId="5" fontId="0" fillId="6" borderId="518" xfId="2" applyNumberFormat="1" applyFont="1" applyFill="1" applyBorder="1" applyAlignment="1" applyProtection="1">
      <alignment horizontal="left"/>
      <protection locked="0"/>
    </xf>
    <xf numFmtId="44" fontId="0" fillId="6" borderId="526" xfId="2" applyFont="1" applyFill="1" applyBorder="1" applyProtection="1">
      <protection locked="0"/>
    </xf>
    <xf numFmtId="44" fontId="0" fillId="6" borderId="518" xfId="2" applyFont="1" applyFill="1" applyBorder="1" applyAlignment="1" applyProtection="1">
      <alignment horizontal="left"/>
      <protection locked="0"/>
    </xf>
    <xf numFmtId="5" fontId="0" fillId="6" borderId="518" xfId="0" applyNumberFormat="1" applyFill="1" applyBorder="1" applyAlignment="1" applyProtection="1">
      <alignment horizontal="left"/>
      <protection locked="0"/>
    </xf>
    <xf numFmtId="44" fontId="0" fillId="6" borderId="526" xfId="0" applyNumberFormat="1" applyFill="1" applyBorder="1" applyProtection="1">
      <protection locked="0"/>
    </xf>
    <xf numFmtId="165" fontId="11" fillId="6" borderId="526" xfId="0" applyNumberFormat="1" applyFont="1" applyFill="1" applyBorder="1" applyAlignment="1" applyProtection="1">
      <alignment horizontal="center"/>
      <protection locked="0"/>
    </xf>
    <xf numFmtId="0" fontId="0" fillId="6" borderId="529" xfId="0" applyFill="1" applyBorder="1" applyAlignment="1" applyProtection="1">
      <alignment horizontal="center"/>
      <protection locked="0"/>
    </xf>
    <xf numFmtId="0" fontId="0" fillId="0" borderId="533" xfId="0" applyBorder="1"/>
    <xf numFmtId="0" fontId="0" fillId="0" borderId="534" xfId="0" applyBorder="1" applyProtection="1">
      <protection locked="0"/>
    </xf>
    <xf numFmtId="0" fontId="0" fillId="0" borderId="535" xfId="0" applyBorder="1" applyProtection="1">
      <protection locked="0"/>
    </xf>
    <xf numFmtId="165" fontId="0" fillId="0" borderId="510" xfId="0" applyNumberFormat="1" applyBorder="1" applyProtection="1">
      <protection locked="0"/>
    </xf>
    <xf numFmtId="165" fontId="0" fillId="0" borderId="509" xfId="0" applyNumberFormat="1" applyBorder="1" applyProtection="1">
      <protection locked="0"/>
    </xf>
    <xf numFmtId="165" fontId="0" fillId="0" borderId="526" xfId="0" applyNumberFormat="1" applyBorder="1" applyAlignment="1" applyProtection="1">
      <alignment horizontal="right"/>
      <protection locked="0"/>
    </xf>
    <xf numFmtId="44" fontId="0" fillId="0" borderId="526" xfId="0" applyNumberFormat="1" applyBorder="1" applyProtection="1">
      <protection locked="0"/>
    </xf>
    <xf numFmtId="0" fontId="0" fillId="0" borderId="533" xfId="0" applyBorder="1" applyProtection="1">
      <protection locked="0"/>
    </xf>
    <xf numFmtId="0" fontId="0" fillId="0" borderId="534" xfId="0" applyBorder="1" applyAlignment="1" applyProtection="1">
      <alignment wrapText="1"/>
      <protection locked="0"/>
    </xf>
    <xf numFmtId="165" fontId="0" fillId="0" borderId="526" xfId="0" applyNumberFormat="1" applyBorder="1" applyProtection="1">
      <protection locked="0"/>
    </xf>
    <xf numFmtId="0" fontId="0" fillId="0" borderId="534" xfId="0" applyBorder="1" applyAlignment="1">
      <alignment wrapText="1"/>
    </xf>
    <xf numFmtId="0" fontId="0" fillId="0" borderId="510" xfId="0" applyBorder="1" applyProtection="1">
      <protection locked="0"/>
    </xf>
    <xf numFmtId="0" fontId="0" fillId="0" borderId="526" xfId="0" applyBorder="1" applyProtection="1">
      <protection locked="0"/>
    </xf>
    <xf numFmtId="0" fontId="0" fillId="0" borderId="529" xfId="0" applyBorder="1" applyProtection="1">
      <protection locked="0"/>
    </xf>
    <xf numFmtId="0" fontId="3" fillId="0" borderId="534" xfId="0" applyFont="1" applyBorder="1" applyAlignment="1">
      <alignment wrapText="1"/>
    </xf>
    <xf numFmtId="0" fontId="0" fillId="0" borderId="533" xfId="0" applyBorder="1" applyAlignment="1">
      <alignment vertical="top"/>
    </xf>
    <xf numFmtId="3" fontId="0" fillId="0" borderId="509" xfId="0" applyNumberFormat="1" applyBorder="1" applyAlignment="1" applyProtection="1">
      <alignment horizontal="left"/>
      <protection locked="0"/>
    </xf>
    <xf numFmtId="44" fontId="0" fillId="0" borderId="150" xfId="2" applyFont="1" applyBorder="1" applyProtection="1">
      <protection locked="0"/>
    </xf>
    <xf numFmtId="0" fontId="28" fillId="22" borderId="531" xfId="0" applyFont="1" applyFill="1" applyBorder="1" applyAlignment="1">
      <alignment horizontal="center"/>
    </xf>
    <xf numFmtId="0" fontId="28" fillId="25" borderId="531" xfId="0" applyFont="1" applyFill="1" applyBorder="1" applyAlignment="1">
      <alignment horizontal="left"/>
    </xf>
    <xf numFmtId="44" fontId="0" fillId="25" borderId="150" xfId="2" applyFont="1" applyFill="1" applyBorder="1" applyProtection="1">
      <protection locked="0"/>
    </xf>
    <xf numFmtId="44" fontId="0" fillId="0" borderId="533" xfId="2" applyFont="1" applyFill="1" applyBorder="1" applyAlignment="1">
      <alignment vertical="top"/>
    </xf>
    <xf numFmtId="0" fontId="28" fillId="0" borderId="536" xfId="0" applyFont="1" applyBorder="1" applyAlignment="1">
      <alignment horizontal="left"/>
    </xf>
    <xf numFmtId="44" fontId="0" fillId="0" borderId="517" xfId="2" applyFont="1" applyFill="1" applyBorder="1" applyProtection="1">
      <protection locked="0"/>
    </xf>
    <xf numFmtId="44" fontId="0" fillId="0" borderId="516" xfId="2" applyFont="1" applyFill="1" applyBorder="1" applyProtection="1">
      <protection locked="0"/>
    </xf>
    <xf numFmtId="165" fontId="0" fillId="0" borderId="516" xfId="2" applyNumberFormat="1" applyFont="1" applyFill="1" applyBorder="1" applyProtection="1">
      <protection locked="0"/>
    </xf>
    <xf numFmtId="165" fontId="0" fillId="0" borderId="517" xfId="2" applyNumberFormat="1" applyFont="1" applyFill="1" applyBorder="1" applyProtection="1">
      <protection locked="0"/>
    </xf>
    <xf numFmtId="44" fontId="0" fillId="0" borderId="537" xfId="2" applyFont="1" applyFill="1" applyBorder="1" applyProtection="1">
      <protection locked="0"/>
    </xf>
    <xf numFmtId="44" fontId="0" fillId="0" borderId="538" xfId="2" applyFont="1" applyFill="1" applyBorder="1" applyAlignment="1">
      <alignment vertical="top"/>
    </xf>
    <xf numFmtId="0" fontId="28" fillId="0" borderId="539" xfId="0" applyFont="1" applyBorder="1" applyAlignment="1">
      <alignment horizontal="left"/>
    </xf>
    <xf numFmtId="3" fontId="0" fillId="0" borderId="540" xfId="0" applyNumberFormat="1" applyBorder="1" applyAlignment="1" applyProtection="1">
      <alignment horizontal="left"/>
      <protection locked="0"/>
    </xf>
    <xf numFmtId="44" fontId="0" fillId="0" borderId="540" xfId="2" applyFont="1" applyFill="1" applyBorder="1" applyProtection="1">
      <protection locked="0"/>
    </xf>
    <xf numFmtId="44" fontId="0" fillId="0" borderId="541" xfId="2" applyFont="1" applyFill="1" applyBorder="1" applyAlignment="1">
      <alignment vertical="top"/>
    </xf>
    <xf numFmtId="3" fontId="0" fillId="30" borderId="540" xfId="0" applyNumberFormat="1" applyFill="1" applyBorder="1" applyAlignment="1" applyProtection="1">
      <alignment horizontal="left"/>
      <protection locked="0"/>
    </xf>
    <xf numFmtId="0" fontId="0" fillId="30" borderId="540" xfId="0" applyFill="1" applyBorder="1" applyProtection="1">
      <protection locked="0"/>
    </xf>
    <xf numFmtId="3" fontId="0" fillId="12" borderId="540" xfId="0" applyNumberFormat="1" applyFill="1" applyBorder="1" applyAlignment="1" applyProtection="1">
      <alignment horizontal="left"/>
      <protection locked="0"/>
    </xf>
    <xf numFmtId="0" fontId="0" fillId="12" borderId="540" xfId="0" applyFill="1" applyBorder="1" applyProtection="1">
      <protection locked="0"/>
    </xf>
    <xf numFmtId="0" fontId="28" fillId="0" borderId="532" xfId="0" applyFont="1" applyBorder="1" applyAlignment="1">
      <alignment vertical="top" wrapText="1"/>
    </xf>
    <xf numFmtId="0" fontId="0" fillId="0" borderId="541" xfId="0" applyBorder="1" applyAlignment="1">
      <alignment vertical="top"/>
    </xf>
    <xf numFmtId="0" fontId="0" fillId="0" borderId="540" xfId="0" applyBorder="1" applyProtection="1">
      <protection locked="0"/>
    </xf>
    <xf numFmtId="0" fontId="0" fillId="0" borderId="541" xfId="0" applyBorder="1"/>
    <xf numFmtId="0" fontId="0" fillId="0" borderId="542" xfId="0" applyBorder="1" applyProtection="1">
      <protection locked="0"/>
    </xf>
    <xf numFmtId="0" fontId="0" fillId="0" borderId="543" xfId="0" applyBorder="1" applyProtection="1">
      <protection locked="0"/>
    </xf>
    <xf numFmtId="165" fontId="0" fillId="0" borderId="544" xfId="0" applyNumberFormat="1" applyBorder="1" applyProtection="1">
      <protection locked="0"/>
    </xf>
    <xf numFmtId="165" fontId="0" fillId="0" borderId="540" xfId="0" applyNumberFormat="1" applyBorder="1" applyProtection="1">
      <protection locked="0"/>
    </xf>
    <xf numFmtId="0" fontId="0" fillId="0" borderId="541" xfId="0" applyBorder="1" applyProtection="1">
      <protection locked="0"/>
    </xf>
    <xf numFmtId="0" fontId="0" fillId="0" borderId="542" xfId="0" applyBorder="1" applyAlignment="1" applyProtection="1">
      <alignment wrapText="1"/>
      <protection locked="0"/>
    </xf>
    <xf numFmtId="0" fontId="0" fillId="0" borderId="542" xfId="0" applyBorder="1" applyAlignment="1">
      <alignment wrapText="1"/>
    </xf>
    <xf numFmtId="0" fontId="0" fillId="0" borderId="544" xfId="0" applyBorder="1" applyProtection="1">
      <protection locked="0"/>
    </xf>
    <xf numFmtId="0" fontId="0" fillId="0" borderId="518" xfId="0" applyBorder="1" applyAlignment="1" applyProtection="1">
      <alignment horizontal="center"/>
      <protection locked="0"/>
    </xf>
    <xf numFmtId="169" fontId="0" fillId="0" borderId="518" xfId="0" applyNumberFormat="1" applyBorder="1" applyAlignment="1" applyProtection="1">
      <alignment horizontal="center"/>
      <protection locked="0"/>
    </xf>
    <xf numFmtId="0" fontId="4" fillId="0" borderId="518" xfId="4" applyBorder="1" applyAlignment="1" applyProtection="1">
      <alignment horizontal="center" vertical="center"/>
      <protection locked="0"/>
    </xf>
    <xf numFmtId="0" fontId="3" fillId="0" borderId="542" xfId="0" applyFont="1" applyBorder="1" applyAlignment="1">
      <alignment wrapText="1"/>
    </xf>
    <xf numFmtId="0" fontId="28" fillId="0" borderId="545" xfId="0" applyFont="1" applyBorder="1" applyAlignment="1">
      <alignment vertical="center"/>
    </xf>
    <xf numFmtId="0" fontId="0" fillId="0" borderId="546" xfId="0" applyBorder="1" applyProtection="1">
      <protection locked="0"/>
    </xf>
    <xf numFmtId="0" fontId="28" fillId="0" borderId="545" xfId="0" quotePrefix="1" applyFont="1" applyBorder="1"/>
    <xf numFmtId="44" fontId="0" fillId="0" borderId="541" xfId="2" applyFont="1" applyBorder="1" applyAlignment="1">
      <alignment vertical="top"/>
    </xf>
    <xf numFmtId="44" fontId="0" fillId="0" borderId="540" xfId="2" applyFont="1" applyBorder="1" applyProtection="1">
      <protection locked="0"/>
    </xf>
    <xf numFmtId="0" fontId="28" fillId="22" borderId="539" xfId="0" applyFont="1" applyFill="1" applyBorder="1" applyAlignment="1">
      <alignment horizontal="center"/>
    </xf>
    <xf numFmtId="3" fontId="0" fillId="25" borderId="540" xfId="0" applyNumberFormat="1" applyFill="1" applyBorder="1" applyAlignment="1" applyProtection="1">
      <alignment horizontal="left"/>
      <protection locked="0"/>
    </xf>
    <xf numFmtId="44" fontId="0" fillId="25" borderId="540" xfId="2" applyFont="1" applyFill="1" applyBorder="1" applyProtection="1">
      <protection locked="0"/>
    </xf>
    <xf numFmtId="0" fontId="0" fillId="0" borderId="547" xfId="0" applyBorder="1" applyAlignment="1">
      <alignment vertical="top"/>
    </xf>
    <xf numFmtId="0" fontId="0" fillId="30" borderId="517" xfId="0" applyFill="1" applyBorder="1" applyProtection="1">
      <protection locked="0"/>
    </xf>
    <xf numFmtId="0" fontId="0" fillId="12" borderId="517" xfId="0" applyFill="1" applyBorder="1" applyProtection="1">
      <protection locked="0"/>
    </xf>
    <xf numFmtId="0" fontId="0" fillId="0" borderId="548" xfId="0" applyBorder="1" applyAlignment="1" applyProtection="1">
      <alignment horizontal="center"/>
      <protection locked="0"/>
    </xf>
    <xf numFmtId="169" fontId="0" fillId="0" borderId="548" xfId="0" applyNumberFormat="1" applyBorder="1" applyAlignment="1" applyProtection="1">
      <alignment horizontal="center"/>
      <protection locked="0"/>
    </xf>
    <xf numFmtId="0" fontId="4" fillId="0" borderId="548" xfId="4" applyBorder="1" applyAlignment="1" applyProtection="1">
      <alignment horizontal="center" vertical="center"/>
      <protection locked="0"/>
    </xf>
    <xf numFmtId="44" fontId="0" fillId="0" borderId="547" xfId="2" applyFont="1" applyBorder="1" applyAlignment="1">
      <alignment vertical="top"/>
    </xf>
    <xf numFmtId="0" fontId="5" fillId="0" borderId="518" xfId="0" applyFont="1" applyBorder="1" applyProtection="1">
      <protection locked="0"/>
    </xf>
    <xf numFmtId="0" fontId="28" fillId="0" borderId="539" xfId="0" applyFont="1" applyBorder="1" applyAlignment="1">
      <alignment vertical="center"/>
    </xf>
    <xf numFmtId="44" fontId="5" fillId="0" borderId="518" xfId="2" applyFont="1" applyBorder="1" applyProtection="1">
      <protection locked="0"/>
    </xf>
    <xf numFmtId="44" fontId="0" fillId="0" borderId="546" xfId="2" applyFont="1" applyBorder="1" applyProtection="1">
      <protection locked="0"/>
    </xf>
    <xf numFmtId="0" fontId="28" fillId="22" borderId="545" xfId="0" applyFont="1" applyFill="1" applyBorder="1" applyAlignment="1">
      <alignment horizontal="center"/>
    </xf>
    <xf numFmtId="0" fontId="28" fillId="25" borderId="545" xfId="0" applyFont="1" applyFill="1" applyBorder="1" applyAlignment="1">
      <alignment horizontal="left"/>
    </xf>
    <xf numFmtId="3" fontId="0" fillId="25" borderId="546" xfId="0" applyNumberFormat="1" applyFill="1" applyBorder="1" applyAlignment="1" applyProtection="1">
      <alignment horizontal="left"/>
      <protection locked="0"/>
    </xf>
    <xf numFmtId="44" fontId="0" fillId="25" borderId="546" xfId="2" applyFont="1" applyFill="1" applyBorder="1" applyProtection="1">
      <protection locked="0"/>
    </xf>
    <xf numFmtId="0" fontId="28" fillId="23" borderId="532" xfId="0" applyFont="1" applyFill="1" applyBorder="1" applyAlignment="1">
      <alignment horizontal="left" vertical="center" wrapText="1"/>
    </xf>
    <xf numFmtId="0" fontId="28" fillId="9" borderId="549" xfId="0" applyFont="1" applyFill="1" applyBorder="1" applyAlignment="1">
      <alignment horizontal="center" vertical="center"/>
    </xf>
    <xf numFmtId="44" fontId="28" fillId="9" borderId="516" xfId="2" applyFont="1" applyFill="1" applyBorder="1" applyAlignment="1">
      <alignment horizontal="center" vertical="center"/>
    </xf>
    <xf numFmtId="0" fontId="28" fillId="9" borderId="545" xfId="0" applyFont="1" applyFill="1" applyBorder="1" applyAlignment="1">
      <alignment horizontal="left" vertical="center" wrapText="1"/>
    </xf>
    <xf numFmtId="0" fontId="28" fillId="9" borderId="545" xfId="0" applyFont="1" applyFill="1" applyBorder="1" applyAlignment="1">
      <alignment horizontal="left" vertical="center" wrapText="1" indent="1"/>
    </xf>
    <xf numFmtId="0" fontId="29" fillId="0" borderId="532" xfId="0" applyFont="1" applyBorder="1" applyAlignment="1">
      <alignment vertical="top"/>
    </xf>
    <xf numFmtId="0" fontId="0" fillId="0" borderId="550" xfId="0" applyBorder="1" applyProtection="1">
      <protection locked="0"/>
    </xf>
    <xf numFmtId="0" fontId="0" fillId="0" borderId="551" xfId="0" applyBorder="1" applyProtection="1">
      <protection locked="0"/>
    </xf>
    <xf numFmtId="0" fontId="0" fillId="0" borderId="552" xfId="0" applyBorder="1" applyAlignment="1">
      <alignment wrapText="1"/>
    </xf>
    <xf numFmtId="0" fontId="0" fillId="0" borderId="553" xfId="0" applyBorder="1" applyProtection="1">
      <protection locked="0"/>
    </xf>
    <xf numFmtId="0" fontId="0" fillId="0" borderId="554" xfId="0" applyBorder="1" applyProtection="1">
      <protection locked="0"/>
    </xf>
    <xf numFmtId="0" fontId="3" fillId="0" borderId="552" xfId="0" applyFont="1" applyBorder="1" applyAlignment="1">
      <alignment wrapText="1"/>
    </xf>
    <xf numFmtId="0" fontId="0" fillId="0" borderId="555" xfId="0" applyBorder="1" applyAlignment="1">
      <alignment vertical="top"/>
    </xf>
    <xf numFmtId="0" fontId="28" fillId="0" borderId="556" xfId="0" applyFont="1" applyBorder="1" applyAlignment="1">
      <alignment vertical="center"/>
    </xf>
    <xf numFmtId="0" fontId="28" fillId="0" borderId="556" xfId="0" quotePrefix="1" applyFont="1" applyBorder="1"/>
    <xf numFmtId="44" fontId="0" fillId="0" borderId="557" xfId="2" applyFont="1" applyBorder="1" applyProtection="1">
      <protection locked="0"/>
    </xf>
    <xf numFmtId="0" fontId="28" fillId="22" borderId="556" xfId="0" applyFont="1" applyFill="1" applyBorder="1" applyAlignment="1">
      <alignment horizontal="center"/>
    </xf>
    <xf numFmtId="0" fontId="28" fillId="25" borderId="556" xfId="0" applyFont="1" applyFill="1" applyBorder="1" applyAlignment="1">
      <alignment horizontal="left"/>
    </xf>
    <xf numFmtId="3" fontId="0" fillId="25" borderId="557" xfId="0" applyNumberFormat="1" applyFill="1" applyBorder="1" applyAlignment="1" applyProtection="1">
      <alignment horizontal="left"/>
      <protection locked="0"/>
    </xf>
    <xf numFmtId="44" fontId="0" fillId="25" borderId="557" xfId="2" applyFont="1" applyFill="1" applyBorder="1" applyProtection="1">
      <protection locked="0"/>
    </xf>
    <xf numFmtId="39" fontId="0" fillId="0" borderId="516" xfId="2" applyNumberFormat="1" applyFont="1" applyFill="1" applyBorder="1" applyProtection="1">
      <protection locked="0"/>
    </xf>
    <xf numFmtId="44" fontId="0" fillId="0" borderId="557" xfId="2" applyFont="1" applyFill="1" applyBorder="1" applyProtection="1">
      <protection locked="0"/>
    </xf>
    <xf numFmtId="39" fontId="0" fillId="0" borderId="516" xfId="2" applyNumberFormat="1" applyFont="1" applyBorder="1" applyProtection="1">
      <protection locked="0"/>
    </xf>
    <xf numFmtId="44" fontId="0" fillId="0" borderId="558" xfId="2" applyFont="1" applyBorder="1" applyAlignment="1">
      <alignment vertical="top"/>
    </xf>
    <xf numFmtId="0" fontId="28" fillId="9" borderId="556" xfId="0" applyFont="1" applyFill="1" applyBorder="1" applyAlignment="1">
      <alignment horizontal="left" vertical="center" wrapText="1"/>
    </xf>
    <xf numFmtId="0" fontId="28" fillId="9" borderId="556" xfId="0" applyFont="1" applyFill="1" applyBorder="1" applyAlignment="1">
      <alignment horizontal="left" vertical="center" wrapText="1" indent="1"/>
    </xf>
    <xf numFmtId="165" fontId="0" fillId="0" borderId="553" xfId="0" applyNumberFormat="1" applyBorder="1" applyProtection="1">
      <protection locked="0"/>
    </xf>
    <xf numFmtId="7" fontId="0" fillId="0" borderId="519" xfId="2" applyNumberFormat="1" applyFont="1" applyBorder="1" applyAlignment="1" applyProtection="1">
      <alignment horizontal="center"/>
      <protection locked="0"/>
    </xf>
    <xf numFmtId="0" fontId="28" fillId="0" borderId="539" xfId="0" quotePrefix="1" applyFont="1" applyBorder="1"/>
    <xf numFmtId="44" fontId="0" fillId="0" borderId="538" xfId="2" applyFont="1" applyBorder="1" applyAlignment="1">
      <alignment vertical="top"/>
    </xf>
    <xf numFmtId="44" fontId="0" fillId="0" borderId="537" xfId="2" applyFont="1" applyBorder="1" applyProtection="1">
      <protection locked="0"/>
    </xf>
    <xf numFmtId="0" fontId="28" fillId="22" borderId="536" xfId="0" applyFont="1" applyFill="1" applyBorder="1" applyAlignment="1">
      <alignment horizontal="center"/>
    </xf>
    <xf numFmtId="0" fontId="28" fillId="25" borderId="536" xfId="0" applyFont="1" applyFill="1" applyBorder="1" applyAlignment="1">
      <alignment horizontal="left"/>
    </xf>
    <xf numFmtId="3" fontId="0" fillId="25" borderId="537" xfId="0" applyNumberFormat="1" applyFill="1" applyBorder="1" applyAlignment="1" applyProtection="1">
      <alignment horizontal="left"/>
      <protection locked="0"/>
    </xf>
    <xf numFmtId="44" fontId="0" fillId="25" borderId="537" xfId="2" applyFont="1" applyFill="1" applyBorder="1" applyProtection="1">
      <protection locked="0"/>
    </xf>
    <xf numFmtId="44" fontId="0" fillId="0" borderId="559" xfId="2" applyFont="1" applyBorder="1" applyAlignment="1">
      <alignment vertical="top"/>
    </xf>
    <xf numFmtId="0" fontId="28" fillId="9" borderId="539" xfId="0" applyFont="1" applyFill="1" applyBorder="1" applyAlignment="1">
      <alignment horizontal="left" vertical="center" wrapText="1"/>
    </xf>
    <xf numFmtId="0" fontId="28" fillId="9" borderId="539" xfId="0" applyFont="1" applyFill="1" applyBorder="1" applyAlignment="1">
      <alignment horizontal="left" vertical="center" wrapText="1" indent="1"/>
    </xf>
    <xf numFmtId="0" fontId="0" fillId="0" borderId="538" xfId="0" applyBorder="1"/>
    <xf numFmtId="0" fontId="0" fillId="0" borderId="560" xfId="0" applyBorder="1" applyProtection="1">
      <protection locked="0"/>
    </xf>
    <xf numFmtId="0" fontId="0" fillId="0" borderId="561" xfId="0" applyBorder="1" applyProtection="1">
      <protection locked="0"/>
    </xf>
    <xf numFmtId="165" fontId="0" fillId="0" borderId="537" xfId="0" applyNumberFormat="1" applyBorder="1" applyProtection="1">
      <protection locked="0"/>
    </xf>
    <xf numFmtId="165" fontId="0" fillId="0" borderId="562" xfId="0" applyNumberFormat="1" applyBorder="1" applyProtection="1">
      <protection locked="0"/>
    </xf>
    <xf numFmtId="0" fontId="0" fillId="0" borderId="538" xfId="0" applyBorder="1" applyProtection="1">
      <protection locked="0"/>
    </xf>
    <xf numFmtId="0" fontId="0" fillId="0" borderId="560" xfId="0" applyBorder="1" applyAlignment="1" applyProtection="1">
      <alignment wrapText="1"/>
      <protection locked="0"/>
    </xf>
    <xf numFmtId="3" fontId="0" fillId="0" borderId="557" xfId="0" applyNumberFormat="1" applyBorder="1" applyAlignment="1" applyProtection="1">
      <alignment horizontal="left"/>
      <protection locked="0"/>
    </xf>
    <xf numFmtId="0" fontId="28" fillId="31" borderId="532" xfId="0" applyFont="1" applyFill="1" applyBorder="1" applyAlignment="1">
      <alignment horizontal="left" vertical="center" wrapText="1"/>
    </xf>
    <xf numFmtId="44" fontId="0" fillId="30" borderId="516" xfId="2" applyFont="1" applyFill="1" applyBorder="1" applyProtection="1">
      <protection locked="0"/>
    </xf>
    <xf numFmtId="44" fontId="0" fillId="30" borderId="517" xfId="2" applyFont="1" applyFill="1" applyBorder="1" applyProtection="1">
      <protection locked="0"/>
    </xf>
    <xf numFmtId="3" fontId="0" fillId="30" borderId="557" xfId="0" applyNumberFormat="1" applyFill="1" applyBorder="1" applyAlignment="1" applyProtection="1">
      <alignment horizontal="left"/>
      <protection locked="0"/>
    </xf>
    <xf numFmtId="44" fontId="0" fillId="30" borderId="557" xfId="2" applyFont="1" applyFill="1" applyBorder="1" applyProtection="1">
      <protection locked="0"/>
    </xf>
    <xf numFmtId="0" fontId="28" fillId="32" borderId="532" xfId="0" applyFont="1" applyFill="1" applyBorder="1" applyAlignment="1">
      <alignment horizontal="left" vertical="center" wrapText="1"/>
    </xf>
    <xf numFmtId="44" fontId="0" fillId="12" borderId="516" xfId="2" applyFont="1" applyFill="1" applyBorder="1" applyProtection="1">
      <protection locked="0"/>
    </xf>
    <xf numFmtId="44" fontId="0" fillId="12" borderId="517" xfId="2" applyFont="1" applyFill="1" applyBorder="1" applyProtection="1">
      <protection locked="0"/>
    </xf>
    <xf numFmtId="3" fontId="0" fillId="12" borderId="557" xfId="0" applyNumberFormat="1" applyFill="1" applyBorder="1" applyAlignment="1" applyProtection="1">
      <alignment horizontal="left"/>
      <protection locked="0"/>
    </xf>
    <xf numFmtId="44" fontId="0" fillId="12" borderId="557" xfId="2" applyFont="1" applyFill="1" applyBorder="1" applyProtection="1">
      <protection locked="0"/>
    </xf>
    <xf numFmtId="0" fontId="28" fillId="12" borderId="532" xfId="0" applyFont="1" applyFill="1" applyBorder="1" applyAlignment="1">
      <alignment horizontal="left" vertical="center" wrapText="1"/>
    </xf>
    <xf numFmtId="44" fontId="0" fillId="0" borderId="533" xfId="2" applyFont="1" applyBorder="1" applyAlignment="1">
      <alignment vertical="top"/>
    </xf>
    <xf numFmtId="0" fontId="28" fillId="0" borderId="531" xfId="0" quotePrefix="1" applyFont="1" applyBorder="1"/>
    <xf numFmtId="44" fontId="0" fillId="0" borderId="563" xfId="2" applyFont="1" applyBorder="1" applyAlignment="1">
      <alignment vertical="top"/>
    </xf>
    <xf numFmtId="44" fontId="0" fillId="30" borderId="150" xfId="2" applyFont="1" applyFill="1" applyBorder="1" applyProtection="1">
      <protection locked="0"/>
    </xf>
    <xf numFmtId="44" fontId="0" fillId="12" borderId="150" xfId="2" applyFont="1" applyFill="1" applyBorder="1" applyProtection="1">
      <protection locked="0"/>
    </xf>
    <xf numFmtId="2" fontId="0" fillId="0" borderId="516" xfId="2" applyNumberFormat="1" applyFont="1" applyBorder="1" applyProtection="1">
      <protection locked="0"/>
    </xf>
    <xf numFmtId="0" fontId="0" fillId="0" borderId="564" xfId="0" applyBorder="1" applyProtection="1">
      <protection locked="0"/>
    </xf>
    <xf numFmtId="0" fontId="0" fillId="0" borderId="565" xfId="0" applyBorder="1" applyProtection="1">
      <protection locked="0"/>
    </xf>
    <xf numFmtId="165" fontId="0" fillId="0" borderId="566" xfId="0" applyNumberFormat="1" applyBorder="1" applyProtection="1">
      <protection locked="0"/>
    </xf>
    <xf numFmtId="0" fontId="0" fillId="0" borderId="564" xfId="0" applyBorder="1" applyAlignment="1" applyProtection="1">
      <alignment wrapText="1"/>
      <protection locked="0"/>
    </xf>
    <xf numFmtId="0" fontId="0" fillId="0" borderId="564" xfId="0" applyBorder="1" applyAlignment="1">
      <alignment wrapText="1"/>
    </xf>
    <xf numFmtId="0" fontId="3" fillId="0" borderId="564" xfId="0" applyFont="1" applyBorder="1" applyAlignment="1">
      <alignment wrapText="1"/>
    </xf>
    <xf numFmtId="3" fontId="0" fillId="0" borderId="567" xfId="0" applyNumberFormat="1" applyBorder="1" applyAlignment="1" applyProtection="1">
      <alignment horizontal="left"/>
      <protection locked="0"/>
    </xf>
    <xf numFmtId="44" fontId="0" fillId="0" borderId="567" xfId="2" applyFont="1" applyBorder="1" applyProtection="1">
      <protection locked="0"/>
    </xf>
    <xf numFmtId="0" fontId="0" fillId="0" borderId="557" xfId="0" applyBorder="1" applyProtection="1">
      <protection locked="0"/>
    </xf>
    <xf numFmtId="0" fontId="0" fillId="0" borderId="568" xfId="0" applyBorder="1"/>
    <xf numFmtId="0" fontId="0" fillId="0" borderId="569" xfId="0" applyBorder="1" applyProtection="1">
      <protection locked="0"/>
    </xf>
    <xf numFmtId="0" fontId="0" fillId="0" borderId="570" xfId="0" applyBorder="1" applyProtection="1">
      <protection locked="0"/>
    </xf>
    <xf numFmtId="165" fontId="0" fillId="0" borderId="571" xfId="0" applyNumberFormat="1" applyBorder="1" applyProtection="1">
      <protection locked="0"/>
    </xf>
    <xf numFmtId="0" fontId="0" fillId="0" borderId="568" xfId="0" applyBorder="1" applyProtection="1">
      <protection locked="0"/>
    </xf>
    <xf numFmtId="0" fontId="0" fillId="0" borderId="569" xfId="0" applyBorder="1" applyAlignment="1" applyProtection="1">
      <alignment wrapText="1"/>
      <protection locked="0"/>
    </xf>
    <xf numFmtId="0" fontId="0" fillId="0" borderId="569" xfId="0" applyBorder="1" applyAlignment="1">
      <alignment wrapText="1"/>
    </xf>
    <xf numFmtId="0" fontId="0" fillId="0" borderId="571" xfId="0" applyBorder="1" applyProtection="1">
      <protection locked="0"/>
    </xf>
    <xf numFmtId="170" fontId="0" fillId="0" borderId="519" xfId="2" applyNumberFormat="1" applyFont="1" applyBorder="1" applyAlignment="1" applyProtection="1">
      <alignment horizontal="center"/>
      <protection locked="0"/>
    </xf>
    <xf numFmtId="0" fontId="3" fillId="0" borderId="569" xfId="0" applyFont="1" applyBorder="1" applyAlignment="1">
      <alignment wrapText="1"/>
    </xf>
    <xf numFmtId="0" fontId="0" fillId="0" borderId="568" xfId="0" applyBorder="1" applyAlignment="1">
      <alignment vertical="top"/>
    </xf>
    <xf numFmtId="44" fontId="0" fillId="0" borderId="568" xfId="2" applyFont="1" applyBorder="1" applyAlignment="1">
      <alignment vertical="top"/>
    </xf>
    <xf numFmtId="0" fontId="28" fillId="0" borderId="572" xfId="0" applyFont="1" applyBorder="1" applyAlignment="1">
      <alignment vertical="center"/>
    </xf>
    <xf numFmtId="0" fontId="28" fillId="0" borderId="572" xfId="0" quotePrefix="1" applyFont="1" applyBorder="1"/>
    <xf numFmtId="44" fontId="0" fillId="0" borderId="573" xfId="2" applyFont="1" applyBorder="1" applyProtection="1">
      <protection locked="0"/>
    </xf>
    <xf numFmtId="0" fontId="28" fillId="22" borderId="572" xfId="0" applyFont="1" applyFill="1" applyBorder="1" applyAlignment="1">
      <alignment horizontal="center"/>
    </xf>
    <xf numFmtId="0" fontId="28" fillId="25" borderId="572" xfId="0" applyFont="1" applyFill="1" applyBorder="1" applyAlignment="1">
      <alignment horizontal="left"/>
    </xf>
    <xf numFmtId="3" fontId="0" fillId="25" borderId="573" xfId="0" applyNumberFormat="1" applyFill="1" applyBorder="1" applyAlignment="1" applyProtection="1">
      <alignment horizontal="left"/>
      <protection locked="0"/>
    </xf>
    <xf numFmtId="44" fontId="0" fillId="25" borderId="573" xfId="2" applyFont="1" applyFill="1" applyBorder="1" applyProtection="1">
      <protection locked="0"/>
    </xf>
    <xf numFmtId="44" fontId="0" fillId="0" borderId="574" xfId="2" applyFont="1" applyBorder="1" applyAlignment="1">
      <alignment vertical="top"/>
    </xf>
    <xf numFmtId="0" fontId="28" fillId="9" borderId="575" xfId="0" applyFont="1" applyFill="1" applyBorder="1" applyAlignment="1">
      <alignment horizontal="left" vertical="center" wrapText="1"/>
    </xf>
    <xf numFmtId="0" fontId="28" fillId="9" borderId="575" xfId="0" applyFont="1" applyFill="1" applyBorder="1" applyAlignment="1">
      <alignment horizontal="left" vertical="center" wrapText="1" indent="1"/>
    </xf>
    <xf numFmtId="0" fontId="0" fillId="0" borderId="576" xfId="0" applyBorder="1"/>
    <xf numFmtId="0" fontId="0" fillId="0" borderId="577" xfId="0" applyBorder="1" applyProtection="1">
      <protection locked="0"/>
    </xf>
    <xf numFmtId="0" fontId="0" fillId="0" borderId="578" xfId="0" applyBorder="1" applyProtection="1">
      <protection locked="0"/>
    </xf>
    <xf numFmtId="165" fontId="0" fillId="0" borderId="579" xfId="0" applyNumberFormat="1" applyBorder="1" applyProtection="1">
      <protection locked="0"/>
    </xf>
    <xf numFmtId="0" fontId="0" fillId="0" borderId="576" xfId="0" applyBorder="1" applyProtection="1">
      <protection locked="0"/>
    </xf>
    <xf numFmtId="0" fontId="0" fillId="0" borderId="577" xfId="0" applyBorder="1" applyAlignment="1" applyProtection="1">
      <alignment wrapText="1"/>
      <protection locked="0"/>
    </xf>
    <xf numFmtId="0" fontId="0" fillId="0" borderId="577" xfId="0" applyBorder="1" applyAlignment="1">
      <alignment wrapText="1"/>
    </xf>
    <xf numFmtId="0" fontId="0" fillId="0" borderId="579" xfId="0" applyBorder="1" applyProtection="1">
      <protection locked="0"/>
    </xf>
    <xf numFmtId="0" fontId="3" fillId="0" borderId="577" xfId="0" applyFont="1" applyBorder="1" applyAlignment="1">
      <alignment wrapText="1"/>
    </xf>
    <xf numFmtId="0" fontId="0" fillId="0" borderId="576" xfId="0" applyBorder="1" applyAlignment="1">
      <alignment vertical="top"/>
    </xf>
    <xf numFmtId="3" fontId="0" fillId="0" borderId="573" xfId="0" applyNumberFormat="1" applyBorder="1" applyAlignment="1" applyProtection="1">
      <alignment horizontal="left"/>
      <protection locked="0"/>
    </xf>
    <xf numFmtId="0" fontId="0" fillId="0" borderId="573" xfId="0" applyBorder="1" applyProtection="1">
      <protection locked="0"/>
    </xf>
    <xf numFmtId="44" fontId="0" fillId="0" borderId="576" xfId="2" applyFont="1" applyBorder="1" applyAlignment="1">
      <alignment vertical="top"/>
    </xf>
    <xf numFmtId="0" fontId="28" fillId="0" borderId="575" xfId="0" applyFont="1" applyBorder="1" applyAlignment="1">
      <alignment vertical="center"/>
    </xf>
    <xf numFmtId="0" fontId="28" fillId="0" borderId="575" xfId="0" quotePrefix="1" applyFont="1" applyBorder="1"/>
    <xf numFmtId="44" fontId="0" fillId="0" borderId="580" xfId="2" applyFont="1" applyBorder="1" applyProtection="1">
      <protection locked="0"/>
    </xf>
    <xf numFmtId="3" fontId="0" fillId="0" borderId="580" xfId="0" applyNumberFormat="1" applyBorder="1" applyAlignment="1" applyProtection="1">
      <alignment horizontal="left"/>
      <protection locked="0"/>
    </xf>
    <xf numFmtId="0" fontId="28" fillId="22" borderId="575" xfId="0" applyFont="1" applyFill="1" applyBorder="1" applyAlignment="1">
      <alignment horizontal="center"/>
    </xf>
    <xf numFmtId="0" fontId="28" fillId="25" borderId="575" xfId="0" applyFont="1" applyFill="1" applyBorder="1" applyAlignment="1">
      <alignment horizontal="left"/>
    </xf>
    <xf numFmtId="3" fontId="0" fillId="25" borderId="580" xfId="0" applyNumberFormat="1" applyFill="1" applyBorder="1" applyAlignment="1" applyProtection="1">
      <alignment horizontal="left"/>
      <protection locked="0"/>
    </xf>
    <xf numFmtId="44" fontId="0" fillId="25" borderId="580" xfId="2" applyFont="1" applyFill="1" applyBorder="1" applyProtection="1">
      <protection locked="0"/>
    </xf>
    <xf numFmtId="0" fontId="0" fillId="0" borderId="581" xfId="0" applyBorder="1" applyProtection="1">
      <protection locked="0"/>
    </xf>
    <xf numFmtId="44" fontId="0" fillId="0" borderId="582" xfId="2" applyFont="1" applyBorder="1" applyAlignment="1">
      <alignment vertical="top"/>
    </xf>
    <xf numFmtId="0" fontId="0" fillId="0" borderId="582" xfId="0" applyBorder="1" applyAlignment="1">
      <alignment vertical="top"/>
    </xf>
    <xf numFmtId="0" fontId="28" fillId="0" borderId="583" xfId="0" applyFont="1" applyBorder="1" applyAlignment="1">
      <alignment vertical="center"/>
    </xf>
    <xf numFmtId="3" fontId="0" fillId="0" borderId="584" xfId="0" applyNumberFormat="1" applyBorder="1" applyAlignment="1" applyProtection="1">
      <alignment horizontal="left"/>
      <protection locked="0"/>
    </xf>
    <xf numFmtId="0" fontId="28" fillId="0" borderId="583" xfId="0" quotePrefix="1" applyFont="1" applyBorder="1"/>
    <xf numFmtId="44" fontId="0" fillId="0" borderId="584" xfId="2" applyFont="1" applyBorder="1" applyProtection="1">
      <protection locked="0"/>
    </xf>
    <xf numFmtId="0" fontId="28" fillId="22" borderId="583" xfId="0" applyFont="1" applyFill="1" applyBorder="1" applyAlignment="1">
      <alignment horizontal="center"/>
    </xf>
    <xf numFmtId="0" fontId="28" fillId="25" borderId="583" xfId="0" applyFont="1" applyFill="1" applyBorder="1" applyAlignment="1">
      <alignment horizontal="left"/>
    </xf>
    <xf numFmtId="3" fontId="0" fillId="25" borderId="584" xfId="0" applyNumberFormat="1" applyFill="1" applyBorder="1" applyAlignment="1" applyProtection="1">
      <alignment horizontal="left"/>
      <protection locked="0"/>
    </xf>
    <xf numFmtId="44" fontId="0" fillId="25" borderId="584" xfId="2" applyFont="1" applyFill="1" applyBorder="1" applyProtection="1">
      <protection locked="0"/>
    </xf>
    <xf numFmtId="44" fontId="0" fillId="0" borderId="585" xfId="2" applyFont="1" applyBorder="1" applyAlignment="1">
      <alignment vertical="top"/>
    </xf>
    <xf numFmtId="0" fontId="28" fillId="9" borderId="586" xfId="0" applyFont="1" applyFill="1" applyBorder="1" applyAlignment="1">
      <alignment horizontal="left" vertical="center" wrapText="1"/>
    </xf>
    <xf numFmtId="0" fontId="28" fillId="9" borderId="586" xfId="0" applyFont="1" applyFill="1" applyBorder="1" applyAlignment="1">
      <alignment horizontal="left" vertical="center" wrapText="1" indent="1"/>
    </xf>
    <xf numFmtId="0" fontId="0" fillId="0" borderId="587" xfId="0" applyBorder="1"/>
    <xf numFmtId="0" fontId="0" fillId="0" borderId="588" xfId="0" applyBorder="1" applyProtection="1">
      <protection locked="0"/>
    </xf>
    <xf numFmtId="0" fontId="0" fillId="0" borderId="589" xfId="0" applyBorder="1" applyProtection="1">
      <protection locked="0"/>
    </xf>
    <xf numFmtId="165" fontId="0" fillId="0" borderId="580" xfId="0" applyNumberFormat="1" applyBorder="1" applyProtection="1">
      <protection locked="0"/>
    </xf>
    <xf numFmtId="165" fontId="0" fillId="0" borderId="590" xfId="0" applyNumberFormat="1" applyBorder="1" applyProtection="1">
      <protection locked="0"/>
    </xf>
    <xf numFmtId="0" fontId="0" fillId="0" borderId="587" xfId="0" applyBorder="1" applyProtection="1">
      <protection locked="0"/>
    </xf>
    <xf numFmtId="0" fontId="0" fillId="0" borderId="588" xfId="0" applyBorder="1" applyAlignment="1" applyProtection="1">
      <alignment wrapText="1"/>
      <protection locked="0"/>
    </xf>
    <xf numFmtId="0" fontId="0" fillId="0" borderId="588" xfId="0" applyBorder="1" applyAlignment="1">
      <alignment wrapText="1"/>
    </xf>
    <xf numFmtId="0" fontId="3" fillId="0" borderId="588" xfId="0" applyFont="1" applyBorder="1" applyAlignment="1">
      <alignment wrapText="1"/>
    </xf>
    <xf numFmtId="44" fontId="0" fillId="0" borderId="587" xfId="2" applyFont="1" applyBorder="1" applyAlignment="1">
      <alignment vertical="top"/>
    </xf>
    <xf numFmtId="0" fontId="0" fillId="0" borderId="580" xfId="0" applyBorder="1" applyProtection="1">
      <protection locked="0"/>
    </xf>
    <xf numFmtId="0" fontId="0" fillId="0" borderId="515" xfId="0" applyBorder="1" applyAlignment="1">
      <alignment vertical="top"/>
    </xf>
    <xf numFmtId="0" fontId="7" fillId="0" borderId="516" xfId="5" applyFont="1" applyBorder="1" applyAlignment="1">
      <alignment horizontal="left" vertical="top" wrapText="1"/>
    </xf>
    <xf numFmtId="0" fontId="0" fillId="0" borderId="590" xfId="0" applyBorder="1" applyProtection="1">
      <protection locked="0"/>
    </xf>
    <xf numFmtId="0" fontId="28" fillId="0" borderId="586" xfId="0" applyFont="1" applyBorder="1" applyAlignment="1">
      <alignment vertical="center"/>
    </xf>
    <xf numFmtId="0" fontId="28" fillId="0" borderId="586" xfId="0" quotePrefix="1" applyFont="1" applyBorder="1"/>
    <xf numFmtId="44" fontId="0" fillId="0" borderId="591" xfId="2" applyFont="1" applyBorder="1" applyProtection="1">
      <protection locked="0"/>
    </xf>
    <xf numFmtId="0" fontId="28" fillId="22" borderId="586" xfId="0" applyFont="1" applyFill="1" applyBorder="1" applyAlignment="1">
      <alignment horizontal="center"/>
    </xf>
    <xf numFmtId="0" fontId="28" fillId="25" borderId="586" xfId="0" applyFont="1" applyFill="1" applyBorder="1" applyAlignment="1">
      <alignment horizontal="left"/>
    </xf>
    <xf numFmtId="3" fontId="0" fillId="25" borderId="591" xfId="0" applyNumberFormat="1" applyFill="1" applyBorder="1" applyAlignment="1" applyProtection="1">
      <alignment horizontal="left"/>
      <protection locked="0"/>
    </xf>
    <xf numFmtId="44" fontId="0" fillId="25" borderId="591" xfId="2" applyFont="1" applyFill="1" applyBorder="1" applyProtection="1">
      <protection locked="0"/>
    </xf>
    <xf numFmtId="44" fontId="0" fillId="0" borderId="592" xfId="2" applyFont="1" applyBorder="1" applyAlignment="1">
      <alignment vertical="top"/>
    </xf>
    <xf numFmtId="0" fontId="28" fillId="9" borderId="593" xfId="0" applyFont="1" applyFill="1" applyBorder="1" applyAlignment="1">
      <alignment horizontal="left" vertical="center" wrapText="1"/>
    </xf>
    <xf numFmtId="0" fontId="28" fillId="9" borderId="593" xfId="0" applyFont="1" applyFill="1" applyBorder="1" applyAlignment="1">
      <alignment horizontal="left" vertical="center" wrapText="1" indent="1"/>
    </xf>
    <xf numFmtId="0" fontId="0" fillId="0" borderId="594" xfId="0" applyBorder="1"/>
    <xf numFmtId="0" fontId="0" fillId="0" borderId="595" xfId="0" applyBorder="1" applyProtection="1">
      <protection locked="0"/>
    </xf>
    <xf numFmtId="0" fontId="0" fillId="0" borderId="596" xfId="0" applyBorder="1" applyProtection="1">
      <protection locked="0"/>
    </xf>
    <xf numFmtId="165" fontId="0" fillId="0" borderId="597" xfId="0" applyNumberFormat="1" applyBorder="1" applyProtection="1">
      <protection locked="0"/>
    </xf>
    <xf numFmtId="0" fontId="0" fillId="0" borderId="594" xfId="0" applyBorder="1" applyProtection="1">
      <protection locked="0"/>
    </xf>
    <xf numFmtId="0" fontId="0" fillId="0" borderId="595" xfId="0" applyBorder="1" applyAlignment="1" applyProtection="1">
      <alignment wrapText="1"/>
      <protection locked="0"/>
    </xf>
    <xf numFmtId="0" fontId="0" fillId="0" borderId="595" xfId="0" applyBorder="1" applyAlignment="1">
      <alignment wrapText="1"/>
    </xf>
    <xf numFmtId="0" fontId="0" fillId="0" borderId="597" xfId="0" applyBorder="1" applyProtection="1">
      <protection locked="0"/>
    </xf>
    <xf numFmtId="0" fontId="3" fillId="0" borderId="595" xfId="0" applyFont="1" applyBorder="1" applyAlignment="1">
      <alignment wrapText="1"/>
    </xf>
    <xf numFmtId="44" fontId="0" fillId="0" borderId="594" xfId="2" applyFont="1" applyBorder="1" applyAlignment="1">
      <alignment vertical="top"/>
    </xf>
    <xf numFmtId="3" fontId="0" fillId="0" borderId="591" xfId="0" applyNumberFormat="1" applyBorder="1" applyAlignment="1" applyProtection="1">
      <alignment horizontal="left"/>
      <protection locked="0"/>
    </xf>
    <xf numFmtId="0" fontId="0" fillId="0" borderId="591" xfId="0" applyBorder="1" applyProtection="1">
      <protection locked="0"/>
    </xf>
    <xf numFmtId="0" fontId="28" fillId="22" borderId="598" xfId="0" applyFont="1" applyFill="1" applyBorder="1" applyAlignment="1">
      <alignment horizontal="center"/>
    </xf>
    <xf numFmtId="0" fontId="28" fillId="25" borderId="598" xfId="0" applyFont="1" applyFill="1" applyBorder="1" applyAlignment="1">
      <alignment horizontal="left"/>
    </xf>
    <xf numFmtId="3" fontId="0" fillId="25" borderId="567" xfId="0" applyNumberFormat="1" applyFill="1" applyBorder="1" applyAlignment="1" applyProtection="1">
      <alignment horizontal="left"/>
      <protection locked="0"/>
    </xf>
    <xf numFmtId="44" fontId="0" fillId="25" borderId="567" xfId="2" applyFont="1" applyFill="1" applyBorder="1" applyProtection="1">
      <protection locked="0"/>
    </xf>
    <xf numFmtId="0" fontId="0" fillId="0" borderId="599" xfId="0" applyBorder="1" applyProtection="1">
      <protection locked="0"/>
    </xf>
    <xf numFmtId="165" fontId="0" fillId="0" borderId="573" xfId="0" applyNumberFormat="1" applyBorder="1" applyProtection="1">
      <protection locked="0"/>
    </xf>
    <xf numFmtId="0" fontId="28" fillId="0" borderId="593" xfId="0" applyFont="1" applyBorder="1" applyAlignment="1">
      <alignment vertical="center"/>
    </xf>
    <xf numFmtId="0" fontId="28" fillId="0" borderId="593" xfId="0" quotePrefix="1" applyFont="1" applyBorder="1"/>
    <xf numFmtId="44" fontId="0" fillId="0" borderId="600" xfId="2" applyFont="1" applyBorder="1" applyProtection="1">
      <protection locked="0"/>
    </xf>
    <xf numFmtId="0" fontId="28" fillId="22" borderId="593" xfId="0" applyFont="1" applyFill="1" applyBorder="1" applyAlignment="1">
      <alignment horizontal="center"/>
    </xf>
    <xf numFmtId="0" fontId="28" fillId="25" borderId="593" xfId="0" applyFont="1" applyFill="1" applyBorder="1" applyAlignment="1">
      <alignment horizontal="left"/>
    </xf>
    <xf numFmtId="3" fontId="0" fillId="25" borderId="600" xfId="0" applyNumberFormat="1" applyFill="1" applyBorder="1" applyAlignment="1" applyProtection="1">
      <alignment horizontal="left"/>
      <protection locked="0"/>
    </xf>
    <xf numFmtId="44" fontId="0" fillId="25" borderId="600" xfId="2" applyFont="1" applyFill="1" applyBorder="1" applyProtection="1">
      <protection locked="0"/>
    </xf>
    <xf numFmtId="0" fontId="28" fillId="0" borderId="598" xfId="0" applyFont="1" applyBorder="1" applyAlignment="1">
      <alignment vertical="center"/>
    </xf>
    <xf numFmtId="44" fontId="0" fillId="0" borderId="601" xfId="2" applyFont="1" applyBorder="1" applyAlignment="1">
      <alignment vertical="top"/>
    </xf>
    <xf numFmtId="0" fontId="28" fillId="0" borderId="598" xfId="0" quotePrefix="1" applyFont="1" applyBorder="1"/>
    <xf numFmtId="3" fontId="0" fillId="30" borderId="573" xfId="0" applyNumberFormat="1" applyFill="1" applyBorder="1" applyAlignment="1" applyProtection="1">
      <alignment horizontal="left"/>
      <protection locked="0"/>
    </xf>
    <xf numFmtId="44" fontId="0" fillId="30" borderId="573" xfId="2" applyFont="1" applyFill="1" applyBorder="1" applyProtection="1">
      <protection locked="0"/>
    </xf>
    <xf numFmtId="3" fontId="0" fillId="12" borderId="573" xfId="0" applyNumberFormat="1" applyFill="1" applyBorder="1" applyAlignment="1" applyProtection="1">
      <alignment horizontal="left"/>
      <protection locked="0"/>
    </xf>
    <xf numFmtId="44" fontId="0" fillId="12" borderId="573" xfId="2" applyFont="1" applyFill="1" applyBorder="1" applyProtection="1">
      <protection locked="0"/>
    </xf>
    <xf numFmtId="0" fontId="28" fillId="9" borderId="593" xfId="0" applyFont="1" applyFill="1" applyBorder="1" applyAlignment="1">
      <alignment vertical="top" wrapText="1"/>
    </xf>
    <xf numFmtId="44" fontId="0" fillId="0" borderId="602" xfId="2" applyFont="1" applyBorder="1" applyAlignment="1">
      <alignment vertical="top"/>
    </xf>
    <xf numFmtId="44" fontId="0" fillId="0" borderId="603" xfId="2" applyFont="1" applyBorder="1" applyProtection="1">
      <protection locked="0"/>
    </xf>
    <xf numFmtId="0" fontId="28" fillId="22" borderId="604" xfId="0" applyFont="1" applyFill="1" applyBorder="1" applyAlignment="1">
      <alignment horizontal="center"/>
    </xf>
    <xf numFmtId="0" fontId="28" fillId="25" borderId="604" xfId="0" applyFont="1" applyFill="1" applyBorder="1" applyAlignment="1">
      <alignment horizontal="left"/>
    </xf>
    <xf numFmtId="3" fontId="0" fillId="25" borderId="603" xfId="0" applyNumberFormat="1" applyFill="1" applyBorder="1" applyAlignment="1" applyProtection="1">
      <alignment horizontal="left"/>
      <protection locked="0"/>
    </xf>
    <xf numFmtId="44" fontId="0" fillId="25" borderId="603" xfId="2" applyFont="1" applyFill="1" applyBorder="1" applyProtection="1">
      <protection locked="0"/>
    </xf>
    <xf numFmtId="3" fontId="0" fillId="12" borderId="603" xfId="0" applyNumberFormat="1" applyFill="1" applyBorder="1" applyAlignment="1" applyProtection="1">
      <alignment horizontal="left"/>
      <protection locked="0"/>
    </xf>
    <xf numFmtId="44" fontId="0" fillId="12" borderId="603" xfId="2" applyFont="1" applyFill="1" applyBorder="1" applyProtection="1">
      <protection locked="0"/>
    </xf>
    <xf numFmtId="3" fontId="0" fillId="30" borderId="603" xfId="0" applyNumberFormat="1" applyFill="1" applyBorder="1" applyAlignment="1" applyProtection="1">
      <alignment horizontal="left"/>
      <protection locked="0"/>
    </xf>
    <xf numFmtId="44" fontId="0" fillId="30" borderId="603" xfId="2" applyFont="1" applyFill="1" applyBorder="1" applyProtection="1">
      <protection locked="0"/>
    </xf>
    <xf numFmtId="3" fontId="0" fillId="7" borderId="603" xfId="0" applyNumberFormat="1" applyFill="1" applyBorder="1" applyAlignment="1" applyProtection="1">
      <alignment horizontal="left"/>
      <protection locked="0"/>
    </xf>
    <xf numFmtId="0" fontId="28" fillId="9" borderId="604" xfId="0" applyFont="1" applyFill="1" applyBorder="1" applyAlignment="1">
      <alignment horizontal="left" vertical="center" wrapText="1"/>
    </xf>
    <xf numFmtId="0" fontId="28" fillId="9" borderId="604" xfId="0" applyFont="1" applyFill="1" applyBorder="1" applyAlignment="1">
      <alignment horizontal="left" vertical="center" wrapText="1" indent="1"/>
    </xf>
    <xf numFmtId="0" fontId="0" fillId="0" borderId="605" xfId="0" applyBorder="1" applyProtection="1">
      <protection locked="0"/>
    </xf>
    <xf numFmtId="0" fontId="0" fillId="0" borderId="606" xfId="0" applyBorder="1"/>
    <xf numFmtId="0" fontId="0" fillId="0" borderId="607" xfId="0" applyBorder="1" applyProtection="1">
      <protection locked="0"/>
    </xf>
    <xf numFmtId="0" fontId="0" fillId="0" borderId="608" xfId="0" applyBorder="1" applyProtection="1">
      <protection locked="0"/>
    </xf>
    <xf numFmtId="165" fontId="0" fillId="0" borderId="605" xfId="0" applyNumberFormat="1" applyBorder="1" applyProtection="1">
      <protection locked="0"/>
    </xf>
    <xf numFmtId="0" fontId="0" fillId="0" borderId="606" xfId="0" applyBorder="1" applyProtection="1">
      <protection locked="0"/>
    </xf>
    <xf numFmtId="0" fontId="0" fillId="0" borderId="607" xfId="0" applyBorder="1" applyAlignment="1" applyProtection="1">
      <alignment wrapText="1"/>
      <protection locked="0"/>
    </xf>
    <xf numFmtId="0" fontId="0" fillId="0" borderId="607" xfId="0" applyBorder="1" applyAlignment="1">
      <alignment wrapText="1"/>
    </xf>
    <xf numFmtId="0" fontId="3" fillId="0" borderId="607" xfId="0" applyFont="1" applyBorder="1" applyAlignment="1">
      <alignment wrapText="1"/>
    </xf>
    <xf numFmtId="0" fontId="0" fillId="0" borderId="606" xfId="0" applyBorder="1" applyAlignment="1">
      <alignment vertical="top"/>
    </xf>
    <xf numFmtId="0" fontId="0" fillId="0" borderId="609" xfId="0" applyBorder="1" applyProtection="1">
      <protection locked="0"/>
    </xf>
    <xf numFmtId="0" fontId="28" fillId="0" borderId="610" xfId="0" applyFont="1" applyBorder="1" applyAlignment="1">
      <alignment vertical="center"/>
    </xf>
    <xf numFmtId="3" fontId="0" fillId="0" borderId="609" xfId="0" applyNumberFormat="1" applyBorder="1" applyAlignment="1" applyProtection="1">
      <alignment horizontal="left"/>
      <protection locked="0"/>
    </xf>
    <xf numFmtId="0" fontId="28" fillId="0" borderId="610" xfId="0" quotePrefix="1" applyFont="1" applyBorder="1"/>
    <xf numFmtId="44" fontId="0" fillId="0" borderId="611" xfId="2" applyFont="1" applyBorder="1" applyAlignment="1">
      <alignment vertical="top"/>
    </xf>
    <xf numFmtId="44" fontId="0" fillId="0" borderId="612" xfId="2" applyFont="1" applyBorder="1" applyProtection="1">
      <protection locked="0"/>
    </xf>
    <xf numFmtId="0" fontId="28" fillId="22" borderId="613" xfId="0" applyFont="1" applyFill="1" applyBorder="1" applyAlignment="1">
      <alignment horizontal="center"/>
    </xf>
    <xf numFmtId="0" fontId="28" fillId="25" borderId="613" xfId="0" applyFont="1" applyFill="1" applyBorder="1" applyAlignment="1">
      <alignment horizontal="left"/>
    </xf>
    <xf numFmtId="3" fontId="0" fillId="25" borderId="612" xfId="0" applyNumberFormat="1" applyFill="1" applyBorder="1" applyAlignment="1" applyProtection="1">
      <alignment horizontal="left"/>
      <protection locked="0"/>
    </xf>
    <xf numFmtId="44" fontId="0" fillId="25" borderId="612" xfId="2" applyFont="1" applyFill="1" applyBorder="1" applyProtection="1">
      <protection locked="0"/>
    </xf>
    <xf numFmtId="44" fontId="0" fillId="0" borderId="614" xfId="2" applyFont="1" applyBorder="1" applyAlignment="1">
      <alignment vertical="top"/>
    </xf>
    <xf numFmtId="0" fontId="5" fillId="30" borderId="518" xfId="0" applyFont="1" applyFill="1" applyBorder="1" applyProtection="1">
      <protection locked="0"/>
    </xf>
    <xf numFmtId="3" fontId="0" fillId="30" borderId="609" xfId="0" applyNumberFormat="1" applyFill="1" applyBorder="1" applyAlignment="1" applyProtection="1">
      <alignment horizontal="left"/>
      <protection locked="0"/>
    </xf>
    <xf numFmtId="44" fontId="5" fillId="30" borderId="518" xfId="2" applyFont="1" applyFill="1" applyBorder="1" applyProtection="1">
      <protection locked="0"/>
    </xf>
    <xf numFmtId="44" fontId="0" fillId="30" borderId="609" xfId="2" applyFont="1" applyFill="1" applyBorder="1" applyProtection="1">
      <protection locked="0"/>
    </xf>
    <xf numFmtId="0" fontId="5" fillId="12" borderId="518" xfId="0" applyFont="1" applyFill="1" applyBorder="1" applyProtection="1">
      <protection locked="0"/>
    </xf>
    <xf numFmtId="3" fontId="0" fillId="12" borderId="609" xfId="0" applyNumberFormat="1" applyFill="1" applyBorder="1" applyAlignment="1" applyProtection="1">
      <alignment horizontal="left"/>
      <protection locked="0"/>
    </xf>
    <xf numFmtId="44" fontId="5" fillId="12" borderId="518" xfId="2" applyFont="1" applyFill="1" applyBorder="1" applyProtection="1">
      <protection locked="0"/>
    </xf>
    <xf numFmtId="44" fontId="0" fillId="12" borderId="609" xfId="2" applyFont="1" applyFill="1" applyBorder="1" applyProtection="1">
      <protection locked="0"/>
    </xf>
    <xf numFmtId="0" fontId="0" fillId="0" borderId="615" xfId="0" applyBorder="1" applyProtection="1">
      <protection locked="0"/>
    </xf>
    <xf numFmtId="0" fontId="0" fillId="0" borderId="616" xfId="0" applyBorder="1"/>
    <xf numFmtId="0" fontId="0" fillId="0" borderId="617" xfId="0" applyBorder="1" applyProtection="1">
      <protection locked="0"/>
    </xf>
    <xf numFmtId="0" fontId="0" fillId="0" borderId="618" xfId="0" applyBorder="1" applyProtection="1">
      <protection locked="0"/>
    </xf>
    <xf numFmtId="165" fontId="0" fillId="0" borderId="615" xfId="0" applyNumberFormat="1" applyBorder="1" applyProtection="1">
      <protection locked="0"/>
    </xf>
    <xf numFmtId="0" fontId="0" fillId="0" borderId="616" xfId="0" applyBorder="1" applyProtection="1">
      <protection locked="0"/>
    </xf>
    <xf numFmtId="0" fontId="0" fillId="0" borderId="617" xfId="0" applyBorder="1" applyAlignment="1" applyProtection="1">
      <alignment wrapText="1"/>
      <protection locked="0"/>
    </xf>
    <xf numFmtId="0" fontId="0" fillId="0" borderId="617" xfId="0" applyBorder="1" applyAlignment="1">
      <alignment wrapText="1"/>
    </xf>
    <xf numFmtId="0" fontId="3" fillId="0" borderId="617" xfId="0" applyFont="1" applyBorder="1" applyAlignment="1">
      <alignment wrapText="1"/>
    </xf>
    <xf numFmtId="0" fontId="0" fillId="0" borderId="616" xfId="0" applyBorder="1" applyAlignment="1">
      <alignment vertical="top"/>
    </xf>
    <xf numFmtId="0" fontId="0" fillId="0" borderId="600" xfId="0" applyBorder="1" applyProtection="1">
      <protection locked="0"/>
    </xf>
    <xf numFmtId="0" fontId="28" fillId="0" borderId="613" xfId="0" applyFont="1" applyBorder="1" applyAlignment="1">
      <alignment vertical="center"/>
    </xf>
    <xf numFmtId="3" fontId="0" fillId="0" borderId="600" xfId="0" applyNumberFormat="1" applyBorder="1" applyAlignment="1" applyProtection="1">
      <alignment horizontal="left"/>
      <protection locked="0"/>
    </xf>
    <xf numFmtId="0" fontId="28" fillId="0" borderId="613" xfId="0" quotePrefix="1" applyFont="1" applyBorder="1"/>
    <xf numFmtId="44" fontId="0" fillId="0" borderId="619" xfId="2" applyFont="1" applyBorder="1" applyAlignment="1">
      <alignment vertical="top"/>
    </xf>
    <xf numFmtId="44" fontId="0" fillId="0" borderId="620" xfId="2" applyFont="1" applyBorder="1" applyProtection="1">
      <protection locked="0"/>
    </xf>
    <xf numFmtId="0" fontId="28" fillId="22" borderId="621" xfId="0" applyFont="1" applyFill="1" applyBorder="1" applyAlignment="1">
      <alignment horizontal="center"/>
    </xf>
    <xf numFmtId="0" fontId="28" fillId="25" borderId="621" xfId="0" applyFont="1" applyFill="1" applyBorder="1" applyAlignment="1">
      <alignment horizontal="left"/>
    </xf>
    <xf numFmtId="3" fontId="0" fillId="25" borderId="620" xfId="0" applyNumberFormat="1" applyFill="1" applyBorder="1" applyAlignment="1" applyProtection="1">
      <alignment horizontal="left"/>
      <protection locked="0"/>
    </xf>
    <xf numFmtId="44" fontId="0" fillId="25" borderId="620" xfId="2" applyFont="1" applyFill="1" applyBorder="1" applyProtection="1">
      <protection locked="0"/>
    </xf>
    <xf numFmtId="44" fontId="0" fillId="0" borderId="622" xfId="2" applyFont="1" applyBorder="1" applyAlignment="1">
      <alignment vertical="top"/>
    </xf>
    <xf numFmtId="0" fontId="28" fillId="9" borderId="613" xfId="0" applyFont="1" applyFill="1" applyBorder="1" applyAlignment="1">
      <alignment horizontal="left" vertical="center" wrapText="1"/>
    </xf>
    <xf numFmtId="0" fontId="28" fillId="9" borderId="613" xfId="0" applyFont="1" applyFill="1" applyBorder="1" applyAlignment="1">
      <alignment horizontal="left" vertical="center" wrapText="1" indent="1"/>
    </xf>
    <xf numFmtId="0" fontId="0" fillId="0" borderId="623" xfId="0" applyBorder="1" applyProtection="1">
      <protection locked="0"/>
    </xf>
    <xf numFmtId="0" fontId="0" fillId="0" borderId="619" xfId="0" applyBorder="1"/>
    <xf numFmtId="0" fontId="0" fillId="0" borderId="624" xfId="0" applyBorder="1" applyProtection="1">
      <protection locked="0"/>
    </xf>
    <xf numFmtId="0" fontId="0" fillId="0" borderId="625" xfId="0" applyBorder="1" applyProtection="1">
      <protection locked="0"/>
    </xf>
    <xf numFmtId="165" fontId="0" fillId="0" borderId="623" xfId="0" applyNumberFormat="1" applyBorder="1" applyProtection="1">
      <protection locked="0"/>
    </xf>
    <xf numFmtId="0" fontId="0" fillId="0" borderId="619" xfId="0" applyBorder="1" applyProtection="1">
      <protection locked="0"/>
    </xf>
    <xf numFmtId="0" fontId="0" fillId="0" borderId="624" xfId="0" applyBorder="1" applyAlignment="1" applyProtection="1">
      <alignment wrapText="1"/>
      <protection locked="0"/>
    </xf>
    <xf numFmtId="0" fontId="0" fillId="0" borderId="624" xfId="0" applyBorder="1" applyAlignment="1">
      <alignment wrapText="1"/>
    </xf>
    <xf numFmtId="0" fontId="3" fillId="0" borderId="624" xfId="0" applyFont="1" applyBorder="1" applyAlignment="1">
      <alignment wrapText="1"/>
    </xf>
    <xf numFmtId="0" fontId="0" fillId="0" borderId="619" xfId="0" applyBorder="1" applyAlignment="1">
      <alignment vertical="top"/>
    </xf>
    <xf numFmtId="0" fontId="0" fillId="0" borderId="620" xfId="0" applyBorder="1" applyProtection="1">
      <protection locked="0"/>
    </xf>
    <xf numFmtId="0" fontId="28" fillId="0" borderId="621" xfId="0" applyFont="1" applyBorder="1" applyAlignment="1">
      <alignment vertical="center"/>
    </xf>
    <xf numFmtId="3" fontId="0" fillId="0" borderId="620" xfId="0" applyNumberFormat="1" applyBorder="1" applyAlignment="1" applyProtection="1">
      <alignment horizontal="left"/>
      <protection locked="0"/>
    </xf>
    <xf numFmtId="0" fontId="28" fillId="0" borderId="621" xfId="0" quotePrefix="1" applyFont="1" applyBorder="1"/>
    <xf numFmtId="44" fontId="0" fillId="0" borderId="626" xfId="2" applyFont="1" applyBorder="1" applyAlignment="1">
      <alignment vertical="top"/>
    </xf>
    <xf numFmtId="44" fontId="0" fillId="0" borderId="627" xfId="2" applyFont="1" applyBorder="1" applyProtection="1">
      <protection locked="0"/>
    </xf>
    <xf numFmtId="0" fontId="28" fillId="22" borderId="628" xfId="0" applyFont="1" applyFill="1" applyBorder="1" applyAlignment="1">
      <alignment horizontal="center"/>
    </xf>
    <xf numFmtId="0" fontId="28" fillId="25" borderId="628" xfId="0" applyFont="1" applyFill="1" applyBorder="1" applyAlignment="1">
      <alignment horizontal="left"/>
    </xf>
    <xf numFmtId="3" fontId="0" fillId="25" borderId="627" xfId="0" applyNumberFormat="1" applyFill="1" applyBorder="1" applyAlignment="1" applyProtection="1">
      <alignment horizontal="left"/>
      <protection locked="0"/>
    </xf>
    <xf numFmtId="44" fontId="0" fillId="25" borderId="627" xfId="2" applyFont="1" applyFill="1" applyBorder="1" applyProtection="1">
      <protection locked="0"/>
    </xf>
    <xf numFmtId="44" fontId="0" fillId="0" borderId="629" xfId="2" applyFont="1" applyBorder="1" applyAlignment="1">
      <alignment vertical="top"/>
    </xf>
    <xf numFmtId="0" fontId="0" fillId="0" borderId="630" xfId="0" applyBorder="1" applyProtection="1">
      <protection locked="0"/>
    </xf>
    <xf numFmtId="0" fontId="0" fillId="0" borderId="631" xfId="0" applyBorder="1" applyProtection="1">
      <protection locked="0"/>
    </xf>
    <xf numFmtId="0" fontId="0" fillId="0" borderId="630" xfId="0" applyBorder="1" applyAlignment="1" applyProtection="1">
      <alignment wrapText="1"/>
      <protection locked="0"/>
    </xf>
    <xf numFmtId="0" fontId="0" fillId="0" borderId="630" xfId="0" applyBorder="1" applyAlignment="1">
      <alignment wrapText="1"/>
    </xf>
    <xf numFmtId="0" fontId="3" fillId="0" borderId="630" xfId="0" applyFont="1" applyBorder="1" applyAlignment="1">
      <alignment wrapText="1"/>
    </xf>
    <xf numFmtId="0" fontId="0" fillId="0" borderId="627" xfId="0" applyBorder="1" applyProtection="1">
      <protection locked="0"/>
    </xf>
    <xf numFmtId="0" fontId="28" fillId="0" borderId="628" xfId="0" applyFont="1" applyBorder="1" applyAlignment="1">
      <alignment vertical="center"/>
    </xf>
    <xf numFmtId="3" fontId="0" fillId="0" borderId="627" xfId="0" applyNumberFormat="1" applyBorder="1" applyAlignment="1" applyProtection="1">
      <alignment horizontal="left"/>
      <protection locked="0"/>
    </xf>
    <xf numFmtId="0" fontId="28" fillId="0" borderId="628" xfId="0" quotePrefix="1" applyFont="1" applyBorder="1"/>
    <xf numFmtId="44" fontId="0" fillId="0" borderId="632" xfId="2" applyFont="1" applyBorder="1" applyAlignment="1">
      <alignment vertical="top"/>
    </xf>
    <xf numFmtId="44" fontId="0" fillId="0" borderId="633" xfId="2" applyFont="1" applyBorder="1" applyProtection="1">
      <protection locked="0"/>
    </xf>
    <xf numFmtId="0" fontId="28" fillId="22" borderId="634" xfId="0" applyFont="1" applyFill="1" applyBorder="1" applyAlignment="1">
      <alignment horizontal="center"/>
    </xf>
    <xf numFmtId="0" fontId="28" fillId="25" borderId="634" xfId="0" applyFont="1" applyFill="1" applyBorder="1" applyAlignment="1">
      <alignment horizontal="left"/>
    </xf>
    <xf numFmtId="3" fontId="0" fillId="25" borderId="633" xfId="0" applyNumberFormat="1" applyFill="1" applyBorder="1" applyAlignment="1" applyProtection="1">
      <alignment horizontal="left"/>
      <protection locked="0"/>
    </xf>
    <xf numFmtId="44" fontId="0" fillId="25" borderId="633" xfId="2" applyFont="1" applyFill="1" applyBorder="1" applyProtection="1">
      <protection locked="0"/>
    </xf>
    <xf numFmtId="3" fontId="0" fillId="30" borderId="633" xfId="0" applyNumberFormat="1" applyFill="1" applyBorder="1" applyAlignment="1" applyProtection="1">
      <alignment horizontal="left"/>
      <protection locked="0"/>
    </xf>
    <xf numFmtId="44" fontId="0" fillId="30" borderId="633" xfId="2" applyFont="1" applyFill="1" applyBorder="1" applyProtection="1">
      <protection locked="0"/>
    </xf>
    <xf numFmtId="3" fontId="0" fillId="12" borderId="633" xfId="0" applyNumberFormat="1" applyFill="1" applyBorder="1" applyAlignment="1" applyProtection="1">
      <alignment horizontal="left"/>
      <protection locked="0"/>
    </xf>
    <xf numFmtId="44" fontId="0" fillId="12" borderId="633" xfId="2" applyFont="1" applyFill="1" applyBorder="1" applyProtection="1">
      <protection locked="0"/>
    </xf>
    <xf numFmtId="0" fontId="29" fillId="0" borderId="635" xfId="0" applyFont="1" applyBorder="1" applyAlignment="1">
      <alignment vertical="top"/>
    </xf>
    <xf numFmtId="0" fontId="28" fillId="9" borderId="636" xfId="0" applyFont="1" applyFill="1" applyBorder="1" applyAlignment="1">
      <alignment horizontal="left" vertical="center" wrapText="1"/>
    </xf>
    <xf numFmtId="0" fontId="28" fillId="9" borderId="636" xfId="0" applyFont="1" applyFill="1" applyBorder="1" applyAlignment="1">
      <alignment horizontal="left" vertical="center" wrapText="1" indent="1"/>
    </xf>
    <xf numFmtId="0" fontId="0" fillId="0" borderId="637" xfId="0" applyBorder="1" applyProtection="1">
      <protection locked="0"/>
    </xf>
    <xf numFmtId="0" fontId="28" fillId="0" borderId="634" xfId="0" applyFont="1" applyBorder="1" applyAlignment="1">
      <alignment vertical="center"/>
    </xf>
    <xf numFmtId="3" fontId="0" fillId="0" borderId="633" xfId="0" applyNumberFormat="1" applyBorder="1" applyAlignment="1" applyProtection="1">
      <alignment horizontal="left"/>
      <protection locked="0"/>
    </xf>
    <xf numFmtId="0" fontId="28" fillId="0" borderId="634" xfId="0" quotePrefix="1" applyFont="1" applyBorder="1"/>
    <xf numFmtId="44" fontId="0" fillId="0" borderId="638" xfId="2" applyFont="1" applyBorder="1" applyAlignment="1">
      <alignment vertical="top"/>
    </xf>
    <xf numFmtId="44" fontId="0" fillId="0" borderId="639" xfId="2" applyFont="1" applyBorder="1" applyAlignment="1">
      <alignment vertical="top"/>
    </xf>
    <xf numFmtId="0" fontId="28" fillId="9" borderId="634" xfId="0" applyFont="1" applyFill="1" applyBorder="1" applyAlignment="1">
      <alignment horizontal="left" vertical="center" wrapText="1"/>
    </xf>
    <xf numFmtId="0" fontId="28" fillId="9" borderId="634" xfId="0" applyFont="1" applyFill="1" applyBorder="1" applyAlignment="1">
      <alignment horizontal="left" vertical="center" wrapText="1" indent="1"/>
    </xf>
    <xf numFmtId="0" fontId="0" fillId="0" borderId="640" xfId="0" applyBorder="1" applyProtection="1">
      <protection locked="0"/>
    </xf>
    <xf numFmtId="0" fontId="0" fillId="0" borderId="638" xfId="0" applyBorder="1"/>
    <xf numFmtId="0" fontId="0" fillId="0" borderId="641" xfId="0" applyBorder="1" applyProtection="1">
      <protection locked="0"/>
    </xf>
    <xf numFmtId="0" fontId="0" fillId="0" borderId="642" xfId="0" applyBorder="1" applyProtection="1">
      <protection locked="0"/>
    </xf>
    <xf numFmtId="165" fontId="0" fillId="0" borderId="640" xfId="0" applyNumberFormat="1" applyBorder="1" applyProtection="1">
      <protection locked="0"/>
    </xf>
    <xf numFmtId="0" fontId="0" fillId="0" borderId="638" xfId="0" applyBorder="1" applyProtection="1">
      <protection locked="0"/>
    </xf>
    <xf numFmtId="0" fontId="0" fillId="0" borderId="641" xfId="0" applyBorder="1" applyAlignment="1" applyProtection="1">
      <alignment wrapText="1"/>
      <protection locked="0"/>
    </xf>
    <xf numFmtId="0" fontId="0" fillId="0" borderId="641" xfId="0" applyBorder="1" applyAlignment="1">
      <alignment wrapText="1"/>
    </xf>
    <xf numFmtId="0" fontId="3" fillId="0" borderId="641" xfId="0" applyFont="1" applyBorder="1" applyAlignment="1">
      <alignment wrapText="1"/>
    </xf>
    <xf numFmtId="0" fontId="0" fillId="0" borderId="638" xfId="0" applyBorder="1" applyAlignment="1">
      <alignment vertical="top"/>
    </xf>
    <xf numFmtId="0" fontId="0" fillId="0" borderId="643" xfId="0" applyBorder="1" applyProtection="1">
      <protection locked="0"/>
    </xf>
    <xf numFmtId="0" fontId="28" fillId="0" borderId="644" xfId="0" applyFont="1" applyBorder="1" applyAlignment="1">
      <alignment vertical="center"/>
    </xf>
    <xf numFmtId="3" fontId="0" fillId="0" borderId="643" xfId="0" applyNumberFormat="1" applyBorder="1" applyAlignment="1" applyProtection="1">
      <alignment horizontal="left"/>
      <protection locked="0"/>
    </xf>
    <xf numFmtId="0" fontId="28" fillId="0" borderId="644" xfId="0" quotePrefix="1" applyFont="1" applyBorder="1"/>
    <xf numFmtId="44" fontId="0" fillId="0" borderId="645" xfId="2" applyFont="1" applyBorder="1" applyAlignment="1">
      <alignment vertical="top"/>
    </xf>
    <xf numFmtId="44" fontId="0" fillId="0" borderId="646" xfId="2" applyFont="1" applyBorder="1" applyProtection="1">
      <protection locked="0"/>
    </xf>
    <xf numFmtId="0" fontId="28" fillId="22" borderId="647" xfId="0" applyFont="1" applyFill="1" applyBorder="1" applyAlignment="1">
      <alignment horizontal="center"/>
    </xf>
    <xf numFmtId="0" fontId="28" fillId="25" borderId="647" xfId="0" applyFont="1" applyFill="1" applyBorder="1" applyAlignment="1">
      <alignment horizontal="left"/>
    </xf>
    <xf numFmtId="39" fontId="0" fillId="25" borderId="516" xfId="2" applyNumberFormat="1" applyFont="1" applyFill="1" applyBorder="1" applyProtection="1">
      <protection locked="0"/>
    </xf>
    <xf numFmtId="7" fontId="0" fillId="25" borderId="516" xfId="2" applyNumberFormat="1" applyFont="1" applyFill="1" applyBorder="1" applyProtection="1">
      <protection locked="0"/>
    </xf>
    <xf numFmtId="7" fontId="0" fillId="25" borderId="517" xfId="2" applyNumberFormat="1" applyFont="1" applyFill="1" applyBorder="1" applyProtection="1">
      <protection locked="0"/>
    </xf>
    <xf numFmtId="3" fontId="0" fillId="25" borderId="646" xfId="0" applyNumberFormat="1" applyFill="1" applyBorder="1" applyAlignment="1" applyProtection="1">
      <alignment horizontal="left"/>
      <protection locked="0"/>
    </xf>
    <xf numFmtId="44" fontId="0" fillId="25" borderId="646" xfId="2" applyFont="1" applyFill="1" applyBorder="1" applyProtection="1">
      <protection locked="0"/>
    </xf>
    <xf numFmtId="7" fontId="0" fillId="0" borderId="516" xfId="2" applyNumberFormat="1" applyFont="1" applyBorder="1" applyProtection="1">
      <protection locked="0"/>
    </xf>
    <xf numFmtId="7" fontId="0" fillId="0" borderId="517" xfId="2" applyNumberFormat="1" applyFont="1" applyBorder="1" applyProtection="1">
      <protection locked="0"/>
    </xf>
    <xf numFmtId="44" fontId="0" fillId="0" borderId="648" xfId="2" applyFont="1" applyBorder="1" applyAlignment="1">
      <alignment vertical="top"/>
    </xf>
    <xf numFmtId="0" fontId="29" fillId="30" borderId="649" xfId="0" applyFont="1" applyFill="1" applyBorder="1" applyAlignment="1">
      <alignment horizontal="left" vertical="center" wrapText="1"/>
    </xf>
    <xf numFmtId="3" fontId="0" fillId="30" borderId="643" xfId="0" applyNumberFormat="1" applyFill="1" applyBorder="1" applyAlignment="1" applyProtection="1">
      <alignment horizontal="left"/>
      <protection locked="0"/>
    </xf>
    <xf numFmtId="0" fontId="0" fillId="30" borderId="643" xfId="0" applyFill="1" applyBorder="1" applyProtection="1">
      <protection locked="0"/>
    </xf>
    <xf numFmtId="0" fontId="29" fillId="9" borderId="649" xfId="0" applyFont="1" applyFill="1" applyBorder="1" applyAlignment="1">
      <alignment horizontal="left" vertical="center" wrapText="1"/>
    </xf>
    <xf numFmtId="0" fontId="29" fillId="12" borderId="649" xfId="0" applyFont="1" applyFill="1" applyBorder="1" applyAlignment="1">
      <alignment horizontal="left" vertical="center" wrapText="1"/>
    </xf>
    <xf numFmtId="3" fontId="0" fillId="12" borderId="643" xfId="0" applyNumberFormat="1" applyFill="1" applyBorder="1" applyAlignment="1" applyProtection="1">
      <alignment horizontal="left"/>
      <protection locked="0"/>
    </xf>
    <xf numFmtId="0" fontId="0" fillId="12" borderId="643" xfId="0" applyFill="1" applyBorder="1" applyProtection="1">
      <protection locked="0"/>
    </xf>
    <xf numFmtId="0" fontId="28" fillId="9" borderId="649" xfId="0" applyFont="1" applyFill="1" applyBorder="1" applyAlignment="1">
      <alignment horizontal="left" vertical="center" wrapText="1"/>
    </xf>
    <xf numFmtId="7" fontId="28" fillId="9" borderId="516" xfId="2" applyNumberFormat="1" applyFont="1" applyFill="1" applyBorder="1" applyAlignment="1">
      <alignment horizontal="center" vertical="center"/>
    </xf>
    <xf numFmtId="0" fontId="0" fillId="0" borderId="645" xfId="0" applyBorder="1"/>
    <xf numFmtId="0" fontId="0" fillId="0" borderId="650" xfId="0" applyBorder="1" applyProtection="1">
      <protection locked="0"/>
    </xf>
    <xf numFmtId="0" fontId="0" fillId="0" borderId="651" xfId="0" applyBorder="1" applyProtection="1">
      <protection locked="0"/>
    </xf>
    <xf numFmtId="165" fontId="0" fillId="0" borderId="652" xfId="0" applyNumberFormat="1" applyBorder="1" applyProtection="1">
      <protection locked="0"/>
    </xf>
    <xf numFmtId="0" fontId="0" fillId="0" borderId="645" xfId="0" applyBorder="1" applyProtection="1">
      <protection locked="0"/>
    </xf>
    <xf numFmtId="0" fontId="0" fillId="0" borderId="650" xfId="0" applyBorder="1" applyAlignment="1" applyProtection="1">
      <alignment wrapText="1"/>
      <protection locked="0"/>
    </xf>
    <xf numFmtId="0" fontId="0" fillId="0" borderId="650" xfId="0" applyBorder="1" applyAlignment="1">
      <alignment wrapText="1"/>
    </xf>
    <xf numFmtId="0" fontId="0" fillId="0" borderId="652" xfId="0" applyBorder="1" applyProtection="1">
      <protection locked="0"/>
    </xf>
    <xf numFmtId="0" fontId="3" fillId="0" borderId="650" xfId="0" applyFont="1" applyBorder="1" applyAlignment="1">
      <alignment wrapText="1"/>
    </xf>
    <xf numFmtId="0" fontId="0" fillId="0" borderId="645" xfId="0" applyBorder="1" applyAlignment="1">
      <alignment vertical="top"/>
    </xf>
    <xf numFmtId="0" fontId="0" fillId="0" borderId="633" xfId="0" applyBorder="1" applyProtection="1">
      <protection locked="0"/>
    </xf>
    <xf numFmtId="44" fontId="0" fillId="0" borderId="653" xfId="2" applyFont="1" applyBorder="1" applyAlignment="1">
      <alignment vertical="top"/>
    </xf>
    <xf numFmtId="0" fontId="28" fillId="0" borderId="532" xfId="0" applyFont="1" applyBorder="1" applyAlignment="1">
      <alignment vertical="center" wrapText="1"/>
    </xf>
    <xf numFmtId="0" fontId="0" fillId="0" borderId="646" xfId="0" applyBorder="1" applyProtection="1">
      <protection locked="0"/>
    </xf>
    <xf numFmtId="0" fontId="28" fillId="0" borderId="647" xfId="0" applyFont="1" applyBorder="1" applyAlignment="1">
      <alignment vertical="center"/>
    </xf>
    <xf numFmtId="3" fontId="0" fillId="0" borderId="646" xfId="0" applyNumberFormat="1" applyBorder="1" applyAlignment="1" applyProtection="1">
      <alignment horizontal="left"/>
      <protection locked="0"/>
    </xf>
    <xf numFmtId="0" fontId="28" fillId="0" borderId="647" xfId="0" quotePrefix="1" applyFont="1" applyBorder="1"/>
    <xf numFmtId="44" fontId="0" fillId="0" borderId="654" xfId="2" applyFont="1" applyBorder="1" applyAlignment="1">
      <alignment vertical="top"/>
    </xf>
    <xf numFmtId="44" fontId="0" fillId="0" borderId="655" xfId="2" applyFont="1" applyBorder="1" applyProtection="1">
      <protection locked="0"/>
    </xf>
    <xf numFmtId="0" fontId="28" fillId="22" borderId="656" xfId="0" applyFont="1" applyFill="1" applyBorder="1" applyAlignment="1">
      <alignment horizontal="center"/>
    </xf>
    <xf numFmtId="0" fontId="28" fillId="25" borderId="656" xfId="0" applyFont="1" applyFill="1" applyBorder="1" applyAlignment="1">
      <alignment horizontal="left"/>
    </xf>
    <xf numFmtId="3" fontId="0" fillId="25" borderId="655" xfId="0" applyNumberFormat="1" applyFill="1" applyBorder="1" applyAlignment="1" applyProtection="1">
      <alignment horizontal="left"/>
      <protection locked="0"/>
    </xf>
    <xf numFmtId="44" fontId="0" fillId="25" borderId="655" xfId="2" applyFont="1" applyFill="1" applyBorder="1" applyProtection="1">
      <protection locked="0"/>
    </xf>
    <xf numFmtId="0" fontId="0" fillId="0" borderId="654" xfId="0" applyBorder="1"/>
    <xf numFmtId="0" fontId="0" fillId="0" borderId="657" xfId="0" applyBorder="1" applyProtection="1">
      <protection locked="0"/>
    </xf>
    <xf numFmtId="0" fontId="0" fillId="0" borderId="658" xfId="0" applyBorder="1" applyProtection="1">
      <protection locked="0"/>
    </xf>
    <xf numFmtId="0" fontId="0" fillId="0" borderId="654" xfId="0" applyBorder="1" applyProtection="1">
      <protection locked="0"/>
    </xf>
    <xf numFmtId="0" fontId="0" fillId="0" borderId="657" xfId="0" applyBorder="1" applyAlignment="1" applyProtection="1">
      <alignment wrapText="1"/>
      <protection locked="0"/>
    </xf>
    <xf numFmtId="0" fontId="0" fillId="0" borderId="657" xfId="0" applyBorder="1" applyAlignment="1">
      <alignment wrapText="1"/>
    </xf>
    <xf numFmtId="0" fontId="3" fillId="0" borderId="657" xfId="0" applyFont="1" applyBorder="1" applyAlignment="1">
      <alignment wrapText="1"/>
    </xf>
    <xf numFmtId="3" fontId="0" fillId="0" borderId="655" xfId="0" applyNumberFormat="1" applyBorder="1" applyAlignment="1" applyProtection="1">
      <alignment horizontal="left"/>
      <protection locked="0"/>
    </xf>
    <xf numFmtId="0" fontId="0" fillId="0" borderId="655" xfId="0" applyBorder="1" applyProtection="1">
      <protection locked="0"/>
    </xf>
    <xf numFmtId="0" fontId="0" fillId="0" borderId="654" xfId="0" applyBorder="1" applyAlignment="1">
      <alignment vertical="top"/>
    </xf>
    <xf numFmtId="0" fontId="28" fillId="0" borderId="659" xfId="0" applyFont="1" applyBorder="1" applyAlignment="1">
      <alignment vertical="center"/>
    </xf>
    <xf numFmtId="0" fontId="28" fillId="0" borderId="659" xfId="0" quotePrefix="1" applyFont="1" applyBorder="1"/>
    <xf numFmtId="44" fontId="0" fillId="0" borderId="660" xfId="2" applyFont="1" applyBorder="1" applyProtection="1">
      <protection locked="0"/>
    </xf>
    <xf numFmtId="0" fontId="28" fillId="22" borderId="659" xfId="0" applyFont="1" applyFill="1" applyBorder="1" applyAlignment="1">
      <alignment horizontal="center"/>
    </xf>
    <xf numFmtId="0" fontId="28" fillId="25" borderId="659" xfId="0" applyFont="1" applyFill="1" applyBorder="1" applyAlignment="1">
      <alignment horizontal="left"/>
    </xf>
    <xf numFmtId="3" fontId="0" fillId="25" borderId="660" xfId="0" applyNumberFormat="1" applyFill="1" applyBorder="1" applyAlignment="1" applyProtection="1">
      <alignment horizontal="left"/>
      <protection locked="0"/>
    </xf>
    <xf numFmtId="44" fontId="0" fillId="25" borderId="660" xfId="2" applyFont="1" applyFill="1" applyBorder="1" applyProtection="1">
      <protection locked="0"/>
    </xf>
    <xf numFmtId="44" fontId="0" fillId="0" borderId="661" xfId="2" applyFont="1" applyBorder="1" applyAlignment="1">
      <alignment vertical="top"/>
    </xf>
    <xf numFmtId="0" fontId="0" fillId="0" borderId="662" xfId="0" applyBorder="1"/>
    <xf numFmtId="0" fontId="0" fillId="0" borderId="663" xfId="0" applyBorder="1" applyProtection="1">
      <protection locked="0"/>
    </xf>
    <xf numFmtId="0" fontId="0" fillId="0" borderId="664" xfId="0" applyBorder="1" applyProtection="1">
      <protection locked="0"/>
    </xf>
    <xf numFmtId="165" fontId="0" fillId="0" borderId="665" xfId="0" applyNumberFormat="1" applyBorder="1" applyProtection="1">
      <protection locked="0"/>
    </xf>
    <xf numFmtId="0" fontId="0" fillId="0" borderId="662" xfId="0" applyBorder="1" applyProtection="1">
      <protection locked="0"/>
    </xf>
    <xf numFmtId="0" fontId="0" fillId="0" borderId="663" xfId="0" applyBorder="1" applyAlignment="1" applyProtection="1">
      <alignment wrapText="1"/>
      <protection locked="0"/>
    </xf>
    <xf numFmtId="0" fontId="0" fillId="0" borderId="663" xfId="0" applyBorder="1" applyAlignment="1">
      <alignment wrapText="1"/>
    </xf>
    <xf numFmtId="0" fontId="0" fillId="0" borderId="665" xfId="0" applyBorder="1" applyProtection="1">
      <protection locked="0"/>
    </xf>
    <xf numFmtId="0" fontId="3" fillId="0" borderId="663" xfId="0" applyFont="1" applyBorder="1" applyAlignment="1">
      <alignment wrapText="1"/>
    </xf>
    <xf numFmtId="0" fontId="0" fillId="0" borderId="662" xfId="0" applyBorder="1" applyAlignment="1">
      <alignment vertical="top"/>
    </xf>
    <xf numFmtId="44" fontId="0" fillId="0" borderId="662" xfId="2" applyFont="1" applyBorder="1" applyAlignment="1">
      <alignment vertical="top"/>
    </xf>
    <xf numFmtId="3" fontId="0" fillId="0" borderId="660" xfId="0" applyNumberFormat="1" applyBorder="1" applyAlignment="1" applyProtection="1">
      <alignment horizontal="left"/>
      <protection locked="0"/>
    </xf>
    <xf numFmtId="0" fontId="0" fillId="0" borderId="660" xfId="0" applyBorder="1" applyProtection="1">
      <protection locked="0"/>
    </xf>
    <xf numFmtId="0" fontId="0" fillId="0" borderId="666" xfId="0" applyBorder="1" applyProtection="1">
      <protection locked="0"/>
    </xf>
    <xf numFmtId="165" fontId="0" fillId="0" borderId="660" xfId="0" applyNumberFormat="1" applyBorder="1" applyProtection="1">
      <protection locked="0"/>
    </xf>
    <xf numFmtId="0" fontId="6" fillId="0" borderId="17" xfId="0" applyFont="1" applyBorder="1" applyAlignment="1"/>
    <xf numFmtId="0" fontId="62" fillId="0" borderId="525" xfId="0" applyFont="1" applyBorder="1" applyAlignment="1">
      <alignment horizontal="center"/>
    </xf>
    <xf numFmtId="0" fontId="62" fillId="0" borderId="526" xfId="0" applyFont="1" applyBorder="1" applyAlignment="1">
      <alignment horizontal="center"/>
    </xf>
    <xf numFmtId="0" fontId="4" fillId="0" borderId="525" xfId="4" applyBorder="1" applyAlignment="1">
      <alignment horizontal="center"/>
    </xf>
    <xf numFmtId="0" fontId="4" fillId="0" borderId="526" xfId="4" applyBorder="1" applyAlignment="1">
      <alignment horizontal="center"/>
    </xf>
    <xf numFmtId="0" fontId="4" fillId="0" borderId="525" xfId="4" applyBorder="1" applyAlignment="1" applyProtection="1">
      <alignment wrapText="1"/>
      <protection locked="0"/>
    </xf>
    <xf numFmtId="0" fontId="4" fillId="0" borderId="526" xfId="4" applyBorder="1" applyAlignment="1" applyProtection="1">
      <protection locked="0"/>
    </xf>
    <xf numFmtId="0" fontId="4" fillId="0" borderId="525" xfId="4" applyFill="1" applyBorder="1" applyAlignment="1" applyProtection="1">
      <alignment wrapText="1"/>
      <protection locked="0"/>
    </xf>
    <xf numFmtId="0" fontId="4" fillId="0" borderId="526" xfId="4" applyFill="1" applyBorder="1" applyAlignment="1" applyProtection="1">
      <protection locked="0"/>
    </xf>
    <xf numFmtId="5" fontId="28" fillId="0" borderId="528" xfId="2" applyNumberFormat="1" applyFont="1" applyBorder="1" applyAlignment="1">
      <alignment horizontal="center" vertical="center"/>
    </xf>
    <xf numFmtId="44" fontId="28" fillId="0" borderId="529" xfId="2" applyFont="1" applyBorder="1" applyAlignment="1">
      <alignment horizontal="center" vertical="center"/>
    </xf>
    <xf numFmtId="4" fontId="0" fillId="25" borderId="516" xfId="2" applyNumberFormat="1" applyFont="1" applyFill="1" applyBorder="1" applyProtection="1">
      <protection locked="0"/>
    </xf>
    <xf numFmtId="4" fontId="0" fillId="25" borderId="517" xfId="2" applyNumberFormat="1" applyFont="1" applyFill="1" applyBorder="1" applyProtection="1">
      <protection locked="0"/>
    </xf>
    <xf numFmtId="0" fontId="28" fillId="9" borderId="656" xfId="0" applyFont="1" applyFill="1" applyBorder="1" applyAlignment="1">
      <alignment horizontal="left"/>
    </xf>
    <xf numFmtId="4" fontId="0" fillId="0" borderId="516" xfId="2" applyNumberFormat="1" applyFont="1" applyBorder="1" applyProtection="1">
      <protection locked="0"/>
    </xf>
    <xf numFmtId="4" fontId="0" fillId="0" borderId="517" xfId="2" applyNumberFormat="1" applyFont="1" applyBorder="1" applyProtection="1">
      <protection locked="0"/>
    </xf>
    <xf numFmtId="0" fontId="28" fillId="30" borderId="656" xfId="0" applyFont="1" applyFill="1" applyBorder="1" applyAlignment="1">
      <alignment horizontal="left"/>
    </xf>
    <xf numFmtId="39" fontId="0" fillId="30" borderId="516" xfId="2" applyNumberFormat="1" applyFont="1" applyFill="1" applyBorder="1" applyProtection="1">
      <protection locked="0"/>
    </xf>
    <xf numFmtId="4" fontId="0" fillId="30" borderId="516" xfId="2" applyNumberFormat="1" applyFont="1" applyFill="1" applyBorder="1" applyProtection="1">
      <protection locked="0"/>
    </xf>
    <xf numFmtId="4" fontId="0" fillId="30" borderId="517" xfId="2" applyNumberFormat="1" applyFont="1" applyFill="1" applyBorder="1" applyProtection="1">
      <protection locked="0"/>
    </xf>
    <xf numFmtId="3" fontId="0" fillId="30" borderId="655" xfId="0" applyNumberFormat="1" applyFill="1" applyBorder="1" applyAlignment="1" applyProtection="1">
      <alignment horizontal="left"/>
      <protection locked="0"/>
    </xf>
    <xf numFmtId="44" fontId="0" fillId="30" borderId="655" xfId="2" applyFont="1" applyFill="1" applyBorder="1" applyProtection="1">
      <protection locked="0"/>
    </xf>
    <xf numFmtId="0" fontId="28" fillId="12" borderId="656" xfId="0" applyFont="1" applyFill="1" applyBorder="1" applyAlignment="1">
      <alignment horizontal="left"/>
    </xf>
    <xf numFmtId="39" fontId="0" fillId="12" borderId="516" xfId="2" applyNumberFormat="1" applyFont="1" applyFill="1" applyBorder="1" applyProtection="1">
      <protection locked="0"/>
    </xf>
    <xf numFmtId="4" fontId="0" fillId="12" borderId="516" xfId="2" applyNumberFormat="1" applyFont="1" applyFill="1" applyBorder="1" applyProtection="1">
      <protection locked="0"/>
    </xf>
    <xf numFmtId="4" fontId="0" fillId="12" borderId="517" xfId="2" applyNumberFormat="1" applyFont="1" applyFill="1" applyBorder="1" applyProtection="1">
      <protection locked="0"/>
    </xf>
    <xf numFmtId="3" fontId="0" fillId="12" borderId="655" xfId="0" applyNumberFormat="1" applyFill="1" applyBorder="1" applyAlignment="1" applyProtection="1">
      <alignment horizontal="left"/>
      <protection locked="0"/>
    </xf>
    <xf numFmtId="44" fontId="0" fillId="12" borderId="655" xfId="2" applyFont="1" applyFill="1" applyBorder="1" applyProtection="1">
      <protection locked="0"/>
    </xf>
    <xf numFmtId="0" fontId="0" fillId="0" borderId="525" xfId="0" applyBorder="1" applyAlignment="1">
      <alignment vertical="top"/>
    </xf>
    <xf numFmtId="0" fontId="0" fillId="0" borderId="667" xfId="0" applyBorder="1" applyAlignment="1">
      <alignment wrapText="1"/>
    </xf>
    <xf numFmtId="169" fontId="4" fillId="0" borderId="525" xfId="4" applyNumberFormat="1" applyBorder="1" applyAlignment="1" applyProtection="1">
      <alignment horizontal="center"/>
      <protection locked="0"/>
    </xf>
    <xf numFmtId="169" fontId="4" fillId="0" borderId="526" xfId="4" applyNumberFormat="1" applyBorder="1" applyAlignment="1" applyProtection="1">
      <alignment horizontal="center"/>
      <protection locked="0"/>
    </xf>
    <xf numFmtId="5" fontId="0" fillId="0" borderId="528" xfId="2" applyNumberFormat="1" applyFont="1" applyBorder="1" applyAlignment="1" applyProtection="1">
      <alignment horizontal="center"/>
      <protection locked="0"/>
    </xf>
    <xf numFmtId="5" fontId="0" fillId="0" borderId="529" xfId="2" applyNumberFormat="1" applyFont="1" applyBorder="1" applyAlignment="1" applyProtection="1">
      <alignment horizontal="center"/>
      <protection locked="0"/>
    </xf>
    <xf numFmtId="0" fontId="5" fillId="0" borderId="657" xfId="0" applyFont="1" applyBorder="1" applyProtection="1">
      <protection locked="0"/>
    </xf>
    <xf numFmtId="0" fontId="0" fillId="0" borderId="662" xfId="0" applyBorder="1" applyAlignment="1">
      <alignment vertical="top" wrapText="1"/>
    </xf>
    <xf numFmtId="0" fontId="5" fillId="0" borderId="516" xfId="0" applyFont="1" applyBorder="1" applyAlignment="1" applyProtection="1">
      <alignment wrapText="1"/>
      <protection locked="0"/>
    </xf>
    <xf numFmtId="0" fontId="0" fillId="0" borderId="517" xfId="0" applyBorder="1" applyAlignment="1" applyProtection="1">
      <alignment wrapText="1"/>
      <protection locked="0"/>
    </xf>
    <xf numFmtId="0" fontId="0" fillId="0" borderId="655" xfId="0" applyBorder="1" applyAlignment="1" applyProtection="1">
      <alignment wrapText="1"/>
      <protection locked="0"/>
    </xf>
    <xf numFmtId="0" fontId="28" fillId="0" borderId="656" xfId="0" applyFont="1" applyBorder="1" applyAlignment="1">
      <alignment vertical="center"/>
    </xf>
    <xf numFmtId="0" fontId="28" fillId="0" borderId="656" xfId="0" quotePrefix="1" applyFont="1" applyBorder="1"/>
    <xf numFmtId="0" fontId="5" fillId="25" borderId="516" xfId="0" applyFont="1" applyFill="1" applyBorder="1" applyProtection="1">
      <protection locked="0"/>
    </xf>
    <xf numFmtId="0" fontId="0" fillId="25" borderId="516" xfId="0" applyFill="1" applyBorder="1" applyProtection="1">
      <protection locked="0"/>
    </xf>
    <xf numFmtId="8" fontId="0" fillId="25" borderId="517" xfId="0" applyNumberFormat="1" applyFill="1" applyBorder="1" applyProtection="1">
      <protection locked="0"/>
    </xf>
    <xf numFmtId="170" fontId="0" fillId="25" borderId="655" xfId="0" applyNumberFormat="1" applyFill="1" applyBorder="1" applyProtection="1">
      <protection locked="0"/>
    </xf>
    <xf numFmtId="0" fontId="0" fillId="25" borderId="655" xfId="0" applyFill="1" applyBorder="1" applyProtection="1">
      <protection locked="0"/>
    </xf>
    <xf numFmtId="1" fontId="0" fillId="0" borderId="515" xfId="0" applyNumberFormat="1" applyBorder="1" applyAlignment="1">
      <alignment vertical="top"/>
    </xf>
    <xf numFmtId="0" fontId="28" fillId="9" borderId="656" xfId="0" applyFont="1" applyFill="1" applyBorder="1" applyAlignment="1">
      <alignment horizontal="left" vertical="center" wrapText="1"/>
    </xf>
    <xf numFmtId="1" fontId="0" fillId="0" borderId="668" xfId="0" applyNumberFormat="1" applyBorder="1" applyAlignment="1">
      <alignment vertical="top"/>
    </xf>
    <xf numFmtId="44" fontId="28" fillId="0" borderId="669" xfId="2" applyFont="1" applyBorder="1" applyAlignment="1">
      <alignment horizontal="center" vertical="center"/>
    </xf>
    <xf numFmtId="0" fontId="0" fillId="0" borderId="669" xfId="0" applyBorder="1" applyProtection="1">
      <protection locked="0"/>
    </xf>
    <xf numFmtId="0" fontId="28" fillId="30" borderId="670" xfId="0" applyFont="1" applyFill="1" applyBorder="1" applyAlignment="1">
      <alignment horizontal="left" vertical="center" wrapText="1"/>
    </xf>
    <xf numFmtId="0" fontId="5" fillId="30" borderId="516" xfId="0" applyFont="1" applyFill="1" applyBorder="1" applyProtection="1">
      <protection locked="0"/>
    </xf>
    <xf numFmtId="0" fontId="0" fillId="30" borderId="655" xfId="0" applyFill="1" applyBorder="1" applyProtection="1">
      <protection locked="0"/>
    </xf>
    <xf numFmtId="44" fontId="28" fillId="30" borderId="655" xfId="2" applyFont="1" applyFill="1" applyBorder="1" applyAlignment="1">
      <alignment horizontal="center" vertical="center"/>
    </xf>
    <xf numFmtId="1" fontId="0" fillId="0" borderId="662" xfId="0" applyNumberFormat="1" applyBorder="1" applyAlignment="1">
      <alignment vertical="top"/>
    </xf>
    <xf numFmtId="0" fontId="28" fillId="9" borderId="671" xfId="0" applyFont="1" applyFill="1" applyBorder="1" applyAlignment="1">
      <alignment horizontal="left" vertical="center" wrapText="1"/>
    </xf>
    <xf numFmtId="0" fontId="0" fillId="0" borderId="672" xfId="0" applyBorder="1" applyProtection="1">
      <protection locked="0"/>
    </xf>
    <xf numFmtId="44" fontId="28" fillId="0" borderId="672" xfId="2" applyFont="1" applyBorder="1" applyAlignment="1">
      <alignment horizontal="center" vertical="center"/>
    </xf>
    <xf numFmtId="1" fontId="0" fillId="0" borderId="673" xfId="0" applyNumberFormat="1" applyBorder="1" applyAlignment="1">
      <alignment vertical="top"/>
    </xf>
    <xf numFmtId="0" fontId="28" fillId="12" borderId="674" xfId="0" applyFont="1" applyFill="1" applyBorder="1" applyAlignment="1">
      <alignment horizontal="left" vertical="center" wrapText="1"/>
    </xf>
    <xf numFmtId="0" fontId="5" fillId="12" borderId="516" xfId="0" applyFont="1" applyFill="1" applyBorder="1" applyProtection="1">
      <protection locked="0"/>
    </xf>
    <xf numFmtId="0" fontId="0" fillId="12" borderId="675" xfId="0" applyFill="1" applyBorder="1" applyProtection="1">
      <protection locked="0"/>
    </xf>
    <xf numFmtId="44" fontId="28" fillId="12" borderId="675" xfId="2" applyFont="1" applyFill="1" applyBorder="1" applyAlignment="1">
      <alignment horizontal="center" vertical="center"/>
    </xf>
    <xf numFmtId="1" fontId="0" fillId="0" borderId="676" xfId="0" applyNumberFormat="1" applyBorder="1" applyAlignment="1">
      <alignment vertical="top"/>
    </xf>
    <xf numFmtId="0" fontId="28" fillId="9" borderId="677" xfId="0" applyFont="1" applyFill="1" applyBorder="1" applyAlignment="1">
      <alignment horizontal="left" vertical="center" wrapText="1"/>
    </xf>
    <xf numFmtId="165" fontId="0" fillId="0" borderId="678" xfId="0" applyNumberFormat="1" applyBorder="1" applyProtection="1">
      <protection locked="0"/>
    </xf>
    <xf numFmtId="0" fontId="0" fillId="0" borderId="678" xfId="0" applyBorder="1" applyProtection="1">
      <protection locked="0"/>
    </xf>
    <xf numFmtId="44" fontId="28" fillId="0" borderId="678" xfId="2" applyFont="1" applyBorder="1" applyAlignment="1">
      <alignment horizontal="center" vertical="center"/>
    </xf>
    <xf numFmtId="1" fontId="0" fillId="0" borderId="679" xfId="0" applyNumberFormat="1" applyBorder="1" applyAlignment="1">
      <alignment vertical="top"/>
    </xf>
    <xf numFmtId="0" fontId="28" fillId="9" borderId="680" xfId="0" applyFont="1" applyFill="1" applyBorder="1" applyAlignment="1">
      <alignment horizontal="left" vertical="center" wrapText="1"/>
    </xf>
    <xf numFmtId="0" fontId="0" fillId="0" borderId="681" xfId="0" applyBorder="1" applyProtection="1">
      <protection locked="0"/>
    </xf>
    <xf numFmtId="44" fontId="28" fillId="0" borderId="681" xfId="2" applyFont="1" applyBorder="1" applyAlignment="1">
      <alignment horizontal="center" vertical="center"/>
    </xf>
    <xf numFmtId="1" fontId="0" fillId="0" borderId="682" xfId="0" applyNumberFormat="1" applyBorder="1" applyAlignment="1">
      <alignment vertical="top"/>
    </xf>
    <xf numFmtId="0" fontId="28" fillId="9" borderId="683" xfId="0" applyFont="1" applyFill="1" applyBorder="1" applyAlignment="1">
      <alignment horizontal="left" vertical="center" wrapText="1"/>
    </xf>
    <xf numFmtId="0" fontId="0" fillId="0" borderId="684" xfId="0" applyBorder="1" applyProtection="1">
      <protection locked="0"/>
    </xf>
    <xf numFmtId="44" fontId="28" fillId="0" borderId="684" xfId="2" applyFont="1" applyBorder="1" applyAlignment="1">
      <alignment horizontal="center" vertical="center"/>
    </xf>
    <xf numFmtId="1" fontId="0" fillId="0" borderId="685" xfId="0" applyNumberFormat="1" applyBorder="1" applyAlignment="1">
      <alignment vertical="top"/>
    </xf>
    <xf numFmtId="0" fontId="28" fillId="9" borderId="686" xfId="0" applyFont="1" applyFill="1" applyBorder="1" applyAlignment="1">
      <alignment horizontal="left" vertical="center" wrapText="1"/>
    </xf>
    <xf numFmtId="0" fontId="0" fillId="0" borderId="687" xfId="0" applyBorder="1" applyProtection="1">
      <protection locked="0"/>
    </xf>
    <xf numFmtId="44" fontId="28" fillId="0" borderId="687" xfId="2" applyFont="1" applyBorder="1" applyAlignment="1">
      <alignment horizontal="center" vertical="center"/>
    </xf>
    <xf numFmtId="1" fontId="0" fillId="0" borderId="688" xfId="0" applyNumberFormat="1" applyBorder="1" applyAlignment="1">
      <alignment vertical="top"/>
    </xf>
    <xf numFmtId="0" fontId="28" fillId="30" borderId="689" xfId="0" applyFont="1" applyFill="1" applyBorder="1" applyAlignment="1">
      <alignment horizontal="left" vertical="center" wrapText="1"/>
    </xf>
    <xf numFmtId="0" fontId="0" fillId="30" borderId="690" xfId="0" applyFill="1" applyBorder="1" applyProtection="1">
      <protection locked="0"/>
    </xf>
    <xf numFmtId="44" fontId="28" fillId="30" borderId="690" xfId="2" applyFont="1" applyFill="1" applyBorder="1" applyAlignment="1">
      <alignment horizontal="center" vertical="center"/>
    </xf>
    <xf numFmtId="1" fontId="0" fillId="0" borderId="691" xfId="0" applyNumberFormat="1" applyBorder="1" applyAlignment="1">
      <alignment vertical="top"/>
    </xf>
    <xf numFmtId="0" fontId="28" fillId="9" borderId="692" xfId="0" applyFont="1" applyFill="1" applyBorder="1" applyAlignment="1">
      <alignment horizontal="left" vertical="center" wrapText="1"/>
    </xf>
    <xf numFmtId="0" fontId="0" fillId="0" borderId="693" xfId="0" applyBorder="1" applyProtection="1">
      <protection locked="0"/>
    </xf>
    <xf numFmtId="44" fontId="28" fillId="0" borderId="693" xfId="2" applyFont="1" applyBorder="1" applyAlignment="1">
      <alignment horizontal="center" vertical="center"/>
    </xf>
    <xf numFmtId="0" fontId="28" fillId="12" borderId="692" xfId="0" applyFont="1" applyFill="1" applyBorder="1" applyAlignment="1">
      <alignment horizontal="left" vertical="center" wrapText="1"/>
    </xf>
    <xf numFmtId="0" fontId="0" fillId="12" borderId="693" xfId="0" applyFill="1" applyBorder="1" applyProtection="1">
      <protection locked="0"/>
    </xf>
    <xf numFmtId="44" fontId="28" fillId="12" borderId="693" xfId="2" applyFont="1" applyFill="1" applyBorder="1" applyAlignment="1">
      <alignment horizontal="center" vertical="center"/>
    </xf>
    <xf numFmtId="1" fontId="0" fillId="0" borderId="694" xfId="0" applyNumberFormat="1" applyBorder="1" applyAlignment="1">
      <alignment vertical="top"/>
    </xf>
    <xf numFmtId="0" fontId="28" fillId="9" borderId="695" xfId="0" applyFont="1" applyFill="1" applyBorder="1" applyAlignment="1">
      <alignment horizontal="left" vertical="center" wrapText="1"/>
    </xf>
    <xf numFmtId="165" fontId="0" fillId="12" borderId="696" xfId="0" applyNumberFormat="1" applyFill="1" applyBorder="1" applyProtection="1">
      <protection locked="0"/>
    </xf>
    <xf numFmtId="0" fontId="0" fillId="0" borderId="696" xfId="0" applyBorder="1" applyProtection="1">
      <protection locked="0"/>
    </xf>
    <xf numFmtId="44" fontId="28" fillId="0" borderId="696" xfId="2" applyFont="1" applyBorder="1" applyAlignment="1">
      <alignment horizontal="center" vertical="center"/>
    </xf>
    <xf numFmtId="1" fontId="0" fillId="0" borderId="697" xfId="0" applyNumberFormat="1" applyBorder="1" applyAlignment="1">
      <alignment vertical="top"/>
    </xf>
    <xf numFmtId="0" fontId="28" fillId="9" borderId="698" xfId="0" applyFont="1" applyFill="1" applyBorder="1" applyAlignment="1">
      <alignment horizontal="left" vertical="center" wrapText="1"/>
    </xf>
    <xf numFmtId="0" fontId="0" fillId="0" borderId="699" xfId="0" applyBorder="1" applyProtection="1">
      <protection locked="0"/>
    </xf>
    <xf numFmtId="44" fontId="28" fillId="0" borderId="699" xfId="2" applyFont="1" applyBorder="1" applyAlignment="1">
      <alignment horizontal="center" vertical="center"/>
    </xf>
    <xf numFmtId="1" fontId="0" fillId="0" borderId="700" xfId="0" applyNumberFormat="1" applyBorder="1" applyAlignment="1">
      <alignment vertical="top"/>
    </xf>
    <xf numFmtId="0" fontId="28" fillId="9" borderId="701" xfId="0" applyFont="1" applyFill="1" applyBorder="1" applyAlignment="1">
      <alignment horizontal="left" vertical="center" wrapText="1"/>
    </xf>
    <xf numFmtId="0" fontId="0" fillId="0" borderId="702" xfId="0" applyBorder="1" applyProtection="1">
      <protection locked="0"/>
    </xf>
    <xf numFmtId="44" fontId="28" fillId="0" borderId="702" xfId="2" applyFont="1" applyBorder="1" applyAlignment="1">
      <alignment horizontal="center" vertical="center"/>
    </xf>
    <xf numFmtId="1" fontId="0" fillId="0" borderId="703" xfId="0" applyNumberFormat="1" applyBorder="1" applyAlignment="1">
      <alignment vertical="top"/>
    </xf>
    <xf numFmtId="0" fontId="28" fillId="12" borderId="704" xfId="0" applyFont="1" applyFill="1" applyBorder="1" applyAlignment="1">
      <alignment horizontal="left" vertical="center" wrapText="1"/>
    </xf>
    <xf numFmtId="0" fontId="0" fillId="12" borderId="705" xfId="0" applyFill="1" applyBorder="1" applyProtection="1">
      <protection locked="0"/>
    </xf>
    <xf numFmtId="44" fontId="28" fillId="12" borderId="705" xfId="2" applyFont="1" applyFill="1" applyBorder="1" applyAlignment="1">
      <alignment horizontal="center" vertical="center"/>
    </xf>
    <xf numFmtId="1" fontId="0" fillId="0" borderId="706" xfId="0" applyNumberFormat="1" applyBorder="1" applyAlignment="1">
      <alignment vertical="top"/>
    </xf>
    <xf numFmtId="0" fontId="0" fillId="0" borderId="705" xfId="0" applyBorder="1" applyProtection="1">
      <protection locked="0"/>
    </xf>
    <xf numFmtId="44" fontId="28" fillId="0" borderId="705" xfId="2" applyFont="1" applyBorder="1" applyAlignment="1">
      <alignment horizontal="center" vertical="center"/>
    </xf>
    <xf numFmtId="0" fontId="28" fillId="9" borderId="704" xfId="0" applyFont="1" applyFill="1" applyBorder="1" applyAlignment="1">
      <alignment horizontal="left" vertical="center" wrapText="1"/>
    </xf>
    <xf numFmtId="165" fontId="0" fillId="7" borderId="705" xfId="0" applyNumberFormat="1" applyFill="1" applyBorder="1" applyProtection="1">
      <protection locked="0"/>
    </xf>
    <xf numFmtId="0" fontId="28" fillId="30" borderId="704" xfId="0" applyFont="1" applyFill="1" applyBorder="1" applyAlignment="1">
      <alignment horizontal="left" vertical="center" wrapText="1"/>
    </xf>
    <xf numFmtId="0" fontId="0" fillId="30" borderId="705" xfId="0" applyFill="1" applyBorder="1" applyProtection="1">
      <protection locked="0"/>
    </xf>
    <xf numFmtId="44" fontId="28" fillId="30" borderId="705" xfId="2" applyFont="1" applyFill="1" applyBorder="1" applyAlignment="1">
      <alignment horizontal="center" vertical="center"/>
    </xf>
    <xf numFmtId="165" fontId="11" fillId="6" borderId="526" xfId="0" applyNumberFormat="1" applyFont="1" applyFill="1" applyBorder="1" applyAlignment="1" applyProtection="1">
      <alignment horizontal="left"/>
      <protection locked="0"/>
    </xf>
    <xf numFmtId="7" fontId="0" fillId="6" borderId="526" xfId="0" applyNumberFormat="1" applyFill="1" applyBorder="1" applyAlignment="1" applyProtection="1">
      <alignment horizontal="center"/>
      <protection locked="0"/>
    </xf>
    <xf numFmtId="0" fontId="0" fillId="0" borderId="706" xfId="0" applyBorder="1"/>
    <xf numFmtId="165" fontId="0" fillId="0" borderId="707" xfId="0" applyNumberFormat="1" applyBorder="1" applyProtection="1">
      <protection locked="0"/>
    </xf>
    <xf numFmtId="165" fontId="0" fillId="0" borderId="705" xfId="0" applyNumberFormat="1" applyBorder="1" applyProtection="1">
      <protection locked="0"/>
    </xf>
    <xf numFmtId="0" fontId="0" fillId="0" borderId="708" xfId="0" applyBorder="1" applyProtection="1">
      <protection locked="0"/>
    </xf>
    <xf numFmtId="0" fontId="0" fillId="0" borderId="706" xfId="0" applyBorder="1" applyProtection="1">
      <protection locked="0"/>
    </xf>
    <xf numFmtId="0" fontId="0" fillId="0" borderId="708" xfId="0" applyBorder="1" applyAlignment="1" applyProtection="1">
      <alignment wrapText="1"/>
      <protection locked="0"/>
    </xf>
    <xf numFmtId="6" fontId="0" fillId="0" borderId="705" xfId="0" applyNumberFormat="1" applyBorder="1" applyProtection="1">
      <protection locked="0"/>
    </xf>
    <xf numFmtId="5" fontId="0" fillId="0" borderId="519" xfId="2" applyNumberFormat="1" applyFont="1" applyBorder="1" applyAlignment="1" applyProtection="1">
      <alignment horizontal="center"/>
      <protection locked="0"/>
    </xf>
    <xf numFmtId="5" fontId="0" fillId="0" borderId="530" xfId="2" applyNumberFormat="1" applyFont="1" applyBorder="1" applyAlignment="1" applyProtection="1">
      <alignment horizontal="center"/>
      <protection locked="0"/>
    </xf>
    <xf numFmtId="0" fontId="3" fillId="0" borderId="708" xfId="0" applyFont="1" applyBorder="1" applyAlignment="1">
      <alignment wrapText="1"/>
    </xf>
    <xf numFmtId="5" fontId="0" fillId="0" borderId="518" xfId="2" applyNumberFormat="1" applyFont="1" applyBorder="1" applyAlignment="1" applyProtection="1">
      <alignment horizontal="center"/>
      <protection locked="0"/>
    </xf>
    <xf numFmtId="0" fontId="0" fillId="0" borderId="706" xfId="0" applyBorder="1" applyAlignment="1">
      <alignment vertical="top"/>
    </xf>
    <xf numFmtId="0" fontId="28" fillId="0" borderId="704" xfId="0" applyFont="1" applyBorder="1" applyAlignment="1">
      <alignment vertical="center"/>
    </xf>
    <xf numFmtId="0" fontId="0" fillId="0" borderId="549" xfId="0" applyBorder="1" applyProtection="1">
      <protection locked="0"/>
    </xf>
    <xf numFmtId="3" fontId="0" fillId="0" borderId="705" xfId="0" applyNumberFormat="1" applyBorder="1" applyAlignment="1" applyProtection="1">
      <alignment horizontal="left"/>
      <protection locked="0"/>
    </xf>
    <xf numFmtId="0" fontId="0" fillId="0" borderId="516" xfId="0" applyBorder="1" applyAlignment="1" applyProtection="1">
      <alignment horizontal="left" vertical="top"/>
      <protection locked="0"/>
    </xf>
    <xf numFmtId="0" fontId="28" fillId="0" borderId="704" xfId="0" quotePrefix="1" applyFont="1" applyBorder="1"/>
    <xf numFmtId="0" fontId="28" fillId="22" borderId="704" xfId="0" applyFont="1" applyFill="1" applyBorder="1" applyAlignment="1">
      <alignment horizontal="center"/>
    </xf>
    <xf numFmtId="0" fontId="28" fillId="25" borderId="704" xfId="0" applyFont="1" applyFill="1" applyBorder="1" applyAlignment="1">
      <alignment horizontal="left"/>
    </xf>
    <xf numFmtId="0" fontId="0" fillId="25" borderId="516" xfId="0" applyFill="1" applyBorder="1" applyAlignment="1" applyProtection="1">
      <alignment horizontal="left" vertical="top"/>
      <protection locked="0"/>
    </xf>
    <xf numFmtId="2" fontId="0" fillId="25" borderId="549" xfId="0" applyNumberFormat="1" applyFill="1" applyBorder="1" applyProtection="1">
      <protection locked="0"/>
    </xf>
    <xf numFmtId="165" fontId="0" fillId="25" borderId="516" xfId="0" applyNumberFormat="1" applyFill="1" applyBorder="1" applyProtection="1">
      <protection locked="0"/>
    </xf>
    <xf numFmtId="165" fontId="0" fillId="25" borderId="517" xfId="0" applyNumberFormat="1" applyFill="1" applyBorder="1" applyProtection="1">
      <protection locked="0"/>
    </xf>
    <xf numFmtId="0" fontId="0" fillId="25" borderId="707" xfId="0" applyFill="1" applyBorder="1" applyProtection="1">
      <protection locked="0"/>
    </xf>
    <xf numFmtId="3" fontId="0" fillId="25" borderId="705" xfId="0" applyNumberFormat="1" applyFill="1" applyBorder="1" applyProtection="1">
      <protection locked="0"/>
    </xf>
    <xf numFmtId="0" fontId="0" fillId="25" borderId="518" xfId="0" applyFill="1" applyBorder="1" applyProtection="1">
      <protection locked="0"/>
    </xf>
    <xf numFmtId="0" fontId="0" fillId="25" borderId="518" xfId="0" applyFill="1" applyBorder="1" applyAlignment="1" applyProtection="1">
      <alignment horizontal="center"/>
      <protection locked="0"/>
    </xf>
    <xf numFmtId="0" fontId="0" fillId="25" borderId="705" xfId="0" applyFill="1" applyBorder="1" applyProtection="1">
      <protection locked="0"/>
    </xf>
    <xf numFmtId="0" fontId="0" fillId="0" borderId="709" xfId="0" applyBorder="1" applyAlignment="1">
      <alignment vertical="top"/>
    </xf>
    <xf numFmtId="0" fontId="28" fillId="9" borderId="710" xfId="0" applyFont="1" applyFill="1" applyBorder="1" applyAlignment="1">
      <alignment horizontal="left" vertical="center" wrapText="1"/>
    </xf>
    <xf numFmtId="0" fontId="0" fillId="0" borderId="549" xfId="0" applyBorder="1" applyAlignment="1" applyProtection="1">
      <alignment horizontal="left" vertical="top"/>
      <protection locked="0"/>
    </xf>
    <xf numFmtId="2" fontId="0" fillId="0" borderId="549" xfId="0" applyNumberFormat="1" applyBorder="1" applyProtection="1">
      <protection locked="0"/>
    </xf>
    <xf numFmtId="0" fontId="0" fillId="0" borderId="711" xfId="0" applyBorder="1" applyProtection="1">
      <protection locked="0"/>
    </xf>
    <xf numFmtId="0" fontId="0" fillId="0" borderId="712" xfId="0" applyBorder="1" applyAlignment="1">
      <alignment vertical="top"/>
    </xf>
    <xf numFmtId="0" fontId="28" fillId="9" borderId="713" xfId="0" applyFont="1" applyFill="1" applyBorder="1" applyAlignment="1">
      <alignment horizontal="left" vertical="center" wrapText="1"/>
    </xf>
    <xf numFmtId="0" fontId="0" fillId="0" borderId="714" xfId="0" applyBorder="1" applyProtection="1">
      <protection locked="0"/>
    </xf>
    <xf numFmtId="0" fontId="0" fillId="0" borderId="715" xfId="0" applyBorder="1" applyAlignment="1">
      <alignment vertical="top"/>
    </xf>
    <xf numFmtId="0" fontId="28" fillId="9" borderId="716" xfId="0" applyFont="1" applyFill="1" applyBorder="1" applyAlignment="1">
      <alignment horizontal="left" vertical="center" wrapText="1"/>
    </xf>
    <xf numFmtId="0" fontId="0" fillId="0" borderId="717" xfId="0" applyBorder="1" applyProtection="1">
      <protection locked="0"/>
    </xf>
    <xf numFmtId="0" fontId="0" fillId="0" borderId="718" xfId="0" applyBorder="1" applyAlignment="1">
      <alignment vertical="top"/>
    </xf>
    <xf numFmtId="0" fontId="28" fillId="9" borderId="719" xfId="0" applyFont="1" applyFill="1" applyBorder="1" applyAlignment="1">
      <alignment horizontal="left" vertical="center" wrapText="1"/>
    </xf>
    <xf numFmtId="0" fontId="0" fillId="0" borderId="720" xfId="0" applyBorder="1" applyProtection="1">
      <protection locked="0"/>
    </xf>
    <xf numFmtId="0" fontId="0" fillId="0" borderId="721" xfId="0" applyBorder="1" applyAlignment="1">
      <alignment vertical="top"/>
    </xf>
    <xf numFmtId="0" fontId="28" fillId="9" borderId="722" xfId="0" applyFont="1" applyFill="1" applyBorder="1" applyAlignment="1">
      <alignment horizontal="left" vertical="center" wrapText="1"/>
    </xf>
    <xf numFmtId="0" fontId="0" fillId="0" borderId="723" xfId="0" applyBorder="1" applyProtection="1">
      <protection locked="0"/>
    </xf>
    <xf numFmtId="0" fontId="0" fillId="0" borderId="724" xfId="0" applyBorder="1" applyAlignment="1">
      <alignment vertical="top"/>
    </xf>
    <xf numFmtId="0" fontId="28" fillId="9" borderId="725" xfId="0" applyFont="1" applyFill="1" applyBorder="1" applyAlignment="1">
      <alignment horizontal="left" vertical="center" wrapText="1"/>
    </xf>
    <xf numFmtId="0" fontId="0" fillId="0" borderId="726" xfId="0" applyBorder="1" applyProtection="1">
      <protection locked="0"/>
    </xf>
    <xf numFmtId="0" fontId="29" fillId="9" borderId="727" xfId="0" applyFont="1" applyFill="1" applyBorder="1" applyAlignment="1">
      <alignment horizontal="left" vertical="center" wrapText="1"/>
    </xf>
    <xf numFmtId="0" fontId="29" fillId="30" borderId="727" xfId="0" applyFont="1" applyFill="1" applyBorder="1" applyAlignment="1">
      <alignment horizontal="left" vertical="center" wrapText="1"/>
    </xf>
    <xf numFmtId="0" fontId="0" fillId="30" borderId="516" xfId="0" applyFill="1" applyBorder="1" applyAlignment="1" applyProtection="1">
      <alignment horizontal="left" vertical="top"/>
      <protection locked="0"/>
    </xf>
    <xf numFmtId="2" fontId="0" fillId="30" borderId="549" xfId="0" applyNumberFormat="1" applyFill="1" applyBorder="1" applyProtection="1">
      <protection locked="0"/>
    </xf>
    <xf numFmtId="0" fontId="0" fillId="30" borderId="726" xfId="0" applyFill="1" applyBorder="1" applyProtection="1">
      <protection locked="0"/>
    </xf>
    <xf numFmtId="0" fontId="29" fillId="12" borderId="727" xfId="0" applyFont="1" applyFill="1" applyBorder="1" applyAlignment="1">
      <alignment horizontal="left" vertical="center" wrapText="1"/>
    </xf>
    <xf numFmtId="0" fontId="0" fillId="12" borderId="516" xfId="0" applyFill="1" applyBorder="1" applyAlignment="1" applyProtection="1">
      <alignment horizontal="left" vertical="top"/>
      <protection locked="0"/>
    </xf>
    <xf numFmtId="2" fontId="0" fillId="12" borderId="549" xfId="0" applyNumberFormat="1" applyFill="1" applyBorder="1" applyProtection="1">
      <protection locked="0"/>
    </xf>
    <xf numFmtId="0" fontId="0" fillId="12" borderId="726" xfId="0" applyFill="1" applyBorder="1" applyProtection="1">
      <protection locked="0"/>
    </xf>
    <xf numFmtId="165" fontId="0" fillId="12" borderId="726" xfId="0" applyNumberFormat="1" applyFill="1" applyBorder="1" applyProtection="1">
      <protection locked="0"/>
    </xf>
    <xf numFmtId="0" fontId="0" fillId="0" borderId="728" xfId="0" applyBorder="1" applyAlignment="1">
      <alignment vertical="top"/>
    </xf>
    <xf numFmtId="0" fontId="29" fillId="12" borderId="729" xfId="0" applyFont="1" applyFill="1" applyBorder="1" applyAlignment="1">
      <alignment horizontal="left" vertical="center" wrapText="1"/>
    </xf>
    <xf numFmtId="0" fontId="0" fillId="12" borderId="730" xfId="0" applyFill="1" applyBorder="1" applyProtection="1">
      <protection locked="0"/>
    </xf>
    <xf numFmtId="0" fontId="0" fillId="0" borderId="730" xfId="0" applyBorder="1" applyProtection="1">
      <protection locked="0"/>
    </xf>
    <xf numFmtId="0" fontId="0" fillId="0" borderId="731" xfId="0" applyBorder="1" applyAlignment="1">
      <alignment vertical="top"/>
    </xf>
    <xf numFmtId="0" fontId="28" fillId="9" borderId="732" xfId="0" applyFont="1" applyFill="1" applyBorder="1" applyAlignment="1">
      <alignment horizontal="left" vertical="center" wrapText="1"/>
    </xf>
    <xf numFmtId="0" fontId="0" fillId="0" borderId="733" xfId="0" applyBorder="1" applyProtection="1">
      <protection locked="0"/>
    </xf>
    <xf numFmtId="0" fontId="0" fillId="0" borderId="734" xfId="0" applyBorder="1" applyAlignment="1">
      <alignment vertical="top"/>
    </xf>
    <xf numFmtId="0" fontId="28" fillId="9" borderId="735" xfId="0" applyFont="1" applyFill="1" applyBorder="1" applyAlignment="1">
      <alignment horizontal="left" vertical="center" wrapText="1"/>
    </xf>
    <xf numFmtId="0" fontId="0" fillId="0" borderId="736" xfId="0" applyBorder="1" applyProtection="1">
      <protection locked="0"/>
    </xf>
    <xf numFmtId="0" fontId="0" fillId="0" borderId="737" xfId="0" applyBorder="1" applyAlignment="1">
      <alignment vertical="top"/>
    </xf>
    <xf numFmtId="0" fontId="28" fillId="9" borderId="738" xfId="0" applyFont="1" applyFill="1" applyBorder="1" applyAlignment="1">
      <alignment horizontal="left" vertical="center" wrapText="1"/>
    </xf>
    <xf numFmtId="0" fontId="0" fillId="0" borderId="739" xfId="0" applyBorder="1" applyProtection="1">
      <protection locked="0"/>
    </xf>
    <xf numFmtId="0" fontId="0" fillId="0" borderId="740" xfId="0" applyBorder="1" applyAlignment="1">
      <alignment vertical="top"/>
    </xf>
    <xf numFmtId="0" fontId="28" fillId="9" borderId="741" xfId="0" applyFont="1" applyFill="1" applyBorder="1" applyAlignment="1">
      <alignment horizontal="left" vertical="center" wrapText="1"/>
    </xf>
    <xf numFmtId="0" fontId="0" fillId="0" borderId="742" xfId="0" applyBorder="1" applyProtection="1">
      <protection locked="0"/>
    </xf>
    <xf numFmtId="0" fontId="0" fillId="0" borderId="743" xfId="0" applyBorder="1" applyAlignment="1">
      <alignment vertical="top"/>
    </xf>
    <xf numFmtId="0" fontId="28" fillId="9" borderId="744" xfId="0" applyFont="1" applyFill="1" applyBorder="1" applyAlignment="1">
      <alignment horizontal="left" vertical="center" wrapText="1"/>
    </xf>
    <xf numFmtId="0" fontId="0" fillId="0" borderId="745" xfId="0" applyBorder="1" applyProtection="1">
      <protection locked="0"/>
    </xf>
    <xf numFmtId="0" fontId="0" fillId="0" borderId="746" xfId="0" applyBorder="1" applyAlignment="1">
      <alignment vertical="top"/>
    </xf>
    <xf numFmtId="0" fontId="28" fillId="9" borderId="747" xfId="0" applyFont="1" applyFill="1" applyBorder="1" applyAlignment="1">
      <alignment horizontal="left" vertical="center" wrapText="1"/>
    </xf>
    <xf numFmtId="0" fontId="0" fillId="0" borderId="748" xfId="0" applyBorder="1" applyProtection="1">
      <protection locked="0"/>
    </xf>
    <xf numFmtId="0" fontId="0" fillId="0" borderId="749" xfId="0" applyBorder="1" applyAlignment="1">
      <alignment vertical="top"/>
    </xf>
    <xf numFmtId="0" fontId="29" fillId="9" borderId="750" xfId="0" applyFont="1" applyFill="1" applyBorder="1" applyAlignment="1">
      <alignment horizontal="left" vertical="center" wrapText="1"/>
    </xf>
    <xf numFmtId="0" fontId="0" fillId="0" borderId="751" xfId="0" applyBorder="1" applyProtection="1">
      <protection locked="0"/>
    </xf>
    <xf numFmtId="0" fontId="0" fillId="0" borderId="752" xfId="0" applyBorder="1" applyAlignment="1">
      <alignment vertical="top"/>
    </xf>
    <xf numFmtId="0" fontId="29" fillId="30" borderId="753" xfId="0" applyFont="1" applyFill="1" applyBorder="1" applyAlignment="1">
      <alignment horizontal="left" vertical="center" wrapText="1"/>
    </xf>
    <xf numFmtId="0" fontId="0" fillId="30" borderId="754" xfId="0" applyFill="1" applyBorder="1" applyProtection="1">
      <protection locked="0"/>
    </xf>
    <xf numFmtId="0" fontId="0" fillId="0" borderId="754" xfId="0" applyBorder="1" applyProtection="1">
      <protection locked="0"/>
    </xf>
    <xf numFmtId="0" fontId="0" fillId="0" borderId="755" xfId="0" applyBorder="1" applyAlignment="1">
      <alignment vertical="top"/>
    </xf>
    <xf numFmtId="0" fontId="29" fillId="9" borderId="756" xfId="0" applyFont="1" applyFill="1" applyBorder="1" applyAlignment="1">
      <alignment horizontal="left" vertical="center" wrapText="1"/>
    </xf>
    <xf numFmtId="0" fontId="0" fillId="0" borderId="757" xfId="0" applyBorder="1" applyProtection="1">
      <protection locked="0"/>
    </xf>
    <xf numFmtId="0" fontId="0" fillId="0" borderId="758" xfId="0" applyBorder="1" applyAlignment="1">
      <alignment vertical="top"/>
    </xf>
    <xf numFmtId="0" fontId="29" fillId="12" borderId="759" xfId="0" applyFont="1" applyFill="1" applyBorder="1" applyAlignment="1">
      <alignment horizontal="left" vertical="center" wrapText="1"/>
    </xf>
    <xf numFmtId="0" fontId="0" fillId="12" borderId="760" xfId="0" applyFill="1" applyBorder="1" applyProtection="1">
      <protection locked="0"/>
    </xf>
    <xf numFmtId="0" fontId="0" fillId="0" borderId="760" xfId="0" applyBorder="1" applyProtection="1">
      <protection locked="0"/>
    </xf>
    <xf numFmtId="0" fontId="0" fillId="0" borderId="761" xfId="0" applyBorder="1" applyAlignment="1">
      <alignment vertical="top"/>
    </xf>
    <xf numFmtId="0" fontId="28" fillId="9" borderId="762" xfId="0" applyFont="1" applyFill="1" applyBorder="1" applyAlignment="1">
      <alignment horizontal="left" vertical="center" wrapText="1"/>
    </xf>
    <xf numFmtId="0" fontId="0" fillId="0" borderId="763" xfId="0" applyBorder="1" applyProtection="1">
      <protection locked="0"/>
    </xf>
    <xf numFmtId="0" fontId="0" fillId="12" borderId="763" xfId="0" applyFill="1" applyBorder="1" applyProtection="1">
      <protection locked="0"/>
    </xf>
    <xf numFmtId="0" fontId="29" fillId="9" borderId="764" xfId="0" applyFont="1" applyFill="1" applyBorder="1" applyAlignment="1">
      <alignment horizontal="left" vertical="center" wrapText="1"/>
    </xf>
    <xf numFmtId="0" fontId="29" fillId="30" borderId="764" xfId="0" applyFont="1" applyFill="1" applyBorder="1" applyAlignment="1">
      <alignment horizontal="left" vertical="center" wrapText="1"/>
    </xf>
    <xf numFmtId="0" fontId="0" fillId="30" borderId="763" xfId="0" applyFill="1" applyBorder="1" applyProtection="1">
      <protection locked="0"/>
    </xf>
    <xf numFmtId="0" fontId="0" fillId="0" borderId="765" xfId="0" applyBorder="1" applyAlignment="1">
      <alignment vertical="top"/>
    </xf>
    <xf numFmtId="0" fontId="29" fillId="9" borderId="766" xfId="0" applyFont="1" applyFill="1" applyBorder="1" applyAlignment="1">
      <alignment horizontal="left" vertical="center" wrapText="1"/>
    </xf>
    <xf numFmtId="0" fontId="0" fillId="0" borderId="767" xfId="0" applyBorder="1" applyProtection="1">
      <protection locked="0"/>
    </xf>
    <xf numFmtId="0" fontId="0" fillId="0" borderId="768" xfId="0" applyBorder="1" applyAlignment="1">
      <alignment vertical="top"/>
    </xf>
    <xf numFmtId="0" fontId="29" fillId="12" borderId="769" xfId="0" applyFont="1" applyFill="1" applyBorder="1" applyAlignment="1">
      <alignment horizontal="left" vertical="center" wrapText="1"/>
    </xf>
    <xf numFmtId="0" fontId="0" fillId="12" borderId="770" xfId="0" applyFill="1" applyBorder="1" applyProtection="1">
      <protection locked="0"/>
    </xf>
    <xf numFmtId="0" fontId="0" fillId="0" borderId="770" xfId="0" applyBorder="1" applyProtection="1">
      <protection locked="0"/>
    </xf>
    <xf numFmtId="0" fontId="0" fillId="0" borderId="771" xfId="0" applyBorder="1" applyAlignment="1">
      <alignment vertical="top"/>
    </xf>
    <xf numFmtId="0" fontId="29" fillId="9" borderId="772" xfId="0" applyFont="1" applyFill="1" applyBorder="1" applyAlignment="1">
      <alignment horizontal="left" vertical="center" wrapText="1"/>
    </xf>
    <xf numFmtId="0" fontId="0" fillId="0" borderId="773" xfId="0" applyBorder="1" applyProtection="1">
      <protection locked="0"/>
    </xf>
    <xf numFmtId="0" fontId="0" fillId="0" borderId="774" xfId="0" applyBorder="1" applyAlignment="1">
      <alignment vertical="top"/>
    </xf>
    <xf numFmtId="0" fontId="0" fillId="0" borderId="775" xfId="0" applyBorder="1" applyAlignment="1">
      <alignment vertical="top"/>
    </xf>
    <xf numFmtId="0" fontId="6" fillId="0" borderId="776" xfId="0" applyFont="1" applyBorder="1" applyAlignment="1">
      <alignment vertical="top" wrapText="1"/>
    </xf>
    <xf numFmtId="3" fontId="0" fillId="0" borderId="773" xfId="0" applyNumberFormat="1" applyBorder="1" applyProtection="1">
      <protection locked="0"/>
    </xf>
    <xf numFmtId="0" fontId="0" fillId="6" borderId="777" xfId="0" applyFill="1" applyBorder="1" applyAlignment="1" applyProtection="1">
      <alignment horizontal="right"/>
      <protection locked="0"/>
    </xf>
    <xf numFmtId="10" fontId="0" fillId="6" borderId="518" xfId="3" applyNumberFormat="1" applyFont="1" applyFill="1" applyBorder="1" applyProtection="1">
      <protection locked="0"/>
    </xf>
    <xf numFmtId="9" fontId="0" fillId="6" borderId="518" xfId="3" applyFont="1" applyFill="1" applyBorder="1" applyAlignment="1" applyProtection="1">
      <alignment horizontal="center"/>
      <protection locked="0"/>
    </xf>
    <xf numFmtId="44" fontId="0" fillId="6" borderId="518" xfId="2" applyFont="1" applyFill="1" applyBorder="1" applyAlignment="1" applyProtection="1">
      <alignment horizontal="center"/>
      <protection locked="0"/>
    </xf>
    <xf numFmtId="5" fontId="0" fillId="6" borderId="518" xfId="0" applyNumberFormat="1" applyFill="1" applyBorder="1" applyProtection="1">
      <protection locked="0"/>
    </xf>
    <xf numFmtId="44" fontId="0" fillId="6" borderId="518" xfId="0" applyNumberFormat="1" applyFill="1" applyBorder="1" applyAlignment="1" applyProtection="1">
      <alignment horizontal="center"/>
      <protection locked="0"/>
    </xf>
    <xf numFmtId="164" fontId="10" fillId="6" borderId="777" xfId="1" applyNumberFormat="1" applyFont="1" applyFill="1" applyBorder="1" applyAlignment="1" applyProtection="1">
      <alignment horizontal="right"/>
      <protection locked="0"/>
    </xf>
    <xf numFmtId="0" fontId="10" fillId="6" borderId="777" xfId="0" applyFont="1" applyFill="1" applyBorder="1" applyAlignment="1" applyProtection="1">
      <alignment horizontal="right"/>
      <protection locked="0"/>
    </xf>
    <xf numFmtId="0" fontId="0" fillId="0" borderId="774" xfId="0" applyBorder="1"/>
    <xf numFmtId="0" fontId="0" fillId="0" borderId="778" xfId="0" applyBorder="1" applyProtection="1">
      <protection locked="0"/>
    </xf>
    <xf numFmtId="0" fontId="0" fillId="0" borderId="779" xfId="0" applyBorder="1" applyProtection="1">
      <protection locked="0"/>
    </xf>
    <xf numFmtId="165" fontId="0" fillId="0" borderId="780" xfId="0" applyNumberFormat="1" applyBorder="1" applyProtection="1">
      <protection locked="0"/>
    </xf>
    <xf numFmtId="165" fontId="0" fillId="0" borderId="780" xfId="0" applyNumberFormat="1" applyBorder="1" applyAlignment="1" applyProtection="1">
      <alignment horizontal="center"/>
      <protection locked="0"/>
    </xf>
    <xf numFmtId="165" fontId="0" fillId="0" borderId="773" xfId="0" applyNumberFormat="1" applyBorder="1" applyProtection="1">
      <protection locked="0"/>
    </xf>
    <xf numFmtId="44" fontId="0" fillId="0" borderId="780" xfId="0" applyNumberFormat="1" applyBorder="1" applyProtection="1">
      <protection locked="0"/>
    </xf>
    <xf numFmtId="165" fontId="0" fillId="0" borderId="518" xfId="0" applyNumberFormat="1" applyBorder="1" applyAlignment="1" applyProtection="1">
      <alignment horizontal="center"/>
      <protection locked="0"/>
    </xf>
    <xf numFmtId="44" fontId="0" fillId="0" borderId="518" xfId="0" applyNumberFormat="1" applyBorder="1" applyAlignment="1" applyProtection="1">
      <alignment horizontal="center"/>
      <protection locked="0"/>
    </xf>
    <xf numFmtId="0" fontId="0" fillId="0" borderId="774" xfId="0" applyBorder="1" applyProtection="1">
      <protection locked="0"/>
    </xf>
    <xf numFmtId="0" fontId="0" fillId="0" borderId="778" xfId="0" applyBorder="1" applyAlignment="1" applyProtection="1">
      <alignment wrapText="1"/>
      <protection locked="0"/>
    </xf>
    <xf numFmtId="0" fontId="0" fillId="2" borderId="518" xfId="0" applyFill="1" applyBorder="1" applyProtection="1">
      <protection locked="0"/>
    </xf>
    <xf numFmtId="0" fontId="0" fillId="0" borderId="780" xfId="0" applyBorder="1" applyProtection="1">
      <protection locked="0"/>
    </xf>
    <xf numFmtId="0" fontId="0" fillId="0" borderId="778" xfId="0" applyBorder="1" applyAlignment="1">
      <alignment wrapText="1"/>
    </xf>
    <xf numFmtId="0" fontId="0" fillId="0" borderId="780" xfId="0" applyBorder="1" applyAlignment="1" applyProtection="1">
      <alignment horizontal="center"/>
      <protection locked="0"/>
    </xf>
    <xf numFmtId="0" fontId="0" fillId="0" borderId="519" xfId="0" applyBorder="1" applyAlignment="1" applyProtection="1">
      <alignment horizontal="center"/>
      <protection locked="0"/>
    </xf>
    <xf numFmtId="169" fontId="41" fillId="0" borderId="525" xfId="0" applyNumberFormat="1" applyFont="1" applyBorder="1" applyAlignment="1" applyProtection="1">
      <alignment horizontal="center"/>
      <protection locked="0"/>
    </xf>
    <xf numFmtId="0" fontId="3" fillId="0" borderId="778" xfId="0" applyFont="1" applyBorder="1" applyAlignment="1">
      <alignment wrapText="1"/>
    </xf>
    <xf numFmtId="0" fontId="28" fillId="0" borderId="781" xfId="0" applyFont="1" applyBorder="1" applyAlignment="1">
      <alignment vertical="center"/>
    </xf>
    <xf numFmtId="3" fontId="0" fillId="0" borderId="773" xfId="0" applyNumberFormat="1" applyBorder="1" applyAlignment="1" applyProtection="1">
      <alignment horizontal="left"/>
      <protection locked="0"/>
    </xf>
    <xf numFmtId="0" fontId="28" fillId="0" borderId="781" xfId="0" quotePrefix="1" applyFont="1" applyBorder="1"/>
    <xf numFmtId="0" fontId="28" fillId="22" borderId="781" xfId="0" applyFont="1" applyFill="1" applyBorder="1" applyAlignment="1">
      <alignment horizontal="center"/>
    </xf>
    <xf numFmtId="0" fontId="28" fillId="25" borderId="781" xfId="0" applyFont="1" applyFill="1" applyBorder="1" applyAlignment="1">
      <alignment horizontal="left"/>
    </xf>
    <xf numFmtId="0" fontId="0" fillId="25" borderId="780" xfId="0" applyFill="1" applyBorder="1" applyProtection="1">
      <protection locked="0"/>
    </xf>
    <xf numFmtId="3" fontId="0" fillId="25" borderId="773" xfId="0" applyNumberFormat="1" applyFill="1" applyBorder="1" applyAlignment="1" applyProtection="1">
      <alignment horizontal="left"/>
      <protection locked="0"/>
    </xf>
    <xf numFmtId="0" fontId="0" fillId="25" borderId="773" xfId="0" applyFill="1" applyBorder="1" applyProtection="1">
      <protection locked="0"/>
    </xf>
    <xf numFmtId="0" fontId="36" fillId="25" borderId="518" xfId="0" applyFont="1" applyFill="1" applyBorder="1" applyProtection="1">
      <protection locked="0"/>
    </xf>
    <xf numFmtId="0" fontId="82" fillId="9" borderId="782" xfId="0" applyFont="1" applyFill="1" applyBorder="1" applyAlignment="1">
      <alignment horizontal="left" vertical="center" wrapText="1"/>
    </xf>
    <xf numFmtId="3" fontId="0" fillId="0" borderId="783" xfId="0" applyNumberFormat="1" applyBorder="1" applyAlignment="1" applyProtection="1">
      <alignment horizontal="left"/>
      <protection locked="0"/>
    </xf>
    <xf numFmtId="0" fontId="0" fillId="0" borderId="784" xfId="0" applyBorder="1" applyAlignment="1">
      <alignment vertical="top"/>
    </xf>
    <xf numFmtId="0" fontId="82" fillId="9" borderId="785" xfId="0" applyFont="1" applyFill="1" applyBorder="1" applyAlignment="1">
      <alignment horizontal="left" vertical="center" wrapText="1"/>
    </xf>
    <xf numFmtId="3" fontId="0" fillId="0" borderId="786" xfId="0" applyNumberFormat="1" applyBorder="1" applyAlignment="1" applyProtection="1">
      <alignment horizontal="left"/>
      <protection locked="0"/>
    </xf>
    <xf numFmtId="0" fontId="0" fillId="0" borderId="787" xfId="0" applyBorder="1" applyAlignment="1">
      <alignment vertical="top"/>
    </xf>
    <xf numFmtId="0" fontId="82" fillId="9" borderId="788" xfId="0" applyFont="1" applyFill="1" applyBorder="1" applyAlignment="1">
      <alignment horizontal="left" vertical="center" wrapText="1"/>
    </xf>
    <xf numFmtId="3" fontId="0" fillId="0" borderId="789" xfId="0" applyNumberFormat="1" applyBorder="1" applyAlignment="1" applyProtection="1">
      <alignment horizontal="left"/>
      <protection locked="0"/>
    </xf>
    <xf numFmtId="0" fontId="0" fillId="0" borderId="790" xfId="0" applyBorder="1" applyAlignment="1">
      <alignment vertical="top"/>
    </xf>
    <xf numFmtId="0" fontId="82" fillId="9" borderId="791" xfId="0" applyFont="1" applyFill="1" applyBorder="1" applyAlignment="1">
      <alignment horizontal="left" vertical="center" wrapText="1"/>
    </xf>
    <xf numFmtId="3" fontId="0" fillId="0" borderId="792" xfId="0" applyNumberFormat="1" applyBorder="1" applyAlignment="1" applyProtection="1">
      <alignment horizontal="left"/>
      <protection locked="0"/>
    </xf>
    <xf numFmtId="0" fontId="0" fillId="0" borderId="793" xfId="0" applyBorder="1" applyAlignment="1">
      <alignment vertical="top"/>
    </xf>
    <xf numFmtId="0" fontId="82" fillId="9" borderId="794" xfId="0" applyFont="1" applyFill="1" applyBorder="1" applyAlignment="1">
      <alignment horizontal="left" vertical="center" wrapText="1"/>
    </xf>
    <xf numFmtId="3" fontId="0" fillId="0" borderId="795" xfId="0" applyNumberFormat="1" applyBorder="1" applyAlignment="1" applyProtection="1">
      <alignment horizontal="left"/>
      <protection locked="0"/>
    </xf>
    <xf numFmtId="0" fontId="0" fillId="0" borderId="796" xfId="0" applyBorder="1" applyAlignment="1">
      <alignment vertical="top"/>
    </xf>
    <xf numFmtId="0" fontId="82" fillId="9" borderId="797" xfId="0" applyFont="1" applyFill="1" applyBorder="1" applyAlignment="1">
      <alignment horizontal="left" vertical="center" wrapText="1"/>
    </xf>
    <xf numFmtId="3" fontId="0" fillId="0" borderId="798" xfId="0" applyNumberFormat="1" applyBorder="1" applyAlignment="1" applyProtection="1">
      <alignment horizontal="left"/>
      <protection locked="0"/>
    </xf>
    <xf numFmtId="0" fontId="0" fillId="0" borderId="799" xfId="0" applyBorder="1" applyAlignment="1">
      <alignment vertical="top"/>
    </xf>
    <xf numFmtId="0" fontId="82" fillId="9" borderId="800" xfId="0" applyFont="1" applyFill="1" applyBorder="1" applyAlignment="1">
      <alignment horizontal="left" vertical="center" wrapText="1"/>
    </xf>
    <xf numFmtId="3" fontId="0" fillId="0" borderId="801" xfId="0" applyNumberFormat="1" applyBorder="1" applyAlignment="1" applyProtection="1">
      <alignment horizontal="left"/>
      <protection locked="0"/>
    </xf>
    <xf numFmtId="0" fontId="0" fillId="0" borderId="802" xfId="0" applyBorder="1" applyAlignment="1">
      <alignment vertical="top"/>
    </xf>
    <xf numFmtId="0" fontId="82" fillId="9" borderId="803" xfId="0" applyFont="1" applyFill="1" applyBorder="1" applyAlignment="1">
      <alignment horizontal="left" vertical="center" wrapText="1"/>
    </xf>
    <xf numFmtId="3" fontId="0" fillId="0" borderId="804" xfId="0" applyNumberFormat="1" applyBorder="1" applyAlignment="1" applyProtection="1">
      <alignment horizontal="left"/>
      <protection locked="0"/>
    </xf>
    <xf numFmtId="0" fontId="0" fillId="0" borderId="805" xfId="0" applyBorder="1" applyAlignment="1">
      <alignment vertical="top"/>
    </xf>
    <xf numFmtId="0" fontId="82" fillId="9" borderId="806" xfId="0" applyFont="1" applyFill="1" applyBorder="1" applyAlignment="1">
      <alignment horizontal="left" vertical="center" wrapText="1"/>
    </xf>
    <xf numFmtId="3" fontId="0" fillId="0" borderId="807" xfId="0" applyNumberFormat="1" applyBorder="1" applyAlignment="1" applyProtection="1">
      <alignment horizontal="left"/>
      <protection locked="0"/>
    </xf>
    <xf numFmtId="0" fontId="0" fillId="0" borderId="808" xfId="0" applyBorder="1" applyAlignment="1">
      <alignment vertical="top"/>
    </xf>
    <xf numFmtId="0" fontId="82" fillId="9" borderId="809" xfId="0" applyFont="1" applyFill="1" applyBorder="1" applyAlignment="1">
      <alignment horizontal="left" vertical="center" wrapText="1"/>
    </xf>
    <xf numFmtId="3" fontId="0" fillId="0" borderId="810" xfId="0" applyNumberFormat="1" applyBorder="1" applyAlignment="1" applyProtection="1">
      <alignment horizontal="left"/>
      <protection locked="0"/>
    </xf>
    <xf numFmtId="0" fontId="0" fillId="0" borderId="811" xfId="0" applyBorder="1" applyAlignment="1">
      <alignment vertical="top"/>
    </xf>
    <xf numFmtId="0" fontId="82" fillId="9" borderId="812" xfId="0" applyFont="1" applyFill="1" applyBorder="1" applyAlignment="1">
      <alignment horizontal="left" vertical="center" wrapText="1"/>
    </xf>
    <xf numFmtId="3" fontId="0" fillId="0" borderId="813" xfId="0" applyNumberFormat="1" applyBorder="1" applyAlignment="1" applyProtection="1">
      <alignment horizontal="left"/>
      <protection locked="0"/>
    </xf>
    <xf numFmtId="0" fontId="0" fillId="0" borderId="814" xfId="0" applyBorder="1" applyAlignment="1">
      <alignment vertical="top"/>
    </xf>
    <xf numFmtId="0" fontId="82" fillId="9" borderId="815" xfId="0" applyFont="1" applyFill="1" applyBorder="1" applyAlignment="1">
      <alignment horizontal="left" vertical="center" wrapText="1"/>
    </xf>
    <xf numFmtId="3" fontId="0" fillId="0" borderId="816" xfId="0" applyNumberFormat="1" applyBorder="1" applyAlignment="1" applyProtection="1">
      <alignment horizontal="left"/>
      <protection locked="0"/>
    </xf>
    <xf numFmtId="0" fontId="0" fillId="0" borderId="817" xfId="0" applyBorder="1" applyAlignment="1">
      <alignment vertical="top"/>
    </xf>
    <xf numFmtId="0" fontId="82" fillId="9" borderId="818" xfId="0" applyFont="1" applyFill="1" applyBorder="1" applyAlignment="1">
      <alignment horizontal="left" vertical="center" wrapText="1"/>
    </xf>
    <xf numFmtId="3" fontId="0" fillId="0" borderId="819" xfId="0" applyNumberFormat="1" applyBorder="1" applyAlignment="1" applyProtection="1">
      <alignment horizontal="left"/>
      <protection locked="0"/>
    </xf>
    <xf numFmtId="0" fontId="0" fillId="0" borderId="820" xfId="0" applyBorder="1" applyAlignment="1">
      <alignment vertical="top"/>
    </xf>
    <xf numFmtId="0" fontId="82" fillId="9" borderId="821" xfId="0" applyFont="1" applyFill="1" applyBorder="1" applyAlignment="1">
      <alignment horizontal="left" vertical="center" wrapText="1"/>
    </xf>
    <xf numFmtId="3" fontId="0" fillId="0" borderId="822" xfId="0" applyNumberFormat="1" applyBorder="1" applyAlignment="1" applyProtection="1">
      <alignment horizontal="left"/>
      <protection locked="0"/>
    </xf>
    <xf numFmtId="0" fontId="0" fillId="0" borderId="823" xfId="0" applyBorder="1" applyAlignment="1">
      <alignment vertical="top"/>
    </xf>
    <xf numFmtId="0" fontId="82" fillId="9" borderId="824" xfId="0" applyFont="1" applyFill="1" applyBorder="1" applyAlignment="1">
      <alignment horizontal="left" vertical="center" wrapText="1"/>
    </xf>
    <xf numFmtId="3" fontId="0" fillId="0" borderId="825" xfId="0" applyNumberFormat="1" applyBorder="1" applyAlignment="1" applyProtection="1">
      <alignment horizontal="left"/>
      <protection locked="0"/>
    </xf>
    <xf numFmtId="0" fontId="0" fillId="0" borderId="826" xfId="0" applyBorder="1" applyAlignment="1">
      <alignment vertical="top"/>
    </xf>
    <xf numFmtId="0" fontId="82" fillId="9" borderId="827" xfId="0" applyFont="1" applyFill="1" applyBorder="1" applyAlignment="1">
      <alignment horizontal="left" vertical="center" wrapText="1"/>
    </xf>
    <xf numFmtId="3" fontId="0" fillId="0" borderId="828" xfId="0" applyNumberFormat="1" applyBorder="1" applyAlignment="1" applyProtection="1">
      <alignment horizontal="left"/>
      <protection locked="0"/>
    </xf>
    <xf numFmtId="0" fontId="0" fillId="0" borderId="829" xfId="0" applyBorder="1" applyAlignment="1">
      <alignment vertical="top"/>
    </xf>
    <xf numFmtId="0" fontId="82" fillId="9" borderId="830" xfId="0" applyFont="1" applyFill="1" applyBorder="1" applyAlignment="1">
      <alignment horizontal="left" vertical="center" wrapText="1"/>
    </xf>
    <xf numFmtId="3" fontId="0" fillId="0" borderId="831" xfId="0" applyNumberFormat="1" applyBorder="1" applyAlignment="1" applyProtection="1">
      <alignment horizontal="left"/>
      <protection locked="0"/>
    </xf>
    <xf numFmtId="0" fontId="0" fillId="0" borderId="832" xfId="0" applyBorder="1" applyAlignment="1">
      <alignment vertical="top"/>
    </xf>
    <xf numFmtId="0" fontId="82" fillId="9" borderId="833" xfId="0" applyFont="1" applyFill="1" applyBorder="1" applyAlignment="1">
      <alignment horizontal="left" vertical="center" wrapText="1"/>
    </xf>
    <xf numFmtId="3" fontId="0" fillId="0" borderId="834" xfId="0" applyNumberFormat="1" applyBorder="1" applyAlignment="1" applyProtection="1">
      <alignment horizontal="left"/>
      <protection locked="0"/>
    </xf>
    <xf numFmtId="0" fontId="82" fillId="30" borderId="833" xfId="0" applyFont="1" applyFill="1" applyBorder="1" applyAlignment="1">
      <alignment horizontal="left" vertical="center" wrapText="1"/>
    </xf>
    <xf numFmtId="3" fontId="0" fillId="30" borderId="834" xfId="0" applyNumberFormat="1" applyFill="1" applyBorder="1" applyAlignment="1" applyProtection="1">
      <alignment horizontal="left"/>
      <protection locked="0"/>
    </xf>
    <xf numFmtId="0" fontId="82" fillId="12" borderId="833" xfId="0" applyFont="1" applyFill="1" applyBorder="1" applyAlignment="1">
      <alignment horizontal="left" vertical="center" wrapText="1"/>
    </xf>
    <xf numFmtId="3" fontId="0" fillId="12" borderId="834" xfId="0" applyNumberFormat="1" applyFill="1" applyBorder="1" applyAlignment="1" applyProtection="1">
      <alignment horizontal="left"/>
      <protection locked="0"/>
    </xf>
    <xf numFmtId="0" fontId="0" fillId="0" borderId="835" xfId="0" applyBorder="1" applyAlignment="1">
      <alignment vertical="top"/>
    </xf>
    <xf numFmtId="0" fontId="82" fillId="9" borderId="836" xfId="0" applyFont="1" applyFill="1" applyBorder="1" applyAlignment="1">
      <alignment horizontal="left" vertical="center" wrapText="1"/>
    </xf>
    <xf numFmtId="165" fontId="0" fillId="12" borderId="837" xfId="0" applyNumberFormat="1" applyFill="1" applyBorder="1" applyProtection="1">
      <protection locked="0"/>
    </xf>
    <xf numFmtId="3" fontId="0" fillId="0" borderId="837" xfId="0" applyNumberFormat="1" applyBorder="1" applyAlignment="1" applyProtection="1">
      <alignment horizontal="left"/>
      <protection locked="0"/>
    </xf>
    <xf numFmtId="0" fontId="0" fillId="0" borderId="838" xfId="0" applyBorder="1" applyAlignment="1">
      <alignment vertical="top"/>
    </xf>
    <xf numFmtId="0" fontId="82" fillId="9" borderId="839" xfId="0" applyFont="1" applyFill="1" applyBorder="1" applyAlignment="1">
      <alignment horizontal="left" vertical="center" wrapText="1"/>
    </xf>
    <xf numFmtId="165" fontId="0" fillId="0" borderId="840" xfId="0" applyNumberFormat="1" applyBorder="1" applyProtection="1">
      <protection locked="0"/>
    </xf>
    <xf numFmtId="3" fontId="0" fillId="0" borderId="840" xfId="0" applyNumberFormat="1" applyBorder="1" applyAlignment="1" applyProtection="1">
      <alignment horizontal="left"/>
      <protection locked="0"/>
    </xf>
    <xf numFmtId="0" fontId="0" fillId="0" borderId="841" xfId="0" applyBorder="1" applyAlignment="1">
      <alignment vertical="top"/>
    </xf>
    <xf numFmtId="0" fontId="28" fillId="9" borderId="842" xfId="0" applyFont="1" applyFill="1" applyBorder="1" applyAlignment="1">
      <alignment horizontal="left" vertical="center" wrapText="1"/>
    </xf>
    <xf numFmtId="3" fontId="0" fillId="0" borderId="843" xfId="0" applyNumberFormat="1" applyBorder="1" applyAlignment="1" applyProtection="1">
      <alignment horizontal="left"/>
      <protection locked="0"/>
    </xf>
    <xf numFmtId="0" fontId="0" fillId="0" borderId="844" xfId="0" applyBorder="1" applyAlignment="1">
      <alignment vertical="top"/>
    </xf>
    <xf numFmtId="0" fontId="28" fillId="9" borderId="845" xfId="0" applyFont="1" applyFill="1" applyBorder="1" applyAlignment="1">
      <alignment horizontal="left" vertical="center" wrapText="1"/>
    </xf>
    <xf numFmtId="165" fontId="0" fillId="0" borderId="846" xfId="0" applyNumberFormat="1" applyBorder="1" applyProtection="1">
      <protection locked="0"/>
    </xf>
    <xf numFmtId="3" fontId="0" fillId="0" borderId="846" xfId="0" applyNumberFormat="1" applyBorder="1" applyAlignment="1" applyProtection="1">
      <alignment horizontal="left"/>
      <protection locked="0"/>
    </xf>
    <xf numFmtId="0" fontId="0" fillId="0" borderId="847" xfId="0" applyBorder="1" applyAlignment="1">
      <alignment vertical="top"/>
    </xf>
    <xf numFmtId="0" fontId="28" fillId="9" borderId="848" xfId="0" applyFont="1" applyFill="1" applyBorder="1" applyAlignment="1">
      <alignment horizontal="left" vertical="center" wrapText="1"/>
    </xf>
    <xf numFmtId="165" fontId="0" fillId="0" borderId="849" xfId="0" applyNumberFormat="1" applyBorder="1" applyProtection="1">
      <protection locked="0"/>
    </xf>
    <xf numFmtId="3" fontId="0" fillId="0" borderId="849" xfId="0" applyNumberFormat="1" applyBorder="1" applyAlignment="1" applyProtection="1">
      <alignment horizontal="left"/>
      <protection locked="0"/>
    </xf>
    <xf numFmtId="0" fontId="0" fillId="0" borderId="850" xfId="0" applyBorder="1" applyAlignment="1">
      <alignment vertical="top"/>
    </xf>
    <xf numFmtId="0" fontId="28" fillId="9" borderId="851" xfId="0" applyFont="1" applyFill="1" applyBorder="1" applyAlignment="1">
      <alignment horizontal="left" vertical="center" wrapText="1"/>
    </xf>
    <xf numFmtId="165" fontId="0" fillId="12" borderId="852" xfId="0" applyNumberFormat="1" applyFill="1" applyBorder="1" applyProtection="1">
      <protection locked="0"/>
    </xf>
    <xf numFmtId="3" fontId="0" fillId="0" borderId="852" xfId="0" applyNumberFormat="1" applyBorder="1" applyAlignment="1" applyProtection="1">
      <alignment horizontal="left"/>
      <protection locked="0"/>
    </xf>
    <xf numFmtId="0" fontId="0" fillId="0" borderId="853" xfId="0" applyBorder="1" applyAlignment="1">
      <alignment vertical="top"/>
    </xf>
    <xf numFmtId="0" fontId="28" fillId="9" borderId="854" xfId="0" applyFont="1" applyFill="1" applyBorder="1" applyAlignment="1">
      <alignment horizontal="left" vertical="center" wrapText="1"/>
    </xf>
    <xf numFmtId="3" fontId="0" fillId="0" borderId="855" xfId="0" applyNumberFormat="1" applyBorder="1" applyAlignment="1" applyProtection="1">
      <alignment horizontal="left"/>
      <protection locked="0"/>
    </xf>
    <xf numFmtId="0" fontId="0" fillId="0" borderId="856" xfId="0" applyBorder="1" applyAlignment="1">
      <alignment vertical="top"/>
    </xf>
    <xf numFmtId="0" fontId="28" fillId="9" borderId="857" xfId="0" applyFont="1" applyFill="1" applyBorder="1" applyAlignment="1">
      <alignment horizontal="left" vertical="center" wrapText="1"/>
    </xf>
    <xf numFmtId="3" fontId="0" fillId="0" borderId="858" xfId="0" applyNumberFormat="1" applyBorder="1" applyAlignment="1" applyProtection="1">
      <alignment horizontal="left"/>
      <protection locked="0"/>
    </xf>
    <xf numFmtId="0" fontId="0" fillId="0" borderId="859" xfId="0" applyBorder="1" applyAlignment="1">
      <alignment vertical="top"/>
    </xf>
    <xf numFmtId="0" fontId="82" fillId="9" borderId="860" xfId="0" applyFont="1" applyFill="1" applyBorder="1" applyAlignment="1">
      <alignment horizontal="left" vertical="center" wrapText="1"/>
    </xf>
    <xf numFmtId="0" fontId="82" fillId="30" borderId="860" xfId="0" applyFont="1" applyFill="1" applyBorder="1" applyAlignment="1">
      <alignment horizontal="left" vertical="center" wrapText="1"/>
    </xf>
    <xf numFmtId="3" fontId="0" fillId="30" borderId="861" xfId="0" applyNumberFormat="1" applyFill="1" applyBorder="1" applyAlignment="1" applyProtection="1">
      <alignment horizontal="left"/>
      <protection locked="0"/>
    </xf>
    <xf numFmtId="0" fontId="0" fillId="0" borderId="862" xfId="0" applyBorder="1" applyAlignment="1">
      <alignment vertical="top"/>
    </xf>
    <xf numFmtId="0" fontId="82" fillId="9" borderId="863" xfId="0" applyFont="1" applyFill="1" applyBorder="1" applyAlignment="1">
      <alignment horizontal="left" vertical="center" wrapText="1"/>
    </xf>
    <xf numFmtId="3" fontId="0" fillId="0" borderId="864" xfId="0" applyNumberFormat="1" applyBorder="1" applyAlignment="1" applyProtection="1">
      <alignment horizontal="left"/>
      <protection locked="0"/>
    </xf>
    <xf numFmtId="0" fontId="0" fillId="0" borderId="865" xfId="0" applyBorder="1" applyAlignment="1">
      <alignment vertical="top"/>
    </xf>
    <xf numFmtId="0" fontId="82" fillId="12" borderId="866" xfId="0" applyFont="1" applyFill="1" applyBorder="1" applyAlignment="1">
      <alignment horizontal="left" vertical="center" wrapText="1"/>
    </xf>
    <xf numFmtId="3" fontId="0" fillId="12" borderId="867" xfId="0" applyNumberFormat="1" applyFill="1" applyBorder="1" applyAlignment="1" applyProtection="1">
      <alignment horizontal="left"/>
      <protection locked="0"/>
    </xf>
    <xf numFmtId="0" fontId="0" fillId="0" borderId="868" xfId="0" applyBorder="1" applyAlignment="1">
      <alignment vertical="top"/>
    </xf>
    <xf numFmtId="0" fontId="28" fillId="9" borderId="869" xfId="0" applyFont="1" applyFill="1" applyBorder="1" applyAlignment="1">
      <alignment horizontal="left" vertical="center" wrapText="1"/>
    </xf>
    <xf numFmtId="165" fontId="0" fillId="12" borderId="870" xfId="0" applyNumberFormat="1" applyFill="1" applyBorder="1" applyProtection="1">
      <protection locked="0"/>
    </xf>
    <xf numFmtId="3" fontId="0" fillId="0" borderId="870" xfId="0" applyNumberFormat="1" applyBorder="1" applyAlignment="1" applyProtection="1">
      <alignment horizontal="left"/>
      <protection locked="0"/>
    </xf>
    <xf numFmtId="0" fontId="0" fillId="0" borderId="871" xfId="0" applyBorder="1" applyAlignment="1">
      <alignment vertical="top"/>
    </xf>
    <xf numFmtId="0" fontId="28" fillId="9" borderId="872" xfId="0" applyFont="1" applyFill="1" applyBorder="1" applyAlignment="1">
      <alignment horizontal="left" vertical="center" wrapText="1"/>
    </xf>
    <xf numFmtId="39" fontId="0" fillId="0" borderId="516" xfId="0" applyNumberFormat="1" applyBorder="1" applyProtection="1">
      <protection locked="0"/>
    </xf>
    <xf numFmtId="165" fontId="0" fillId="12" borderId="873" xfId="0" applyNumberFormat="1" applyFill="1" applyBorder="1" applyProtection="1">
      <protection locked="0"/>
    </xf>
    <xf numFmtId="3" fontId="0" fillId="0" borderId="873" xfId="0" applyNumberFormat="1" applyBorder="1" applyAlignment="1" applyProtection="1">
      <alignment horizontal="left"/>
      <protection locked="0"/>
    </xf>
    <xf numFmtId="0" fontId="0" fillId="0" borderId="874" xfId="0" applyBorder="1" applyAlignment="1">
      <alignment vertical="top"/>
    </xf>
    <xf numFmtId="0" fontId="28" fillId="9" borderId="875" xfId="0" applyFont="1" applyFill="1" applyBorder="1" applyAlignment="1">
      <alignment horizontal="left" vertical="center" wrapText="1"/>
    </xf>
    <xf numFmtId="3" fontId="0" fillId="0" borderId="876" xfId="0" applyNumberFormat="1" applyBorder="1" applyAlignment="1" applyProtection="1">
      <alignment horizontal="left"/>
      <protection locked="0"/>
    </xf>
    <xf numFmtId="0" fontId="0" fillId="0" borderId="877" xfId="0" applyBorder="1" applyAlignment="1">
      <alignment vertical="top"/>
    </xf>
    <xf numFmtId="0" fontId="28" fillId="9" borderId="878" xfId="0" applyFont="1" applyFill="1" applyBorder="1" applyAlignment="1">
      <alignment horizontal="left" vertical="center" wrapText="1"/>
    </xf>
    <xf numFmtId="3" fontId="0" fillId="0" borderId="879" xfId="0" applyNumberFormat="1" applyBorder="1" applyAlignment="1" applyProtection="1">
      <alignment horizontal="left"/>
      <protection locked="0"/>
    </xf>
    <xf numFmtId="0" fontId="0" fillId="0" borderId="880" xfId="0" applyBorder="1" applyAlignment="1">
      <alignment vertical="top"/>
    </xf>
    <xf numFmtId="0" fontId="82" fillId="9" borderId="881" xfId="0" applyFont="1" applyFill="1" applyBorder="1" applyAlignment="1">
      <alignment horizontal="left" vertical="center" wrapText="1"/>
    </xf>
    <xf numFmtId="0" fontId="82" fillId="30" borderId="881" xfId="0" applyFont="1" applyFill="1" applyBorder="1" applyAlignment="1">
      <alignment horizontal="left" vertical="center" wrapText="1"/>
    </xf>
    <xf numFmtId="3" fontId="0" fillId="30" borderId="882" xfId="0" applyNumberFormat="1" applyFill="1" applyBorder="1" applyAlignment="1" applyProtection="1">
      <alignment horizontal="left"/>
      <protection locked="0"/>
    </xf>
    <xf numFmtId="0" fontId="0" fillId="0" borderId="883" xfId="0" applyBorder="1" applyAlignment="1">
      <alignment vertical="top"/>
    </xf>
    <xf numFmtId="0" fontId="82" fillId="9" borderId="884" xfId="0" applyFont="1" applyFill="1" applyBorder="1" applyAlignment="1">
      <alignment horizontal="left" vertical="center" wrapText="1"/>
    </xf>
    <xf numFmtId="3" fontId="0" fillId="0" borderId="885" xfId="0" applyNumberFormat="1" applyBorder="1" applyAlignment="1" applyProtection="1">
      <alignment horizontal="left"/>
      <protection locked="0"/>
    </xf>
    <xf numFmtId="0" fontId="0" fillId="0" borderId="886" xfId="0" applyBorder="1" applyAlignment="1">
      <alignment vertical="top"/>
    </xf>
    <xf numFmtId="0" fontId="82" fillId="12" borderId="887" xfId="0" applyFont="1" applyFill="1" applyBorder="1" applyAlignment="1">
      <alignment horizontal="left" vertical="center" wrapText="1"/>
    </xf>
    <xf numFmtId="3" fontId="0" fillId="12" borderId="888" xfId="0" applyNumberFormat="1" applyFill="1" applyBorder="1" applyAlignment="1" applyProtection="1">
      <alignment horizontal="left"/>
      <protection locked="0"/>
    </xf>
    <xf numFmtId="0" fontId="0" fillId="0" borderId="889" xfId="0" applyBorder="1" applyAlignment="1">
      <alignment vertical="top"/>
    </xf>
    <xf numFmtId="3" fontId="0" fillId="0" borderId="888" xfId="0" applyNumberFormat="1" applyBorder="1" applyAlignment="1" applyProtection="1">
      <alignment horizontal="left"/>
      <protection locked="0"/>
    </xf>
    <xf numFmtId="0" fontId="28" fillId="9" borderId="887" xfId="0" applyFont="1" applyFill="1" applyBorder="1" applyAlignment="1">
      <alignment horizontal="left" vertical="center" wrapText="1"/>
    </xf>
    <xf numFmtId="165" fontId="0" fillId="12" borderId="888" xfId="0" applyNumberFormat="1" applyFill="1" applyBorder="1" applyProtection="1">
      <protection locked="0"/>
    </xf>
    <xf numFmtId="0" fontId="82" fillId="9" borderId="887" xfId="0" applyFont="1" applyFill="1" applyBorder="1" applyAlignment="1">
      <alignment horizontal="left" vertical="center" wrapText="1"/>
    </xf>
    <xf numFmtId="0" fontId="82" fillId="30" borderId="887" xfId="0" applyFont="1" applyFill="1" applyBorder="1" applyAlignment="1">
      <alignment horizontal="left" vertical="center" wrapText="1"/>
    </xf>
    <xf numFmtId="3" fontId="0" fillId="30" borderId="888" xfId="0" applyNumberFormat="1" applyFill="1" applyBorder="1" applyAlignment="1" applyProtection="1">
      <alignment horizontal="left"/>
      <protection locked="0"/>
    </xf>
    <xf numFmtId="0" fontId="0" fillId="0" borderId="889" xfId="0" applyBorder="1"/>
    <xf numFmtId="0" fontId="0" fillId="0" borderId="890" xfId="0" applyBorder="1" applyProtection="1">
      <protection locked="0"/>
    </xf>
    <xf numFmtId="0" fontId="0" fillId="0" borderId="891" xfId="0" applyBorder="1" applyProtection="1">
      <protection locked="0"/>
    </xf>
    <xf numFmtId="165" fontId="0" fillId="0" borderId="892" xfId="0" applyNumberFormat="1" applyBorder="1" applyProtection="1">
      <protection locked="0"/>
    </xf>
    <xf numFmtId="165" fontId="0" fillId="0" borderId="888" xfId="0" applyNumberFormat="1" applyBorder="1" applyProtection="1">
      <protection locked="0"/>
    </xf>
    <xf numFmtId="0" fontId="0" fillId="0" borderId="889" xfId="0" applyBorder="1" applyProtection="1">
      <protection locked="0"/>
    </xf>
    <xf numFmtId="0" fontId="0" fillId="0" borderId="890" xfId="0" applyBorder="1" applyAlignment="1" applyProtection="1">
      <alignment wrapText="1"/>
      <protection locked="0"/>
    </xf>
    <xf numFmtId="0" fontId="0" fillId="0" borderId="890" xfId="0" applyBorder="1" applyAlignment="1">
      <alignment wrapText="1"/>
    </xf>
    <xf numFmtId="0" fontId="0" fillId="0" borderId="892" xfId="0" applyBorder="1" applyProtection="1">
      <protection locked="0"/>
    </xf>
    <xf numFmtId="0" fontId="3" fillId="0" borderId="890" xfId="0" applyFont="1" applyBorder="1" applyAlignment="1">
      <alignment wrapText="1"/>
    </xf>
    <xf numFmtId="0" fontId="0" fillId="0" borderId="888" xfId="0" applyBorder="1" applyAlignment="1" applyProtection="1">
      <alignment horizontal="left"/>
      <protection locked="0"/>
    </xf>
    <xf numFmtId="0" fontId="0" fillId="0" borderId="888" xfId="0" applyBorder="1" applyProtection="1">
      <protection locked="0"/>
    </xf>
    <xf numFmtId="0" fontId="28" fillId="0" borderId="893" xfId="0" applyFont="1" applyBorder="1" applyAlignment="1">
      <alignment vertical="center"/>
    </xf>
    <xf numFmtId="0" fontId="28" fillId="0" borderId="893" xfId="0" quotePrefix="1" applyFont="1" applyBorder="1"/>
    <xf numFmtId="3" fontId="0" fillId="0" borderId="894" xfId="0" applyNumberFormat="1" applyBorder="1" applyAlignment="1" applyProtection="1">
      <alignment horizontal="left"/>
      <protection locked="0"/>
    </xf>
    <xf numFmtId="0" fontId="0" fillId="0" borderId="895" xfId="0" applyBorder="1" applyAlignment="1">
      <alignment vertical="top"/>
    </xf>
    <xf numFmtId="0" fontId="28" fillId="0" borderId="896" xfId="0" quotePrefix="1" applyFont="1" applyBorder="1"/>
    <xf numFmtId="0" fontId="0" fillId="0" borderId="897" xfId="0" applyBorder="1" applyAlignment="1" applyProtection="1">
      <alignment horizontal="left"/>
      <protection locked="0"/>
    </xf>
    <xf numFmtId="0" fontId="0" fillId="0" borderId="897" xfId="0" applyBorder="1" applyProtection="1">
      <protection locked="0"/>
    </xf>
    <xf numFmtId="0" fontId="28" fillId="22" borderId="896" xfId="0" applyFont="1" applyFill="1" applyBorder="1" applyAlignment="1">
      <alignment horizontal="center"/>
    </xf>
    <xf numFmtId="0" fontId="28" fillId="25" borderId="896" xfId="0" applyFont="1" applyFill="1" applyBorder="1" applyAlignment="1">
      <alignment horizontal="left"/>
    </xf>
    <xf numFmtId="0" fontId="5" fillId="25" borderId="898" xfId="0" applyFont="1" applyFill="1" applyBorder="1" applyProtection="1">
      <protection locked="0"/>
    </xf>
    <xf numFmtId="0" fontId="0" fillId="25" borderId="899" xfId="0" applyFill="1" applyBorder="1" applyProtection="1">
      <protection locked="0"/>
    </xf>
    <xf numFmtId="0" fontId="0" fillId="25" borderId="897" xfId="0" applyFill="1" applyBorder="1" applyProtection="1">
      <protection locked="0"/>
    </xf>
    <xf numFmtId="0" fontId="5" fillId="25" borderId="897" xfId="0" applyFont="1" applyFill="1" applyBorder="1" applyProtection="1">
      <protection locked="0"/>
    </xf>
    <xf numFmtId="3" fontId="0" fillId="25" borderId="897" xfId="0" applyNumberFormat="1" applyFill="1" applyBorder="1" applyAlignment="1" applyProtection="1">
      <alignment horizontal="left"/>
      <protection locked="0"/>
    </xf>
    <xf numFmtId="0" fontId="6" fillId="0" borderId="516" xfId="0" applyFont="1" applyBorder="1" applyAlignment="1">
      <alignment horizontal="left" vertical="center" wrapText="1"/>
    </xf>
    <xf numFmtId="0" fontId="6" fillId="0" borderId="898" xfId="0" applyFont="1" applyBorder="1" applyAlignment="1">
      <alignment horizontal="left" vertical="center" wrapText="1"/>
    </xf>
    <xf numFmtId="0" fontId="28" fillId="0" borderId="898" xfId="0" applyFont="1" applyBorder="1" applyAlignment="1">
      <alignment horizontal="left" vertical="center"/>
    </xf>
    <xf numFmtId="0" fontId="6" fillId="0" borderId="516" xfId="0" applyFont="1" applyBorder="1" applyAlignment="1">
      <alignment vertical="top" wrapText="1"/>
    </xf>
    <xf numFmtId="0" fontId="0" fillId="3" borderId="516" xfId="0" applyFill="1" applyBorder="1" applyAlignment="1">
      <alignment wrapText="1"/>
    </xf>
    <xf numFmtId="0" fontId="5" fillId="3" borderId="516" xfId="0" applyFont="1" applyFill="1" applyBorder="1" applyProtection="1">
      <protection locked="0"/>
    </xf>
    <xf numFmtId="0" fontId="0" fillId="3" borderId="516" xfId="0" applyFill="1" applyBorder="1" applyProtection="1">
      <protection locked="0"/>
    </xf>
    <xf numFmtId="0" fontId="0" fillId="3" borderId="517" xfId="0" applyFill="1" applyBorder="1" applyProtection="1">
      <protection locked="0"/>
    </xf>
    <xf numFmtId="0" fontId="0" fillId="0" borderId="900" xfId="0" applyBorder="1"/>
    <xf numFmtId="0" fontId="0" fillId="0" borderId="901" xfId="0" applyBorder="1" applyProtection="1">
      <protection locked="0"/>
    </xf>
    <xf numFmtId="0" fontId="0" fillId="0" borderId="902" xfId="0" applyBorder="1" applyProtection="1">
      <protection locked="0"/>
    </xf>
    <xf numFmtId="165" fontId="0" fillId="0" borderId="899" xfId="0" applyNumberFormat="1" applyBorder="1" applyProtection="1">
      <protection locked="0"/>
    </xf>
    <xf numFmtId="0" fontId="0" fillId="0" borderId="900" xfId="0" applyBorder="1" applyProtection="1">
      <protection locked="0"/>
    </xf>
    <xf numFmtId="0" fontId="0" fillId="0" borderId="901" xfId="0" applyBorder="1" applyAlignment="1" applyProtection="1">
      <alignment wrapText="1"/>
      <protection locked="0"/>
    </xf>
    <xf numFmtId="0" fontId="0" fillId="0" borderId="901" xfId="0" applyBorder="1" applyAlignment="1">
      <alignment wrapText="1"/>
    </xf>
    <xf numFmtId="0" fontId="0" fillId="0" borderId="899" xfId="0" applyBorder="1" applyProtection="1">
      <protection locked="0"/>
    </xf>
    <xf numFmtId="0" fontId="4" fillId="0" borderId="525" xfId="4" applyFill="1" applyBorder="1" applyAlignment="1" applyProtection="1">
      <alignment horizontal="center" vertical="center"/>
      <protection locked="0"/>
    </xf>
    <xf numFmtId="0" fontId="4" fillId="0" borderId="526" xfId="4" applyFill="1" applyBorder="1" applyAlignment="1" applyProtection="1">
      <alignment horizontal="center" vertical="center"/>
      <protection locked="0"/>
    </xf>
    <xf numFmtId="0" fontId="3" fillId="0" borderId="901" xfId="0" applyFont="1" applyBorder="1" applyAlignment="1">
      <alignment wrapText="1"/>
    </xf>
    <xf numFmtId="0" fontId="0" fillId="0" borderId="900" xfId="0" applyBorder="1" applyAlignment="1">
      <alignment vertical="top"/>
    </xf>
    <xf numFmtId="0" fontId="0" fillId="0" borderId="518" xfId="0" applyBorder="1" applyAlignment="1" applyProtection="1">
      <alignment horizontal="left"/>
      <protection locked="0"/>
    </xf>
    <xf numFmtId="3" fontId="0" fillId="0" borderId="526" xfId="0" applyNumberFormat="1" applyBorder="1" applyAlignment="1" applyProtection="1">
      <alignment horizontal="left"/>
      <protection locked="0"/>
    </xf>
    <xf numFmtId="0" fontId="28" fillId="0" borderId="903" xfId="0" applyFont="1" applyBorder="1" applyAlignment="1">
      <alignment vertical="center"/>
    </xf>
    <xf numFmtId="3" fontId="0" fillId="0" borderId="904" xfId="0" applyNumberFormat="1" applyBorder="1" applyAlignment="1" applyProtection="1">
      <alignment horizontal="left"/>
      <protection locked="0"/>
    </xf>
    <xf numFmtId="0" fontId="0" fillId="0" borderId="904" xfId="0" applyBorder="1" applyProtection="1">
      <protection locked="0"/>
    </xf>
    <xf numFmtId="0" fontId="28" fillId="0" borderId="903" xfId="0" quotePrefix="1" applyFont="1" applyBorder="1"/>
    <xf numFmtId="0" fontId="28" fillId="22" borderId="903" xfId="0" applyFont="1" applyFill="1" applyBorder="1" applyAlignment="1">
      <alignment horizontal="center"/>
    </xf>
    <xf numFmtId="0" fontId="0" fillId="0" borderId="904" xfId="0" applyBorder="1" applyAlignment="1" applyProtection="1">
      <alignment horizontal="left"/>
      <protection locked="0"/>
    </xf>
    <xf numFmtId="0" fontId="28" fillId="25" borderId="903" xfId="0" applyFont="1" applyFill="1" applyBorder="1" applyAlignment="1">
      <alignment horizontal="left"/>
    </xf>
    <xf numFmtId="0" fontId="5" fillId="25" borderId="905" xfId="0" applyFont="1" applyFill="1" applyBorder="1" applyProtection="1">
      <protection locked="0"/>
    </xf>
    <xf numFmtId="0" fontId="0" fillId="25" borderId="906" xfId="0" applyFill="1" applyBorder="1" applyProtection="1">
      <protection locked="0"/>
    </xf>
    <xf numFmtId="0" fontId="0" fillId="25" borderId="904" xfId="0" applyFill="1" applyBorder="1" applyProtection="1">
      <protection locked="0"/>
    </xf>
    <xf numFmtId="0" fontId="5" fillId="25" borderId="904" xfId="0" applyFont="1" applyFill="1" applyBorder="1" applyProtection="1">
      <protection locked="0"/>
    </xf>
    <xf numFmtId="3" fontId="0" fillId="25" borderId="904" xfId="0" applyNumberFormat="1" applyFill="1" applyBorder="1" applyAlignment="1" applyProtection="1">
      <alignment horizontal="left"/>
      <protection locked="0"/>
    </xf>
    <xf numFmtId="0" fontId="28" fillId="9" borderId="516" xfId="0" applyFont="1" applyFill="1" applyBorder="1" applyAlignment="1">
      <alignment horizontal="left"/>
    </xf>
    <xf numFmtId="0" fontId="6" fillId="0" borderId="905" xfId="0" applyFont="1" applyBorder="1" applyAlignment="1">
      <alignment horizontal="left" vertical="top" wrapText="1"/>
    </xf>
    <xf numFmtId="0" fontId="0" fillId="0" borderId="907" xfId="0" applyBorder="1"/>
    <xf numFmtId="0" fontId="0" fillId="0" borderId="908" xfId="0" applyBorder="1" applyProtection="1">
      <protection locked="0"/>
    </xf>
    <xf numFmtId="0" fontId="0" fillId="0" borderId="909" xfId="0" applyBorder="1" applyProtection="1">
      <protection locked="0"/>
    </xf>
    <xf numFmtId="165" fontId="0" fillId="0" borderId="906" xfId="0" applyNumberFormat="1" applyBorder="1" applyProtection="1">
      <protection locked="0"/>
    </xf>
    <xf numFmtId="0" fontId="0" fillId="0" borderId="907" xfId="0" applyBorder="1" applyProtection="1">
      <protection locked="0"/>
    </xf>
    <xf numFmtId="0" fontId="0" fillId="0" borderId="908" xfId="0" applyBorder="1" applyAlignment="1" applyProtection="1">
      <alignment wrapText="1"/>
      <protection locked="0"/>
    </xf>
    <xf numFmtId="0" fontId="0" fillId="0" borderId="908" xfId="0" applyBorder="1" applyAlignment="1">
      <alignment wrapText="1"/>
    </xf>
    <xf numFmtId="0" fontId="0" fillId="0" borderId="906" xfId="0" applyBorder="1" applyProtection="1">
      <protection locked="0"/>
    </xf>
    <xf numFmtId="0" fontId="3" fillId="0" borderId="908" xfId="0" applyFont="1" applyBorder="1" applyAlignment="1">
      <alignment wrapText="1"/>
    </xf>
    <xf numFmtId="0" fontId="0" fillId="0" borderId="907" xfId="0" applyBorder="1" applyAlignment="1">
      <alignment vertical="top"/>
    </xf>
    <xf numFmtId="3" fontId="0" fillId="0" borderId="518" xfId="0" applyNumberFormat="1" applyBorder="1" applyAlignment="1" applyProtection="1">
      <alignment horizontal="left"/>
      <protection locked="0"/>
    </xf>
    <xf numFmtId="0" fontId="28" fillId="0" borderId="910" xfId="0" applyFont="1" applyBorder="1" applyAlignment="1">
      <alignment vertical="center"/>
    </xf>
    <xf numFmtId="0" fontId="0" fillId="0" borderId="911" xfId="0" applyBorder="1" applyAlignment="1" applyProtection="1">
      <alignment horizontal="left"/>
      <protection locked="0"/>
    </xf>
    <xf numFmtId="3" fontId="0" fillId="0" borderId="911" xfId="0" applyNumberFormat="1" applyBorder="1" applyAlignment="1" applyProtection="1">
      <alignment horizontal="left"/>
      <protection locked="0"/>
    </xf>
    <xf numFmtId="0" fontId="0" fillId="0" borderId="911" xfId="0" applyBorder="1" applyProtection="1">
      <protection locked="0"/>
    </xf>
    <xf numFmtId="0" fontId="28" fillId="0" borderId="910" xfId="0" quotePrefix="1" applyFont="1" applyBorder="1"/>
    <xf numFmtId="0" fontId="28" fillId="22" borderId="910" xfId="0" applyFont="1" applyFill="1" applyBorder="1" applyAlignment="1">
      <alignment horizontal="center"/>
    </xf>
    <xf numFmtId="0" fontId="28" fillId="25" borderId="910" xfId="0" applyFont="1" applyFill="1" applyBorder="1" applyAlignment="1">
      <alignment horizontal="left"/>
    </xf>
    <xf numFmtId="0" fontId="5" fillId="25" borderId="912" xfId="0" applyFont="1" applyFill="1" applyBorder="1" applyProtection="1">
      <protection locked="0"/>
    </xf>
    <xf numFmtId="0" fontId="0" fillId="25" borderId="913" xfId="0" applyFill="1" applyBorder="1" applyProtection="1">
      <protection locked="0"/>
    </xf>
    <xf numFmtId="0" fontId="0" fillId="25" borderId="911" xfId="0" applyFill="1" applyBorder="1" applyProtection="1">
      <protection locked="0"/>
    </xf>
    <xf numFmtId="0" fontId="5" fillId="25" borderId="911" xfId="0" applyFont="1" applyFill="1" applyBorder="1" applyProtection="1">
      <protection locked="0"/>
    </xf>
    <xf numFmtId="3" fontId="0" fillId="25" borderId="911" xfId="0" applyNumberFormat="1" applyFill="1" applyBorder="1" applyAlignment="1" applyProtection="1">
      <alignment horizontal="left"/>
      <protection locked="0"/>
    </xf>
    <xf numFmtId="0" fontId="6" fillId="0" borderId="912" xfId="0" applyFont="1" applyBorder="1" applyAlignment="1">
      <alignment horizontal="left" vertical="top" wrapText="1"/>
    </xf>
    <xf numFmtId="0" fontId="0" fillId="0" borderId="914" xfId="0" applyBorder="1"/>
    <xf numFmtId="0" fontId="0" fillId="0" borderId="915" xfId="0" applyBorder="1" applyProtection="1">
      <protection locked="0"/>
    </xf>
    <xf numFmtId="0" fontId="0" fillId="0" borderId="916" xfId="0" applyBorder="1" applyProtection="1">
      <protection locked="0"/>
    </xf>
    <xf numFmtId="165" fontId="0" fillId="0" borderId="913" xfId="0" applyNumberFormat="1" applyBorder="1" applyProtection="1">
      <protection locked="0"/>
    </xf>
    <xf numFmtId="0" fontId="0" fillId="0" borderId="914" xfId="0" applyBorder="1" applyProtection="1">
      <protection locked="0"/>
    </xf>
    <xf numFmtId="0" fontId="0" fillId="0" borderId="915" xfId="0" applyBorder="1" applyAlignment="1" applyProtection="1">
      <alignment wrapText="1"/>
      <protection locked="0"/>
    </xf>
    <xf numFmtId="0" fontId="0" fillId="0" borderId="915" xfId="0" applyBorder="1" applyAlignment="1">
      <alignment wrapText="1"/>
    </xf>
    <xf numFmtId="0" fontId="0" fillId="0" borderId="913" xfId="0" applyBorder="1" applyProtection="1">
      <protection locked="0"/>
    </xf>
    <xf numFmtId="0" fontId="3" fillId="0" borderId="915" xfId="0" applyFont="1" applyBorder="1" applyAlignment="1">
      <alignment wrapText="1"/>
    </xf>
    <xf numFmtId="5" fontId="0" fillId="0" borderId="518" xfId="2" applyNumberFormat="1" applyFont="1" applyBorder="1" applyAlignment="1" applyProtection="1">
      <alignment horizontal="left"/>
      <protection locked="0"/>
    </xf>
    <xf numFmtId="5" fontId="0" fillId="0" borderId="518" xfId="2" applyNumberFormat="1" applyFont="1" applyFill="1" applyBorder="1" applyAlignment="1" applyProtection="1">
      <alignment horizontal="left"/>
      <protection locked="0"/>
    </xf>
    <xf numFmtId="5" fontId="0" fillId="0" borderId="526" xfId="2" applyNumberFormat="1" applyFont="1" applyFill="1" applyBorder="1" applyAlignment="1" applyProtection="1">
      <alignment horizontal="center"/>
      <protection locked="0"/>
    </xf>
    <xf numFmtId="0" fontId="0" fillId="0" borderId="914" xfId="0" applyBorder="1" applyAlignment="1">
      <alignment vertical="top"/>
    </xf>
    <xf numFmtId="0" fontId="6" fillId="0" borderId="914" xfId="0" applyFont="1" applyBorder="1" applyAlignment="1">
      <alignment vertical="top"/>
    </xf>
    <xf numFmtId="0" fontId="36" fillId="0" borderId="516" xfId="0" applyFont="1" applyBorder="1" applyProtection="1">
      <protection locked="0"/>
    </xf>
    <xf numFmtId="0" fontId="6" fillId="0" borderId="516" xfId="0" applyFont="1" applyBorder="1" applyProtection="1">
      <protection locked="0"/>
    </xf>
    <xf numFmtId="3" fontId="0" fillId="0" borderId="912" xfId="0" applyNumberFormat="1" applyBorder="1" applyAlignment="1" applyProtection="1">
      <alignment horizontal="left"/>
      <protection locked="0"/>
    </xf>
    <xf numFmtId="0" fontId="0" fillId="0" borderId="912" xfId="0" applyBorder="1" applyAlignment="1" applyProtection="1">
      <alignment horizontal="left"/>
      <protection locked="0"/>
    </xf>
    <xf numFmtId="0" fontId="0" fillId="6" borderId="518" xfId="0" applyFill="1" applyBorder="1" applyAlignment="1" applyProtection="1">
      <alignment horizontal="left"/>
      <protection locked="0"/>
    </xf>
    <xf numFmtId="2" fontId="0" fillId="25" borderId="516" xfId="0" applyNumberFormat="1" applyFill="1" applyBorder="1" applyProtection="1">
      <protection locked="0"/>
    </xf>
    <xf numFmtId="0" fontId="0" fillId="25" borderId="911" xfId="0" applyFill="1" applyBorder="1" applyAlignment="1" applyProtection="1">
      <alignment horizontal="left"/>
      <protection locked="0"/>
    </xf>
    <xf numFmtId="2" fontId="0" fillId="0" borderId="516" xfId="0" applyNumberFormat="1" applyBorder="1" applyProtection="1">
      <protection locked="0"/>
    </xf>
    <xf numFmtId="0" fontId="85" fillId="9" borderId="910" xfId="0" applyFont="1" applyFill="1" applyBorder="1" applyAlignment="1">
      <alignment horizontal="left" vertical="center" wrapText="1"/>
    </xf>
    <xf numFmtId="0" fontId="82" fillId="9" borderId="910" xfId="0" applyFont="1" applyFill="1" applyBorder="1" applyAlignment="1">
      <alignment horizontal="left" vertical="center" wrapText="1"/>
    </xf>
    <xf numFmtId="0" fontId="82" fillId="30" borderId="910" xfId="0" applyFont="1" applyFill="1" applyBorder="1" applyAlignment="1">
      <alignment horizontal="left" vertical="center" wrapText="1"/>
    </xf>
    <xf numFmtId="3" fontId="0" fillId="30" borderId="911" xfId="0" applyNumberFormat="1" applyFill="1" applyBorder="1" applyAlignment="1" applyProtection="1">
      <alignment horizontal="left"/>
      <protection locked="0"/>
    </xf>
    <xf numFmtId="0" fontId="82" fillId="12" borderId="910" xfId="0" applyFont="1" applyFill="1" applyBorder="1" applyAlignment="1">
      <alignment horizontal="left" vertical="center" wrapText="1"/>
    </xf>
    <xf numFmtId="3" fontId="0" fillId="12" borderId="911" xfId="0" applyNumberFormat="1" applyFill="1" applyBorder="1" applyAlignment="1" applyProtection="1">
      <alignment horizontal="left"/>
      <protection locked="0"/>
    </xf>
    <xf numFmtId="165" fontId="0" fillId="0" borderId="911" xfId="0" applyNumberFormat="1" applyBorder="1" applyProtection="1">
      <protection locked="0"/>
    </xf>
    <xf numFmtId="165" fontId="0" fillId="12" borderId="911" xfId="0" applyNumberFormat="1" applyFill="1" applyBorder="1" applyProtection="1">
      <protection locked="0"/>
    </xf>
    <xf numFmtId="165" fontId="0" fillId="7" borderId="911" xfId="0" applyNumberFormat="1" applyFill="1" applyBorder="1" applyProtection="1">
      <protection locked="0"/>
    </xf>
    <xf numFmtId="0" fontId="5" fillId="0" borderId="912" xfId="0" applyFont="1" applyBorder="1" applyProtection="1">
      <protection locked="0"/>
    </xf>
    <xf numFmtId="0" fontId="5" fillId="0" borderId="911" xfId="0" applyFont="1" applyBorder="1" applyProtection="1">
      <protection locked="0"/>
    </xf>
    <xf numFmtId="0" fontId="28" fillId="9" borderId="532" xfId="0" applyFont="1" applyFill="1" applyBorder="1" applyAlignment="1">
      <alignment horizontal="left" vertical="center" wrapText="1"/>
    </xf>
    <xf numFmtId="0" fontId="6" fillId="0" borderId="915" xfId="0" applyFont="1" applyBorder="1" applyAlignment="1">
      <alignment wrapText="1"/>
    </xf>
    <xf numFmtId="0" fontId="28" fillId="9" borderId="549" xfId="0" applyFont="1" applyFill="1" applyBorder="1" applyAlignment="1">
      <alignment horizontal="center"/>
    </xf>
    <xf numFmtId="39" fontId="28" fillId="9" borderId="516" xfId="0" applyNumberFormat="1" applyFont="1" applyFill="1" applyBorder="1" applyAlignment="1">
      <alignment horizontal="center"/>
    </xf>
    <xf numFmtId="7" fontId="28" fillId="9" borderId="517" xfId="0" applyNumberFormat="1" applyFont="1" applyFill="1" applyBorder="1" applyAlignment="1">
      <alignment horizontal="center"/>
    </xf>
    <xf numFmtId="0" fontId="28" fillId="30" borderId="532" xfId="0" applyFont="1" applyFill="1" applyBorder="1" applyAlignment="1">
      <alignment horizontal="left" vertical="center" wrapText="1"/>
    </xf>
    <xf numFmtId="0" fontId="6" fillId="30" borderId="915" xfId="0" applyFont="1" applyFill="1" applyBorder="1" applyAlignment="1">
      <alignment wrapText="1"/>
    </xf>
    <xf numFmtId="2" fontId="0" fillId="30" borderId="516" xfId="0" applyNumberFormat="1" applyFill="1" applyBorder="1" applyProtection="1">
      <protection locked="0"/>
    </xf>
    <xf numFmtId="0" fontId="28" fillId="30" borderId="549" xfId="0" applyFont="1" applyFill="1" applyBorder="1" applyAlignment="1">
      <alignment horizontal="center"/>
    </xf>
    <xf numFmtId="39" fontId="28" fillId="30" borderId="516" xfId="0" applyNumberFormat="1" applyFont="1" applyFill="1" applyBorder="1" applyAlignment="1">
      <alignment horizontal="center"/>
    </xf>
    <xf numFmtId="7" fontId="28" fillId="30" borderId="517" xfId="0" applyNumberFormat="1" applyFont="1" applyFill="1" applyBorder="1" applyAlignment="1">
      <alignment horizontal="center"/>
    </xf>
    <xf numFmtId="0" fontId="0" fillId="30" borderId="911" xfId="0" applyFill="1" applyBorder="1" applyProtection="1">
      <protection locked="0"/>
    </xf>
    <xf numFmtId="0" fontId="5" fillId="30" borderId="911" xfId="0" applyFont="1" applyFill="1" applyBorder="1" applyProtection="1">
      <protection locked="0"/>
    </xf>
    <xf numFmtId="0" fontId="6" fillId="12" borderId="915" xfId="0" applyFont="1" applyFill="1" applyBorder="1" applyAlignment="1">
      <alignment wrapText="1"/>
    </xf>
    <xf numFmtId="2" fontId="0" fillId="12" borderId="516" xfId="0" applyNumberFormat="1" applyFill="1" applyBorder="1" applyProtection="1">
      <protection locked="0"/>
    </xf>
    <xf numFmtId="0" fontId="28" fillId="12" borderId="549" xfId="0" applyFont="1" applyFill="1" applyBorder="1" applyAlignment="1">
      <alignment horizontal="center"/>
    </xf>
    <xf numFmtId="39" fontId="28" fillId="12" borderId="516" xfId="0" applyNumberFormat="1" applyFont="1" applyFill="1" applyBorder="1" applyAlignment="1">
      <alignment horizontal="center"/>
    </xf>
    <xf numFmtId="7" fontId="28" fillId="12" borderId="517" xfId="0" applyNumberFormat="1" applyFont="1" applyFill="1" applyBorder="1" applyAlignment="1">
      <alignment horizontal="center"/>
    </xf>
    <xf numFmtId="7" fontId="0" fillId="12" borderId="911" xfId="0" applyNumberFormat="1" applyFill="1" applyBorder="1" applyProtection="1">
      <protection locked="0"/>
    </xf>
    <xf numFmtId="0" fontId="0" fillId="12" borderId="911" xfId="0" applyFill="1" applyBorder="1" applyProtection="1">
      <protection locked="0"/>
    </xf>
    <xf numFmtId="0" fontId="5" fillId="12" borderId="911" xfId="0" applyFont="1" applyFill="1" applyBorder="1" applyProtection="1">
      <protection locked="0"/>
    </xf>
    <xf numFmtId="7" fontId="0" fillId="0" borderId="911" xfId="0" applyNumberFormat="1" applyBorder="1" applyProtection="1">
      <protection locked="0"/>
    </xf>
    <xf numFmtId="7" fontId="0" fillId="7" borderId="911" xfId="0" applyNumberFormat="1" applyFill="1" applyBorder="1" applyProtection="1">
      <protection locked="0"/>
    </xf>
    <xf numFmtId="0" fontId="82" fillId="9" borderId="532" xfId="0" applyFont="1" applyFill="1" applyBorder="1" applyAlignment="1">
      <alignment horizontal="left" vertical="center" wrapText="1"/>
    </xf>
    <xf numFmtId="0" fontId="28" fillId="0" borderId="532" xfId="0" applyFont="1" applyBorder="1" applyAlignment="1">
      <alignment horizontal="left" vertical="center" wrapText="1"/>
    </xf>
    <xf numFmtId="7" fontId="28" fillId="9" borderId="516" xfId="0" applyNumberFormat="1" applyFont="1" applyFill="1" applyBorder="1" applyAlignment="1">
      <alignment horizontal="center"/>
    </xf>
    <xf numFmtId="0" fontId="29" fillId="9" borderId="532" xfId="0" applyFont="1" applyFill="1" applyBorder="1" applyAlignment="1">
      <alignment horizontal="center" vertical="center" wrapText="1"/>
    </xf>
    <xf numFmtId="44" fontId="28" fillId="9" borderId="516" xfId="2" applyFont="1" applyFill="1" applyBorder="1" applyAlignment="1">
      <alignment horizontal="center"/>
    </xf>
    <xf numFmtId="0" fontId="28" fillId="9" borderId="532" xfId="0" applyFont="1" applyFill="1" applyBorder="1" applyAlignment="1">
      <alignment horizontal="center" vertical="center" wrapText="1"/>
    </xf>
    <xf numFmtId="0" fontId="57" fillId="0" borderId="532" xfId="0" applyFont="1" applyBorder="1" applyAlignment="1">
      <alignment vertical="center" wrapText="1"/>
    </xf>
    <xf numFmtId="44" fontId="57" fillId="0" borderId="516" xfId="2" applyFont="1" applyBorder="1"/>
    <xf numFmtId="0" fontId="28" fillId="9" borderId="532" xfId="0" applyFont="1" applyFill="1" applyBorder="1" applyAlignment="1">
      <alignment vertical="center" wrapText="1"/>
    </xf>
    <xf numFmtId="3" fontId="6" fillId="0" borderId="911" xfId="0" applyNumberFormat="1" applyFont="1" applyBorder="1" applyAlignment="1" applyProtection="1">
      <alignment horizontal="left"/>
      <protection locked="0"/>
    </xf>
    <xf numFmtId="0" fontId="6" fillId="0" borderId="911" xfId="0" applyFont="1" applyBorder="1" applyProtection="1">
      <protection locked="0"/>
    </xf>
    <xf numFmtId="0" fontId="6" fillId="0" borderId="515" xfId="0" applyFont="1" applyBorder="1" applyAlignment="1">
      <alignment vertical="top"/>
    </xf>
    <xf numFmtId="43" fontId="57" fillId="0" borderId="532" xfId="0" applyNumberFormat="1" applyFont="1" applyBorder="1" applyAlignment="1">
      <alignment vertical="center" wrapText="1"/>
    </xf>
    <xf numFmtId="0" fontId="0" fillId="6" borderId="526" xfId="0" applyFill="1" applyBorder="1" applyAlignment="1" applyProtection="1">
      <alignment horizontal="center"/>
      <protection locked="0"/>
    </xf>
    <xf numFmtId="0" fontId="0" fillId="0" borderId="777" xfId="0" applyBorder="1" applyAlignment="1" applyProtection="1">
      <alignment horizontal="right"/>
      <protection locked="0"/>
    </xf>
    <xf numFmtId="0" fontId="0" fillId="0" borderId="777" xfId="0" applyBorder="1" applyProtection="1">
      <protection locked="0"/>
    </xf>
    <xf numFmtId="0" fontId="0" fillId="0" borderId="917" xfId="0" applyBorder="1" applyAlignment="1">
      <alignment vertical="top"/>
    </xf>
    <xf numFmtId="3" fontId="0" fillId="0" borderId="897" xfId="0" applyNumberFormat="1" applyBorder="1" applyAlignment="1" applyProtection="1">
      <alignment horizontal="left"/>
      <protection locked="0"/>
    </xf>
    <xf numFmtId="0" fontId="28" fillId="22" borderId="514" xfId="0" applyFont="1" applyFill="1" applyBorder="1" applyAlignment="1">
      <alignment horizontal="center"/>
    </xf>
    <xf numFmtId="0" fontId="0" fillId="25" borderId="491" xfId="0" applyFill="1" applyBorder="1" applyProtection="1">
      <protection locked="0"/>
    </xf>
    <xf numFmtId="0" fontId="5" fillId="25" borderId="549" xfId="0" applyFont="1" applyFill="1" applyBorder="1" applyProtection="1">
      <protection locked="0"/>
    </xf>
    <xf numFmtId="165" fontId="0" fillId="25" borderId="777" xfId="0" applyNumberFormat="1" applyFill="1" applyBorder="1" applyProtection="1">
      <protection locked="0"/>
    </xf>
    <xf numFmtId="0" fontId="0" fillId="0" borderId="532" xfId="0" applyBorder="1" applyProtection="1">
      <protection locked="0"/>
    </xf>
    <xf numFmtId="0" fontId="0" fillId="30" borderId="532" xfId="0" applyFill="1" applyBorder="1" applyProtection="1">
      <protection locked="0"/>
    </xf>
    <xf numFmtId="0" fontId="0" fillId="30" borderId="777" xfId="0" applyFill="1" applyBorder="1" applyProtection="1">
      <protection locked="0"/>
    </xf>
    <xf numFmtId="0" fontId="0" fillId="30" borderId="911" xfId="0" applyFill="1" applyBorder="1" applyAlignment="1" applyProtection="1">
      <alignment horizontal="left"/>
      <protection locked="0"/>
    </xf>
    <xf numFmtId="0" fontId="0" fillId="12" borderId="532" xfId="0" applyFill="1" applyBorder="1" applyProtection="1">
      <protection locked="0"/>
    </xf>
    <xf numFmtId="0" fontId="0" fillId="12" borderId="777" xfId="0" applyFill="1" applyBorder="1" applyProtection="1">
      <protection locked="0"/>
    </xf>
    <xf numFmtId="0" fontId="0" fillId="12" borderId="911" xfId="0" applyFill="1" applyBorder="1" applyAlignment="1" applyProtection="1">
      <alignment horizontal="left"/>
      <protection locked="0"/>
    </xf>
    <xf numFmtId="165" fontId="0" fillId="0" borderId="777" xfId="0" applyNumberFormat="1" applyBorder="1" applyProtection="1">
      <protection locked="0"/>
    </xf>
    <xf numFmtId="165" fontId="0" fillId="0" borderId="911" xfId="0" applyNumberFormat="1" applyBorder="1" applyAlignment="1" applyProtection="1">
      <alignment horizontal="left"/>
      <protection locked="0"/>
    </xf>
    <xf numFmtId="0" fontId="0" fillId="0" borderId="918" xfId="0" applyBorder="1" applyAlignment="1">
      <alignment vertical="top"/>
    </xf>
    <xf numFmtId="165" fontId="0" fillId="6" borderId="516" xfId="0" applyNumberFormat="1" applyFill="1" applyBorder="1" applyAlignment="1" applyProtection="1">
      <alignment horizontal="right" vertical="center"/>
      <protection locked="0"/>
    </xf>
    <xf numFmtId="165" fontId="10" fillId="6" borderId="516" xfId="0" applyNumberFormat="1" applyFont="1" applyFill="1" applyBorder="1" applyAlignment="1" applyProtection="1">
      <alignment horizontal="right" vertical="center"/>
      <protection locked="0"/>
    </xf>
    <xf numFmtId="165" fontId="0" fillId="0" borderId="915" xfId="0" applyNumberFormat="1" applyBorder="1" applyProtection="1">
      <protection locked="0"/>
    </xf>
    <xf numFmtId="0" fontId="0" fillId="0" borderId="919" xfId="0" applyBorder="1" applyProtection="1">
      <protection locked="0"/>
    </xf>
    <xf numFmtId="165" fontId="0" fillId="0" borderId="523" xfId="0" applyNumberFormat="1" applyBorder="1" applyProtection="1">
      <protection locked="0"/>
    </xf>
    <xf numFmtId="0" fontId="28" fillId="0" borderId="920" xfId="0" applyFont="1" applyBorder="1" applyAlignment="1">
      <alignment vertical="center"/>
    </xf>
    <xf numFmtId="0" fontId="0" fillId="0" borderId="921" xfId="0" applyBorder="1" applyAlignment="1" applyProtection="1">
      <alignment horizontal="left"/>
      <protection locked="0"/>
    </xf>
    <xf numFmtId="3" fontId="0" fillId="0" borderId="921" xfId="0" applyNumberFormat="1" applyBorder="1" applyAlignment="1" applyProtection="1">
      <alignment horizontal="left"/>
      <protection locked="0"/>
    </xf>
    <xf numFmtId="0" fontId="0" fillId="0" borderId="921" xfId="0" applyBorder="1" applyProtection="1">
      <protection locked="0"/>
    </xf>
    <xf numFmtId="0" fontId="28" fillId="0" borderId="920" xfId="0" quotePrefix="1" applyFont="1" applyBorder="1"/>
    <xf numFmtId="0" fontId="28" fillId="22" borderId="920" xfId="0" applyFont="1" applyFill="1" applyBorder="1" applyAlignment="1">
      <alignment horizontal="center"/>
    </xf>
    <xf numFmtId="0" fontId="28" fillId="25" borderId="920" xfId="0" applyFont="1" applyFill="1" applyBorder="1" applyAlignment="1">
      <alignment horizontal="left"/>
    </xf>
    <xf numFmtId="0" fontId="5" fillId="25" borderId="922" xfId="0" applyFont="1" applyFill="1" applyBorder="1" applyProtection="1">
      <protection locked="0"/>
    </xf>
    <xf numFmtId="0" fontId="0" fillId="25" borderId="923" xfId="0" applyFill="1" applyBorder="1" applyProtection="1">
      <protection locked="0"/>
    </xf>
    <xf numFmtId="0" fontId="0" fillId="25" borderId="921" xfId="0" applyFill="1" applyBorder="1" applyProtection="1">
      <protection locked="0"/>
    </xf>
    <xf numFmtId="0" fontId="5" fillId="25" borderId="921" xfId="0" applyFont="1" applyFill="1" applyBorder="1" applyProtection="1">
      <protection locked="0"/>
    </xf>
    <xf numFmtId="3" fontId="0" fillId="25" borderId="921" xfId="0" applyNumberFormat="1" applyFill="1" applyBorder="1" applyAlignment="1" applyProtection="1">
      <alignment horizontal="left"/>
      <protection locked="0"/>
    </xf>
    <xf numFmtId="0" fontId="6" fillId="0" borderId="922" xfId="0" applyFont="1" applyBorder="1" applyAlignment="1">
      <alignment horizontal="left" vertical="top" wrapText="1"/>
    </xf>
    <xf numFmtId="0" fontId="0" fillId="0" borderId="924" xfId="0" applyBorder="1"/>
    <xf numFmtId="0" fontId="0" fillId="0" borderId="925" xfId="0" applyBorder="1" applyProtection="1">
      <protection locked="0"/>
    </xf>
    <xf numFmtId="0" fontId="0" fillId="0" borderId="926" xfId="0" applyBorder="1" applyProtection="1">
      <protection locked="0"/>
    </xf>
    <xf numFmtId="165" fontId="0" fillId="0" borderId="923" xfId="0" applyNumberFormat="1" applyBorder="1" applyProtection="1">
      <protection locked="0"/>
    </xf>
    <xf numFmtId="0" fontId="0" fillId="0" borderId="924" xfId="0" applyBorder="1" applyProtection="1">
      <protection locked="0"/>
    </xf>
    <xf numFmtId="0" fontId="0" fillId="0" borderId="925" xfId="0" applyBorder="1" applyAlignment="1" applyProtection="1">
      <alignment wrapText="1"/>
      <protection locked="0"/>
    </xf>
    <xf numFmtId="0" fontId="0" fillId="0" borderId="925" xfId="0" applyBorder="1" applyAlignment="1">
      <alignment wrapText="1"/>
    </xf>
    <xf numFmtId="0" fontId="0" fillId="0" borderId="923" xfId="0" applyBorder="1" applyProtection="1">
      <protection locked="0"/>
    </xf>
    <xf numFmtId="169" fontId="0" fillId="0" borderId="518" xfId="0" applyNumberFormat="1" applyBorder="1" applyAlignment="1" applyProtection="1">
      <alignment horizontal="center" wrapText="1"/>
      <protection locked="0"/>
    </xf>
    <xf numFmtId="0" fontId="4" fillId="0" borderId="518" xfId="4" applyFill="1" applyBorder="1" applyAlignment="1" applyProtection="1">
      <alignment horizontal="center" vertical="center"/>
      <protection locked="0"/>
    </xf>
    <xf numFmtId="0" fontId="3" fillId="0" borderId="925" xfId="0" applyFont="1" applyBorder="1" applyAlignment="1">
      <alignment wrapText="1"/>
    </xf>
    <xf numFmtId="3" fontId="0" fillId="0" borderId="922" xfId="0" applyNumberFormat="1" applyBorder="1" applyAlignment="1" applyProtection="1">
      <alignment horizontal="left"/>
      <protection locked="0"/>
    </xf>
    <xf numFmtId="3" fontId="0" fillId="0" borderId="923" xfId="0" applyNumberFormat="1" applyBorder="1" applyAlignment="1" applyProtection="1">
      <alignment horizontal="left"/>
      <protection locked="0"/>
    </xf>
    <xf numFmtId="0" fontId="0" fillId="0" borderId="924" xfId="0" applyBorder="1" applyAlignment="1">
      <alignment vertical="top"/>
    </xf>
    <xf numFmtId="0" fontId="6" fillId="0" borderId="924" xfId="0" applyFont="1" applyBorder="1" applyAlignment="1">
      <alignment vertical="top"/>
    </xf>
    <xf numFmtId="0" fontId="28" fillId="0" borderId="927" xfId="0" applyFont="1" applyBorder="1" applyAlignment="1">
      <alignment vertical="center"/>
    </xf>
    <xf numFmtId="0" fontId="36" fillId="0" borderId="517" xfId="0" applyFont="1" applyBorder="1" applyProtection="1">
      <protection locked="0"/>
    </xf>
    <xf numFmtId="0" fontId="28" fillId="0" borderId="927" xfId="0" quotePrefix="1" applyFont="1" applyBorder="1"/>
    <xf numFmtId="0" fontId="28" fillId="0" borderId="927" xfId="0" applyFont="1" applyBorder="1" applyAlignment="1">
      <alignment horizontal="left"/>
    </xf>
    <xf numFmtId="3" fontId="0" fillId="0" borderId="928" xfId="0" applyNumberFormat="1" applyBorder="1" applyAlignment="1" applyProtection="1">
      <alignment horizontal="left"/>
      <protection locked="0"/>
    </xf>
    <xf numFmtId="3" fontId="0" fillId="0" borderId="929" xfId="0" applyNumberFormat="1" applyBorder="1" applyAlignment="1" applyProtection="1">
      <alignment horizontal="left"/>
      <protection locked="0"/>
    </xf>
    <xf numFmtId="0" fontId="28" fillId="25" borderId="930" xfId="0" applyFont="1" applyFill="1" applyBorder="1" applyAlignment="1">
      <alignment horizontal="left"/>
    </xf>
    <xf numFmtId="0" fontId="5" fillId="25" borderId="931" xfId="0" applyFont="1" applyFill="1" applyBorder="1" applyProtection="1">
      <protection locked="0"/>
    </xf>
    <xf numFmtId="0" fontId="0" fillId="25" borderId="932" xfId="0" applyFill="1" applyBorder="1" applyProtection="1">
      <protection locked="0"/>
    </xf>
    <xf numFmtId="0" fontId="0" fillId="25" borderId="933" xfId="0" applyFill="1" applyBorder="1" applyProtection="1">
      <protection locked="0"/>
    </xf>
    <xf numFmtId="0" fontId="5" fillId="25" borderId="933" xfId="0" applyFont="1" applyFill="1" applyBorder="1" applyProtection="1">
      <protection locked="0"/>
    </xf>
    <xf numFmtId="3" fontId="0" fillId="25" borderId="933" xfId="0" applyNumberFormat="1" applyFill="1" applyBorder="1" applyAlignment="1" applyProtection="1">
      <alignment horizontal="left"/>
      <protection locked="0"/>
    </xf>
    <xf numFmtId="0" fontId="37" fillId="0" borderId="934" xfId="0" applyFont="1" applyBorder="1" applyAlignment="1">
      <alignment horizontal="left" wrapText="1"/>
    </xf>
    <xf numFmtId="0" fontId="6" fillId="0" borderId="935" xfId="0" applyFont="1" applyBorder="1" applyAlignment="1">
      <alignment vertical="top"/>
    </xf>
    <xf numFmtId="0" fontId="37" fillId="30" borderId="934" xfId="0" applyFont="1" applyFill="1" applyBorder="1" applyAlignment="1">
      <alignment horizontal="left" wrapText="1"/>
    </xf>
    <xf numFmtId="0" fontId="36" fillId="30" borderId="517" xfId="0" applyFont="1" applyFill="1" applyBorder="1" applyProtection="1">
      <protection locked="0"/>
    </xf>
    <xf numFmtId="0" fontId="6" fillId="30" borderId="516" xfId="0" applyFont="1" applyFill="1" applyBorder="1" applyProtection="1">
      <protection locked="0"/>
    </xf>
    <xf numFmtId="3" fontId="0" fillId="30" borderId="933" xfId="0" applyNumberFormat="1" applyFill="1" applyBorder="1" applyAlignment="1" applyProtection="1">
      <alignment horizontal="left"/>
      <protection locked="0"/>
    </xf>
    <xf numFmtId="3" fontId="0" fillId="30" borderId="931" xfId="0" applyNumberFormat="1" applyFill="1" applyBorder="1" applyAlignment="1" applyProtection="1">
      <alignment horizontal="left"/>
      <protection locked="0"/>
    </xf>
    <xf numFmtId="5" fontId="0" fillId="30" borderId="518" xfId="2" applyNumberFormat="1" applyFont="1" applyFill="1" applyBorder="1" applyProtection="1">
      <protection locked="0"/>
    </xf>
    <xf numFmtId="3" fontId="0" fillId="0" borderId="933" xfId="0" applyNumberFormat="1" applyBorder="1" applyAlignment="1" applyProtection="1">
      <alignment horizontal="left"/>
      <protection locked="0"/>
    </xf>
    <xf numFmtId="3" fontId="0" fillId="0" borderId="931" xfId="0" applyNumberFormat="1" applyBorder="1" applyAlignment="1" applyProtection="1">
      <alignment horizontal="left"/>
      <protection locked="0"/>
    </xf>
    <xf numFmtId="0" fontId="37" fillId="12" borderId="934" xfId="0" applyFont="1" applyFill="1" applyBorder="1" applyAlignment="1">
      <alignment horizontal="left" wrapText="1"/>
    </xf>
    <xf numFmtId="0" fontId="36" fillId="12" borderId="517" xfId="0" applyFont="1" applyFill="1" applyBorder="1" applyProtection="1">
      <protection locked="0"/>
    </xf>
    <xf numFmtId="0" fontId="6" fillId="12" borderId="516" xfId="0" applyFont="1" applyFill="1" applyBorder="1" applyProtection="1">
      <protection locked="0"/>
    </xf>
    <xf numFmtId="3" fontId="0" fillId="12" borderId="933" xfId="0" applyNumberFormat="1" applyFill="1" applyBorder="1" applyAlignment="1" applyProtection="1">
      <alignment horizontal="left"/>
      <protection locked="0"/>
    </xf>
    <xf numFmtId="3" fontId="0" fillId="12" borderId="931" xfId="0" applyNumberFormat="1" applyFill="1" applyBorder="1" applyAlignment="1" applyProtection="1">
      <alignment horizontal="left"/>
      <protection locked="0"/>
    </xf>
    <xf numFmtId="5" fontId="0" fillId="12" borderId="518" xfId="2" applyNumberFormat="1" applyFont="1" applyFill="1" applyBorder="1" applyProtection="1">
      <protection locked="0"/>
    </xf>
    <xf numFmtId="0" fontId="6" fillId="0" borderId="934" xfId="0" applyFont="1" applyBorder="1" applyAlignment="1">
      <alignment wrapText="1"/>
    </xf>
    <xf numFmtId="2" fontId="6" fillId="0" borderId="516" xfId="0" applyNumberFormat="1" applyFont="1" applyBorder="1" applyProtection="1">
      <protection locked="0"/>
    </xf>
    <xf numFmtId="0" fontId="6" fillId="0" borderId="936" xfId="0" applyFont="1" applyBorder="1" applyAlignment="1">
      <alignment wrapText="1"/>
    </xf>
    <xf numFmtId="0" fontId="0" fillId="7" borderId="516" xfId="0" applyFill="1" applyBorder="1" applyProtection="1">
      <protection locked="0"/>
    </xf>
    <xf numFmtId="0" fontId="28" fillId="0" borderId="931" xfId="0" applyFont="1" applyBorder="1" applyAlignment="1">
      <alignment horizontal="left" vertical="center" wrapText="1"/>
    </xf>
    <xf numFmtId="3" fontId="0" fillId="0" borderId="518" xfId="0" applyNumberFormat="1" applyBorder="1" applyProtection="1">
      <protection locked="0"/>
    </xf>
    <xf numFmtId="0" fontId="0" fillId="0" borderId="933" xfId="0" applyBorder="1" applyProtection="1">
      <protection locked="0"/>
    </xf>
    <xf numFmtId="0" fontId="0" fillId="0" borderId="935" xfId="0" applyBorder="1"/>
    <xf numFmtId="0" fontId="0" fillId="0" borderId="934" xfId="0" applyBorder="1" applyProtection="1">
      <protection locked="0"/>
    </xf>
    <xf numFmtId="0" fontId="0" fillId="0" borderId="936" xfId="0" applyBorder="1" applyProtection="1">
      <protection locked="0"/>
    </xf>
    <xf numFmtId="165" fontId="0" fillId="0" borderId="932" xfId="0" applyNumberFormat="1" applyBorder="1" applyProtection="1">
      <protection locked="0"/>
    </xf>
    <xf numFmtId="165" fontId="0" fillId="0" borderId="933" xfId="0" applyNumberFormat="1" applyBorder="1" applyProtection="1">
      <protection locked="0"/>
    </xf>
    <xf numFmtId="0" fontId="0" fillId="0" borderId="935" xfId="0" applyBorder="1" applyProtection="1">
      <protection locked="0"/>
    </xf>
    <xf numFmtId="0" fontId="0" fillId="0" borderId="934" xfId="0" applyBorder="1" applyAlignment="1" applyProtection="1">
      <alignment wrapText="1"/>
      <protection locked="0"/>
    </xf>
    <xf numFmtId="0" fontId="0" fillId="0" borderId="934" xfId="0" applyBorder="1" applyAlignment="1">
      <alignment wrapText="1"/>
    </xf>
    <xf numFmtId="0" fontId="0" fillId="0" borderId="932" xfId="0" applyBorder="1" applyProtection="1">
      <protection locked="0"/>
    </xf>
    <xf numFmtId="0" fontId="3" fillId="0" borderId="934" xfId="0" applyFont="1" applyBorder="1" applyAlignment="1">
      <alignment wrapText="1"/>
    </xf>
    <xf numFmtId="0" fontId="0" fillId="0" borderId="935" xfId="0" applyBorder="1" applyAlignment="1">
      <alignment vertical="top"/>
    </xf>
    <xf numFmtId="0" fontId="0" fillId="0" borderId="933" xfId="0" applyBorder="1" applyAlignment="1" applyProtection="1">
      <alignment horizontal="left"/>
      <protection locked="0"/>
    </xf>
    <xf numFmtId="0" fontId="28" fillId="0" borderId="930" xfId="0" applyFont="1" applyBorder="1" applyAlignment="1">
      <alignment vertical="center"/>
    </xf>
    <xf numFmtId="0" fontId="28" fillId="0" borderId="930" xfId="0" quotePrefix="1" applyFont="1" applyBorder="1"/>
    <xf numFmtId="0" fontId="28" fillId="22" borderId="930" xfId="0" applyFont="1" applyFill="1" applyBorder="1" applyAlignment="1">
      <alignment horizontal="center"/>
    </xf>
    <xf numFmtId="0" fontId="28" fillId="30" borderId="516" xfId="0" applyFont="1" applyFill="1" applyBorder="1" applyAlignment="1">
      <alignment horizontal="left"/>
    </xf>
    <xf numFmtId="0" fontId="0" fillId="30" borderId="933" xfId="0" applyFill="1" applyBorder="1" applyAlignment="1" applyProtection="1">
      <alignment horizontal="left"/>
      <protection locked="0"/>
    </xf>
    <xf numFmtId="0" fontId="0" fillId="30" borderId="933" xfId="0" applyFill="1" applyBorder="1" applyProtection="1">
      <protection locked="0"/>
    </xf>
    <xf numFmtId="0" fontId="28" fillId="12" borderId="516" xfId="0" applyFont="1" applyFill="1" applyBorder="1" applyAlignment="1">
      <alignment horizontal="left"/>
    </xf>
    <xf numFmtId="0" fontId="0" fillId="12" borderId="933" xfId="0" applyFill="1" applyBorder="1" applyAlignment="1" applyProtection="1">
      <alignment horizontal="left"/>
      <protection locked="0"/>
    </xf>
    <xf numFmtId="0" fontId="0" fillId="12" borderId="933" xfId="0" applyFill="1" applyBorder="1" applyProtection="1">
      <protection locked="0"/>
    </xf>
    <xf numFmtId="0" fontId="6" fillId="0" borderId="515" xfId="0" applyFont="1" applyBorder="1" applyAlignment="1">
      <alignment horizontal="right"/>
    </xf>
    <xf numFmtId="0" fontId="6" fillId="0" borderId="516" xfId="0" applyFont="1" applyBorder="1" applyAlignment="1">
      <alignment wrapText="1"/>
    </xf>
    <xf numFmtId="0" fontId="6" fillId="0" borderId="517" xfId="0" applyFont="1" applyBorder="1" applyAlignment="1" applyProtection="1">
      <alignment horizontal="right"/>
      <protection locked="0"/>
    </xf>
    <xf numFmtId="0" fontId="6" fillId="0" borderId="516" xfId="0" applyFont="1" applyBorder="1" applyAlignment="1">
      <alignment horizontal="left" wrapText="1"/>
    </xf>
    <xf numFmtId="14" fontId="6" fillId="0" borderId="516" xfId="0" applyNumberFormat="1" applyFont="1" applyBorder="1" applyAlignment="1">
      <alignment horizontal="left" wrapText="1"/>
    </xf>
    <xf numFmtId="0" fontId="6" fillId="0" borderId="515" xfId="0" applyFont="1" applyBorder="1"/>
    <xf numFmtId="0" fontId="6" fillId="0" borderId="517" xfId="0" applyFont="1" applyBorder="1" applyProtection="1">
      <protection locked="0"/>
    </xf>
    <xf numFmtId="5" fontId="6" fillId="0" borderId="518" xfId="2" applyNumberFormat="1" applyFont="1" applyBorder="1" applyProtection="1">
      <protection locked="0"/>
    </xf>
    <xf numFmtId="0" fontId="6" fillId="0" borderId="935" xfId="0" applyFont="1" applyBorder="1"/>
    <xf numFmtId="5" fontId="6" fillId="0" borderId="933" xfId="2" applyNumberFormat="1" applyFont="1" applyBorder="1" applyProtection="1">
      <protection locked="0"/>
    </xf>
    <xf numFmtId="0" fontId="33" fillId="3" borderId="516" xfId="0" applyFont="1" applyFill="1" applyBorder="1" applyAlignment="1">
      <alignment horizontal="center" wrapText="1"/>
    </xf>
    <xf numFmtId="0" fontId="6" fillId="0" borderId="933" xfId="0" applyFont="1" applyBorder="1" applyProtection="1">
      <protection locked="0"/>
    </xf>
    <xf numFmtId="3" fontId="6" fillId="0" borderId="933" xfId="0" applyNumberFormat="1" applyFont="1" applyBorder="1" applyAlignment="1" applyProtection="1">
      <alignment horizontal="left"/>
      <protection locked="0"/>
    </xf>
    <xf numFmtId="0" fontId="82" fillId="0" borderId="930" xfId="0" applyFont="1" applyBorder="1" applyAlignment="1">
      <alignment vertical="center"/>
    </xf>
    <xf numFmtId="0" fontId="82" fillId="22" borderId="359" xfId="0" applyFont="1" applyFill="1" applyBorder="1" applyAlignment="1">
      <alignment horizontal="center" vertical="center"/>
    </xf>
    <xf numFmtId="44" fontId="28" fillId="25" borderId="518" xfId="2" applyFont="1" applyFill="1" applyBorder="1" applyAlignment="1">
      <alignment horizontal="center" vertical="center"/>
    </xf>
    <xf numFmtId="0" fontId="82" fillId="30" borderId="930" xfId="0" applyFont="1" applyFill="1" applyBorder="1" applyAlignment="1">
      <alignment vertical="center"/>
    </xf>
    <xf numFmtId="0" fontId="82" fillId="12" borderId="930" xfId="0" applyFont="1" applyFill="1" applyBorder="1" applyAlignment="1">
      <alignment vertical="center"/>
    </xf>
    <xf numFmtId="0" fontId="82" fillId="0" borderId="937" xfId="0" applyFont="1" applyBorder="1" applyAlignment="1">
      <alignment vertical="center"/>
    </xf>
    <xf numFmtId="0" fontId="0" fillId="0" borderId="938" xfId="0" applyBorder="1" applyProtection="1">
      <protection locked="0"/>
    </xf>
    <xf numFmtId="0" fontId="0" fillId="0" borderId="939" xfId="0" applyBorder="1" applyAlignment="1">
      <alignment vertical="top"/>
    </xf>
    <xf numFmtId="0" fontId="82" fillId="0" borderId="940" xfId="0" applyFont="1" applyBorder="1" applyAlignment="1">
      <alignment vertical="center"/>
    </xf>
    <xf numFmtId="0" fontId="0" fillId="0" borderId="941" xfId="0" applyBorder="1" applyProtection="1">
      <protection locked="0"/>
    </xf>
    <xf numFmtId="0" fontId="0" fillId="0" borderId="942" xfId="0" applyBorder="1" applyAlignment="1">
      <alignment vertical="top"/>
    </xf>
    <xf numFmtId="0" fontId="82" fillId="0" borderId="943" xfId="0" applyFont="1" applyBorder="1" applyAlignment="1">
      <alignment vertical="center"/>
    </xf>
    <xf numFmtId="3" fontId="0" fillId="0" borderId="944" xfId="0" applyNumberFormat="1" applyBorder="1" applyAlignment="1" applyProtection="1">
      <alignment horizontal="left"/>
      <protection locked="0"/>
    </xf>
    <xf numFmtId="0" fontId="0" fillId="0" borderId="944" xfId="0" applyBorder="1" applyProtection="1">
      <protection locked="0"/>
    </xf>
    <xf numFmtId="0" fontId="82" fillId="30" borderId="943" xfId="0" applyFont="1" applyFill="1" applyBorder="1" applyAlignment="1">
      <alignment vertical="center"/>
    </xf>
    <xf numFmtId="3" fontId="0" fillId="30" borderId="944" xfId="0" applyNumberFormat="1" applyFill="1" applyBorder="1" applyAlignment="1" applyProtection="1">
      <alignment horizontal="left"/>
      <protection locked="0"/>
    </xf>
    <xf numFmtId="0" fontId="0" fillId="30" borderId="944" xfId="0" applyFill="1" applyBorder="1" applyProtection="1">
      <protection locked="0"/>
    </xf>
    <xf numFmtId="0" fontId="0" fillId="0" borderId="945" xfId="0" applyBorder="1" applyAlignment="1">
      <alignment vertical="top"/>
    </xf>
    <xf numFmtId="0" fontId="82" fillId="0" borderId="946" xfId="0" applyFont="1" applyBorder="1" applyAlignment="1">
      <alignment vertical="center"/>
    </xf>
    <xf numFmtId="3" fontId="0" fillId="0" borderId="947" xfId="0" applyNumberFormat="1" applyBorder="1" applyAlignment="1" applyProtection="1">
      <alignment horizontal="left"/>
      <protection locked="0"/>
    </xf>
    <xf numFmtId="0" fontId="0" fillId="0" borderId="947" xfId="0" applyBorder="1" applyProtection="1">
      <protection locked="0"/>
    </xf>
    <xf numFmtId="0" fontId="0" fillId="0" borderId="948" xfId="0" applyBorder="1" applyAlignment="1">
      <alignment vertical="top"/>
    </xf>
    <xf numFmtId="0" fontId="82" fillId="12" borderId="949" xfId="0" applyFont="1" applyFill="1" applyBorder="1" applyAlignment="1">
      <alignment vertical="center"/>
    </xf>
    <xf numFmtId="3" fontId="0" fillId="12" borderId="950" xfId="0" applyNumberFormat="1" applyFill="1" applyBorder="1" applyAlignment="1" applyProtection="1">
      <alignment horizontal="left"/>
      <protection locked="0"/>
    </xf>
    <xf numFmtId="0" fontId="0" fillId="12" borderId="950" xfId="0" applyFill="1" applyBorder="1" applyProtection="1">
      <protection locked="0"/>
    </xf>
    <xf numFmtId="0" fontId="0" fillId="0" borderId="951" xfId="0" applyBorder="1" applyAlignment="1">
      <alignment vertical="top"/>
    </xf>
    <xf numFmtId="0" fontId="82" fillId="0" borderId="952" xfId="0" applyFont="1" applyBorder="1" applyAlignment="1">
      <alignment vertical="center"/>
    </xf>
    <xf numFmtId="3" fontId="0" fillId="0" borderId="953" xfId="0" applyNumberFormat="1" applyBorder="1" applyAlignment="1" applyProtection="1">
      <alignment horizontal="left"/>
      <protection locked="0"/>
    </xf>
    <xf numFmtId="0" fontId="0" fillId="0" borderId="953" xfId="0" applyBorder="1" applyProtection="1">
      <protection locked="0"/>
    </xf>
    <xf numFmtId="0" fontId="0" fillId="0" borderId="954" xfId="0" applyBorder="1" applyAlignment="1">
      <alignment vertical="top"/>
    </xf>
    <xf numFmtId="0" fontId="82" fillId="30" borderId="955" xfId="0" applyFont="1" applyFill="1" applyBorder="1" applyAlignment="1">
      <alignment vertical="center"/>
    </xf>
    <xf numFmtId="3" fontId="0" fillId="30" borderId="956" xfId="0" applyNumberFormat="1" applyFill="1" applyBorder="1" applyAlignment="1" applyProtection="1">
      <alignment horizontal="left"/>
      <protection locked="0"/>
    </xf>
    <xf numFmtId="0" fontId="0" fillId="30" borderId="956" xfId="0" applyFill="1" applyBorder="1" applyProtection="1">
      <protection locked="0"/>
    </xf>
    <xf numFmtId="0" fontId="0" fillId="0" borderId="957" xfId="0" applyBorder="1" applyAlignment="1">
      <alignment vertical="top"/>
    </xf>
    <xf numFmtId="0" fontId="82" fillId="0" borderId="958" xfId="0" applyFont="1" applyBorder="1" applyAlignment="1">
      <alignment vertical="center"/>
    </xf>
    <xf numFmtId="3" fontId="0" fillId="0" borderId="959" xfId="0" applyNumberFormat="1" applyBorder="1" applyAlignment="1" applyProtection="1">
      <alignment horizontal="left"/>
      <protection locked="0"/>
    </xf>
    <xf numFmtId="0" fontId="0" fillId="0" borderId="959" xfId="0" applyBorder="1" applyProtection="1">
      <protection locked="0"/>
    </xf>
    <xf numFmtId="0" fontId="0" fillId="0" borderId="960" xfId="0" applyBorder="1" applyAlignment="1">
      <alignment vertical="top"/>
    </xf>
    <xf numFmtId="0" fontId="82" fillId="12" borderId="961" xfId="0" applyFont="1" applyFill="1" applyBorder="1" applyAlignment="1">
      <alignment vertical="center"/>
    </xf>
    <xf numFmtId="3" fontId="0" fillId="12" borderId="962" xfId="0" applyNumberFormat="1" applyFill="1" applyBorder="1" applyAlignment="1" applyProtection="1">
      <alignment horizontal="left"/>
      <protection locked="0"/>
    </xf>
    <xf numFmtId="0" fontId="0" fillId="12" borderId="962" xfId="0" applyFill="1" applyBorder="1" applyProtection="1">
      <protection locked="0"/>
    </xf>
    <xf numFmtId="0" fontId="0" fillId="0" borderId="963" xfId="0" applyBorder="1" applyAlignment="1">
      <alignment vertical="top"/>
    </xf>
    <xf numFmtId="0" fontId="82" fillId="0" borderId="964" xfId="0" applyFont="1" applyBorder="1" applyAlignment="1">
      <alignment vertical="center"/>
    </xf>
    <xf numFmtId="3" fontId="0" fillId="0" borderId="965" xfId="0" applyNumberFormat="1" applyBorder="1" applyAlignment="1" applyProtection="1">
      <alignment horizontal="left"/>
      <protection locked="0"/>
    </xf>
    <xf numFmtId="0" fontId="0" fillId="0" borderId="965" xfId="0" applyBorder="1" applyProtection="1">
      <protection locked="0"/>
    </xf>
    <xf numFmtId="0" fontId="0" fillId="0" borderId="966" xfId="0" applyBorder="1" applyAlignment="1">
      <alignment vertical="top"/>
    </xf>
    <xf numFmtId="0" fontId="82" fillId="30" borderId="967" xfId="0" applyFont="1" applyFill="1" applyBorder="1" applyAlignment="1">
      <alignment vertical="center"/>
    </xf>
    <xf numFmtId="3" fontId="0" fillId="30" borderId="968" xfId="0" applyNumberFormat="1" applyFill="1" applyBorder="1" applyAlignment="1" applyProtection="1">
      <alignment horizontal="left"/>
      <protection locked="0"/>
    </xf>
    <xf numFmtId="0" fontId="0" fillId="30" borderId="968" xfId="0" applyFill="1" applyBorder="1" applyProtection="1">
      <protection locked="0"/>
    </xf>
    <xf numFmtId="0" fontId="0" fillId="0" borderId="969" xfId="0" applyBorder="1" applyAlignment="1">
      <alignment vertical="top"/>
    </xf>
    <xf numFmtId="0" fontId="82" fillId="0" borderId="970" xfId="0" applyFont="1" applyBorder="1" applyAlignment="1">
      <alignment vertical="center"/>
    </xf>
    <xf numFmtId="3" fontId="0" fillId="0" borderId="971" xfId="0" applyNumberFormat="1" applyBorder="1" applyAlignment="1" applyProtection="1">
      <alignment horizontal="left"/>
      <protection locked="0"/>
    </xf>
    <xf numFmtId="0" fontId="0" fillId="0" borderId="971" xfId="0" applyBorder="1" applyProtection="1">
      <protection locked="0"/>
    </xf>
    <xf numFmtId="0" fontId="0" fillId="0" borderId="972" xfId="0" applyBorder="1" applyAlignment="1">
      <alignment vertical="top"/>
    </xf>
    <xf numFmtId="0" fontId="82" fillId="12" borderId="973" xfId="0" applyFont="1" applyFill="1" applyBorder="1" applyAlignment="1">
      <alignment vertical="center"/>
    </xf>
    <xf numFmtId="3" fontId="0" fillId="12" borderId="974" xfId="0" applyNumberFormat="1" applyFill="1" applyBorder="1" applyAlignment="1" applyProtection="1">
      <alignment horizontal="left"/>
      <protection locked="0"/>
    </xf>
    <xf numFmtId="0" fontId="0" fillId="12" borderId="974" xfId="0" applyFill="1" applyBorder="1" applyProtection="1">
      <protection locked="0"/>
    </xf>
    <xf numFmtId="0" fontId="0" fillId="0" borderId="975" xfId="0" applyBorder="1" applyAlignment="1">
      <alignment vertical="top"/>
    </xf>
    <xf numFmtId="0" fontId="82" fillId="0" borderId="976" xfId="0" applyFont="1" applyBorder="1" applyAlignment="1">
      <alignment vertical="center"/>
    </xf>
    <xf numFmtId="3" fontId="0" fillId="0" borderId="977" xfId="0" applyNumberFormat="1" applyBorder="1" applyAlignment="1" applyProtection="1">
      <alignment horizontal="left"/>
      <protection locked="0"/>
    </xf>
    <xf numFmtId="0" fontId="0" fillId="0" borderId="977" xfId="0" applyBorder="1" applyProtection="1">
      <protection locked="0"/>
    </xf>
    <xf numFmtId="0" fontId="0" fillId="0" borderId="978" xfId="0" applyBorder="1" applyAlignment="1">
      <alignment vertical="top"/>
    </xf>
    <xf numFmtId="0" fontId="6" fillId="6" borderId="515" xfId="0" applyFont="1" applyFill="1" applyBorder="1"/>
    <xf numFmtId="0" fontId="6" fillId="6" borderId="516" xfId="0" applyFont="1" applyFill="1" applyBorder="1" applyAlignment="1">
      <alignment wrapText="1"/>
    </xf>
    <xf numFmtId="0" fontId="6" fillId="6" borderId="516" xfId="0" applyFont="1" applyFill="1" applyBorder="1" applyProtection="1">
      <protection locked="0"/>
    </xf>
    <xf numFmtId="0" fontId="6" fillId="6" borderId="516" xfId="0" applyFont="1" applyFill="1" applyBorder="1" applyAlignment="1" applyProtection="1">
      <alignment vertical="center"/>
      <protection locked="0"/>
    </xf>
    <xf numFmtId="0" fontId="6" fillId="6" borderId="516" xfId="0" applyFont="1" applyFill="1" applyBorder="1" applyAlignment="1" applyProtection="1">
      <alignment horizontal="right" vertical="center"/>
      <protection locked="0"/>
    </xf>
    <xf numFmtId="0" fontId="6" fillId="6" borderId="517" xfId="0" applyFont="1" applyFill="1" applyBorder="1" applyAlignment="1" applyProtection="1">
      <alignment horizontal="right"/>
      <protection locked="0"/>
    </xf>
    <xf numFmtId="9" fontId="6" fillId="6" borderId="518" xfId="3" applyFont="1" applyFill="1" applyBorder="1" applyProtection="1">
      <protection locked="0"/>
    </xf>
    <xf numFmtId="9" fontId="6" fillId="6" borderId="518" xfId="3" applyFont="1" applyFill="1" applyBorder="1" applyAlignment="1" applyProtection="1">
      <alignment horizontal="left"/>
      <protection locked="0"/>
    </xf>
    <xf numFmtId="9" fontId="6" fillId="6" borderId="526" xfId="3" applyFont="1" applyFill="1" applyBorder="1" applyProtection="1">
      <protection locked="0"/>
    </xf>
    <xf numFmtId="44" fontId="6" fillId="6" borderId="518" xfId="2" applyFont="1" applyFill="1" applyBorder="1" applyProtection="1">
      <protection locked="0"/>
    </xf>
    <xf numFmtId="5" fontId="6" fillId="6" borderId="518" xfId="2" applyNumberFormat="1" applyFont="1" applyFill="1" applyBorder="1" applyAlignment="1" applyProtection="1">
      <alignment horizontal="left"/>
      <protection locked="0"/>
    </xf>
    <xf numFmtId="44" fontId="6" fillId="6" borderId="526" xfId="2" applyFont="1" applyFill="1" applyBorder="1" applyProtection="1">
      <protection locked="0"/>
    </xf>
    <xf numFmtId="44" fontId="6" fillId="6" borderId="518" xfId="2" applyFont="1" applyFill="1" applyBorder="1" applyAlignment="1" applyProtection="1">
      <alignment horizontal="left"/>
      <protection locked="0"/>
    </xf>
    <xf numFmtId="44" fontId="6" fillId="6" borderId="518" xfId="0" applyNumberFormat="1" applyFont="1" applyFill="1" applyBorder="1" applyProtection="1">
      <protection locked="0"/>
    </xf>
    <xf numFmtId="5" fontId="6" fillId="6" borderId="518" xfId="0" applyNumberFormat="1" applyFont="1" applyFill="1" applyBorder="1" applyAlignment="1" applyProtection="1">
      <alignment horizontal="left"/>
      <protection locked="0"/>
    </xf>
    <xf numFmtId="44" fontId="6" fillId="6" borderId="526" xfId="0" applyNumberFormat="1" applyFont="1" applyFill="1" applyBorder="1" applyProtection="1">
      <protection locked="0"/>
    </xf>
    <xf numFmtId="164" fontId="6" fillId="6" borderId="517" xfId="1" applyNumberFormat="1" applyFont="1" applyFill="1" applyBorder="1" applyAlignment="1" applyProtection="1">
      <alignment horizontal="right"/>
      <protection locked="0"/>
    </xf>
    <xf numFmtId="165" fontId="6" fillId="6" borderId="518" xfId="0" applyNumberFormat="1" applyFont="1" applyFill="1" applyBorder="1" applyAlignment="1" applyProtection="1">
      <alignment horizontal="center"/>
      <protection locked="0"/>
    </xf>
    <xf numFmtId="165" fontId="6" fillId="6" borderId="526" xfId="0" applyNumberFormat="1" applyFont="1" applyFill="1" applyBorder="1" applyAlignment="1" applyProtection="1">
      <alignment horizontal="center"/>
      <protection locked="0"/>
    </xf>
    <xf numFmtId="0" fontId="6" fillId="6" borderId="518" xfId="0" applyFont="1" applyFill="1" applyBorder="1" applyAlignment="1" applyProtection="1">
      <alignment horizontal="center"/>
      <protection locked="0"/>
    </xf>
    <xf numFmtId="0" fontId="0" fillId="0" borderId="978" xfId="0" applyBorder="1"/>
    <xf numFmtId="0" fontId="0" fillId="0" borderId="979" xfId="0" applyBorder="1" applyProtection="1">
      <protection locked="0"/>
    </xf>
    <xf numFmtId="0" fontId="0" fillId="0" borderId="980" xfId="0" applyBorder="1" applyProtection="1">
      <protection locked="0"/>
    </xf>
    <xf numFmtId="165" fontId="0" fillId="0" borderId="981" xfId="0" applyNumberFormat="1" applyBorder="1" applyProtection="1">
      <protection locked="0"/>
    </xf>
    <xf numFmtId="0" fontId="0" fillId="0" borderId="978" xfId="0" applyBorder="1" applyProtection="1">
      <protection locked="0"/>
    </xf>
    <xf numFmtId="0" fontId="0" fillId="0" borderId="979" xfId="0" applyBorder="1" applyAlignment="1" applyProtection="1">
      <alignment wrapText="1"/>
      <protection locked="0"/>
    </xf>
    <xf numFmtId="0" fontId="0" fillId="0" borderId="979" xfId="0" applyBorder="1" applyAlignment="1">
      <alignment wrapText="1"/>
    </xf>
    <xf numFmtId="0" fontId="0" fillId="0" borderId="981" xfId="0" applyBorder="1" applyProtection="1">
      <protection locked="0"/>
    </xf>
    <xf numFmtId="0" fontId="6" fillId="0" borderId="525" xfId="0" applyFont="1" applyBorder="1" applyAlignment="1" applyProtection="1">
      <alignment horizontal="center"/>
      <protection locked="0"/>
    </xf>
    <xf numFmtId="0" fontId="6" fillId="0" borderId="526" xfId="0" applyFont="1" applyBorder="1" applyAlignment="1" applyProtection="1">
      <alignment horizontal="center"/>
      <protection locked="0"/>
    </xf>
    <xf numFmtId="169" fontId="6" fillId="0" borderId="525" xfId="0" applyNumberFormat="1" applyFont="1" applyBorder="1" applyAlignment="1" applyProtection="1">
      <alignment horizontal="center"/>
      <protection locked="0"/>
    </xf>
    <xf numFmtId="169" fontId="6" fillId="0" borderId="526" xfId="0" applyNumberFormat="1" applyFont="1" applyBorder="1" applyAlignment="1" applyProtection="1">
      <alignment horizontal="center"/>
      <protection locked="0"/>
    </xf>
    <xf numFmtId="0" fontId="38" fillId="0" borderId="526" xfId="4" applyFont="1" applyBorder="1" applyAlignment="1" applyProtection="1">
      <alignment horizontal="center" vertical="center"/>
      <protection locked="0"/>
    </xf>
    <xf numFmtId="5" fontId="6" fillId="0" borderId="528" xfId="2" applyNumberFormat="1" applyFont="1" applyBorder="1" applyAlignment="1" applyProtection="1">
      <alignment horizontal="center"/>
      <protection locked="0"/>
    </xf>
    <xf numFmtId="5" fontId="6" fillId="0" borderId="529" xfId="2" applyNumberFormat="1" applyFont="1" applyBorder="1" applyAlignment="1" applyProtection="1">
      <alignment horizontal="center"/>
      <protection locked="0"/>
    </xf>
    <xf numFmtId="0" fontId="3" fillId="0" borderId="979" xfId="0" applyFont="1" applyBorder="1" applyAlignment="1">
      <alignment wrapText="1"/>
    </xf>
    <xf numFmtId="0" fontId="6" fillId="0" borderId="978" xfId="0" applyFont="1" applyBorder="1"/>
    <xf numFmtId="0" fontId="6" fillId="0" borderId="979" xfId="0" applyFont="1" applyBorder="1" applyAlignment="1">
      <alignment wrapText="1"/>
    </xf>
    <xf numFmtId="5" fontId="6" fillId="0" borderId="981" xfId="2" applyNumberFormat="1" applyFont="1" applyBorder="1" applyProtection="1">
      <protection locked="0"/>
    </xf>
    <xf numFmtId="5" fontId="6" fillId="0" borderId="977" xfId="2" applyNumberFormat="1" applyFont="1" applyBorder="1" applyProtection="1">
      <protection locked="0"/>
    </xf>
    <xf numFmtId="0" fontId="6" fillId="0" borderId="978" xfId="0" applyFont="1" applyBorder="1" applyAlignment="1">
      <alignment vertical="top"/>
    </xf>
    <xf numFmtId="0" fontId="6" fillId="0" borderId="977" xfId="0" applyFont="1" applyBorder="1" applyProtection="1">
      <protection locked="0"/>
    </xf>
    <xf numFmtId="3" fontId="6" fillId="0" borderId="977" xfId="0" applyNumberFormat="1" applyFont="1" applyBorder="1" applyAlignment="1" applyProtection="1">
      <alignment horizontal="left"/>
      <protection locked="0"/>
    </xf>
    <xf numFmtId="0" fontId="0" fillId="0" borderId="977" xfId="0" applyBorder="1" applyAlignment="1" applyProtection="1">
      <alignment horizontal="left"/>
      <protection locked="0"/>
    </xf>
    <xf numFmtId="0" fontId="28" fillId="0" borderId="976" xfId="0" applyFont="1" applyBorder="1" applyAlignment="1">
      <alignment vertical="center"/>
    </xf>
    <xf numFmtId="0" fontId="28" fillId="0" borderId="976" xfId="0" quotePrefix="1" applyFont="1" applyBorder="1"/>
    <xf numFmtId="0" fontId="0" fillId="0" borderId="516" xfId="0" applyBorder="1" applyAlignment="1">
      <alignment vertical="top"/>
    </xf>
    <xf numFmtId="0" fontId="28" fillId="25" borderId="976" xfId="0" applyFont="1" applyFill="1" applyBorder="1" applyAlignment="1">
      <alignment horizontal="left"/>
    </xf>
    <xf numFmtId="0" fontId="5" fillId="25" borderId="982" xfId="0" applyFont="1" applyFill="1" applyBorder="1" applyProtection="1">
      <protection locked="0"/>
    </xf>
    <xf numFmtId="0" fontId="0" fillId="25" borderId="981" xfId="0" applyFill="1" applyBorder="1" applyProtection="1">
      <protection locked="0"/>
    </xf>
    <xf numFmtId="0" fontId="0" fillId="25" borderId="977" xfId="0" applyFill="1" applyBorder="1" applyProtection="1">
      <protection locked="0"/>
    </xf>
    <xf numFmtId="0" fontId="5" fillId="25" borderId="977" xfId="0" applyFont="1" applyFill="1" applyBorder="1" applyProtection="1">
      <protection locked="0"/>
    </xf>
    <xf numFmtId="3" fontId="0" fillId="25" borderId="977" xfId="0" applyNumberFormat="1" applyFill="1" applyBorder="1" applyAlignment="1" applyProtection="1">
      <alignment horizontal="left"/>
      <protection locked="0"/>
    </xf>
    <xf numFmtId="0" fontId="6" fillId="0" borderId="979" xfId="0" applyFont="1" applyBorder="1" applyAlignment="1">
      <alignment horizontal="left" wrapText="1"/>
    </xf>
    <xf numFmtId="0" fontId="35" fillId="0" borderId="979" xfId="0" applyFont="1" applyBorder="1" applyAlignment="1">
      <alignment horizontal="left" wrapText="1"/>
    </xf>
    <xf numFmtId="0" fontId="6" fillId="0" borderId="516" xfId="5" applyFont="1" applyBorder="1" applyAlignment="1">
      <alignment horizontal="left" vertical="top" wrapText="1"/>
    </xf>
    <xf numFmtId="0" fontId="6" fillId="6" borderId="526" xfId="0" applyFont="1" applyFill="1" applyBorder="1" applyAlignment="1" applyProtection="1">
      <alignment horizontal="center"/>
      <protection locked="0"/>
    </xf>
    <xf numFmtId="0" fontId="34" fillId="0" borderId="979" xfId="0" applyFont="1" applyBorder="1" applyAlignment="1">
      <alignment horizontal="left" wrapText="1"/>
    </xf>
    <xf numFmtId="0" fontId="0" fillId="0" borderId="983" xfId="0" applyBorder="1" applyAlignment="1">
      <alignment vertical="top"/>
    </xf>
    <xf numFmtId="0" fontId="5" fillId="0" borderId="549" xfId="0" applyFont="1" applyBorder="1" applyProtection="1">
      <protection locked="0"/>
    </xf>
    <xf numFmtId="0" fontId="28" fillId="0" borderId="984" xfId="0" applyFont="1" applyBorder="1" applyAlignment="1">
      <alignment vertical="center"/>
    </xf>
    <xf numFmtId="0" fontId="28" fillId="0" borderId="985" xfId="0" applyFont="1" applyBorder="1" applyAlignment="1">
      <alignment vertical="center"/>
    </xf>
    <xf numFmtId="0" fontId="28" fillId="0" borderId="985" xfId="0" quotePrefix="1" applyFont="1" applyBorder="1"/>
    <xf numFmtId="0" fontId="28" fillId="22" borderId="985" xfId="0" applyFont="1" applyFill="1" applyBorder="1" applyAlignment="1">
      <alignment horizontal="center"/>
    </xf>
    <xf numFmtId="0" fontId="28" fillId="25" borderId="986" xfId="0" applyFont="1" applyFill="1" applyBorder="1" applyAlignment="1">
      <alignment horizontal="left"/>
    </xf>
    <xf numFmtId="0" fontId="5" fillId="25" borderId="987" xfId="0" applyFont="1" applyFill="1" applyBorder="1" applyProtection="1">
      <protection locked="0"/>
    </xf>
    <xf numFmtId="165" fontId="0" fillId="25" borderId="551" xfId="0" applyNumberFormat="1" applyFill="1" applyBorder="1" applyProtection="1">
      <protection locked="0"/>
    </xf>
    <xf numFmtId="0" fontId="0" fillId="25" borderId="988" xfId="0" applyFill="1" applyBorder="1" applyProtection="1">
      <protection locked="0"/>
    </xf>
    <xf numFmtId="0" fontId="5" fillId="25" borderId="988" xfId="0" applyFont="1" applyFill="1" applyBorder="1" applyProtection="1">
      <protection locked="0"/>
    </xf>
    <xf numFmtId="3" fontId="0" fillId="25" borderId="988" xfId="0" applyNumberFormat="1" applyFill="1" applyBorder="1" applyAlignment="1" applyProtection="1">
      <alignment horizontal="left"/>
      <protection locked="0"/>
    </xf>
    <xf numFmtId="0" fontId="28" fillId="9" borderId="985" xfId="0" applyFont="1" applyFill="1" applyBorder="1" applyAlignment="1">
      <alignment horizontal="left"/>
    </xf>
    <xf numFmtId="0" fontId="60" fillId="9" borderId="532" xfId="0" applyFont="1" applyFill="1" applyBorder="1" applyAlignment="1">
      <alignment vertical="center" wrapText="1"/>
    </xf>
    <xf numFmtId="0" fontId="0" fillId="0" borderId="516" xfId="0" applyBorder="1" applyAlignment="1" applyProtection="1">
      <alignment horizontal="left"/>
      <protection locked="0"/>
    </xf>
    <xf numFmtId="0" fontId="55" fillId="9" borderId="532" xfId="0" applyFont="1" applyFill="1" applyBorder="1" applyAlignment="1">
      <alignment vertical="center" wrapText="1"/>
    </xf>
    <xf numFmtId="0" fontId="55" fillId="9" borderId="532" xfId="0" applyFont="1" applyFill="1" applyBorder="1" applyAlignment="1">
      <alignment horizontal="left" vertical="center" wrapText="1"/>
    </xf>
    <xf numFmtId="0" fontId="0" fillId="0" borderId="989" xfId="0" applyBorder="1"/>
    <xf numFmtId="0" fontId="0" fillId="0" borderId="990" xfId="0" applyBorder="1" applyProtection="1">
      <protection locked="0"/>
    </xf>
    <xf numFmtId="0" fontId="0" fillId="0" borderId="991" xfId="0" applyBorder="1" applyProtection="1">
      <protection locked="0"/>
    </xf>
    <xf numFmtId="165" fontId="0" fillId="0" borderId="988" xfId="0" applyNumberFormat="1" applyBorder="1" applyProtection="1">
      <protection locked="0"/>
    </xf>
    <xf numFmtId="165" fontId="0" fillId="0" borderId="992" xfId="0" applyNumberFormat="1" applyBorder="1" applyProtection="1">
      <protection locked="0"/>
    </xf>
    <xf numFmtId="0" fontId="0" fillId="0" borderId="989" xfId="0" applyBorder="1" applyProtection="1">
      <protection locked="0"/>
    </xf>
    <xf numFmtId="0" fontId="0" fillId="0" borderId="990" xfId="0" applyBorder="1" applyAlignment="1" applyProtection="1">
      <alignment wrapText="1"/>
      <protection locked="0"/>
    </xf>
    <xf numFmtId="0" fontId="0" fillId="0" borderId="990" xfId="0" applyBorder="1" applyAlignment="1">
      <alignment wrapText="1"/>
    </xf>
    <xf numFmtId="0" fontId="0" fillId="0" borderId="992" xfId="0" applyBorder="1" applyProtection="1">
      <protection locked="0"/>
    </xf>
  </cellXfs>
  <cellStyles count="13">
    <cellStyle name="Comma" xfId="1" builtinId="3"/>
    <cellStyle name="Comma 2" xfId="9" xr:uid="{4D3770E4-0299-4C7D-B315-7B2C57E0D853}"/>
    <cellStyle name="Currency" xfId="2" builtinId="4"/>
    <cellStyle name="Currency 2" xfId="7" xr:uid="{6706B34E-D86F-46D6-AD6B-43CC7231618B}"/>
    <cellStyle name="Header" xfId="10" xr:uid="{07B16932-76FB-47B4-AA8C-4A2E575CE6CB}"/>
    <cellStyle name="Hyperlink" xfId="4" builtinId="8"/>
    <cellStyle name="Normal" xfId="0" builtinId="0"/>
    <cellStyle name="Normal 2" xfId="5" xr:uid="{8EF1FB10-46B7-486E-A042-A018FB8FBC1F}"/>
    <cellStyle name="Normal 2 2 2" xfId="12" xr:uid="{70F30B77-D5A8-4C1F-8A27-8D426917AD0F}"/>
    <cellStyle name="Normal 24" xfId="6" xr:uid="{78AE7A8E-48C5-45D4-A12A-19EF61E48049}"/>
    <cellStyle name="Normal 63" xfId="11" xr:uid="{5E4EE900-F188-42F2-BBEF-81DC2AF34CB7}"/>
    <cellStyle name="Percent" xfId="3" builtinId="5"/>
    <cellStyle name="Percent 2" xfId="8" xr:uid="{0868223E-FE7E-4F95-A110-08C54D29C535}"/>
  </cellStyles>
  <dxfs count="1838">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colors>
    <mruColors>
      <color rgb="FFF077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haredStrings" Target="sharedString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heetMetadata" Target="metadata.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1.xml"/><Relationship Id="rId119" Type="http://schemas.microsoft.com/office/2017/06/relationships/rdRichValue" Target="richData/rdrichvalue.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microsoft.com/office/2017/06/relationships/rdRichValueStructure" Target="richData/rdrichvaluestructure.xml"/><Relationship Id="rId125"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microsoft.com/office/2017/06/relationships/rdRichValueTypes" Target="richData/rdRichValueTyp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tif"/></Relationships>
</file>

<file path=xl/drawings/_rels/drawing4.xml.rels><?xml version="1.0" encoding="UTF-8" standalone="yes"?>
<Relationships xmlns="http://schemas.openxmlformats.org/package/2006/relationships"><Relationship Id="rId1" Type="http://schemas.openxmlformats.org/officeDocument/2006/relationships/image" Target="../media/image2.tif"/></Relationships>
</file>

<file path=xl/drawings/_rels/drawing5.xml.rels><?xml version="1.0" encoding="UTF-8" standalone="yes"?>
<Relationships xmlns="http://schemas.openxmlformats.org/package/2006/relationships"><Relationship Id="rId1" Type="http://schemas.openxmlformats.org/officeDocument/2006/relationships/image" Target="../media/image2.ti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2060575</xdr:colOff>
      <xdr:row>4</xdr:row>
      <xdr:rowOff>149804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1670050</xdr:colOff>
      <xdr:row>4</xdr:row>
      <xdr:rowOff>92654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twoCellAnchor editAs="oneCell">
    <xdr:from>
      <xdr:col>0</xdr:col>
      <xdr:colOff>91440</xdr:colOff>
      <xdr:row>1</xdr:row>
      <xdr:rowOff>0</xdr:rowOff>
    </xdr:from>
    <xdr:to>
      <xdr:col>1</xdr:col>
      <xdr:colOff>1670050</xdr:colOff>
      <xdr:row>4</xdr:row>
      <xdr:rowOff>92654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226596</xdr:colOff>
      <xdr:row>0</xdr:row>
      <xdr:rowOff>114566</xdr:rowOff>
    </xdr:from>
    <xdr:to>
      <xdr:col>1</xdr:col>
      <xdr:colOff>2203161</xdr:colOff>
      <xdr:row>1</xdr:row>
      <xdr:rowOff>590550</xdr:rowOff>
    </xdr:to>
    <xdr:pic>
      <xdr:nvPicPr>
        <xdr:cNvPr id="2" name="Picture 2">
          <a:extLst>
            <a:ext uri="{FF2B5EF4-FFF2-40B4-BE49-F238E27FC236}">
              <a16:creationId xmlns:a16="http://schemas.microsoft.com/office/drawing/2014/main" id="{5FC7C59D-811A-48F8-A7F5-FA16AE7ACF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596" y="114566"/>
          <a:ext cx="2586165" cy="8093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226596</xdr:colOff>
      <xdr:row>1</xdr:row>
      <xdr:rowOff>114566</xdr:rowOff>
    </xdr:from>
    <xdr:to>
      <xdr:col>1</xdr:col>
      <xdr:colOff>1965036</xdr:colOff>
      <xdr:row>2</xdr:row>
      <xdr:rowOff>571500</xdr:rowOff>
    </xdr:to>
    <xdr:pic>
      <xdr:nvPicPr>
        <xdr:cNvPr id="2" name="Picture 2">
          <a:extLst>
            <a:ext uri="{FF2B5EF4-FFF2-40B4-BE49-F238E27FC236}">
              <a16:creationId xmlns:a16="http://schemas.microsoft.com/office/drawing/2014/main" id="{9E896E3E-7F42-4FBC-AA26-33191155D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596" y="450742"/>
          <a:ext cx="2590087" cy="7931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226596</xdr:colOff>
      <xdr:row>1</xdr:row>
      <xdr:rowOff>193007</xdr:rowOff>
    </xdr:from>
    <xdr:to>
      <xdr:col>1</xdr:col>
      <xdr:colOff>1965036</xdr:colOff>
      <xdr:row>2</xdr:row>
      <xdr:rowOff>539422</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596" y="193007"/>
          <a:ext cx="2586165" cy="682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mmercial%20Estimate-Template%200529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 Calculations"/>
      <sheetName val="Cost Summary"/>
    </sheetNames>
    <sheetDataSet>
      <sheetData sheetId="0"/>
      <sheetData sheetId="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2</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mailto:mteitelbaum@consofloors.com"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mailto:mteitelbaum@consofloors.com"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mailto:mteitelbaum@consofloors.com" TargetMode="External"/></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56.bin"/><Relationship Id="rId1" Type="http://schemas.openxmlformats.org/officeDocument/2006/relationships/hyperlink" Target="mailto:mteitelbaum@consofloors.com" TargetMode="External"/><Relationship Id="rId4" Type="http://schemas.openxmlformats.org/officeDocument/2006/relationships/comments" Target="../comments6.xml"/></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81.bin"/><Relationship Id="rId1" Type="http://schemas.openxmlformats.org/officeDocument/2006/relationships/hyperlink" Target="mailto:thomasstallone@gmail.com" TargetMode="External"/></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hyperlink" Target="mailto:rgliniewicz@everestmech.com" TargetMode="External"/></Relationships>
</file>

<file path=xl/worksheets/_rels/sheet96.xml.rels><?xml version="1.0" encoding="UTF-8" standalone="yes"?>
<Relationships xmlns="http://schemas.openxmlformats.org/package/2006/relationships"><Relationship Id="rId3" Type="http://schemas.openxmlformats.org/officeDocument/2006/relationships/hyperlink" Target="mailto:george@medicairsystems.com" TargetMode="External"/><Relationship Id="rId2" Type="http://schemas.openxmlformats.org/officeDocument/2006/relationships/hyperlink" Target="mailto:gschmidt.sms@gmail.com" TargetMode="External"/><Relationship Id="rId1" Type="http://schemas.openxmlformats.org/officeDocument/2006/relationships/hyperlink" Target="mailto:swatson@smartairsystems.com" TargetMode="External"/><Relationship Id="rId6" Type="http://schemas.openxmlformats.org/officeDocument/2006/relationships/printerSettings" Target="../printerSettings/printerSettings95.bin"/><Relationship Id="rId5" Type="http://schemas.openxmlformats.org/officeDocument/2006/relationships/hyperlink" Target="mailto:rgliniewicz@everestmech.com" TargetMode="External"/><Relationship Id="rId4" Type="http://schemas.openxmlformats.org/officeDocument/2006/relationships/hyperlink" Target="mailto:info@mastermechanicalservices.com" TargetMode="External"/></Relationships>
</file>

<file path=xl/worksheets/_rels/sheet97.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hyperlink" Target="mailto:christian@voltelectric.us" TargetMode="External"/></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hyperlink" Target="mailto:richard@capitalns.com" TargetMode="External"/></Relationships>
</file>

<file path=xl/worksheets/_rels/sheet10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03.bin"/><Relationship Id="rId1" Type="http://schemas.openxmlformats.org/officeDocument/2006/relationships/hyperlink" Target="mailto:jcriscione@aedcorp.com" TargetMode="External"/><Relationship Id="rId4" Type="http://schemas.openxmlformats.org/officeDocument/2006/relationships/comments" Target="../comments7.xml"/></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8AD1-17A8-462C-A294-80E299848A8F}">
  <dimension ref="A1:S64"/>
  <sheetViews>
    <sheetView workbookViewId="0">
      <selection activeCell="B13" sqref="B13"/>
    </sheetView>
  </sheetViews>
  <sheetFormatPr defaultColWidth="8.85546875" defaultRowHeight="15"/>
  <cols>
    <col min="1" max="1" width="16.140625" style="111" bestFit="1" customWidth="1"/>
    <col min="2" max="2" width="18.85546875" style="112" bestFit="1" customWidth="1"/>
    <col min="3" max="3" width="12.28515625" style="111" bestFit="1" customWidth="1"/>
    <col min="4" max="4" width="15.5703125" style="116" bestFit="1" customWidth="1"/>
    <col min="5" max="5" width="16.140625" style="111" bestFit="1" customWidth="1"/>
    <col min="6" max="6" width="19.85546875" style="112" bestFit="1" customWidth="1"/>
    <col min="7" max="7" width="11" style="114" bestFit="1" customWidth="1"/>
    <col min="8" max="8" width="14.7109375" style="116" bestFit="1" customWidth="1"/>
    <col min="9" max="9" width="8.85546875" style="111"/>
    <col min="10" max="10" width="9.85546875" style="112" bestFit="1" customWidth="1"/>
    <col min="11" max="12" width="10.85546875" style="112" bestFit="1" customWidth="1"/>
    <col min="13" max="13" width="13.7109375" style="112" bestFit="1" customWidth="1"/>
    <col min="14" max="14" width="9.85546875" style="112" bestFit="1" customWidth="1"/>
    <col min="15" max="16" width="10.5703125" style="112" bestFit="1" customWidth="1"/>
    <col min="17" max="19" width="8.85546875" style="112"/>
    <col min="20" max="16384" width="8.85546875" style="111"/>
  </cols>
  <sheetData>
    <row r="1" spans="1:8">
      <c r="A1" s="665" t="s">
        <v>0</v>
      </c>
      <c r="B1" s="666"/>
      <c r="C1" s="666"/>
      <c r="D1" s="666"/>
      <c r="E1" s="666"/>
      <c r="F1" s="666"/>
      <c r="G1" s="666"/>
      <c r="H1" s="667"/>
    </row>
    <row r="2" spans="1:8" ht="15.75" thickBot="1">
      <c r="A2" s="668"/>
      <c r="B2" s="669"/>
      <c r="C2" s="669"/>
      <c r="D2" s="669"/>
      <c r="E2" s="669"/>
      <c r="F2" s="669"/>
      <c r="G2" s="669"/>
      <c r="H2" s="670"/>
    </row>
    <row r="3" spans="1:8" ht="15.75" thickBot="1">
      <c r="A3" s="671" t="s">
        <v>1</v>
      </c>
      <c r="B3" s="672"/>
      <c r="C3" s="672"/>
      <c r="D3" s="673"/>
      <c r="E3" s="674" t="s">
        <v>1</v>
      </c>
      <c r="F3" s="675"/>
      <c r="G3" s="675"/>
      <c r="H3" s="676"/>
    </row>
    <row r="4" spans="1:8">
      <c r="A4" s="796" t="s">
        <v>2</v>
      </c>
      <c r="B4" s="797"/>
      <c r="C4" s="797"/>
      <c r="D4" s="798"/>
      <c r="E4" s="799" t="s">
        <v>3</v>
      </c>
      <c r="F4" s="800"/>
      <c r="G4" s="800"/>
      <c r="H4" s="801"/>
    </row>
    <row r="5" spans="1:8" ht="15.75" thickBot="1">
      <c r="A5" s="802">
        <v>42888</v>
      </c>
      <c r="B5" s="803"/>
      <c r="C5" s="803"/>
      <c r="D5" s="804"/>
      <c r="E5" s="805">
        <v>42053</v>
      </c>
      <c r="F5" s="806"/>
      <c r="G5" s="806"/>
      <c r="H5" s="807"/>
    </row>
    <row r="6" spans="1:8">
      <c r="A6" s="808"/>
      <c r="B6" s="809">
        <f>IF(B13&gt;500000,500000,B13)</f>
        <v>500000</v>
      </c>
      <c r="C6" s="810">
        <v>9.1000000000000004E-3</v>
      </c>
      <c r="D6" s="811">
        <f t="shared" ref="D6:D11" si="0">B6*C6</f>
        <v>4550</v>
      </c>
      <c r="E6" s="808"/>
      <c r="F6" s="812">
        <v>0</v>
      </c>
      <c r="G6" s="813">
        <v>1.8749999999999999E-2</v>
      </c>
      <c r="H6" s="814">
        <f t="shared" ref="H6:H11" si="1">SUM(F6*G6)</f>
        <v>0</v>
      </c>
    </row>
    <row r="7" spans="1:8">
      <c r="A7" s="815"/>
      <c r="B7" s="816">
        <f>IF(B13&lt;2500000,(B13-B6),IF(B13&gt;B6,2000000,0))</f>
        <v>1720594.08</v>
      </c>
      <c r="C7" s="817">
        <v>7.2500000000000004E-3</v>
      </c>
      <c r="D7" s="818">
        <f t="shared" si="0"/>
        <v>12474.30708</v>
      </c>
      <c r="E7" s="815"/>
      <c r="F7" s="819">
        <v>0</v>
      </c>
      <c r="G7" s="820">
        <v>1.4999999999999999E-2</v>
      </c>
      <c r="H7" s="821">
        <f t="shared" si="1"/>
        <v>0</v>
      </c>
    </row>
    <row r="8" spans="1:8">
      <c r="A8" s="815"/>
      <c r="B8" s="816">
        <f>IF(B13&lt;5000000,MAX(0,B13-2500000),IF(B13&gt;2500000,2500000))</f>
        <v>0</v>
      </c>
      <c r="C8" s="817">
        <v>6.3E-3</v>
      </c>
      <c r="D8" s="818">
        <f t="shared" si="0"/>
        <v>0</v>
      </c>
      <c r="E8" s="815"/>
      <c r="F8" s="819">
        <v>0</v>
      </c>
      <c r="G8" s="820">
        <v>1.125E-2</v>
      </c>
      <c r="H8" s="821">
        <f t="shared" si="1"/>
        <v>0</v>
      </c>
    </row>
    <row r="9" spans="1:8">
      <c r="A9" s="815"/>
      <c r="B9" s="816">
        <f>IF(B13&lt;7500000,MAX(0,B13-5000000),IF(B13&gt;7500000,2500000,0))</f>
        <v>0</v>
      </c>
      <c r="C9" s="817">
        <v>5.5500000000000002E-3</v>
      </c>
      <c r="D9" s="818">
        <f t="shared" si="0"/>
        <v>0</v>
      </c>
      <c r="E9" s="815"/>
      <c r="F9" s="819">
        <v>0</v>
      </c>
      <c r="G9" s="820">
        <v>8.9999999999999993E-3</v>
      </c>
      <c r="H9" s="821">
        <f t="shared" si="1"/>
        <v>0</v>
      </c>
    </row>
    <row r="10" spans="1:8">
      <c r="A10" s="815"/>
      <c r="B10" s="816">
        <f>IF(B13&lt;7500000,MAX(0,B13-7500000),IF(B13&gt;7500000,(B13-7500000)))</f>
        <v>0</v>
      </c>
      <c r="C10" s="822">
        <v>5.1000000000000004E-3</v>
      </c>
      <c r="D10" s="818">
        <f t="shared" si="0"/>
        <v>0</v>
      </c>
      <c r="E10" s="815"/>
      <c r="F10" s="819">
        <v>0</v>
      </c>
      <c r="G10" s="823">
        <v>8.2500000000000004E-3</v>
      </c>
      <c r="H10" s="824">
        <f t="shared" si="1"/>
        <v>0</v>
      </c>
    </row>
    <row r="11" spans="1:8" ht="15.75" thickBot="1">
      <c r="A11" s="825"/>
      <c r="B11" s="826"/>
      <c r="C11" s="827"/>
      <c r="D11" s="828">
        <f t="shared" si="0"/>
        <v>0</v>
      </c>
      <c r="E11" s="825"/>
      <c r="F11" s="829">
        <v>0</v>
      </c>
      <c r="G11" s="830">
        <v>7.4999999999999997E-3</v>
      </c>
      <c r="H11" s="831">
        <f t="shared" si="1"/>
        <v>0</v>
      </c>
    </row>
    <row r="12" spans="1:8" ht="15.75" thickBot="1">
      <c r="A12" s="568" t="s">
        <v>4</v>
      </c>
      <c r="B12" s="569">
        <f ca="1">'Cost Summary'!D76</f>
        <v>33148733.333145447</v>
      </c>
      <c r="C12" s="570" t="s">
        <v>5</v>
      </c>
      <c r="D12" s="571">
        <f>SUM(D6:D11)</f>
        <v>17024.307079999999</v>
      </c>
      <c r="E12" s="568" t="s">
        <v>4</v>
      </c>
      <c r="F12" s="572">
        <f>SUM(F6+F7+F8+F9+F10+F11)</f>
        <v>0</v>
      </c>
      <c r="G12" s="573" t="s">
        <v>5</v>
      </c>
      <c r="H12" s="574">
        <f>SUM(H6:H11)</f>
        <v>0</v>
      </c>
    </row>
    <row r="13" spans="1:8" ht="15.75" thickBot="1">
      <c r="A13" s="575" t="s">
        <v>6</v>
      </c>
      <c r="B13" s="569">
        <v>2220594.08</v>
      </c>
      <c r="C13" s="113"/>
      <c r="D13" s="576">
        <f ca="1">SUM(D12/B12)</f>
        <v>5.1357338179125478E-4</v>
      </c>
      <c r="H13" s="577" t="e">
        <f>SUM(H12/F12)</f>
        <v>#DIV/0!</v>
      </c>
    </row>
    <row r="14" spans="1:8">
      <c r="A14" s="112"/>
      <c r="B14" s="113">
        <f ca="1">B12-B13</f>
        <v>30928139.253145449</v>
      </c>
      <c r="C14" s="113"/>
      <c r="D14" s="115"/>
      <c r="E14" s="112"/>
    </row>
    <row r="15" spans="1:8">
      <c r="A15" s="112"/>
      <c r="B15" s="111"/>
      <c r="C15" s="112"/>
      <c r="D15" s="117"/>
      <c r="E15" s="112"/>
    </row>
    <row r="16" spans="1:8">
      <c r="A16" s="112"/>
      <c r="C16" s="112"/>
      <c r="D16" s="111"/>
      <c r="E16" s="112"/>
    </row>
    <row r="17" spans="1:5">
      <c r="A17" s="112"/>
      <c r="C17" s="112"/>
      <c r="D17" s="111"/>
      <c r="E17" s="112"/>
    </row>
    <row r="18" spans="1:5">
      <c r="A18" s="112"/>
      <c r="C18" s="112"/>
      <c r="D18" s="111"/>
      <c r="E18" s="112"/>
    </row>
    <row r="19" spans="1:5">
      <c r="A19" s="112"/>
      <c r="C19" s="112"/>
      <c r="D19" s="111"/>
      <c r="E19" s="112"/>
    </row>
    <row r="20" spans="1:5">
      <c r="A20" s="112"/>
      <c r="C20" s="112"/>
      <c r="D20" s="111"/>
      <c r="E20" s="112"/>
    </row>
    <row r="21" spans="1:5">
      <c r="A21" s="112"/>
      <c r="C21" s="112"/>
      <c r="D21" s="117"/>
      <c r="E21" s="112"/>
    </row>
    <row r="22" spans="1:5">
      <c r="A22" s="112"/>
      <c r="C22" s="112"/>
      <c r="D22" s="117"/>
      <c r="E22" s="112"/>
    </row>
    <row r="23" spans="1:5">
      <c r="A23" s="112"/>
      <c r="C23" s="112"/>
      <c r="D23" s="117"/>
      <c r="E23" s="112"/>
    </row>
    <row r="24" spans="1:5">
      <c r="A24" s="112"/>
      <c r="C24" s="112"/>
      <c r="D24" s="117"/>
      <c r="E24" s="112"/>
    </row>
    <row r="25" spans="1:5">
      <c r="A25" s="112"/>
      <c r="C25" s="112"/>
      <c r="D25" s="117"/>
      <c r="E25" s="112"/>
    </row>
    <row r="26" spans="1:5">
      <c r="A26" s="118"/>
    </row>
    <row r="28" spans="1:5" ht="12.75" customHeight="1"/>
    <row r="29" spans="1:5" ht="15.75" customHeight="1"/>
    <row r="30" spans="1:5" ht="26.25" customHeight="1"/>
    <row r="38" ht="12.75" customHeight="1"/>
    <row r="40" ht="15.75" customHeight="1"/>
    <row r="44" ht="39.75" customHeight="1"/>
    <row r="45" ht="12.75" customHeight="1"/>
    <row r="48" ht="18.75" customHeight="1"/>
    <row r="52" ht="12.75" customHeight="1"/>
    <row r="54" ht="24" customHeight="1"/>
    <row r="59" ht="13.5" customHeight="1"/>
    <row r="61" ht="33" customHeight="1"/>
    <row r="64" ht="56.25" customHeight="1"/>
  </sheetData>
  <mergeCells count="9">
    <mergeCell ref="A5:D5"/>
    <mergeCell ref="E5:H5"/>
    <mergeCell ref="A6:A11"/>
    <mergeCell ref="E6:E11"/>
    <mergeCell ref="A1:H2"/>
    <mergeCell ref="A3:D3"/>
    <mergeCell ref="E3:H3"/>
    <mergeCell ref="A4:D4"/>
    <mergeCell ref="E4:H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69CC-7DF0-45EA-A3B8-92297930D108}">
  <dimension ref="A1:R33"/>
  <sheetViews>
    <sheetView topLeftCell="A2" workbookViewId="0">
      <selection activeCell="C8" sqref="C8"/>
    </sheetView>
  </sheetViews>
  <sheetFormatPr defaultColWidth="9.140625" defaultRowHeight="16.5"/>
  <cols>
    <col min="1" max="1" width="6.42578125" style="143" customWidth="1"/>
    <col min="2" max="2" width="62.42578125" style="127" customWidth="1"/>
    <col min="3" max="3" width="26.85546875" style="127" bestFit="1" customWidth="1"/>
    <col min="4" max="4" width="9.140625" style="127"/>
    <col min="5" max="5" width="11.28515625" style="127" bestFit="1" customWidth="1"/>
    <col min="6" max="16384" width="9.140625" style="127"/>
  </cols>
  <sheetData>
    <row r="1" spans="1:18" s="121" customFormat="1">
      <c r="A1" s="119"/>
      <c r="B1" s="120"/>
    </row>
    <row r="2" spans="1:18" s="121" customFormat="1">
      <c r="A2" s="119"/>
      <c r="B2" s="120"/>
    </row>
    <row r="3" spans="1:18" s="121" customFormat="1">
      <c r="A3" s="119"/>
      <c r="B3" s="120"/>
    </row>
    <row r="4" spans="1:18" s="121" customFormat="1">
      <c r="A4" s="119"/>
      <c r="B4" s="120"/>
    </row>
    <row r="5" spans="1:18" s="121" customFormat="1">
      <c r="A5" s="119"/>
      <c r="B5" s="120"/>
      <c r="F5"/>
      <c r="G5"/>
      <c r="H5"/>
    </row>
    <row r="6" spans="1:18" s="121" customFormat="1">
      <c r="A6" s="832"/>
      <c r="B6" s="832"/>
      <c r="C6" s="833"/>
      <c r="F6"/>
      <c r="G6"/>
      <c r="H6"/>
    </row>
    <row r="7" spans="1:18" s="121" customFormat="1" ht="27" thickBot="1">
      <c r="A7" s="834" t="str">
        <f>'Area Calculations'!B4</f>
        <v>The Club at Ibis Conceptual Estimate</v>
      </c>
      <c r="B7" s="834"/>
      <c r="C7" s="835" t="str">
        <f>'Area Calculations'!B5</f>
        <v>West Palm Beach, FL</v>
      </c>
      <c r="D7" s="122"/>
      <c r="E7" s="123"/>
      <c r="F7"/>
      <c r="G7"/>
      <c r="H7"/>
    </row>
    <row r="8" spans="1:18" customFormat="1" ht="9" customHeight="1">
      <c r="C8" s="124"/>
      <c r="D8" s="40"/>
      <c r="E8" s="23"/>
      <c r="I8" s="23"/>
      <c r="J8" s="23"/>
      <c r="K8" s="23"/>
      <c r="L8" s="125"/>
      <c r="M8" s="40"/>
      <c r="N8" s="125"/>
      <c r="O8" s="40"/>
      <c r="P8" s="124"/>
      <c r="Q8" s="40"/>
      <c r="R8" s="124"/>
    </row>
    <row r="9" spans="1:18" customFormat="1" ht="15.75">
      <c r="A9" s="677" t="s">
        <v>7</v>
      </c>
      <c r="B9" s="677"/>
      <c r="C9" s="124"/>
      <c r="D9" s="40"/>
      <c r="E9" s="23"/>
      <c r="F9" s="23"/>
      <c r="G9" s="23"/>
      <c r="H9" s="23"/>
      <c r="I9" s="23"/>
      <c r="J9" s="23"/>
      <c r="K9" s="23"/>
      <c r="L9" s="125"/>
      <c r="M9" s="40"/>
      <c r="N9" s="125"/>
      <c r="O9" s="40"/>
      <c r="P9" s="124"/>
      <c r="Q9" s="40"/>
      <c r="R9" s="124"/>
    </row>
    <row r="10" spans="1:18" customFormat="1" ht="15.75">
      <c r="A10" s="678">
        <f ca="1">TODAY()</f>
        <v>46146</v>
      </c>
      <c r="B10" s="678"/>
      <c r="C10" s="126"/>
      <c r="D10" s="40"/>
      <c r="E10" s="23"/>
      <c r="F10" s="23"/>
      <c r="G10" s="23"/>
      <c r="H10" s="23"/>
      <c r="I10" s="23"/>
      <c r="J10" s="23"/>
      <c r="K10" s="23"/>
      <c r="L10" s="125"/>
      <c r="M10" s="40"/>
      <c r="N10" s="125"/>
      <c r="O10" s="40"/>
      <c r="P10" s="124"/>
      <c r="Q10" s="40"/>
      <c r="R10" s="124"/>
    </row>
    <row r="11" spans="1:18">
      <c r="A11" s="127"/>
    </row>
    <row r="12" spans="1:18">
      <c r="A12" s="836" t="s">
        <v>8</v>
      </c>
      <c r="B12" s="837" t="s">
        <v>9</v>
      </c>
      <c r="C12" s="838" t="s">
        <v>10</v>
      </c>
    </row>
    <row r="13" spans="1:18" s="130" customFormat="1" ht="14.25">
      <c r="A13" s="128">
        <v>1</v>
      </c>
      <c r="B13" s="132"/>
      <c r="C13" s="129">
        <v>0</v>
      </c>
    </row>
    <row r="14" spans="1:18" s="130" customFormat="1" ht="14.25">
      <c r="A14" s="131">
        <f>A13+1</f>
        <v>2</v>
      </c>
      <c r="B14" s="132"/>
      <c r="C14" s="133">
        <v>0</v>
      </c>
    </row>
    <row r="15" spans="1:18" s="130" customFormat="1" ht="14.25">
      <c r="A15" s="131">
        <f t="shared" ref="A15:A31" si="0">A14+1</f>
        <v>3</v>
      </c>
      <c r="B15" s="132"/>
      <c r="C15" s="133">
        <v>0</v>
      </c>
    </row>
    <row r="16" spans="1:18" s="130" customFormat="1" ht="14.25">
      <c r="A16" s="131">
        <f t="shared" si="0"/>
        <v>4</v>
      </c>
      <c r="B16" s="132"/>
      <c r="C16" s="133">
        <v>0</v>
      </c>
    </row>
    <row r="17" spans="1:3" s="130" customFormat="1" ht="14.25">
      <c r="A17" s="131">
        <f t="shared" si="0"/>
        <v>5</v>
      </c>
      <c r="B17" s="132"/>
      <c r="C17" s="133">
        <v>0</v>
      </c>
    </row>
    <row r="18" spans="1:3" s="130" customFormat="1" ht="14.25">
      <c r="A18" s="131">
        <f t="shared" si="0"/>
        <v>6</v>
      </c>
      <c r="B18" s="132"/>
      <c r="C18" s="133">
        <v>0</v>
      </c>
    </row>
    <row r="19" spans="1:3" s="130" customFormat="1" ht="14.25">
      <c r="A19" s="131">
        <f t="shared" si="0"/>
        <v>7</v>
      </c>
      <c r="B19" s="132"/>
      <c r="C19" s="133">
        <v>0</v>
      </c>
    </row>
    <row r="20" spans="1:3" s="130" customFormat="1" ht="14.25">
      <c r="A20" s="131">
        <f t="shared" si="0"/>
        <v>8</v>
      </c>
      <c r="B20" s="132"/>
      <c r="C20" s="133">
        <v>0</v>
      </c>
    </row>
    <row r="21" spans="1:3" s="130" customFormat="1" ht="14.25">
      <c r="A21" s="131">
        <f t="shared" si="0"/>
        <v>9</v>
      </c>
      <c r="B21" s="132"/>
      <c r="C21" s="133">
        <v>0</v>
      </c>
    </row>
    <row r="22" spans="1:3" s="130" customFormat="1" ht="14.25">
      <c r="A22" s="131">
        <f t="shared" si="0"/>
        <v>10</v>
      </c>
      <c r="B22" s="132"/>
      <c r="C22" s="133">
        <v>0</v>
      </c>
    </row>
    <row r="23" spans="1:3" s="130" customFormat="1" ht="14.25">
      <c r="A23" s="131">
        <f t="shared" si="0"/>
        <v>11</v>
      </c>
      <c r="B23" s="132"/>
      <c r="C23" s="133">
        <v>0</v>
      </c>
    </row>
    <row r="24" spans="1:3" s="130" customFormat="1" ht="14.25">
      <c r="A24" s="131">
        <f t="shared" si="0"/>
        <v>12</v>
      </c>
      <c r="B24" s="132"/>
      <c r="C24" s="133">
        <v>0</v>
      </c>
    </row>
    <row r="25" spans="1:3" s="130" customFormat="1" ht="14.25">
      <c r="A25" s="131">
        <f t="shared" si="0"/>
        <v>13</v>
      </c>
      <c r="B25" s="132"/>
      <c r="C25" s="133">
        <v>0</v>
      </c>
    </row>
    <row r="26" spans="1:3" s="130" customFormat="1" ht="14.25">
      <c r="A26" s="131">
        <f t="shared" si="0"/>
        <v>14</v>
      </c>
      <c r="B26" s="132"/>
      <c r="C26" s="133">
        <v>0</v>
      </c>
    </row>
    <row r="27" spans="1:3" s="130" customFormat="1" ht="14.25">
      <c r="A27" s="131">
        <f t="shared" si="0"/>
        <v>15</v>
      </c>
      <c r="B27" s="132"/>
      <c r="C27" s="133">
        <v>0</v>
      </c>
    </row>
    <row r="28" spans="1:3" s="130" customFormat="1" ht="14.25">
      <c r="A28" s="131">
        <f t="shared" si="0"/>
        <v>16</v>
      </c>
      <c r="B28" s="135"/>
      <c r="C28" s="133">
        <v>0</v>
      </c>
    </row>
    <row r="29" spans="1:3" s="130" customFormat="1" ht="14.25">
      <c r="A29" s="131">
        <f t="shared" si="0"/>
        <v>17</v>
      </c>
      <c r="B29" s="135"/>
      <c r="C29" s="136"/>
    </row>
    <row r="30" spans="1:3" s="130" customFormat="1" ht="14.25">
      <c r="A30" s="131">
        <f t="shared" si="0"/>
        <v>18</v>
      </c>
      <c r="B30" s="135"/>
      <c r="C30" s="136"/>
    </row>
    <row r="31" spans="1:3" s="130" customFormat="1" ht="14.25">
      <c r="A31" s="131">
        <f t="shared" si="0"/>
        <v>19</v>
      </c>
      <c r="B31" s="138" t="s">
        <v>11</v>
      </c>
      <c r="C31" s="139">
        <f>SUM(C13:C30)</f>
        <v>0</v>
      </c>
    </row>
    <row r="32" spans="1:3" s="130" customFormat="1" ht="14.25">
      <c r="A32" s="236"/>
      <c r="B32" s="237"/>
      <c r="C32" s="238"/>
    </row>
    <row r="33" spans="1:3">
      <c r="A33" s="140"/>
      <c r="B33" s="144" t="s">
        <v>12</v>
      </c>
      <c r="C33" s="142"/>
    </row>
  </sheetData>
  <mergeCells count="3">
    <mergeCell ref="A7:B7"/>
    <mergeCell ref="A9:B9"/>
    <mergeCell ref="A10:B10"/>
  </mergeCells>
  <pageMargins left="0.7" right="0.7" top="0.75" bottom="0.75" header="0.3" footer="0.3"/>
  <pageSetup scale="9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F51A-81D5-45A8-B398-3F7342B272FC}">
  <dimension ref="A1:R29"/>
  <sheetViews>
    <sheetView topLeftCell="A3" workbookViewId="0">
      <selection activeCell="E23" sqref="E23"/>
    </sheetView>
  </sheetViews>
  <sheetFormatPr defaultColWidth="9.140625" defaultRowHeight="16.5"/>
  <cols>
    <col min="1" max="1" width="12.28515625" style="143" customWidth="1"/>
    <col min="2" max="2" width="75.7109375" style="127" customWidth="1"/>
    <col min="3" max="3" width="26.85546875" style="127" bestFit="1" customWidth="1"/>
    <col min="4" max="4" width="14.7109375" style="127" bestFit="1" customWidth="1"/>
    <col min="5" max="5" width="11.28515625" style="127" bestFit="1" customWidth="1"/>
    <col min="6" max="16384" width="9.140625" style="127"/>
  </cols>
  <sheetData>
    <row r="1" spans="1:18" s="121" customFormat="1">
      <c r="A1" s="119"/>
      <c r="B1" s="120"/>
    </row>
    <row r="2" spans="1:18" s="121" customFormat="1">
      <c r="A2" s="119"/>
      <c r="B2" s="120"/>
    </row>
    <row r="3" spans="1:18" s="121" customFormat="1">
      <c r="A3" s="119"/>
      <c r="B3" s="120"/>
    </row>
    <row r="4" spans="1:18" s="121" customFormat="1">
      <c r="A4" s="119"/>
      <c r="B4" s="120"/>
    </row>
    <row r="5" spans="1:18" s="121" customFormat="1">
      <c r="A5" s="119"/>
      <c r="B5" s="120"/>
      <c r="F5"/>
      <c r="G5"/>
      <c r="H5"/>
    </row>
    <row r="6" spans="1:18" s="121" customFormat="1">
      <c r="A6" s="832"/>
      <c r="B6" s="832"/>
      <c r="C6" s="833"/>
      <c r="F6"/>
      <c r="G6"/>
      <c r="H6"/>
    </row>
    <row r="7" spans="1:18" s="121" customFormat="1" ht="27" thickBot="1">
      <c r="A7" s="834" t="str">
        <f>'Area Calculations'!B4</f>
        <v>The Club at Ibis Conceptual Estimate</v>
      </c>
      <c r="B7" s="834"/>
      <c r="C7" s="835" t="str">
        <f>'Area Calculations'!B5</f>
        <v>West Palm Beach, FL</v>
      </c>
      <c r="D7" s="122"/>
      <c r="E7" s="123"/>
      <c r="F7"/>
      <c r="G7"/>
      <c r="H7"/>
    </row>
    <row r="8" spans="1:18" customFormat="1" ht="9" customHeight="1">
      <c r="C8" s="124"/>
      <c r="D8" s="40"/>
      <c r="E8" s="23"/>
      <c r="I8" s="23"/>
      <c r="J8" s="23"/>
      <c r="K8" s="23"/>
      <c r="L8" s="125"/>
      <c r="M8" s="40"/>
      <c r="N8" s="125"/>
      <c r="O8" s="40"/>
      <c r="P8" s="124"/>
      <c r="Q8" s="40"/>
      <c r="R8" s="124"/>
    </row>
    <row r="9" spans="1:18" customFormat="1" ht="15.75">
      <c r="A9" s="677" t="s">
        <v>13</v>
      </c>
      <c r="B9" s="677"/>
      <c r="C9" s="124"/>
      <c r="D9" s="40"/>
      <c r="E9" s="23"/>
      <c r="F9" s="23"/>
      <c r="G9" s="23"/>
      <c r="H9" s="23"/>
      <c r="I9" s="23"/>
      <c r="J9" s="23"/>
      <c r="K9" s="23"/>
      <c r="L9" s="125"/>
      <c r="M9" s="40"/>
      <c r="N9" s="125"/>
      <c r="O9" s="40"/>
      <c r="P9" s="124"/>
      <c r="Q9" s="40"/>
      <c r="R9" s="124"/>
    </row>
    <row r="10" spans="1:18" customFormat="1" ht="15.75">
      <c r="A10" s="678">
        <f ca="1">TODAY()</f>
        <v>46146</v>
      </c>
      <c r="B10" s="678"/>
      <c r="C10" s="126"/>
      <c r="D10" s="40"/>
      <c r="E10" s="23"/>
      <c r="F10" s="23"/>
      <c r="G10" s="23"/>
      <c r="H10" s="23"/>
      <c r="I10" s="23"/>
      <c r="J10" s="23"/>
      <c r="K10" s="23"/>
      <c r="L10" s="125"/>
      <c r="M10" s="40"/>
      <c r="N10" s="125"/>
      <c r="O10" s="40"/>
      <c r="P10" s="124"/>
      <c r="Q10" s="40"/>
      <c r="R10" s="124"/>
    </row>
    <row r="11" spans="1:18">
      <c r="A11" s="127"/>
    </row>
    <row r="12" spans="1:18">
      <c r="A12" s="836" t="s">
        <v>8</v>
      </c>
      <c r="B12" s="837" t="s">
        <v>9</v>
      </c>
      <c r="C12" s="838" t="s">
        <v>10</v>
      </c>
      <c r="D12" s="130"/>
    </row>
    <row r="13" spans="1:18" s="130" customFormat="1" ht="14.25">
      <c r="A13" s="128" t="s">
        <v>14</v>
      </c>
      <c r="B13" s="132" t="s">
        <v>15</v>
      </c>
      <c r="C13" s="129">
        <v>0</v>
      </c>
    </row>
    <row r="14" spans="1:18" s="130" customFormat="1" ht="14.25">
      <c r="A14" s="131" t="s">
        <v>16</v>
      </c>
      <c r="B14" s="132" t="s">
        <v>15</v>
      </c>
      <c r="C14" s="239">
        <v>0</v>
      </c>
    </row>
    <row r="15" spans="1:18" s="130" customFormat="1" ht="14.25">
      <c r="A15" s="131" t="s">
        <v>17</v>
      </c>
      <c r="B15" s="132" t="s">
        <v>15</v>
      </c>
      <c r="C15" s="239">
        <v>0</v>
      </c>
    </row>
    <row r="16" spans="1:18" s="130" customFormat="1" ht="14.25">
      <c r="A16" s="131" t="s">
        <v>18</v>
      </c>
      <c r="B16" s="132" t="s">
        <v>15</v>
      </c>
      <c r="C16" s="239">
        <v>0</v>
      </c>
    </row>
    <row r="17" spans="1:3" s="130" customFormat="1" ht="14.25">
      <c r="A17" s="131" t="s">
        <v>19</v>
      </c>
      <c r="B17" s="132" t="s">
        <v>15</v>
      </c>
      <c r="C17" s="239">
        <v>0</v>
      </c>
    </row>
    <row r="18" spans="1:3" s="130" customFormat="1" ht="14.25">
      <c r="A18" s="131" t="s">
        <v>20</v>
      </c>
      <c r="B18" s="132" t="s">
        <v>15</v>
      </c>
      <c r="C18" s="239">
        <v>0</v>
      </c>
    </row>
    <row r="19" spans="1:3" s="130" customFormat="1" ht="14.25">
      <c r="A19" s="131" t="s">
        <v>21</v>
      </c>
      <c r="B19" s="132" t="s">
        <v>15</v>
      </c>
      <c r="C19" s="239">
        <v>0</v>
      </c>
    </row>
    <row r="20" spans="1:3" s="130" customFormat="1" ht="14.25">
      <c r="A20" s="131" t="s">
        <v>22</v>
      </c>
      <c r="B20" s="132" t="s">
        <v>15</v>
      </c>
      <c r="C20" s="239">
        <v>0</v>
      </c>
    </row>
    <row r="21" spans="1:3" s="130" customFormat="1" ht="14.25">
      <c r="A21" s="131" t="s">
        <v>23</v>
      </c>
      <c r="B21" s="132" t="s">
        <v>15</v>
      </c>
      <c r="C21" s="239">
        <v>0</v>
      </c>
    </row>
    <row r="22" spans="1:3" s="130" customFormat="1" ht="14.25">
      <c r="A22" s="131" t="s">
        <v>24</v>
      </c>
      <c r="B22" s="132" t="s">
        <v>15</v>
      </c>
      <c r="C22" s="239">
        <v>0</v>
      </c>
    </row>
    <row r="23" spans="1:3" s="130" customFormat="1" ht="14.25">
      <c r="A23" s="131" t="s">
        <v>25</v>
      </c>
      <c r="B23" s="132" t="s">
        <v>15</v>
      </c>
      <c r="C23" s="239">
        <v>0</v>
      </c>
    </row>
    <row r="24" spans="1:3" s="130" customFormat="1" ht="14.25">
      <c r="A24" s="131" t="s">
        <v>26</v>
      </c>
      <c r="B24" s="132" t="s">
        <v>15</v>
      </c>
      <c r="C24" s="239">
        <v>0</v>
      </c>
    </row>
    <row r="25" spans="1:3" s="130" customFormat="1" ht="14.25">
      <c r="A25" s="134" t="s">
        <v>27</v>
      </c>
      <c r="B25" s="135" t="s">
        <v>15</v>
      </c>
      <c r="C25" s="240">
        <v>0</v>
      </c>
    </row>
    <row r="26" spans="1:3" s="130" customFormat="1" ht="14.25">
      <c r="A26" s="134" t="s">
        <v>28</v>
      </c>
      <c r="B26" s="135" t="s">
        <v>15</v>
      </c>
      <c r="C26" s="240">
        <v>0</v>
      </c>
    </row>
    <row r="27" spans="1:3" s="130" customFormat="1" ht="14.25">
      <c r="A27" s="134" t="s">
        <v>29</v>
      </c>
      <c r="B27" s="135" t="s">
        <v>15</v>
      </c>
      <c r="C27" s="240">
        <v>0</v>
      </c>
    </row>
    <row r="28" spans="1:3" s="130" customFormat="1" ht="14.25">
      <c r="A28" s="137"/>
      <c r="B28" s="138" t="s">
        <v>11</v>
      </c>
      <c r="C28" s="241">
        <f>SUM(C13:C27)</f>
        <v>0</v>
      </c>
    </row>
    <row r="29" spans="1:3">
      <c r="A29" s="140"/>
      <c r="B29" s="141"/>
      <c r="C29" s="142"/>
    </row>
  </sheetData>
  <mergeCells count="3">
    <mergeCell ref="A7:B7"/>
    <mergeCell ref="A9:B9"/>
    <mergeCell ref="A10:B10"/>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055B-E163-4D1E-9836-BDB70D5FEFE0}">
  <dimension ref="A1:J42"/>
  <sheetViews>
    <sheetView topLeftCell="B1" workbookViewId="0">
      <selection activeCell="F9" sqref="F9"/>
    </sheetView>
  </sheetViews>
  <sheetFormatPr defaultRowHeight="15"/>
  <cols>
    <col min="3" max="3" width="13.85546875" customWidth="1"/>
    <col min="5" max="5" width="14" customWidth="1"/>
    <col min="7" max="7" width="10.5703125" bestFit="1" customWidth="1"/>
    <col min="9" max="9" width="20.7109375" customWidth="1"/>
    <col min="10" max="10" width="21.42578125" customWidth="1"/>
  </cols>
  <sheetData>
    <row r="1" spans="1:10">
      <c r="E1" s="91"/>
    </row>
    <row r="2" spans="1:10">
      <c r="E2" s="91"/>
    </row>
    <row r="3" spans="1:10">
      <c r="E3" s="91"/>
    </row>
    <row r="4" spans="1:10">
      <c r="E4" s="91"/>
    </row>
    <row r="5" spans="1:10">
      <c r="A5" s="261" t="s">
        <v>30</v>
      </c>
      <c r="E5" s="91"/>
    </row>
    <row r="6" spans="1:10">
      <c r="A6" t="s">
        <v>31</v>
      </c>
      <c r="B6" s="312"/>
      <c r="C6" s="312"/>
      <c r="D6" s="312"/>
      <c r="E6" s="313"/>
      <c r="F6" s="312"/>
      <c r="G6" s="312"/>
      <c r="H6" s="312"/>
    </row>
    <row r="7" spans="1:10">
      <c r="A7" s="312" t="s">
        <v>32</v>
      </c>
      <c r="E7" s="91"/>
    </row>
    <row r="8" spans="1:10">
      <c r="C8" s="679" t="s">
        <v>33</v>
      </c>
      <c r="D8" s="679"/>
      <c r="E8" s="679"/>
      <c r="F8" s="578">
        <v>0.18</v>
      </c>
    </row>
    <row r="9" spans="1:10" ht="36.75" customHeight="1">
      <c r="A9" s="229"/>
      <c r="B9" s="229"/>
      <c r="C9" s="229"/>
      <c r="D9" s="229"/>
      <c r="E9" s="839" t="s">
        <v>34</v>
      </c>
      <c r="F9" s="840" t="s">
        <v>35</v>
      </c>
      <c r="G9" s="839" t="s">
        <v>5</v>
      </c>
      <c r="H9" s="229"/>
      <c r="I9" s="329" t="s">
        <v>36</v>
      </c>
      <c r="J9" s="329" t="s">
        <v>37</v>
      </c>
    </row>
    <row r="10" spans="1:10">
      <c r="B10">
        <v>1</v>
      </c>
      <c r="C10" t="s">
        <v>38</v>
      </c>
      <c r="E10" s="91">
        <v>157.66656272329965</v>
      </c>
      <c r="F10" s="314">
        <f t="shared" ref="F10:F40" si="0">E10*$F$8</f>
        <v>28.379981290193935</v>
      </c>
      <c r="G10" s="314">
        <f t="shared" ref="G10:G40" si="1">SUM(E10:F10)</f>
        <v>186.04654401349359</v>
      </c>
      <c r="I10" s="314">
        <f>E10*2080</f>
        <v>327946.45046446327</v>
      </c>
      <c r="J10" s="314">
        <f>G10*2080</f>
        <v>386976.81154806667</v>
      </c>
    </row>
    <row r="11" spans="1:10">
      <c r="B11">
        <v>2</v>
      </c>
      <c r="C11" t="s">
        <v>39</v>
      </c>
      <c r="E11" s="91">
        <v>130.67474961637163</v>
      </c>
      <c r="F11" s="314">
        <f t="shared" si="0"/>
        <v>23.521454930946891</v>
      </c>
      <c r="G11" s="314">
        <f t="shared" si="1"/>
        <v>154.19620454731853</v>
      </c>
      <c r="I11" s="314">
        <f t="shared" ref="I11:I40" si="2">E11*2080</f>
        <v>271803.47920205299</v>
      </c>
      <c r="J11" s="314">
        <f t="shared" ref="J11:J40" si="3">G11*2080</f>
        <v>320728.10545842256</v>
      </c>
    </row>
    <row r="12" spans="1:10">
      <c r="B12">
        <v>3</v>
      </c>
      <c r="C12" t="s">
        <v>40</v>
      </c>
      <c r="E12" s="91">
        <v>120.3413239935074</v>
      </c>
      <c r="F12" s="314">
        <f t="shared" si="0"/>
        <v>21.66143831883133</v>
      </c>
      <c r="G12" s="314">
        <f t="shared" si="1"/>
        <v>142.00276231233875</v>
      </c>
      <c r="I12" s="314">
        <f t="shared" si="2"/>
        <v>250309.95390649539</v>
      </c>
      <c r="J12" s="314">
        <f t="shared" si="3"/>
        <v>295365.74560966459</v>
      </c>
    </row>
    <row r="13" spans="1:10">
      <c r="B13">
        <v>4</v>
      </c>
      <c r="C13" t="s">
        <v>41</v>
      </c>
      <c r="E13" s="91">
        <v>110.14475923076922</v>
      </c>
      <c r="F13" s="314">
        <f t="shared" si="0"/>
        <v>19.826056661538459</v>
      </c>
      <c r="G13" s="314">
        <f t="shared" si="1"/>
        <v>129.97081589230768</v>
      </c>
      <c r="I13" s="314">
        <f t="shared" si="2"/>
        <v>229101.0992</v>
      </c>
      <c r="J13" s="314">
        <f t="shared" si="3"/>
        <v>270339.29705599998</v>
      </c>
    </row>
    <row r="14" spans="1:10">
      <c r="B14">
        <v>5</v>
      </c>
      <c r="C14" t="s">
        <v>42</v>
      </c>
      <c r="E14" s="91">
        <v>94.265604056207636</v>
      </c>
      <c r="F14" s="314">
        <f t="shared" si="0"/>
        <v>16.967808730117373</v>
      </c>
      <c r="G14" s="314">
        <f t="shared" si="1"/>
        <v>111.233412786325</v>
      </c>
      <c r="I14" s="314">
        <f t="shared" si="2"/>
        <v>196072.45643691189</v>
      </c>
      <c r="J14" s="314">
        <f t="shared" si="3"/>
        <v>231365.49859555601</v>
      </c>
    </row>
    <row r="15" spans="1:10">
      <c r="B15">
        <v>6</v>
      </c>
      <c r="C15" t="s">
        <v>43</v>
      </c>
      <c r="E15" s="91">
        <v>66.505247044441447</v>
      </c>
      <c r="F15" s="314">
        <f t="shared" si="0"/>
        <v>11.970944467999461</v>
      </c>
      <c r="G15" s="314">
        <f t="shared" si="1"/>
        <v>78.476191512440906</v>
      </c>
      <c r="I15" s="314">
        <f t="shared" si="2"/>
        <v>138330.91385243821</v>
      </c>
      <c r="J15" s="314">
        <f t="shared" si="3"/>
        <v>163230.47834587708</v>
      </c>
    </row>
    <row r="16" spans="1:10">
      <c r="B16">
        <v>7</v>
      </c>
      <c r="C16" t="s">
        <v>44</v>
      </c>
      <c r="E16" s="91">
        <v>85.810040186656153</v>
      </c>
      <c r="F16" s="314">
        <f t="shared" si="0"/>
        <v>15.445807233598106</v>
      </c>
      <c r="G16" s="314">
        <f t="shared" si="1"/>
        <v>101.25584742025426</v>
      </c>
      <c r="I16" s="314">
        <f t="shared" si="2"/>
        <v>178484.88358824479</v>
      </c>
      <c r="J16" s="314">
        <f t="shared" si="3"/>
        <v>210612.16263412885</v>
      </c>
    </row>
    <row r="17" spans="2:10">
      <c r="B17">
        <v>8</v>
      </c>
      <c r="C17" t="s">
        <v>45</v>
      </c>
      <c r="E17" s="91">
        <v>82.733563522458013</v>
      </c>
      <c r="F17" s="314">
        <f t="shared" si="0"/>
        <v>14.892041434042442</v>
      </c>
      <c r="G17" s="314">
        <f t="shared" si="1"/>
        <v>97.625604956500453</v>
      </c>
      <c r="I17" s="314">
        <f t="shared" si="2"/>
        <v>172085.81212671267</v>
      </c>
      <c r="J17" s="314">
        <f t="shared" si="3"/>
        <v>203061.25830952096</v>
      </c>
    </row>
    <row r="18" spans="2:10">
      <c r="B18">
        <v>9</v>
      </c>
      <c r="C18" t="s">
        <v>46</v>
      </c>
      <c r="E18" s="91">
        <v>131.75198835114654</v>
      </c>
      <c r="F18" s="314">
        <f t="shared" si="0"/>
        <v>23.715357903206375</v>
      </c>
      <c r="G18" s="314">
        <f t="shared" si="1"/>
        <v>155.46734625435292</v>
      </c>
      <c r="I18" s="314">
        <f t="shared" si="2"/>
        <v>274044.1357703848</v>
      </c>
      <c r="J18" s="314">
        <f t="shared" si="3"/>
        <v>323372.08020905405</v>
      </c>
    </row>
    <row r="19" spans="2:10">
      <c r="B19">
        <v>10</v>
      </c>
      <c r="C19" t="s">
        <v>47</v>
      </c>
      <c r="E19" s="91">
        <v>110.59222737485382</v>
      </c>
      <c r="F19" s="314">
        <f t="shared" si="0"/>
        <v>19.906600927473686</v>
      </c>
      <c r="G19" s="314">
        <f t="shared" si="1"/>
        <v>130.4988283023275</v>
      </c>
      <c r="I19" s="314">
        <f t="shared" si="2"/>
        <v>230031.83293969595</v>
      </c>
      <c r="J19" s="314">
        <f t="shared" si="3"/>
        <v>271437.56286884117</v>
      </c>
    </row>
    <row r="20" spans="2:10">
      <c r="B20">
        <v>11</v>
      </c>
      <c r="C20" t="s">
        <v>48</v>
      </c>
      <c r="E20" s="91">
        <v>90.514804365319037</v>
      </c>
      <c r="F20" s="314">
        <f t="shared" si="0"/>
        <v>16.292664785757427</v>
      </c>
      <c r="G20" s="314">
        <f t="shared" si="1"/>
        <v>106.80746915107646</v>
      </c>
      <c r="I20" s="314">
        <f t="shared" si="2"/>
        <v>188270.79307986359</v>
      </c>
      <c r="J20" s="314">
        <f t="shared" si="3"/>
        <v>222159.53583423904</v>
      </c>
    </row>
    <row r="21" spans="2:10">
      <c r="B21">
        <v>12</v>
      </c>
      <c r="C21" t="s">
        <v>49</v>
      </c>
      <c r="E21" s="91">
        <v>59.915465950140074</v>
      </c>
      <c r="F21" s="314">
        <f t="shared" si="0"/>
        <v>10.784783871025214</v>
      </c>
      <c r="G21" s="314">
        <f t="shared" si="1"/>
        <v>70.700249821165286</v>
      </c>
      <c r="I21" s="314">
        <f t="shared" si="2"/>
        <v>124624.16917629135</v>
      </c>
      <c r="J21" s="314">
        <f t="shared" si="3"/>
        <v>147056.51962802379</v>
      </c>
    </row>
    <row r="22" spans="2:10">
      <c r="B22">
        <v>13</v>
      </c>
      <c r="C22" t="s">
        <v>50</v>
      </c>
      <c r="E22" s="91">
        <v>102.93238753698225</v>
      </c>
      <c r="F22" s="314">
        <f t="shared" si="0"/>
        <v>18.527829756656804</v>
      </c>
      <c r="G22" s="314">
        <f t="shared" si="1"/>
        <v>121.46021729363905</v>
      </c>
      <c r="I22" s="314">
        <f t="shared" si="2"/>
        <v>214099.36607692306</v>
      </c>
      <c r="J22" s="314">
        <f t="shared" si="3"/>
        <v>252637.25197076923</v>
      </c>
    </row>
    <row r="23" spans="2:10">
      <c r="B23">
        <v>14</v>
      </c>
      <c r="C23" t="s">
        <v>51</v>
      </c>
      <c r="E23" s="91">
        <v>41.528452124415374</v>
      </c>
      <c r="F23" s="314">
        <f t="shared" si="0"/>
        <v>7.4751213823947671</v>
      </c>
      <c r="G23" s="314">
        <f t="shared" si="1"/>
        <v>49.003573506810142</v>
      </c>
      <c r="I23" s="314">
        <f t="shared" si="2"/>
        <v>86379.180418783973</v>
      </c>
      <c r="J23" s="314">
        <f t="shared" si="3"/>
        <v>101927.43289416509</v>
      </c>
    </row>
    <row r="24" spans="2:10">
      <c r="B24">
        <v>15</v>
      </c>
      <c r="C24" t="s">
        <v>52</v>
      </c>
      <c r="E24" s="91">
        <v>115.93784347759767</v>
      </c>
      <c r="F24" s="314">
        <f t="shared" si="0"/>
        <v>20.86881182596758</v>
      </c>
      <c r="G24" s="314">
        <f t="shared" si="1"/>
        <v>136.80665530356524</v>
      </c>
      <c r="I24" s="314">
        <f t="shared" si="2"/>
        <v>241150.71443340316</v>
      </c>
      <c r="J24" s="314">
        <f t="shared" si="3"/>
        <v>284557.84303141572</v>
      </c>
    </row>
    <row r="25" spans="2:10">
      <c r="B25">
        <v>16</v>
      </c>
      <c r="C25" t="s">
        <v>53</v>
      </c>
      <c r="E25" s="91">
        <v>102.72671377106045</v>
      </c>
      <c r="F25" s="314">
        <f t="shared" si="0"/>
        <v>18.490808478790878</v>
      </c>
      <c r="G25" s="314">
        <f t="shared" si="1"/>
        <v>121.21752224985133</v>
      </c>
      <c r="I25" s="314">
        <f t="shared" si="2"/>
        <v>213671.56464380573</v>
      </c>
      <c r="J25" s="314">
        <f t="shared" si="3"/>
        <v>252132.44627969078</v>
      </c>
    </row>
    <row r="26" spans="2:10">
      <c r="B26">
        <v>17</v>
      </c>
      <c r="C26" t="s">
        <v>54</v>
      </c>
      <c r="E26" s="91">
        <v>79.733968117713033</v>
      </c>
      <c r="F26" s="314">
        <f t="shared" si="0"/>
        <v>14.352114261188346</v>
      </c>
      <c r="G26" s="314">
        <f t="shared" si="1"/>
        <v>94.086082378901381</v>
      </c>
      <c r="I26" s="314">
        <f t="shared" si="2"/>
        <v>165846.6536848431</v>
      </c>
      <c r="J26" s="314">
        <f t="shared" si="3"/>
        <v>195699.05134811488</v>
      </c>
    </row>
    <row r="27" spans="2:10">
      <c r="C27" t="s">
        <v>55</v>
      </c>
      <c r="E27" s="91">
        <v>32.408055728281447</v>
      </c>
      <c r="F27" s="314">
        <f t="shared" si="0"/>
        <v>5.8334500310906598</v>
      </c>
      <c r="G27" s="314">
        <f t="shared" si="1"/>
        <v>38.241505759372103</v>
      </c>
      <c r="I27" s="314">
        <f t="shared" si="2"/>
        <v>67408.755914825408</v>
      </c>
      <c r="J27" s="314">
        <f t="shared" si="3"/>
        <v>79542.331979493974</v>
      </c>
    </row>
    <row r="28" spans="2:10">
      <c r="C28" t="s">
        <v>56</v>
      </c>
      <c r="E28" s="91">
        <v>32.97821066136202</v>
      </c>
      <c r="F28" s="314">
        <f t="shared" si="0"/>
        <v>5.9360779190451636</v>
      </c>
      <c r="G28" s="314">
        <f t="shared" si="1"/>
        <v>38.914288580407181</v>
      </c>
      <c r="I28" s="314">
        <f t="shared" si="2"/>
        <v>68594.678175633002</v>
      </c>
      <c r="J28" s="314">
        <f t="shared" si="3"/>
        <v>80941.720247246936</v>
      </c>
    </row>
    <row r="29" spans="2:10">
      <c r="C29" t="s">
        <v>57</v>
      </c>
      <c r="E29" s="91">
        <v>45.013251208111193</v>
      </c>
      <c r="F29" s="314">
        <f t="shared" si="0"/>
        <v>8.1023852174600144</v>
      </c>
      <c r="G29" s="314">
        <f t="shared" si="1"/>
        <v>53.115636425571211</v>
      </c>
      <c r="I29" s="314">
        <f t="shared" si="2"/>
        <v>93627.562512871285</v>
      </c>
      <c r="J29" s="314">
        <f t="shared" si="3"/>
        <v>110480.52376518812</v>
      </c>
    </row>
    <row r="30" spans="2:10">
      <c r="C30" t="s">
        <v>58</v>
      </c>
      <c r="E30" s="91">
        <v>35.486876153846154</v>
      </c>
      <c r="F30" s="314">
        <f t="shared" si="0"/>
        <v>6.3876377076923072</v>
      </c>
      <c r="G30" s="314">
        <f t="shared" si="1"/>
        <v>41.87451386153846</v>
      </c>
      <c r="I30" s="314">
        <f t="shared" si="2"/>
        <v>73812.702399999995</v>
      </c>
      <c r="J30" s="314">
        <f t="shared" si="3"/>
        <v>87098.988832000003</v>
      </c>
    </row>
    <row r="31" spans="2:10">
      <c r="C31" t="s">
        <v>59</v>
      </c>
      <c r="E31" s="91">
        <v>46.605242298570992</v>
      </c>
      <c r="F31" s="314">
        <f t="shared" si="0"/>
        <v>8.3889436137427786</v>
      </c>
      <c r="G31" s="314">
        <f t="shared" si="1"/>
        <v>54.994185912313768</v>
      </c>
      <c r="I31" s="314">
        <f t="shared" si="2"/>
        <v>96938.903981027659</v>
      </c>
      <c r="J31" s="314">
        <f t="shared" si="3"/>
        <v>114387.90669761263</v>
      </c>
    </row>
    <row r="32" spans="2:10">
      <c r="C32" t="s">
        <v>60</v>
      </c>
      <c r="E32" s="91">
        <v>0</v>
      </c>
      <c r="F32" s="314">
        <f t="shared" si="0"/>
        <v>0</v>
      </c>
      <c r="G32" s="314">
        <f t="shared" si="1"/>
        <v>0</v>
      </c>
      <c r="I32" s="314">
        <f t="shared" si="2"/>
        <v>0</v>
      </c>
      <c r="J32" s="314">
        <f t="shared" si="3"/>
        <v>0</v>
      </c>
    </row>
    <row r="33" spans="3:10">
      <c r="C33" t="s">
        <v>61</v>
      </c>
      <c r="E33" s="91">
        <v>130.41080393860946</v>
      </c>
      <c r="F33" s="314">
        <f t="shared" si="0"/>
        <v>23.473944708949702</v>
      </c>
      <c r="G33" s="314">
        <f t="shared" si="1"/>
        <v>153.88474864755915</v>
      </c>
      <c r="I33" s="314">
        <f t="shared" si="2"/>
        <v>271254.4721923077</v>
      </c>
      <c r="J33" s="314">
        <f t="shared" si="3"/>
        <v>320080.27718692302</v>
      </c>
    </row>
    <row r="34" spans="3:10">
      <c r="C34" t="s">
        <v>62</v>
      </c>
      <c r="E34" s="91">
        <v>135.45803657819172</v>
      </c>
      <c r="F34" s="314">
        <f t="shared" si="0"/>
        <v>24.382446584074508</v>
      </c>
      <c r="G34" s="314">
        <f t="shared" si="1"/>
        <v>159.84048316226622</v>
      </c>
      <c r="I34" s="314">
        <f t="shared" si="2"/>
        <v>281752.71608263877</v>
      </c>
      <c r="J34" s="314">
        <f t="shared" si="3"/>
        <v>332468.20497751376</v>
      </c>
    </row>
    <row r="35" spans="3:10">
      <c r="C35" t="s">
        <v>63</v>
      </c>
      <c r="E35" s="91">
        <v>0</v>
      </c>
      <c r="F35" s="314">
        <f t="shared" si="0"/>
        <v>0</v>
      </c>
      <c r="G35" s="314">
        <f t="shared" si="1"/>
        <v>0</v>
      </c>
      <c r="I35" s="314">
        <f t="shared" si="2"/>
        <v>0</v>
      </c>
      <c r="J35" s="314">
        <f t="shared" si="3"/>
        <v>0</v>
      </c>
    </row>
    <row r="36" spans="3:10">
      <c r="C36" t="s">
        <v>64</v>
      </c>
      <c r="E36" s="91">
        <v>85.413090209579266</v>
      </c>
      <c r="F36" s="314">
        <f t="shared" si="0"/>
        <v>15.374356237724268</v>
      </c>
      <c r="G36" s="314">
        <f t="shared" si="1"/>
        <v>100.78744644730354</v>
      </c>
      <c r="I36" s="314">
        <f t="shared" si="2"/>
        <v>177659.22763592488</v>
      </c>
      <c r="J36" s="314">
        <f t="shared" si="3"/>
        <v>209637.88861039135</v>
      </c>
    </row>
    <row r="37" spans="3:10">
      <c r="C37" t="s">
        <v>65</v>
      </c>
      <c r="E37" s="91">
        <v>121.55328932355434</v>
      </c>
      <c r="F37" s="314">
        <f t="shared" si="0"/>
        <v>21.879592078239781</v>
      </c>
      <c r="G37" s="314">
        <f t="shared" si="1"/>
        <v>143.43288140179413</v>
      </c>
      <c r="I37" s="314">
        <f t="shared" si="2"/>
        <v>252830.84179299301</v>
      </c>
      <c r="J37" s="314">
        <f t="shared" si="3"/>
        <v>298340.39331573178</v>
      </c>
    </row>
    <row r="38" spans="3:10">
      <c r="C38" t="s">
        <v>66</v>
      </c>
      <c r="E38" s="91">
        <v>140.91980313910551</v>
      </c>
      <c r="F38" s="314">
        <f t="shared" si="0"/>
        <v>25.365564565038991</v>
      </c>
      <c r="G38" s="314">
        <f t="shared" si="1"/>
        <v>166.28536770414451</v>
      </c>
      <c r="I38" s="314">
        <f t="shared" si="2"/>
        <v>293113.19052933948</v>
      </c>
      <c r="J38" s="314">
        <f t="shared" si="3"/>
        <v>345873.56482462055</v>
      </c>
    </row>
    <row r="39" spans="3:10">
      <c r="C39" t="s">
        <v>67</v>
      </c>
      <c r="E39" s="91">
        <v>52.717120320380801</v>
      </c>
      <c r="F39" s="314">
        <f t="shared" si="0"/>
        <v>9.4890816576685442</v>
      </c>
      <c r="G39" s="314">
        <f t="shared" si="1"/>
        <v>62.206201978049343</v>
      </c>
      <c r="I39" s="314">
        <f t="shared" si="2"/>
        <v>109651.61026639206</v>
      </c>
      <c r="J39" s="314">
        <f t="shared" si="3"/>
        <v>129388.90011434263</v>
      </c>
    </row>
    <row r="40" spans="3:10">
      <c r="C40" t="s">
        <v>68</v>
      </c>
      <c r="E40" s="91">
        <v>69.670191498836502</v>
      </c>
      <c r="F40" s="314">
        <f t="shared" si="0"/>
        <v>12.54063446979057</v>
      </c>
      <c r="G40" s="314">
        <f t="shared" si="1"/>
        <v>82.210825968627077</v>
      </c>
      <c r="I40" s="314">
        <f t="shared" si="2"/>
        <v>144913.99831757991</v>
      </c>
      <c r="J40" s="314">
        <f t="shared" si="3"/>
        <v>170998.51801474433</v>
      </c>
    </row>
    <row r="41" spans="3:10">
      <c r="D41" s="325" t="s">
        <v>69</v>
      </c>
      <c r="E41" s="327">
        <f>SUM(E10:E40)</f>
        <v>2612.4096725013692</v>
      </c>
      <c r="F41" s="327">
        <f t="shared" ref="F41:G41" si="4">SUM(F10:F40)</f>
        <v>470.23374105024635</v>
      </c>
      <c r="G41" s="327">
        <f t="shared" si="4"/>
        <v>3082.6434135516147</v>
      </c>
      <c r="H41" s="327"/>
      <c r="I41" s="327">
        <f t="shared" ref="I41" si="5">SUM(I10:I40)</f>
        <v>5433812.1188028473</v>
      </c>
      <c r="J41" s="327">
        <f t="shared" ref="J41" si="6">SUM(J10:J40)</f>
        <v>6411898.3001873577</v>
      </c>
    </row>
    <row r="42" spans="3:10">
      <c r="G42" s="328">
        <f>E41/G41</f>
        <v>0.84745762711864436</v>
      </c>
      <c r="I42" s="328">
        <f>I41/J41</f>
        <v>0.84745762711864436</v>
      </c>
    </row>
  </sheetData>
  <mergeCells count="1">
    <mergeCell ref="C8:E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55A1-955E-4083-A962-2666B5FB57DD}">
  <dimension ref="A2:S96"/>
  <sheetViews>
    <sheetView workbookViewId="0">
      <selection activeCell="B5" sqref="B5"/>
    </sheetView>
  </sheetViews>
  <sheetFormatPr defaultRowHeight="15"/>
  <cols>
    <col min="1" max="1" width="5.28515625" customWidth="1"/>
    <col min="2" max="2" width="7.7109375" customWidth="1"/>
    <col min="3" max="3" width="15.7109375" customWidth="1"/>
    <col min="4" max="4" width="11.28515625" customWidth="1"/>
    <col min="5" max="5" width="12.28515625" bestFit="1" customWidth="1"/>
    <col min="6" max="7" width="12.28515625" customWidth="1"/>
    <col min="8" max="8" width="12.85546875" customWidth="1"/>
    <col min="9" max="9" width="11.5703125" customWidth="1"/>
    <col min="10" max="10" width="9.85546875" customWidth="1"/>
    <col min="13" max="13" width="79.42578125" customWidth="1"/>
    <col min="14" max="14" width="12.42578125" bestFit="1" customWidth="1"/>
    <col min="18" max="18" width="11.5703125" bestFit="1" customWidth="1"/>
    <col min="19" max="19" width="12" bestFit="1" customWidth="1"/>
  </cols>
  <sheetData>
    <row r="2" spans="1:19" ht="22.5" customHeight="1">
      <c r="B2" s="680" t="s">
        <v>70</v>
      </c>
      <c r="C2" s="681"/>
      <c r="D2" s="326"/>
      <c r="I2" s="22"/>
      <c r="J2" s="22"/>
    </row>
    <row r="3" spans="1:19" ht="20.100000000000001" customHeight="1" thickTop="1">
      <c r="I3" s="22"/>
      <c r="J3" s="22"/>
    </row>
    <row r="4" spans="1:19" ht="19.5" customHeight="1">
      <c r="B4" s="244" t="s">
        <v>71</v>
      </c>
      <c r="C4" s="243"/>
      <c r="D4" s="243"/>
      <c r="E4" s="243"/>
      <c r="F4" s="243"/>
      <c r="G4" s="243"/>
      <c r="H4" s="243"/>
      <c r="I4" s="206" t="s">
        <v>72</v>
      </c>
      <c r="J4" s="841">
        <f>H35</f>
        <v>0</v>
      </c>
      <c r="K4" s="32" t="s">
        <v>73</v>
      </c>
      <c r="L4" s="32"/>
    </row>
    <row r="5" spans="1:19" ht="19.5" customHeight="1">
      <c r="B5" s="246" t="s">
        <v>74</v>
      </c>
      <c r="C5" s="31"/>
      <c r="D5" s="31"/>
      <c r="H5" s="23"/>
      <c r="I5" s="206" t="s">
        <v>75</v>
      </c>
      <c r="J5" s="841">
        <f>E35</f>
        <v>0</v>
      </c>
      <c r="K5" s="32"/>
      <c r="L5" s="32"/>
    </row>
    <row r="6" spans="1:19" ht="19.5" customHeight="1">
      <c r="B6" s="246"/>
      <c r="C6" s="31"/>
      <c r="D6" s="31"/>
      <c r="H6" s="23"/>
      <c r="I6" s="206" t="s">
        <v>76</v>
      </c>
      <c r="J6" s="841">
        <f>F35</f>
        <v>0</v>
      </c>
      <c r="K6" s="32"/>
      <c r="L6" s="32"/>
    </row>
    <row r="7" spans="1:19" s="25" customFormat="1" ht="15" customHeight="1">
      <c r="B7" s="33"/>
      <c r="C7" s="33"/>
      <c r="D7" s="33"/>
      <c r="I7" s="206" t="s">
        <v>77</v>
      </c>
      <c r="J7" s="842">
        <v>1</v>
      </c>
      <c r="K7" s="32" t="s">
        <v>73</v>
      </c>
      <c r="L7" s="32"/>
    </row>
    <row r="8" spans="1:19" s="25" customFormat="1" ht="15" customHeight="1">
      <c r="B8" s="34"/>
      <c r="C8" s="35"/>
      <c r="D8" s="35"/>
      <c r="I8" s="206" t="s">
        <v>78</v>
      </c>
      <c r="J8" s="841">
        <v>1</v>
      </c>
      <c r="K8" s="32"/>
      <c r="L8" s="32"/>
    </row>
    <row r="9" spans="1:19" s="25" customFormat="1" ht="15" customHeight="1">
      <c r="B9" s="682">
        <f ca="1">NOW()</f>
        <v>46146.221987847224</v>
      </c>
      <c r="C9" s="843"/>
      <c r="D9"/>
      <c r="I9" s="206" t="s">
        <v>79</v>
      </c>
      <c r="J9" s="844">
        <v>1</v>
      </c>
      <c r="K9" s="32" t="s">
        <v>73</v>
      </c>
      <c r="L9" s="32"/>
    </row>
    <row r="10" spans="1:19" s="25" customFormat="1" ht="15" customHeight="1">
      <c r="B10" s="36" t="s">
        <v>80</v>
      </c>
      <c r="C10" s="26"/>
      <c r="D10" s="26"/>
    </row>
    <row r="11" spans="1:19" s="25" customFormat="1" ht="15.75">
      <c r="B11" s="27"/>
      <c r="I11" s="24"/>
    </row>
    <row r="12" spans="1:19" s="25" customFormat="1" ht="15.75">
      <c r="B12" s="27"/>
      <c r="I12" s="24"/>
    </row>
    <row r="13" spans="1:19" s="28" customFormat="1" ht="16.5" customHeight="1">
      <c r="A13" s="37" t="s">
        <v>81</v>
      </c>
      <c r="B13" s="563" t="s">
        <v>82</v>
      </c>
      <c r="C13" s="564" t="s">
        <v>83</v>
      </c>
      <c r="D13" s="564" t="s">
        <v>84</v>
      </c>
      <c r="E13" s="564" t="s">
        <v>85</v>
      </c>
      <c r="F13" s="564" t="s">
        <v>86</v>
      </c>
      <c r="G13" s="564" t="s">
        <v>87</v>
      </c>
      <c r="H13" s="564" t="s">
        <v>88</v>
      </c>
      <c r="I13" s="565" t="s">
        <v>89</v>
      </c>
      <c r="K13" s="25"/>
      <c r="L13" s="25"/>
      <c r="M13" s="25"/>
      <c r="N13" s="25"/>
    </row>
    <row r="14" spans="1:19">
      <c r="B14" s="102"/>
      <c r="C14" s="85" t="s">
        <v>90</v>
      </c>
      <c r="D14" s="85"/>
      <c r="E14" s="85"/>
      <c r="F14" s="85"/>
      <c r="G14" s="404"/>
      <c r="H14" s="85"/>
      <c r="I14" s="105" t="e">
        <f>H14/$J$4</f>
        <v>#DIV/0!</v>
      </c>
    </row>
    <row r="15" spans="1:19" s="40" customFormat="1" ht="12" customHeight="1">
      <c r="B15" s="103"/>
      <c r="C15" s="104"/>
      <c r="D15" s="104"/>
      <c r="E15" s="106"/>
      <c r="F15" s="107"/>
      <c r="G15" s="107"/>
      <c r="H15" s="106"/>
      <c r="I15" s="105" t="e">
        <f>H15/$J$4</f>
        <v>#DIV/0!</v>
      </c>
      <c r="L15"/>
      <c r="M15" s="48"/>
      <c r="N15" s="48"/>
      <c r="O15" s="48"/>
      <c r="P15" s="48"/>
      <c r="Q15" s="48"/>
      <c r="R15" s="48"/>
      <c r="S15" s="85"/>
    </row>
    <row r="16" spans="1:19" s="40" customFormat="1" ht="12" customHeight="1">
      <c r="B16" s="103"/>
      <c r="C16" s="104" t="s">
        <v>91</v>
      </c>
      <c r="D16" s="104"/>
      <c r="E16" s="106"/>
      <c r="F16" s="107"/>
      <c r="G16" s="107"/>
      <c r="H16" s="405"/>
      <c r="I16" s="105" t="e">
        <f t="shared" ref="I16:I26" si="0">H16/$J$4</f>
        <v>#DIV/0!</v>
      </c>
      <c r="L16"/>
      <c r="M16" s="48"/>
      <c r="N16" s="48"/>
      <c r="O16" s="48"/>
      <c r="P16" s="48"/>
      <c r="Q16" s="48"/>
      <c r="R16" s="48"/>
      <c r="S16" s="85"/>
    </row>
    <row r="17" spans="2:19" s="40" customFormat="1" ht="12" customHeight="1">
      <c r="B17" s="103"/>
      <c r="C17" s="104"/>
      <c r="D17" s="104"/>
      <c r="E17" s="106"/>
      <c r="F17" s="107"/>
      <c r="G17" s="107"/>
      <c r="H17" s="106"/>
      <c r="I17" s="105" t="e">
        <f t="shared" si="0"/>
        <v>#DIV/0!</v>
      </c>
      <c r="L17"/>
      <c r="M17" s="48"/>
      <c r="N17" s="48"/>
      <c r="O17" s="48"/>
      <c r="P17" s="48"/>
      <c r="Q17" s="48"/>
      <c r="R17" s="48"/>
      <c r="S17" s="85"/>
    </row>
    <row r="18" spans="2:19" s="40" customFormat="1" ht="12" customHeight="1">
      <c r="B18" s="103"/>
      <c r="C18" s="104" t="s">
        <v>92</v>
      </c>
      <c r="D18" s="104"/>
      <c r="E18" s="106"/>
      <c r="F18" s="107"/>
      <c r="G18" s="107"/>
      <c r="H18" s="405"/>
      <c r="I18" s="105" t="e">
        <f t="shared" si="0"/>
        <v>#DIV/0!</v>
      </c>
      <c r="L18"/>
      <c r="M18" s="48"/>
      <c r="N18" s="48"/>
      <c r="O18" s="48"/>
      <c r="P18" s="48"/>
      <c r="Q18" s="48"/>
      <c r="R18" s="48"/>
      <c r="S18" s="85"/>
    </row>
    <row r="19" spans="2:19" s="40" customFormat="1" ht="12" customHeight="1">
      <c r="B19" s="103"/>
      <c r="C19" s="104"/>
      <c r="D19" s="104"/>
      <c r="E19" s="106"/>
      <c r="F19" s="107"/>
      <c r="G19" s="107"/>
      <c r="H19" s="106"/>
      <c r="I19" s="105" t="e">
        <f t="shared" si="0"/>
        <v>#DIV/0!</v>
      </c>
      <c r="L19"/>
      <c r="M19" s="48"/>
      <c r="N19" s="48"/>
      <c r="O19" s="48"/>
      <c r="P19" s="48"/>
      <c r="Q19" s="48"/>
      <c r="R19" s="48"/>
      <c r="S19" s="85"/>
    </row>
    <row r="20" spans="2:19" s="40" customFormat="1" ht="12" customHeight="1">
      <c r="B20" s="103"/>
      <c r="C20" s="104"/>
      <c r="D20" s="104"/>
      <c r="E20" s="106"/>
      <c r="F20" s="107"/>
      <c r="G20" s="107"/>
      <c r="H20" s="106"/>
      <c r="I20" s="105" t="e">
        <f t="shared" si="0"/>
        <v>#DIV/0!</v>
      </c>
      <c r="L20"/>
      <c r="M20" s="48"/>
      <c r="N20" s="48"/>
      <c r="O20" s="48"/>
      <c r="P20" s="48"/>
      <c r="Q20" s="48"/>
      <c r="R20" s="48"/>
      <c r="S20" s="85"/>
    </row>
    <row r="21" spans="2:19" s="40" customFormat="1" ht="12" customHeight="1">
      <c r="B21" s="103"/>
      <c r="C21" s="104"/>
      <c r="D21" s="104"/>
      <c r="E21" s="106"/>
      <c r="F21" s="107"/>
      <c r="G21" s="107"/>
      <c r="H21" s="106"/>
      <c r="I21" s="105" t="e">
        <f t="shared" si="0"/>
        <v>#DIV/0!</v>
      </c>
      <c r="L21"/>
      <c r="M21" s="48"/>
      <c r="N21" s="48"/>
      <c r="O21" s="48"/>
      <c r="P21" s="48"/>
      <c r="Q21" s="48"/>
      <c r="R21" s="48"/>
      <c r="S21" s="85"/>
    </row>
    <row r="22" spans="2:19" s="40" customFormat="1" ht="12" customHeight="1">
      <c r="B22" s="103"/>
      <c r="C22" s="104"/>
      <c r="D22" s="104"/>
      <c r="E22" s="106"/>
      <c r="F22" s="107"/>
      <c r="G22" s="107"/>
      <c r="H22" s="106"/>
      <c r="I22" s="105" t="e">
        <f t="shared" si="0"/>
        <v>#DIV/0!</v>
      </c>
      <c r="L22"/>
      <c r="M22" s="48"/>
      <c r="N22" s="48"/>
      <c r="O22" s="48"/>
      <c r="P22" s="48"/>
      <c r="Q22" s="48"/>
      <c r="R22" s="48"/>
      <c r="S22" s="85"/>
    </row>
    <row r="23" spans="2:19" s="40" customFormat="1" ht="12" customHeight="1">
      <c r="B23" s="103"/>
      <c r="C23" s="104"/>
      <c r="D23" s="104"/>
      <c r="E23" s="106"/>
      <c r="F23" s="107"/>
      <c r="G23" s="107"/>
      <c r="H23" s="106"/>
      <c r="I23" s="105" t="e">
        <f t="shared" si="0"/>
        <v>#DIV/0!</v>
      </c>
      <c r="L23"/>
      <c r="M23" s="48"/>
      <c r="N23" s="48"/>
      <c r="O23" s="48"/>
      <c r="P23" s="48"/>
      <c r="Q23" s="48"/>
      <c r="R23" s="48"/>
      <c r="S23" s="85"/>
    </row>
    <row r="24" spans="2:19" s="40" customFormat="1" ht="12" customHeight="1">
      <c r="B24" s="103"/>
      <c r="C24" s="104"/>
      <c r="D24" s="104"/>
      <c r="E24" s="106"/>
      <c r="F24" s="107"/>
      <c r="G24" s="107"/>
      <c r="H24" s="106"/>
      <c r="I24" s="105" t="e">
        <f t="shared" si="0"/>
        <v>#DIV/0!</v>
      </c>
      <c r="L24"/>
      <c r="M24" s="48"/>
      <c r="N24" s="48"/>
      <c r="O24" s="48"/>
      <c r="P24" s="48"/>
      <c r="Q24" s="48"/>
      <c r="R24" s="48"/>
      <c r="S24" s="85"/>
    </row>
    <row r="25" spans="2:19" s="40" customFormat="1" ht="12" customHeight="1">
      <c r="B25" s="103"/>
      <c r="C25" s="104"/>
      <c r="D25" s="104"/>
      <c r="E25" s="106"/>
      <c r="F25" s="107"/>
      <c r="G25" s="107"/>
      <c r="H25" s="106"/>
      <c r="I25" s="105" t="e">
        <f t="shared" si="0"/>
        <v>#DIV/0!</v>
      </c>
      <c r="L25"/>
      <c r="M25"/>
      <c r="N25"/>
      <c r="O25"/>
      <c r="P25"/>
      <c r="Q25"/>
      <c r="R25"/>
      <c r="S25" s="87"/>
    </row>
    <row r="26" spans="2:19" s="40" customFormat="1" ht="12" customHeight="1">
      <c r="B26" s="103"/>
      <c r="C26" s="104"/>
      <c r="D26" s="104"/>
      <c r="E26" s="106"/>
      <c r="F26" s="107"/>
      <c r="G26" s="107"/>
      <c r="H26" s="104"/>
      <c r="I26" s="105" t="e">
        <f t="shared" si="0"/>
        <v>#DIV/0!</v>
      </c>
      <c r="L26"/>
      <c r="M26"/>
      <c r="N26"/>
      <c r="O26"/>
      <c r="P26"/>
      <c r="Q26"/>
      <c r="R26"/>
      <c r="S26" s="87"/>
    </row>
    <row r="27" spans="2:19" s="40" customFormat="1" ht="12" customHeight="1">
      <c r="B27" s="103"/>
      <c r="C27" s="104"/>
      <c r="D27" s="104"/>
      <c r="E27" s="106"/>
      <c r="F27" s="107"/>
      <c r="G27" s="107"/>
      <c r="H27" s="104"/>
      <c r="I27" s="105" t="e">
        <f t="shared" ref="I27:I32" si="1">H27/$J$4</f>
        <v>#DIV/0!</v>
      </c>
      <c r="L27"/>
      <c r="M27"/>
      <c r="N27"/>
      <c r="O27"/>
      <c r="P27"/>
      <c r="Q27"/>
      <c r="R27"/>
      <c r="S27" s="87"/>
    </row>
    <row r="28" spans="2:19" s="40" customFormat="1" ht="12" customHeight="1">
      <c r="B28" s="103"/>
      <c r="C28" s="104"/>
      <c r="D28" s="104"/>
      <c r="E28" s="106"/>
      <c r="F28" s="107"/>
      <c r="G28" s="107"/>
      <c r="H28" s="104"/>
      <c r="I28" s="105" t="e">
        <f t="shared" si="1"/>
        <v>#DIV/0!</v>
      </c>
      <c r="L28"/>
      <c r="M28"/>
      <c r="N28"/>
      <c r="O28"/>
      <c r="P28"/>
      <c r="Q28"/>
      <c r="R28"/>
      <c r="S28" s="87"/>
    </row>
    <row r="29" spans="2:19" s="40" customFormat="1" ht="12" customHeight="1">
      <c r="B29" s="103"/>
      <c r="C29" s="104"/>
      <c r="D29" s="104"/>
      <c r="E29" s="106"/>
      <c r="F29" s="107"/>
      <c r="G29" s="107"/>
      <c r="H29" s="104"/>
      <c r="I29" s="105" t="e">
        <f t="shared" si="1"/>
        <v>#DIV/0!</v>
      </c>
      <c r="L29"/>
      <c r="M29"/>
      <c r="N29"/>
      <c r="O29"/>
      <c r="P29"/>
      <c r="Q29"/>
      <c r="R29"/>
      <c r="S29" s="87"/>
    </row>
    <row r="30" spans="2:19" s="40" customFormat="1">
      <c r="B30" s="103"/>
      <c r="C30" s="104"/>
      <c r="D30" s="104"/>
      <c r="E30" s="106"/>
      <c r="F30" s="107"/>
      <c r="G30" s="107"/>
      <c r="H30" s="104"/>
      <c r="I30" s="105" t="e">
        <f t="shared" si="1"/>
        <v>#DIV/0!</v>
      </c>
      <c r="L30"/>
      <c r="M30"/>
      <c r="N30"/>
      <c r="O30"/>
      <c r="P30"/>
      <c r="Q30"/>
      <c r="R30"/>
      <c r="S30" s="87"/>
    </row>
    <row r="31" spans="2:19" s="40" customFormat="1">
      <c r="B31" s="103"/>
      <c r="C31" s="104"/>
      <c r="D31" s="104"/>
      <c r="E31" s="106"/>
      <c r="F31" s="107"/>
      <c r="G31" s="107"/>
      <c r="H31" s="104"/>
      <c r="I31" s="105" t="e">
        <f t="shared" si="1"/>
        <v>#DIV/0!</v>
      </c>
      <c r="L31"/>
      <c r="M31"/>
      <c r="N31"/>
      <c r="O31"/>
      <c r="P31"/>
      <c r="Q31"/>
      <c r="R31"/>
      <c r="S31" s="87"/>
    </row>
    <row r="32" spans="2:19" s="40" customFormat="1">
      <c r="B32" s="103"/>
      <c r="C32" s="104"/>
      <c r="D32" s="104"/>
      <c r="E32" s="106"/>
      <c r="F32" s="107"/>
      <c r="G32" s="107"/>
      <c r="H32" s="104"/>
      <c r="I32" s="105" t="e">
        <f t="shared" si="1"/>
        <v>#DIV/0!</v>
      </c>
      <c r="L32"/>
      <c r="M32"/>
      <c r="N32"/>
      <c r="O32"/>
      <c r="P32"/>
      <c r="Q32"/>
      <c r="R32"/>
      <c r="S32" s="87"/>
    </row>
    <row r="33" spans="1:19" s="40" customFormat="1">
      <c r="B33" s="103"/>
      <c r="C33" s="104"/>
      <c r="D33" s="104"/>
      <c r="E33" s="106"/>
      <c r="F33" s="104"/>
      <c r="G33" s="104"/>
      <c r="H33" s="104"/>
      <c r="I33" s="105" t="e">
        <f t="shared" ref="I33:I34" si="2">H33/$J$4</f>
        <v>#DIV/0!</v>
      </c>
      <c r="L33"/>
      <c r="M33"/>
      <c r="N33"/>
      <c r="O33"/>
      <c r="P33"/>
      <c r="Q33"/>
      <c r="R33"/>
      <c r="S33" s="86"/>
    </row>
    <row r="34" spans="1:19" s="40" customFormat="1">
      <c r="B34" s="103"/>
      <c r="C34" s="104"/>
      <c r="D34" s="104"/>
      <c r="E34" s="106"/>
      <c r="F34" s="104"/>
      <c r="G34" s="104"/>
      <c r="H34" s="104"/>
      <c r="I34" s="105" t="e">
        <f t="shared" si="2"/>
        <v>#DIV/0!</v>
      </c>
      <c r="L34"/>
      <c r="M34"/>
      <c r="N34"/>
      <c r="O34"/>
      <c r="P34"/>
      <c r="Q34"/>
      <c r="R34"/>
    </row>
    <row r="35" spans="1:19" s="30" customFormat="1" ht="18.75">
      <c r="A35"/>
      <c r="B35" s="845" t="s">
        <v>93</v>
      </c>
      <c r="C35" s="846"/>
      <c r="D35" s="846"/>
      <c r="E35" s="846">
        <f t="shared" ref="E35:H35" si="3">SUM(E14:E34)</f>
        <v>0</v>
      </c>
      <c r="F35" s="846">
        <f>SUM(F14:F34)</f>
        <v>0</v>
      </c>
      <c r="G35" s="846">
        <f>SUM(G14:G34)</f>
        <v>0</v>
      </c>
      <c r="H35" s="846">
        <f t="shared" si="3"/>
        <v>0</v>
      </c>
      <c r="I35" s="847" t="e">
        <f>SUM(I14:I34)</f>
        <v>#DIV/0!</v>
      </c>
      <c r="K35"/>
    </row>
    <row r="36" spans="1:19" ht="15.75">
      <c r="M36" s="37"/>
    </row>
    <row r="37" spans="1:19" s="28" customFormat="1" ht="15.75">
      <c r="A37" s="37" t="s">
        <v>94</v>
      </c>
      <c r="B37" s="566"/>
      <c r="C37" s="403" t="s">
        <v>95</v>
      </c>
      <c r="D37" s="403"/>
      <c r="E37" s="403" t="s">
        <v>96</v>
      </c>
      <c r="F37" s="403"/>
      <c r="G37" s="403"/>
      <c r="H37" s="403" t="s">
        <v>97</v>
      </c>
      <c r="I37" s="406"/>
      <c r="J37" s="567" t="s">
        <v>98</v>
      </c>
      <c r="K37" s="25"/>
      <c r="L37" s="25"/>
      <c r="M37"/>
    </row>
    <row r="38" spans="1:19" s="29" customFormat="1" ht="15.75">
      <c r="B38" s="848"/>
      <c r="C38" s="849"/>
      <c r="D38" s="849"/>
      <c r="E38" s="849"/>
      <c r="F38" s="849"/>
      <c r="G38" s="849"/>
      <c r="H38" s="849"/>
      <c r="I38" s="850"/>
      <c r="J38" s="851"/>
      <c r="K38" s="25"/>
      <c r="L38" s="25"/>
      <c r="M38"/>
    </row>
    <row r="39" spans="1:19">
      <c r="B39" s="38"/>
      <c r="J39" s="39"/>
    </row>
    <row r="40" spans="1:19">
      <c r="B40" s="42"/>
      <c r="H40" s="43"/>
      <c r="I40" s="49">
        <f>SUM(H41:H45)</f>
        <v>0</v>
      </c>
      <c r="J40" s="41"/>
    </row>
    <row r="41" spans="1:19">
      <c r="B41" s="42"/>
      <c r="C41" s="40"/>
      <c r="D41" s="40"/>
      <c r="E41" s="43"/>
      <c r="F41" s="43"/>
      <c r="G41" s="43"/>
      <c r="H41" s="49"/>
      <c r="J41" s="41">
        <f>H41/$J$7</f>
        <v>0</v>
      </c>
    </row>
    <row r="42" spans="1:19">
      <c r="B42" s="42"/>
      <c r="C42" s="40"/>
      <c r="D42" s="40"/>
      <c r="E42" s="43"/>
      <c r="F42" s="43"/>
      <c r="G42" s="43"/>
      <c r="H42" s="49"/>
      <c r="J42" s="41">
        <f t="shared" ref="J42:J49" si="4">H42/$J$7</f>
        <v>0</v>
      </c>
    </row>
    <row r="43" spans="1:19">
      <c r="B43" s="42"/>
      <c r="C43" s="40"/>
      <c r="D43" s="40"/>
      <c r="E43" s="43"/>
      <c r="F43" s="43"/>
      <c r="G43" s="43"/>
      <c r="H43" s="49"/>
      <c r="J43" s="41">
        <f t="shared" si="4"/>
        <v>0</v>
      </c>
    </row>
    <row r="44" spans="1:19" ht="18.75">
      <c r="B44" s="42"/>
      <c r="C44" s="40"/>
      <c r="D44" s="40"/>
      <c r="E44" s="43"/>
      <c r="F44" s="43"/>
      <c r="G44" s="43"/>
      <c r="H44" s="49"/>
      <c r="J44" s="41">
        <f t="shared" si="4"/>
        <v>0</v>
      </c>
      <c r="N44" s="98"/>
      <c r="O44" s="98"/>
      <c r="P44" s="98"/>
      <c r="Q44" s="44"/>
      <c r="R44" s="99"/>
      <c r="S44" s="99"/>
    </row>
    <row r="45" spans="1:19">
      <c r="B45" s="42"/>
      <c r="C45" s="40"/>
      <c r="D45" s="40"/>
      <c r="E45" s="43"/>
      <c r="F45" s="43"/>
      <c r="G45" s="43"/>
      <c r="H45" s="49"/>
      <c r="J45" s="41">
        <f t="shared" si="4"/>
        <v>0</v>
      </c>
    </row>
    <row r="46" spans="1:19">
      <c r="B46" s="42"/>
      <c r="C46" s="40"/>
      <c r="D46" s="40"/>
      <c r="E46" s="43"/>
      <c r="F46" s="43"/>
      <c r="G46" s="43"/>
      <c r="H46" s="49"/>
      <c r="I46" s="49">
        <f>SUM(H47:H49)</f>
        <v>0</v>
      </c>
      <c r="J46" s="41"/>
    </row>
    <row r="47" spans="1:19">
      <c r="B47" s="42"/>
      <c r="C47" s="40"/>
      <c r="D47" s="40"/>
      <c r="E47" s="43"/>
      <c r="F47" s="43"/>
      <c r="G47" s="43"/>
      <c r="H47" s="49"/>
      <c r="J47" s="41">
        <f t="shared" si="4"/>
        <v>0</v>
      </c>
    </row>
    <row r="48" spans="1:19">
      <c r="B48" s="42"/>
      <c r="C48" s="40"/>
      <c r="D48" s="40"/>
      <c r="E48" s="43"/>
      <c r="F48" s="43"/>
      <c r="G48" s="43"/>
      <c r="H48" s="49"/>
      <c r="J48" s="41">
        <f t="shared" si="4"/>
        <v>0</v>
      </c>
    </row>
    <row r="49" spans="1:14">
      <c r="B49" s="42"/>
      <c r="C49" s="40"/>
      <c r="D49" s="40"/>
      <c r="E49" s="43"/>
      <c r="F49" s="43"/>
      <c r="G49" s="43"/>
      <c r="H49" s="49"/>
      <c r="J49" s="41">
        <f t="shared" si="4"/>
        <v>0</v>
      </c>
    </row>
    <row r="50" spans="1:14">
      <c r="B50" s="42"/>
      <c r="H50" s="49"/>
      <c r="J50" s="39"/>
    </row>
    <row r="51" spans="1:14" s="30" customFormat="1" ht="18.75">
      <c r="A51"/>
      <c r="B51" s="852" t="s">
        <v>69</v>
      </c>
      <c r="C51" s="853"/>
      <c r="D51" s="853"/>
      <c r="E51" s="854">
        <f>SUM(E41:E49)</f>
        <v>0</v>
      </c>
      <c r="F51" s="854"/>
      <c r="G51" s="854"/>
      <c r="H51" s="855">
        <f>SUM(H40:H50)</f>
        <v>0</v>
      </c>
      <c r="I51" s="856"/>
      <c r="J51" s="857">
        <f>SUM(J40:J50)</f>
        <v>0</v>
      </c>
      <c r="K51"/>
    </row>
    <row r="52" spans="1:14" s="30" customFormat="1" ht="18.75">
      <c r="A52"/>
      <c r="B52" s="31"/>
      <c r="C52" s="31"/>
      <c r="D52" s="31"/>
      <c r="E52" s="100"/>
      <c r="F52" s="100"/>
      <c r="G52" s="100"/>
      <c r="H52" s="101"/>
      <c r="I52" s="99"/>
      <c r="J52" s="99"/>
      <c r="K52"/>
    </row>
    <row r="53" spans="1:14" s="30" customFormat="1" ht="15.75">
      <c r="A53"/>
      <c r="B53" s="566"/>
      <c r="C53" s="403" t="s">
        <v>99</v>
      </c>
      <c r="D53" s="403"/>
      <c r="E53" s="403"/>
      <c r="F53" s="403"/>
      <c r="G53" s="403"/>
      <c r="H53" s="403" t="s">
        <v>100</v>
      </c>
      <c r="I53" s="406"/>
      <c r="J53" s="567" t="s">
        <v>98</v>
      </c>
      <c r="K53"/>
    </row>
    <row r="54" spans="1:14" s="30" customFormat="1">
      <c r="A54"/>
      <c r="B54" s="38"/>
      <c r="C54"/>
      <c r="D54"/>
      <c r="E54"/>
      <c r="F54"/>
      <c r="G54"/>
      <c r="H54"/>
      <c r="I54"/>
      <c r="J54" s="39"/>
      <c r="K54"/>
    </row>
    <row r="55" spans="1:14" s="30" customFormat="1">
      <c r="A55"/>
      <c r="B55" s="42"/>
      <c r="C55"/>
      <c r="D55"/>
      <c r="E55"/>
      <c r="F55"/>
      <c r="G55"/>
      <c r="H55" s="43"/>
      <c r="I55"/>
      <c r="J55" s="41"/>
      <c r="K55"/>
    </row>
    <row r="56" spans="1:14" s="30" customFormat="1">
      <c r="A56"/>
      <c r="B56" s="42"/>
      <c r="C56" s="40"/>
      <c r="D56" s="40"/>
      <c r="E56"/>
      <c r="F56"/>
      <c r="G56"/>
      <c r="H56" s="43"/>
      <c r="I56"/>
      <c r="J56" s="41" t="e">
        <f>H56/$J$4</f>
        <v>#DIV/0!</v>
      </c>
      <c r="K56"/>
    </row>
    <row r="57" spans="1:14" s="30" customFormat="1">
      <c r="A57"/>
      <c r="B57" s="42"/>
      <c r="C57" s="40"/>
      <c r="D57" s="40"/>
      <c r="E57"/>
      <c r="F57"/>
      <c r="G57"/>
      <c r="H57" s="43"/>
      <c r="I57"/>
      <c r="J57" s="41" t="e">
        <f>H57/$J$4</f>
        <v>#DIV/0!</v>
      </c>
      <c r="K57"/>
    </row>
    <row r="58" spans="1:14" s="30" customFormat="1">
      <c r="A58"/>
      <c r="B58" s="42"/>
      <c r="C58" s="40"/>
      <c r="D58" s="40"/>
      <c r="E58"/>
      <c r="F58"/>
      <c r="G58"/>
      <c r="H58" s="43"/>
      <c r="I58"/>
      <c r="J58" s="41" t="e">
        <f>H58/$J$4</f>
        <v>#DIV/0!</v>
      </c>
      <c r="K58"/>
    </row>
    <row r="59" spans="1:14" s="30" customFormat="1">
      <c r="A59"/>
      <c r="B59" s="42"/>
      <c r="C59" s="40"/>
      <c r="D59" s="40"/>
      <c r="E59"/>
      <c r="F59"/>
      <c r="G59"/>
      <c r="H59"/>
      <c r="I59"/>
      <c r="J59" s="41"/>
      <c r="K59"/>
    </row>
    <row r="60" spans="1:14" s="30" customFormat="1" ht="18.75">
      <c r="A60"/>
      <c r="B60" s="858" t="s">
        <v>101</v>
      </c>
      <c r="C60" s="859"/>
      <c r="D60" s="859"/>
      <c r="E60" s="859"/>
      <c r="F60" s="860"/>
      <c r="G60" s="860"/>
      <c r="H60" s="861">
        <f>SUM(H55:H59)</f>
        <v>0</v>
      </c>
      <c r="I60" s="856"/>
      <c r="J60" s="857" t="e">
        <f>SUM(J55:J59)</f>
        <v>#DIV/0!</v>
      </c>
      <c r="K60"/>
    </row>
    <row r="61" spans="1:14" s="30" customFormat="1" ht="18.75">
      <c r="A61"/>
      <c r="B61" s="31"/>
      <c r="C61" s="31"/>
      <c r="D61" s="31"/>
      <c r="E61" s="100"/>
      <c r="F61" s="100"/>
      <c r="G61" s="100"/>
      <c r="H61" s="101"/>
      <c r="I61" s="99"/>
      <c r="J61" s="99"/>
      <c r="K61"/>
      <c r="M61" s="25" t="s">
        <v>102</v>
      </c>
    </row>
    <row r="62" spans="1:14" s="30" customFormat="1" ht="21" customHeight="1">
      <c r="A62"/>
      <c r="B62" s="98"/>
      <c r="C62" s="98"/>
      <c r="D62" s="98"/>
      <c r="E62" s="98"/>
      <c r="F62" s="98"/>
      <c r="G62" s="98"/>
      <c r="H62" s="44"/>
      <c r="I62" s="99"/>
      <c r="J62" s="99"/>
      <c r="K62"/>
      <c r="M62" s="862" t="s">
        <v>103</v>
      </c>
    </row>
    <row r="63" spans="1:14" s="28" customFormat="1" ht="15.75">
      <c r="K63" s="25"/>
      <c r="L63" s="25"/>
      <c r="M63" s="648" t="s">
        <v>104</v>
      </c>
      <c r="N63" s="25"/>
    </row>
    <row r="64" spans="1:14">
      <c r="M64" s="862" t="s">
        <v>105</v>
      </c>
    </row>
    <row r="65" spans="1:14">
      <c r="M65" s="648" t="s">
        <v>106</v>
      </c>
    </row>
    <row r="66" spans="1:14">
      <c r="M66" s="648" t="s">
        <v>107</v>
      </c>
    </row>
    <row r="67" spans="1:14">
      <c r="M67" s="862" t="s">
        <v>108</v>
      </c>
    </row>
    <row r="68" spans="1:14">
      <c r="M68" s="862" t="s">
        <v>109</v>
      </c>
    </row>
    <row r="69" spans="1:14">
      <c r="M69" s="862" t="s">
        <v>110</v>
      </c>
    </row>
    <row r="70" spans="1:14" s="30" customFormat="1">
      <c r="K70"/>
      <c r="M70" s="862" t="s">
        <v>111</v>
      </c>
    </row>
    <row r="71" spans="1:14" s="30" customFormat="1">
      <c r="K71"/>
      <c r="M71" s="862"/>
    </row>
    <row r="72" spans="1:14" s="30" customFormat="1" ht="18.75">
      <c r="A72"/>
      <c r="B72" s="98"/>
      <c r="C72" s="98"/>
      <c r="D72" s="98"/>
      <c r="E72" s="98"/>
      <c r="F72" s="98"/>
      <c r="G72" s="98"/>
      <c r="H72" s="44"/>
      <c r="I72" s="99"/>
      <c r="J72" s="99"/>
      <c r="K72"/>
      <c r="M72" s="862"/>
    </row>
    <row r="73" spans="1:14" s="30" customFormat="1" ht="18.75">
      <c r="A73"/>
      <c r="B73" s="98"/>
      <c r="C73" s="98"/>
      <c r="D73" s="98"/>
      <c r="E73" s="98"/>
      <c r="F73" s="98"/>
      <c r="G73" s="98"/>
      <c r="H73" s="44"/>
      <c r="I73" s="99"/>
      <c r="J73" s="99"/>
      <c r="K73"/>
      <c r="M73" s="55"/>
    </row>
    <row r="74" spans="1:14" s="30" customFormat="1" ht="18.75">
      <c r="A74"/>
      <c r="B74" s="98"/>
      <c r="C74" s="98"/>
      <c r="D74" s="98"/>
      <c r="E74" s="98"/>
      <c r="F74" s="98"/>
      <c r="G74" s="98"/>
      <c r="H74" s="44"/>
      <c r="I74" s="99"/>
      <c r="J74" s="99"/>
      <c r="K74"/>
      <c r="M74" s="648"/>
    </row>
    <row r="75" spans="1:14">
      <c r="M75" s="862"/>
    </row>
    <row r="76" spans="1:14" s="28" customFormat="1" ht="17.25" customHeight="1">
      <c r="A76" s="37" t="s">
        <v>112</v>
      </c>
      <c r="B76" s="294" t="s">
        <v>113</v>
      </c>
      <c r="C76" s="45"/>
      <c r="D76" s="45"/>
      <c r="E76" s="45"/>
      <c r="F76" s="45"/>
      <c r="G76" s="45"/>
      <c r="H76" s="45"/>
      <c r="I76" s="46" t="s">
        <v>114</v>
      </c>
      <c r="J76" s="47" t="s">
        <v>98</v>
      </c>
      <c r="K76" s="25"/>
      <c r="L76" s="25"/>
      <c r="M76" s="862"/>
      <c r="N76" s="25"/>
    </row>
    <row r="77" spans="1:14" s="29" customFormat="1" ht="15.75">
      <c r="B77" s="863"/>
      <c r="C77" s="849"/>
      <c r="D77" s="849"/>
      <c r="E77" s="849"/>
      <c r="F77" s="849"/>
      <c r="G77" s="849"/>
      <c r="H77" s="849"/>
      <c r="I77" s="850"/>
      <c r="J77" s="864"/>
      <c r="K77" s="25"/>
      <c r="L77" s="25"/>
      <c r="M77" s="55"/>
      <c r="N77" s="25"/>
    </row>
    <row r="78" spans="1:14">
      <c r="M78" s="75"/>
    </row>
    <row r="79" spans="1:14">
      <c r="B79" t="s">
        <v>115</v>
      </c>
      <c r="I79" t="s">
        <v>116</v>
      </c>
    </row>
    <row r="80" spans="1:14">
      <c r="B80" t="s">
        <v>117</v>
      </c>
    </row>
    <row r="81" spans="1:14">
      <c r="B81" t="s">
        <v>118</v>
      </c>
    </row>
    <row r="82" spans="1:14">
      <c r="B82" t="s">
        <v>119</v>
      </c>
    </row>
    <row r="83" spans="1:14" s="28" customFormat="1" ht="17.25" customHeight="1">
      <c r="A83" s="37" t="s">
        <v>120</v>
      </c>
      <c r="B83" s="294" t="s">
        <v>113</v>
      </c>
      <c r="C83" s="45"/>
      <c r="D83" s="45"/>
      <c r="E83" s="45"/>
      <c r="F83" s="45"/>
      <c r="G83" s="45"/>
      <c r="H83" s="45"/>
      <c r="I83" s="46" t="s">
        <v>114</v>
      </c>
      <c r="J83" s="47" t="s">
        <v>98</v>
      </c>
      <c r="K83" s="25"/>
      <c r="L83" s="25"/>
      <c r="M83" s="25"/>
      <c r="N83" s="25"/>
    </row>
    <row r="84" spans="1:14">
      <c r="B84" s="48" t="s">
        <v>121</v>
      </c>
    </row>
    <row r="85" spans="1:14">
      <c r="B85" s="48" t="s">
        <v>122</v>
      </c>
    </row>
    <row r="86" spans="1:14">
      <c r="B86" s="48" t="s">
        <v>123</v>
      </c>
    </row>
    <row r="87" spans="1:14">
      <c r="B87" s="48" t="s">
        <v>124</v>
      </c>
    </row>
    <row r="88" spans="1:14" ht="31.5">
      <c r="A88" s="37" t="s">
        <v>120</v>
      </c>
      <c r="B88" s="566" t="s">
        <v>125</v>
      </c>
      <c r="C88" s="403" t="s">
        <v>126</v>
      </c>
      <c r="D88" s="403"/>
      <c r="E88" s="403"/>
      <c r="F88" s="403"/>
      <c r="G88" s="403"/>
      <c r="H88" s="403" t="s">
        <v>127</v>
      </c>
      <c r="I88" s="406"/>
      <c r="J88" s="567" t="s">
        <v>98</v>
      </c>
    </row>
    <row r="89" spans="1:14">
      <c r="B89" s="38"/>
      <c r="J89" s="39"/>
    </row>
    <row r="90" spans="1:14">
      <c r="B90" s="42"/>
      <c r="C90" s="40"/>
      <c r="D90" s="40"/>
      <c r="H90" s="43"/>
      <c r="J90" s="41">
        <f>H90/$J$8</f>
        <v>0</v>
      </c>
    </row>
    <row r="91" spans="1:14">
      <c r="B91" s="42"/>
      <c r="C91" s="40"/>
      <c r="D91" s="40"/>
      <c r="H91" s="43"/>
      <c r="J91" s="41">
        <f>H91/$J$8</f>
        <v>0</v>
      </c>
    </row>
    <row r="92" spans="1:14">
      <c r="B92" s="42"/>
      <c r="J92" s="39"/>
    </row>
    <row r="93" spans="1:14" ht="18.75">
      <c r="B93" s="858" t="s">
        <v>128</v>
      </c>
      <c r="C93" s="859"/>
      <c r="D93" s="859"/>
      <c r="E93" s="859"/>
      <c r="F93" s="860"/>
      <c r="G93" s="860"/>
      <c r="H93" s="861">
        <f>SUM(H90:H92)</f>
        <v>0</v>
      </c>
      <c r="I93" s="856"/>
      <c r="J93" s="857">
        <f>SUM(J90:J92)</f>
        <v>0</v>
      </c>
    </row>
    <row r="94" spans="1:14">
      <c r="M94" s="862"/>
    </row>
    <row r="95" spans="1:14">
      <c r="M95" s="862"/>
    </row>
    <row r="96" spans="1:14">
      <c r="M96" s="862"/>
    </row>
  </sheetData>
  <mergeCells count="4">
    <mergeCell ref="B2:C2"/>
    <mergeCell ref="B60:E60"/>
    <mergeCell ref="B93:E93"/>
    <mergeCell ref="B9:C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B17A-9D77-4150-BA33-36F4ED95CBFA}">
  <dimension ref="A1:AM30"/>
  <sheetViews>
    <sheetView tabSelected="1" zoomScaleNormal="100" workbookViewId="0">
      <selection activeCell="A30" sqref="A30"/>
    </sheetView>
  </sheetViews>
  <sheetFormatPr defaultRowHeight="15"/>
  <cols>
    <col min="2" max="2" width="40.140625" bestFit="1" customWidth="1"/>
    <col min="3" max="3" width="20.7109375" bestFit="1" customWidth="1"/>
    <col min="4" max="4" width="20.28515625" customWidth="1"/>
    <col min="5" max="5" width="20.28515625" bestFit="1" customWidth="1"/>
  </cols>
  <sheetData>
    <row r="1" spans="1:39" ht="26.25" customHeight="1">
      <c r="A1" s="201"/>
      <c r="B1" s="201"/>
      <c r="D1" s="200"/>
      <c r="AL1" s="1"/>
    </row>
    <row r="2" spans="1:39" ht="51.75" customHeight="1">
      <c r="A2" s="201"/>
      <c r="B2" s="201"/>
      <c r="D2" s="200"/>
      <c r="AL2" s="1"/>
    </row>
    <row r="3" spans="1:39" ht="6" customHeight="1">
      <c r="A3" s="663"/>
      <c r="B3" s="663"/>
      <c r="C3" s="663"/>
      <c r="D3" s="663"/>
      <c r="E3" s="663"/>
      <c r="F3" s="664"/>
      <c r="G3" s="332"/>
      <c r="H3" s="332"/>
      <c r="I3" s="332"/>
      <c r="J3" s="332"/>
      <c r="K3" s="332"/>
      <c r="L3" s="332"/>
      <c r="M3" s="332"/>
      <c r="N3" s="332"/>
      <c r="O3" s="332"/>
      <c r="P3" s="332"/>
      <c r="Q3" s="332"/>
      <c r="R3" s="332"/>
      <c r="S3" s="332"/>
      <c r="T3" s="332"/>
      <c r="U3" s="332"/>
      <c r="V3" s="332"/>
      <c r="W3" s="332"/>
      <c r="X3" s="332"/>
      <c r="Y3" s="332"/>
      <c r="Z3" s="332"/>
      <c r="AA3" s="332"/>
      <c r="AB3" s="332"/>
      <c r="AC3" s="332"/>
      <c r="AD3" s="332"/>
      <c r="AE3" s="332"/>
      <c r="AF3" s="332"/>
      <c r="AG3" s="332"/>
      <c r="AH3" s="332"/>
      <c r="AI3" s="332"/>
      <c r="AJ3" s="332"/>
      <c r="AK3" s="332"/>
      <c r="AL3" s="332"/>
      <c r="AM3" s="229"/>
    </row>
    <row r="5" spans="1:39" ht="18">
      <c r="A5" s="244" t="str">
        <f>'Area Calculations'!$B$4</f>
        <v>The Club at Ibis Conceptual Estimate</v>
      </c>
    </row>
    <row r="7" spans="1:39" ht="18">
      <c r="A7" s="244" t="s">
        <v>129</v>
      </c>
    </row>
    <row r="8" spans="1:39" ht="15.75" thickBot="1"/>
    <row r="9" spans="1:39">
      <c r="A9" s="654" t="s">
        <v>130</v>
      </c>
      <c r="B9" s="655" t="s">
        <v>131</v>
      </c>
      <c r="C9" s="655" t="s">
        <v>132</v>
      </c>
      <c r="D9" s="655" t="s">
        <v>133</v>
      </c>
      <c r="E9" s="656" t="s">
        <v>134</v>
      </c>
    </row>
    <row r="10" spans="1:39">
      <c r="A10" s="657" t="s">
        <v>135</v>
      </c>
      <c r="B10" s="214" t="s">
        <v>136</v>
      </c>
      <c r="C10" s="214" t="s">
        <v>137</v>
      </c>
      <c r="D10" s="214" t="s">
        <v>138</v>
      </c>
      <c r="E10" s="658" t="s">
        <v>139</v>
      </c>
    </row>
    <row r="11" spans="1:39">
      <c r="A11" s="657" t="s">
        <v>140</v>
      </c>
      <c r="B11" s="214" t="s">
        <v>141</v>
      </c>
      <c r="C11" s="214" t="s">
        <v>142</v>
      </c>
      <c r="D11" s="214" t="s">
        <v>143</v>
      </c>
      <c r="E11" s="658" t="s">
        <v>144</v>
      </c>
    </row>
    <row r="12" spans="1:39">
      <c r="A12" s="657" t="s">
        <v>145</v>
      </c>
      <c r="B12" s="214" t="s">
        <v>146</v>
      </c>
      <c r="C12" s="214" t="s">
        <v>147</v>
      </c>
      <c r="D12" s="214" t="s">
        <v>148</v>
      </c>
      <c r="E12" s="658" t="s">
        <v>149</v>
      </c>
    </row>
    <row r="13" spans="1:39">
      <c r="A13" s="657" t="s">
        <v>150</v>
      </c>
      <c r="B13" s="214" t="s">
        <v>151</v>
      </c>
      <c r="C13" s="214" t="s">
        <v>152</v>
      </c>
      <c r="D13" s="214" t="s">
        <v>153</v>
      </c>
      <c r="E13" s="658" t="s">
        <v>154</v>
      </c>
    </row>
    <row r="14" spans="1:39">
      <c r="A14" s="657" t="s">
        <v>155</v>
      </c>
      <c r="B14" s="214" t="s">
        <v>156</v>
      </c>
      <c r="C14" s="214" t="s">
        <v>157</v>
      </c>
      <c r="D14" s="214" t="s">
        <v>158</v>
      </c>
      <c r="E14" s="658" t="s">
        <v>159</v>
      </c>
    </row>
    <row r="15" spans="1:39">
      <c r="A15" s="657" t="s">
        <v>160</v>
      </c>
      <c r="B15" s="214" t="s">
        <v>161</v>
      </c>
      <c r="C15" s="214" t="s">
        <v>162</v>
      </c>
      <c r="D15" s="214" t="s">
        <v>163</v>
      </c>
      <c r="E15" s="658" t="s">
        <v>164</v>
      </c>
    </row>
    <row r="16" spans="1:39">
      <c r="A16" s="657" t="s">
        <v>165</v>
      </c>
      <c r="B16" s="214" t="s">
        <v>166</v>
      </c>
      <c r="C16" s="214" t="s">
        <v>167</v>
      </c>
      <c r="D16" s="214" t="s">
        <v>168</v>
      </c>
      <c r="E16" s="658" t="s">
        <v>169</v>
      </c>
    </row>
    <row r="17" spans="1:5">
      <c r="A17" s="657" t="s">
        <v>170</v>
      </c>
      <c r="B17" s="214" t="s">
        <v>171</v>
      </c>
      <c r="C17" s="214" t="s">
        <v>167</v>
      </c>
      <c r="D17" s="214" t="s">
        <v>172</v>
      </c>
      <c r="E17" s="658" t="s">
        <v>173</v>
      </c>
    </row>
    <row r="18" spans="1:5">
      <c r="A18" s="657" t="s">
        <v>174</v>
      </c>
      <c r="B18" s="214" t="s">
        <v>175</v>
      </c>
      <c r="C18" s="214" t="s">
        <v>176</v>
      </c>
      <c r="D18" s="214" t="s">
        <v>177</v>
      </c>
      <c r="E18" s="658" t="s">
        <v>178</v>
      </c>
    </row>
    <row r="19" spans="1:5">
      <c r="A19" s="657" t="s">
        <v>179</v>
      </c>
      <c r="B19" s="214" t="s">
        <v>180</v>
      </c>
      <c r="C19" s="214" t="s">
        <v>176</v>
      </c>
      <c r="D19" s="214" t="s">
        <v>177</v>
      </c>
      <c r="E19" s="658" t="s">
        <v>178</v>
      </c>
    </row>
    <row r="20" spans="1:5">
      <c r="A20" s="657" t="s">
        <v>181</v>
      </c>
      <c r="B20" s="214" t="s">
        <v>182</v>
      </c>
      <c r="C20" s="214" t="s">
        <v>167</v>
      </c>
      <c r="D20" s="214" t="s">
        <v>183</v>
      </c>
      <c r="E20" s="658" t="s">
        <v>184</v>
      </c>
    </row>
    <row r="21" spans="1:5">
      <c r="A21" s="657" t="s">
        <v>185</v>
      </c>
      <c r="B21" s="214" t="s">
        <v>186</v>
      </c>
      <c r="C21" s="214" t="s">
        <v>187</v>
      </c>
      <c r="D21" s="214" t="s">
        <v>188</v>
      </c>
      <c r="E21" s="658" t="s">
        <v>189</v>
      </c>
    </row>
    <row r="22" spans="1:5">
      <c r="A22" s="657" t="s">
        <v>190</v>
      </c>
      <c r="B22" s="309" t="s">
        <v>191</v>
      </c>
      <c r="C22" s="309" t="s">
        <v>192</v>
      </c>
      <c r="D22" s="309" t="s">
        <v>193</v>
      </c>
      <c r="E22" s="659" t="s">
        <v>194</v>
      </c>
    </row>
    <row r="23" spans="1:5">
      <c r="A23" s="657" t="s">
        <v>195</v>
      </c>
      <c r="B23" s="309" t="s">
        <v>196</v>
      </c>
      <c r="C23" s="309" t="s">
        <v>197</v>
      </c>
      <c r="D23" s="309" t="s">
        <v>198</v>
      </c>
      <c r="E23" s="659" t="s">
        <v>199</v>
      </c>
    </row>
    <row r="24" spans="1:5">
      <c r="A24" s="657" t="s">
        <v>200</v>
      </c>
      <c r="B24" s="214" t="s">
        <v>201</v>
      </c>
      <c r="C24" s="214" t="s">
        <v>202</v>
      </c>
      <c r="D24" s="214" t="s">
        <v>203</v>
      </c>
      <c r="E24" s="658" t="s">
        <v>204</v>
      </c>
    </row>
    <row r="25" spans="1:5">
      <c r="A25" s="657" t="s">
        <v>205</v>
      </c>
      <c r="B25" s="214" t="s">
        <v>206</v>
      </c>
      <c r="C25" s="214" t="s">
        <v>207</v>
      </c>
      <c r="D25" s="214" t="s">
        <v>208</v>
      </c>
      <c r="E25" s="658" t="s">
        <v>209</v>
      </c>
    </row>
    <row r="26" spans="1:5">
      <c r="A26" s="657" t="s">
        <v>210</v>
      </c>
      <c r="B26" s="214" t="s">
        <v>211</v>
      </c>
      <c r="C26" s="214" t="s">
        <v>212</v>
      </c>
      <c r="D26" s="214" t="s">
        <v>213</v>
      </c>
      <c r="E26" s="658" t="s">
        <v>214</v>
      </c>
    </row>
    <row r="27" spans="1:5">
      <c r="A27" s="657" t="s">
        <v>215</v>
      </c>
      <c r="B27" s="214" t="s">
        <v>216</v>
      </c>
      <c r="C27" s="214" t="s">
        <v>212</v>
      </c>
      <c r="D27" s="214" t="s">
        <v>217</v>
      </c>
      <c r="E27" s="658" t="s">
        <v>218</v>
      </c>
    </row>
    <row r="28" spans="1:5">
      <c r="A28" s="657" t="s">
        <v>219</v>
      </c>
      <c r="B28" s="214" t="s">
        <v>220</v>
      </c>
      <c r="C28" s="214" t="s">
        <v>221</v>
      </c>
      <c r="D28" s="214" t="s">
        <v>222</v>
      </c>
      <c r="E28" s="658" t="s">
        <v>223</v>
      </c>
    </row>
    <row r="29" spans="1:5">
      <c r="A29" s="657" t="s">
        <v>224</v>
      </c>
      <c r="B29" s="214" t="s">
        <v>225</v>
      </c>
      <c r="C29" s="214" t="s">
        <v>226</v>
      </c>
      <c r="D29" s="214" t="s">
        <v>227</v>
      </c>
      <c r="E29" s="658" t="s">
        <v>228</v>
      </c>
    </row>
    <row r="30" spans="1:5" ht="15.75" thickBot="1">
      <c r="A30" s="660" t="s">
        <v>229</v>
      </c>
      <c r="B30" s="661" t="s">
        <v>230</v>
      </c>
      <c r="C30" s="661" t="s">
        <v>231</v>
      </c>
      <c r="D30" s="661" t="s">
        <v>232</v>
      </c>
      <c r="E30" s="662"/>
    </row>
  </sheetData>
  <mergeCells count="1">
    <mergeCell ref="A3:F3"/>
  </mergeCells>
  <hyperlinks>
    <hyperlink ref="A11" location="'03A Concrete'!A1" display="03A" xr:uid="{5607E1C6-091B-4299-8DBE-A6C7BA576119}"/>
    <hyperlink ref="A13" location="'06F Millwork'!A1" display="06F" xr:uid="{D97036D8-7777-4805-B7EB-BCFF213E725A}"/>
    <hyperlink ref="A14" location="'07D Roofing'!A1" display="07D" xr:uid="{E80A5D43-E6DD-4107-AEA6-8E9C760C1790}"/>
    <hyperlink ref="A15" location="'08C Glass and Glazing'!A1" display="08C" xr:uid="{3E579F06-9167-486A-8342-7E0FCF59B707}"/>
    <hyperlink ref="A16" location="'09A Stucco'!A1" display="09A" xr:uid="{DBD94990-B72F-4AE1-B1A6-6E52C1981392}"/>
    <hyperlink ref="A17" location="'09B Drywall&amp;Framing'!A1" display="09B" xr:uid="{8A9C9658-7C44-4A76-811A-A831D835D575}"/>
    <hyperlink ref="A18" location="'09E Tile &amp; Stone'!A1" display="09E" xr:uid="{AD185B63-044A-44F0-B703-B2AA8192422E}"/>
    <hyperlink ref="A19" location="'09F Carpet &amp; Resilient'!A1" display="09F" xr:uid="{6C70F966-3F56-4C06-885C-B0C6DF40F206}"/>
    <hyperlink ref="A25" location="'21A Fire Sprinkler'!A1" display="21A" xr:uid="{865B90B4-4B75-48F3-A386-FBDFC60A1A45}"/>
    <hyperlink ref="A26" location="'22A Plumbing '!A1" display="22A" xr:uid="{71EEA8FD-FD4E-4EBD-B2E6-6A9720880ADD}"/>
    <hyperlink ref="A27" location="'23A HVAC'!A1" display="23A" xr:uid="{4EF51756-C5F2-4EB7-AF7C-1FE374A65E35}"/>
    <hyperlink ref="A28" location="'26A Electrical'!A1" display="26A" xr:uid="{96AAC439-C4CE-45A8-B7D1-15220E4F9CDC}"/>
    <hyperlink ref="A29" location="'31A Sitework'!A1" display="31A" xr:uid="{8883E7E8-9CC8-4DB4-9F8C-FEE303797318}"/>
    <hyperlink ref="A30" location="'32E Synthetic Fields'!A1" display="32E" xr:uid="{5ABD404C-6AFD-4A94-A319-D88CB021B119}"/>
    <hyperlink ref="A10" location="'02A Demolition'!A1" display="02A" xr:uid="{C5A58F77-8C81-4C96-BBB2-06809A20C861}"/>
    <hyperlink ref="A20" location="'09I Painting'!A1" display="09I" xr:uid="{6043442C-8AF1-4555-BD96-C9FCFB4DFAF0}"/>
    <hyperlink ref="A23" location="'13C Awnings,Canopies,Shutters'!A1" display="13C" xr:uid="{D2E779BA-6A21-4E0B-A5EE-097B6D2E5DC3}"/>
    <hyperlink ref="A22" location="'13B Swimming Pools'!A1" display="13B" xr:uid="{98AA2093-BB02-4BBA-8804-3F84A216988A}"/>
    <hyperlink ref="A12" location="'05A Structural Steel'!A1" display="05A" xr:uid="{7384DC1E-8C3E-452C-9F6D-EC76D08A0D3F}"/>
    <hyperlink ref="A24" location="'14A Elevators'!A1" display="14A" xr:uid="{7557FA83-26D6-4B96-8DDE-F0693E2FF9DC}"/>
    <hyperlink ref="A21" location="'10B Operable Partitions'!A1" display="10B" xr:uid="{2040495C-0F22-4B2B-B15D-774F039ED5E0}"/>
  </hyperlinks>
  <pageMargins left="0.7" right="0.7" top="0.75" bottom="0.75" header="0.3" footer="0.3"/>
  <pageSetup scale="6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0D2A-85CB-4518-ACF4-03F3ACC4E379}">
  <sheetPr>
    <tabColor rgb="FFFFC000"/>
  </sheetPr>
  <dimension ref="A1:AH39"/>
  <sheetViews>
    <sheetView workbookViewId="0">
      <pane xSplit="2" topLeftCell="E1" activePane="topRight" state="frozen"/>
      <selection pane="topRight" activeCell="A27" sqref="A27"/>
    </sheetView>
  </sheetViews>
  <sheetFormatPr defaultColWidth="9" defaultRowHeight="15"/>
  <cols>
    <col min="1" max="1" width="47.5703125" style="389" customWidth="1"/>
    <col min="2" max="2" width="13.28515625" style="389" customWidth="1"/>
    <col min="3" max="9" width="10.28515625" style="389" bestFit="1" customWidth="1"/>
    <col min="10" max="10" width="10.28515625" style="389" customWidth="1"/>
    <col min="11" max="20" width="10.28515625" style="389" bestFit="1" customWidth="1"/>
    <col min="21" max="30" width="10.28515625" style="389" customWidth="1"/>
    <col min="31" max="31" width="10.28515625" style="390" customWidth="1"/>
    <col min="32" max="32" width="10.5703125" style="389" customWidth="1"/>
    <col min="33" max="16384" width="9" style="389"/>
  </cols>
  <sheetData>
    <row r="1" spans="1:33">
      <c r="A1" s="388" t="s">
        <v>233</v>
      </c>
      <c r="B1" s="388"/>
    </row>
    <row r="2" spans="1:33">
      <c r="A2" s="388" t="s">
        <v>234</v>
      </c>
      <c r="B2" s="388"/>
    </row>
    <row r="3" spans="1:33">
      <c r="A3" s="391" t="s">
        <v>235</v>
      </c>
      <c r="B3" s="391"/>
      <c r="C3" s="693">
        <v>2026</v>
      </c>
      <c r="D3" s="694"/>
      <c r="E3" s="694"/>
      <c r="F3" s="694"/>
      <c r="G3" s="694"/>
      <c r="H3" s="694"/>
      <c r="I3" s="694"/>
      <c r="J3" s="694"/>
      <c r="K3" s="695">
        <v>2027</v>
      </c>
      <c r="L3" s="689"/>
      <c r="M3" s="689"/>
      <c r="N3" s="689"/>
      <c r="O3" s="689"/>
      <c r="P3" s="689"/>
      <c r="Q3" s="689"/>
      <c r="R3" s="689"/>
      <c r="S3" s="689"/>
      <c r="T3" s="689"/>
      <c r="U3" s="689"/>
      <c r="V3" s="689"/>
      <c r="W3" s="687">
        <v>2028</v>
      </c>
      <c r="X3" s="688"/>
      <c r="Y3" s="688"/>
      <c r="Z3" s="688"/>
      <c r="AA3" s="688"/>
      <c r="AB3" s="688"/>
      <c r="AC3" s="688"/>
      <c r="AD3" s="688"/>
      <c r="AE3" s="689"/>
      <c r="AF3" s="690"/>
    </row>
    <row r="4" spans="1:33">
      <c r="A4" s="391" t="s">
        <v>236</v>
      </c>
      <c r="B4" s="391"/>
      <c r="C4" s="865" t="s">
        <v>237</v>
      </c>
      <c r="D4" s="866" t="s">
        <v>238</v>
      </c>
      <c r="E4" s="866" t="s">
        <v>239</v>
      </c>
      <c r="F4" s="866" t="s">
        <v>240</v>
      </c>
      <c r="G4" s="866" t="s">
        <v>241</v>
      </c>
      <c r="H4" s="866" t="s">
        <v>242</v>
      </c>
      <c r="I4" s="867" t="s">
        <v>243</v>
      </c>
      <c r="J4" s="868" t="s">
        <v>244</v>
      </c>
      <c r="K4" s="869" t="s">
        <v>245</v>
      </c>
      <c r="L4" s="870" t="s">
        <v>246</v>
      </c>
      <c r="M4" s="870" t="s">
        <v>247</v>
      </c>
      <c r="N4" s="870" t="s">
        <v>248</v>
      </c>
      <c r="O4" s="870" t="s">
        <v>237</v>
      </c>
      <c r="P4" s="870" t="s">
        <v>238</v>
      </c>
      <c r="Q4" s="870" t="s">
        <v>239</v>
      </c>
      <c r="R4" s="870" t="s">
        <v>240</v>
      </c>
      <c r="S4" s="870" t="s">
        <v>249</v>
      </c>
      <c r="T4" s="871" t="s">
        <v>242</v>
      </c>
      <c r="U4" s="872" t="s">
        <v>243</v>
      </c>
      <c r="V4" s="873" t="s">
        <v>244</v>
      </c>
      <c r="W4" s="458" t="s">
        <v>245</v>
      </c>
      <c r="X4" s="459" t="s">
        <v>246</v>
      </c>
      <c r="Y4" s="459" t="s">
        <v>247</v>
      </c>
      <c r="Z4" s="459" t="s">
        <v>248</v>
      </c>
      <c r="AA4" s="459" t="s">
        <v>237</v>
      </c>
      <c r="AB4" s="459" t="s">
        <v>238</v>
      </c>
      <c r="AC4" s="521"/>
      <c r="AD4" s="460" t="s">
        <v>240</v>
      </c>
      <c r="AE4" s="431"/>
      <c r="AF4" s="874" t="s">
        <v>249</v>
      </c>
    </row>
    <row r="5" spans="1:33">
      <c r="A5" s="392"/>
      <c r="B5" s="392"/>
      <c r="C5" s="443">
        <v>1</v>
      </c>
      <c r="D5" s="433">
        <f t="shared" ref="D5:T5" si="0">C5+1</f>
        <v>2</v>
      </c>
      <c r="E5" s="433">
        <f t="shared" si="0"/>
        <v>3</v>
      </c>
      <c r="F5" s="433">
        <f t="shared" si="0"/>
        <v>4</v>
      </c>
      <c r="G5" s="433">
        <f t="shared" si="0"/>
        <v>5</v>
      </c>
      <c r="H5" s="433">
        <f t="shared" si="0"/>
        <v>6</v>
      </c>
      <c r="I5" s="433">
        <f t="shared" si="0"/>
        <v>7</v>
      </c>
      <c r="J5" s="442">
        <v>8</v>
      </c>
      <c r="K5" s="443">
        <v>9</v>
      </c>
      <c r="L5" s="433">
        <f t="shared" si="0"/>
        <v>10</v>
      </c>
      <c r="M5" s="433">
        <f t="shared" si="0"/>
        <v>11</v>
      </c>
      <c r="N5" s="433">
        <f t="shared" si="0"/>
        <v>12</v>
      </c>
      <c r="O5" s="433">
        <f t="shared" si="0"/>
        <v>13</v>
      </c>
      <c r="P5" s="433">
        <f t="shared" si="0"/>
        <v>14</v>
      </c>
      <c r="Q5" s="433">
        <f t="shared" si="0"/>
        <v>15</v>
      </c>
      <c r="R5" s="433">
        <f t="shared" si="0"/>
        <v>16</v>
      </c>
      <c r="S5" s="433">
        <f t="shared" si="0"/>
        <v>17</v>
      </c>
      <c r="T5" s="441">
        <f t="shared" si="0"/>
        <v>18</v>
      </c>
      <c r="U5" s="442">
        <f t="shared" ref="U5" si="1">T5+1</f>
        <v>19</v>
      </c>
      <c r="V5" s="451">
        <f t="shared" ref="V5" si="2">U5+1</f>
        <v>20</v>
      </c>
      <c r="W5" s="443">
        <v>21</v>
      </c>
      <c r="X5" s="433">
        <f t="shared" ref="X5" si="3">W5+1</f>
        <v>22</v>
      </c>
      <c r="Y5" s="433">
        <f t="shared" ref="Y5" si="4">X5+1</f>
        <v>23</v>
      </c>
      <c r="Z5" s="433">
        <f t="shared" ref="Z5" si="5">Y5+1</f>
        <v>24</v>
      </c>
      <c r="AA5" s="433">
        <f t="shared" ref="AA5" si="6">Z5+1</f>
        <v>25</v>
      </c>
      <c r="AB5" s="433">
        <f t="shared" ref="AB5" si="7">AA5+1</f>
        <v>26</v>
      </c>
      <c r="AC5" s="442">
        <v>27</v>
      </c>
      <c r="AD5" s="444">
        <v>28</v>
      </c>
      <c r="AE5" s="450"/>
      <c r="AF5" s="435">
        <f>AD5+1</f>
        <v>29</v>
      </c>
    </row>
    <row r="6" spans="1:33">
      <c r="A6" s="691" t="s">
        <v>250</v>
      </c>
      <c r="B6" s="692"/>
      <c r="C6" s="445"/>
      <c r="D6" s="438"/>
      <c r="E6" s="438"/>
      <c r="F6" s="438"/>
      <c r="G6" s="438"/>
      <c r="H6" s="438"/>
      <c r="I6" s="438"/>
      <c r="J6" s="448"/>
      <c r="K6" s="445"/>
      <c r="L6" s="438"/>
      <c r="M6" s="438"/>
      <c r="N6" s="438"/>
      <c r="O6" s="438"/>
      <c r="P6" s="438"/>
      <c r="Q6" s="438"/>
      <c r="R6" s="438"/>
      <c r="S6" s="438"/>
      <c r="T6" s="438"/>
      <c r="U6" s="438"/>
      <c r="V6" s="448"/>
      <c r="W6" s="445"/>
      <c r="X6" s="438"/>
      <c r="Y6" s="438"/>
      <c r="Z6" s="438"/>
      <c r="AA6" s="438"/>
      <c r="AB6" s="438"/>
      <c r="AC6" s="438"/>
      <c r="AD6" s="461"/>
      <c r="AF6" s="436"/>
    </row>
    <row r="7" spans="1:33">
      <c r="A7" s="875" t="s">
        <v>251</v>
      </c>
      <c r="B7" s="876"/>
      <c r="C7" s="877"/>
      <c r="D7" s="878"/>
      <c r="E7" s="878"/>
      <c r="F7" s="879"/>
      <c r="G7" s="879"/>
      <c r="H7" s="879"/>
      <c r="I7" s="879"/>
      <c r="J7" s="880"/>
      <c r="K7" s="881"/>
      <c r="L7" s="882"/>
      <c r="M7" s="882"/>
      <c r="N7" s="882"/>
      <c r="O7" s="882"/>
      <c r="P7" s="882"/>
      <c r="Q7" s="882"/>
      <c r="R7" s="882"/>
      <c r="S7" s="882"/>
      <c r="T7" s="882"/>
      <c r="U7" s="883"/>
      <c r="V7" s="880"/>
      <c r="W7" s="881"/>
      <c r="X7" s="882"/>
      <c r="Y7" s="882"/>
      <c r="Z7" s="882"/>
      <c r="AA7" s="882"/>
      <c r="AB7" s="882"/>
      <c r="AC7" s="883"/>
      <c r="AD7" s="884"/>
      <c r="AF7" s="885"/>
    </row>
    <row r="8" spans="1:33">
      <c r="A8" s="886" t="s">
        <v>252</v>
      </c>
      <c r="B8" s="887"/>
      <c r="C8" s="877"/>
      <c r="D8" s="878"/>
      <c r="E8" s="878"/>
      <c r="F8" s="878"/>
      <c r="G8" s="878"/>
      <c r="H8" s="452"/>
      <c r="I8" s="453"/>
      <c r="J8" s="454"/>
      <c r="K8" s="562"/>
      <c r="L8" s="888"/>
      <c r="M8" s="393"/>
      <c r="N8" s="393"/>
      <c r="O8" s="393"/>
      <c r="P8" s="393"/>
      <c r="Q8" s="393"/>
      <c r="R8" s="393"/>
      <c r="S8" s="393"/>
      <c r="T8" s="393"/>
      <c r="U8" s="432"/>
      <c r="V8" s="449"/>
      <c r="W8" s="446"/>
      <c r="X8" s="393"/>
      <c r="Y8" s="393"/>
      <c r="Z8" s="393"/>
      <c r="AA8" s="393"/>
      <c r="AB8" s="393"/>
      <c r="AC8" s="432"/>
      <c r="AD8" s="462"/>
      <c r="AF8" s="437"/>
    </row>
    <row r="9" spans="1:33">
      <c r="A9" s="686" t="s">
        <v>253</v>
      </c>
      <c r="B9" s="889"/>
      <c r="C9" s="890"/>
      <c r="D9" s="529"/>
      <c r="E9" s="529"/>
      <c r="F9" s="529"/>
      <c r="G9" s="529"/>
      <c r="H9" s="529"/>
      <c r="I9" s="529"/>
      <c r="J9" s="891"/>
      <c r="K9" s="890"/>
      <c r="L9" s="529"/>
      <c r="M9" s="529"/>
      <c r="N9" s="529"/>
      <c r="O9" s="529"/>
      <c r="P9" s="529"/>
      <c r="Q9" s="529"/>
      <c r="R9" s="529"/>
      <c r="S9" s="529"/>
      <c r="T9" s="529"/>
      <c r="U9" s="529"/>
      <c r="V9" s="891"/>
      <c r="W9" s="890"/>
      <c r="X9" s="529"/>
      <c r="Y9" s="529"/>
      <c r="Z9" s="529"/>
      <c r="AA9" s="529"/>
      <c r="AB9" s="529"/>
      <c r="AC9" s="529"/>
      <c r="AD9" s="892"/>
      <c r="AF9" s="893"/>
      <c r="AG9" s="390"/>
    </row>
    <row r="10" spans="1:33">
      <c r="A10" s="875" t="s">
        <v>254</v>
      </c>
      <c r="B10" s="876"/>
      <c r="C10" s="894"/>
      <c r="D10" s="895"/>
      <c r="E10" s="895"/>
      <c r="F10" s="895"/>
      <c r="G10" s="895"/>
      <c r="H10" s="895"/>
      <c r="I10" s="896"/>
      <c r="J10" s="897"/>
      <c r="K10" s="894"/>
      <c r="L10" s="895"/>
      <c r="M10" s="895"/>
      <c r="N10" s="895"/>
      <c r="O10" s="898"/>
      <c r="P10" s="898"/>
      <c r="Q10" s="898"/>
      <c r="R10" s="898"/>
      <c r="S10" s="898"/>
      <c r="T10" s="895"/>
      <c r="U10" s="896"/>
      <c r="V10" s="897"/>
      <c r="W10" s="894"/>
      <c r="X10" s="895"/>
      <c r="Y10" s="895"/>
      <c r="Z10" s="895"/>
      <c r="AA10" s="895"/>
      <c r="AB10" s="895"/>
      <c r="AC10" s="896"/>
      <c r="AD10" s="899"/>
      <c r="AF10" s="900"/>
      <c r="AG10" s="390"/>
    </row>
    <row r="11" spans="1:33">
      <c r="A11" s="901" t="s">
        <v>255</v>
      </c>
      <c r="B11" s="685"/>
      <c r="C11" s="894"/>
      <c r="D11" s="895"/>
      <c r="E11" s="895"/>
      <c r="F11" s="895"/>
      <c r="G11" s="895"/>
      <c r="H11" s="895"/>
      <c r="I11" s="883"/>
      <c r="J11" s="880"/>
      <c r="K11" s="902"/>
      <c r="L11" s="878"/>
      <c r="M11" s="878"/>
      <c r="N11" s="878"/>
      <c r="O11" s="878"/>
      <c r="P11" s="878"/>
      <c r="Q11" s="878"/>
      <c r="R11" s="878"/>
      <c r="S11" s="878"/>
      <c r="T11" s="878"/>
      <c r="U11" s="903"/>
      <c r="V11" s="904"/>
      <c r="W11" s="902"/>
      <c r="X11" s="878"/>
      <c r="Y11" s="882"/>
      <c r="Z11" s="882"/>
      <c r="AA11" s="882"/>
      <c r="AB11" s="879"/>
      <c r="AC11" s="905"/>
      <c r="AD11" s="906"/>
      <c r="AF11" s="885"/>
    </row>
    <row r="12" spans="1:33">
      <c r="A12" s="886" t="s">
        <v>256</v>
      </c>
      <c r="B12" s="887"/>
      <c r="C12" s="894"/>
      <c r="D12" s="895"/>
      <c r="E12" s="895"/>
      <c r="F12" s="895"/>
      <c r="G12" s="895"/>
      <c r="H12" s="895"/>
      <c r="I12" s="432"/>
      <c r="J12" s="449"/>
      <c r="K12" s="446"/>
      <c r="L12" s="393"/>
      <c r="M12" s="393"/>
      <c r="N12" s="393"/>
      <c r="O12" s="452"/>
      <c r="P12" s="452"/>
      <c r="Q12" s="452"/>
      <c r="R12" s="452"/>
      <c r="S12" s="452"/>
      <c r="T12" s="393"/>
      <c r="U12" s="432"/>
      <c r="V12" s="449"/>
      <c r="W12" s="446"/>
      <c r="X12" s="393"/>
      <c r="Y12" s="393"/>
      <c r="Z12" s="393"/>
      <c r="AA12" s="393"/>
      <c r="AB12" s="393"/>
      <c r="AC12" s="432"/>
      <c r="AD12" s="462"/>
      <c r="AF12" s="437"/>
    </row>
    <row r="13" spans="1:33">
      <c r="A13" s="439" t="s">
        <v>257</v>
      </c>
      <c r="B13" s="430"/>
      <c r="C13" s="446"/>
      <c r="D13" s="393"/>
      <c r="E13" s="393"/>
      <c r="F13" s="393"/>
      <c r="G13" s="393"/>
      <c r="H13" s="393"/>
      <c r="I13" s="393"/>
      <c r="J13" s="449"/>
      <c r="K13" s="559"/>
      <c r="L13" s="560"/>
      <c r="M13" s="452"/>
      <c r="N13" s="452"/>
      <c r="O13" s="452"/>
      <c r="P13" s="452"/>
      <c r="Q13" s="452"/>
      <c r="R13" s="452"/>
      <c r="S13" s="452"/>
      <c r="T13" s="452"/>
      <c r="U13" s="452"/>
      <c r="V13" s="454"/>
      <c r="W13" s="562"/>
      <c r="X13" s="561"/>
      <c r="Y13" s="393"/>
      <c r="Z13" s="393"/>
      <c r="AA13" s="393"/>
      <c r="AB13" s="393"/>
      <c r="AC13" s="432"/>
      <c r="AD13" s="462"/>
      <c r="AF13" s="437"/>
    </row>
    <row r="14" spans="1:33">
      <c r="A14" s="686" t="s">
        <v>258</v>
      </c>
      <c r="B14" s="889"/>
      <c r="C14" s="890"/>
      <c r="D14" s="529"/>
      <c r="E14" s="529"/>
      <c r="F14" s="529"/>
      <c r="G14" s="529"/>
      <c r="H14" s="529"/>
      <c r="I14" s="529"/>
      <c r="J14" s="891"/>
      <c r="K14" s="890"/>
      <c r="L14" s="529"/>
      <c r="M14" s="529"/>
      <c r="N14" s="529"/>
      <c r="O14" s="529"/>
      <c r="P14" s="529"/>
      <c r="Q14" s="529"/>
      <c r="R14" s="529"/>
      <c r="S14" s="529"/>
      <c r="T14" s="529"/>
      <c r="U14" s="529"/>
      <c r="V14" s="891"/>
      <c r="W14" s="890"/>
      <c r="X14" s="529"/>
      <c r="Y14" s="529"/>
      <c r="Z14" s="529"/>
      <c r="AA14" s="529"/>
      <c r="AB14" s="529"/>
      <c r="AC14" s="529"/>
      <c r="AD14" s="892"/>
      <c r="AF14" s="893"/>
      <c r="AG14" s="390"/>
    </row>
    <row r="15" spans="1:33">
      <c r="A15" s="875" t="s">
        <v>259</v>
      </c>
      <c r="B15" s="876"/>
      <c r="C15" s="881"/>
      <c r="D15" s="882"/>
      <c r="E15" s="882"/>
      <c r="F15" s="882"/>
      <c r="G15" s="882"/>
      <c r="H15" s="882"/>
      <c r="I15" s="883"/>
      <c r="J15" s="880"/>
      <c r="K15" s="881"/>
      <c r="L15" s="882"/>
      <c r="M15" s="882"/>
      <c r="N15" s="882"/>
      <c r="O15" s="882"/>
      <c r="P15" s="882"/>
      <c r="Q15" s="879"/>
      <c r="R15" s="879"/>
      <c r="S15" s="879"/>
      <c r="T15" s="879"/>
      <c r="U15" s="905"/>
      <c r="V15" s="907"/>
      <c r="W15" s="881"/>
      <c r="X15" s="882"/>
      <c r="Y15" s="878"/>
      <c r="Z15" s="878"/>
      <c r="AA15" s="878"/>
      <c r="AB15" s="878"/>
      <c r="AC15" s="903"/>
      <c r="AD15" s="908"/>
      <c r="AF15" s="909"/>
    </row>
    <row r="16" spans="1:33">
      <c r="A16" s="910" t="s">
        <v>260</v>
      </c>
      <c r="B16" s="911"/>
      <c r="C16" s="881"/>
      <c r="D16" s="882"/>
      <c r="E16" s="882"/>
      <c r="F16" s="882"/>
      <c r="G16" s="882"/>
      <c r="H16" s="882"/>
      <c r="I16" s="883"/>
      <c r="J16" s="880"/>
      <c r="K16" s="881"/>
      <c r="L16" s="882"/>
      <c r="M16" s="882"/>
      <c r="N16" s="882"/>
      <c r="O16" s="882"/>
      <c r="P16" s="882"/>
      <c r="Q16" s="879"/>
      <c r="R16" s="879"/>
      <c r="S16" s="879"/>
      <c r="T16" s="879"/>
      <c r="U16" s="905"/>
      <c r="V16" s="907"/>
      <c r="W16" s="881"/>
      <c r="X16" s="882"/>
      <c r="Y16" s="878"/>
      <c r="Z16" s="878"/>
      <c r="AA16" s="878"/>
      <c r="AB16" s="878"/>
      <c r="AC16" s="903"/>
      <c r="AD16" s="908"/>
      <c r="AF16" s="909"/>
    </row>
    <row r="17" spans="1:34">
      <c r="A17" s="683" t="s">
        <v>261</v>
      </c>
      <c r="B17" s="684"/>
      <c r="C17" s="912"/>
      <c r="D17" s="913"/>
      <c r="E17" s="913"/>
      <c r="F17" s="913"/>
      <c r="G17" s="913"/>
      <c r="H17" s="913"/>
      <c r="I17" s="914"/>
      <c r="J17" s="915"/>
      <c r="K17" s="912"/>
      <c r="L17" s="913"/>
      <c r="M17" s="913"/>
      <c r="N17" s="913"/>
      <c r="O17" s="913"/>
      <c r="P17" s="455"/>
      <c r="Q17" s="455"/>
      <c r="R17" s="455"/>
      <c r="S17" s="455"/>
      <c r="T17" s="455"/>
      <c r="U17" s="456"/>
      <c r="V17" s="457"/>
      <c r="W17" s="912"/>
      <c r="X17" s="913"/>
      <c r="Y17" s="913"/>
      <c r="Z17" s="913"/>
      <c r="AA17" s="913"/>
      <c r="AB17" s="455"/>
      <c r="AC17" s="456"/>
      <c r="AD17" s="463"/>
      <c r="AF17" s="900"/>
    </row>
    <row r="18" spans="1:34">
      <c r="A18" s="440" t="s">
        <v>262</v>
      </c>
      <c r="B18" s="916"/>
      <c r="C18" s="447"/>
      <c r="D18" s="917"/>
      <c r="E18" s="917"/>
      <c r="F18" s="917"/>
      <c r="G18" s="917"/>
      <c r="H18" s="917"/>
      <c r="I18" s="917"/>
      <c r="J18" s="434"/>
      <c r="K18" s="447"/>
      <c r="L18" s="917"/>
      <c r="M18" s="917"/>
      <c r="N18" s="917"/>
      <c r="O18" s="917"/>
      <c r="P18" s="917"/>
      <c r="Q18" s="917"/>
      <c r="R18" s="917"/>
      <c r="S18" s="917"/>
      <c r="T18" s="917"/>
      <c r="U18" s="917"/>
      <c r="V18" s="918"/>
      <c r="W18" s="447"/>
      <c r="X18" s="917"/>
      <c r="Y18" s="917"/>
      <c r="Z18" s="917"/>
      <c r="AA18" s="917"/>
      <c r="AB18" s="917"/>
      <c r="AC18" s="917"/>
      <c r="AD18" s="917"/>
      <c r="AE18" s="511" t="s">
        <v>263</v>
      </c>
      <c r="AF18" s="917"/>
      <c r="AG18" s="516" t="s">
        <v>264</v>
      </c>
    </row>
    <row r="19" spans="1:34">
      <c r="A19" s="919" t="s">
        <v>265</v>
      </c>
      <c r="B19" s="920" t="s">
        <v>266</v>
      </c>
      <c r="C19" s="921"/>
      <c r="D19" s="922"/>
      <c r="E19" s="922"/>
      <c r="F19" s="922"/>
      <c r="G19" s="922"/>
      <c r="H19" s="922"/>
      <c r="I19" s="922"/>
      <c r="J19" s="923"/>
      <c r="K19" s="921"/>
      <c r="L19" s="922"/>
      <c r="M19" s="922"/>
      <c r="N19" s="922"/>
      <c r="O19" s="922"/>
      <c r="P19" s="922"/>
      <c r="Q19" s="922"/>
      <c r="R19" s="922"/>
      <c r="S19" s="922"/>
      <c r="T19" s="922"/>
      <c r="U19" s="924"/>
      <c r="V19" s="923"/>
      <c r="W19" s="921"/>
      <c r="X19" s="922"/>
      <c r="Y19" s="922"/>
      <c r="Z19" s="922"/>
      <c r="AA19" s="922"/>
      <c r="AB19" s="922"/>
      <c r="AC19" s="924"/>
      <c r="AD19" s="924"/>
      <c r="AE19" s="512">
        <f>SUM(C19:AD19)/$AD$5</f>
        <v>0</v>
      </c>
      <c r="AF19" s="925"/>
      <c r="AG19" s="517">
        <v>0</v>
      </c>
    </row>
    <row r="20" spans="1:34">
      <c r="A20" s="926" t="s">
        <v>267</v>
      </c>
      <c r="B20" s="927" t="s">
        <v>268</v>
      </c>
      <c r="C20" s="928">
        <v>0.2</v>
      </c>
      <c r="D20" s="929">
        <v>0.2</v>
      </c>
      <c r="E20" s="929">
        <v>0.2</v>
      </c>
      <c r="F20" s="929">
        <v>0.2</v>
      </c>
      <c r="G20" s="929">
        <v>0.2</v>
      </c>
      <c r="H20" s="929">
        <v>0.2</v>
      </c>
      <c r="I20" s="929">
        <v>0.2</v>
      </c>
      <c r="J20" s="929">
        <v>0.2</v>
      </c>
      <c r="K20" s="929">
        <v>0.2</v>
      </c>
      <c r="L20" s="929">
        <v>0.2</v>
      </c>
      <c r="M20" s="929">
        <v>0.2</v>
      </c>
      <c r="N20" s="929">
        <v>0.2</v>
      </c>
      <c r="O20" s="929">
        <v>0.2</v>
      </c>
      <c r="P20" s="929">
        <v>0.2</v>
      </c>
      <c r="Q20" s="929">
        <v>0.2</v>
      </c>
      <c r="R20" s="929">
        <v>0.2</v>
      </c>
      <c r="S20" s="929">
        <v>0.2</v>
      </c>
      <c r="T20" s="929">
        <v>0.2</v>
      </c>
      <c r="U20" s="929">
        <v>0.2</v>
      </c>
      <c r="V20" s="929">
        <v>0.2</v>
      </c>
      <c r="W20" s="929">
        <v>0.2</v>
      </c>
      <c r="X20" s="929">
        <v>0.2</v>
      </c>
      <c r="Y20" s="929">
        <v>0.2</v>
      </c>
      <c r="Z20" s="929">
        <v>0.2</v>
      </c>
      <c r="AA20" s="929">
        <v>0.2</v>
      </c>
      <c r="AB20" s="929">
        <v>0.2</v>
      </c>
      <c r="AC20" s="930">
        <v>0.2</v>
      </c>
      <c r="AD20" s="930">
        <v>0.2</v>
      </c>
      <c r="AE20" s="513">
        <f>SUM(C20:AD20)/$AD$5</f>
        <v>0.20000000000000009</v>
      </c>
      <c r="AF20" s="931">
        <v>0</v>
      </c>
      <c r="AG20" s="518">
        <f t="shared" ref="AG20:AG37" si="8">(AF20)</f>
        <v>0</v>
      </c>
    </row>
    <row r="21" spans="1:34">
      <c r="A21" s="932" t="s">
        <v>269</v>
      </c>
      <c r="B21" s="927"/>
      <c r="C21" s="933"/>
      <c r="D21" s="934"/>
      <c r="E21" s="934"/>
      <c r="F21" s="934"/>
      <c r="G21" s="934"/>
      <c r="H21" s="934"/>
      <c r="I21" s="934"/>
      <c r="J21" s="935"/>
      <c r="K21" s="933"/>
      <c r="L21" s="934"/>
      <c r="M21" s="934"/>
      <c r="N21" s="934"/>
      <c r="O21" s="934"/>
      <c r="P21" s="934"/>
      <c r="Q21" s="934"/>
      <c r="R21" s="934"/>
      <c r="S21" s="934"/>
      <c r="T21" s="934"/>
      <c r="U21" s="936"/>
      <c r="V21" s="935"/>
      <c r="W21" s="933"/>
      <c r="X21" s="934"/>
      <c r="Y21" s="934"/>
      <c r="Z21" s="934"/>
      <c r="AA21" s="934"/>
      <c r="AB21" s="934"/>
      <c r="AC21" s="936"/>
      <c r="AD21" s="936"/>
      <c r="AE21" s="513">
        <f t="shared" ref="AE21:AE37" si="9">SUM(C21:AD21)/$AD$5</f>
        <v>0</v>
      </c>
      <c r="AF21" s="530"/>
      <c r="AG21" s="518">
        <f t="shared" si="8"/>
        <v>0</v>
      </c>
    </row>
    <row r="22" spans="1:34">
      <c r="A22" s="932" t="s">
        <v>270</v>
      </c>
      <c r="B22" s="927" t="s">
        <v>271</v>
      </c>
      <c r="C22" s="933">
        <v>0.5</v>
      </c>
      <c r="D22" s="934">
        <v>0.5</v>
      </c>
      <c r="E22" s="934">
        <v>0.5</v>
      </c>
      <c r="F22" s="934">
        <v>0.5</v>
      </c>
      <c r="G22" s="934">
        <v>0.5</v>
      </c>
      <c r="H22" s="934">
        <v>0.5</v>
      </c>
      <c r="I22" s="934">
        <v>1</v>
      </c>
      <c r="J22" s="935">
        <v>1</v>
      </c>
      <c r="K22" s="933">
        <v>1</v>
      </c>
      <c r="L22" s="934">
        <v>1</v>
      </c>
      <c r="M22" s="934">
        <v>1</v>
      </c>
      <c r="N22" s="934">
        <v>1</v>
      </c>
      <c r="O22" s="934">
        <v>1</v>
      </c>
      <c r="P22" s="934">
        <v>1</v>
      </c>
      <c r="Q22" s="934">
        <v>1</v>
      </c>
      <c r="R22" s="934">
        <v>1</v>
      </c>
      <c r="S22" s="934">
        <v>1</v>
      </c>
      <c r="T22" s="934">
        <v>1</v>
      </c>
      <c r="U22" s="936">
        <v>1</v>
      </c>
      <c r="V22" s="935">
        <v>1</v>
      </c>
      <c r="W22" s="933">
        <v>1</v>
      </c>
      <c r="X22" s="934">
        <v>1</v>
      </c>
      <c r="Y22" s="934">
        <v>1</v>
      </c>
      <c r="Z22" s="934">
        <v>1</v>
      </c>
      <c r="AA22" s="934">
        <v>1</v>
      </c>
      <c r="AB22" s="934">
        <v>1</v>
      </c>
      <c r="AC22" s="936">
        <v>1</v>
      </c>
      <c r="AD22" s="936">
        <v>1</v>
      </c>
      <c r="AE22" s="513">
        <f t="shared" si="9"/>
        <v>0.8928571428571429</v>
      </c>
      <c r="AF22" s="530">
        <v>1</v>
      </c>
      <c r="AG22" s="518">
        <f t="shared" si="8"/>
        <v>1</v>
      </c>
    </row>
    <row r="23" spans="1:34">
      <c r="A23" s="932" t="s">
        <v>272</v>
      </c>
      <c r="B23" s="927" t="s">
        <v>273</v>
      </c>
      <c r="C23" s="933"/>
      <c r="D23" s="934"/>
      <c r="E23" s="934"/>
      <c r="F23" s="934"/>
      <c r="G23" s="934"/>
      <c r="H23" s="934"/>
      <c r="I23" s="934"/>
      <c r="J23" s="935"/>
      <c r="K23" s="933"/>
      <c r="L23" s="934"/>
      <c r="M23" s="934"/>
      <c r="N23" s="934"/>
      <c r="O23" s="934"/>
      <c r="P23" s="934"/>
      <c r="Q23" s="934"/>
      <c r="R23" s="934"/>
      <c r="S23" s="934"/>
      <c r="T23" s="934"/>
      <c r="U23" s="934"/>
      <c r="V23" s="935"/>
      <c r="W23" s="934"/>
      <c r="X23" s="934"/>
      <c r="Y23" s="934"/>
      <c r="Z23" s="934"/>
      <c r="AA23" s="934"/>
      <c r="AB23" s="934"/>
      <c r="AC23" s="936"/>
      <c r="AD23" s="936"/>
      <c r="AE23" s="513">
        <f t="shared" si="9"/>
        <v>0</v>
      </c>
      <c r="AF23" s="530"/>
      <c r="AG23" s="518">
        <f t="shared" si="8"/>
        <v>0</v>
      </c>
    </row>
    <row r="24" spans="1:34">
      <c r="A24" s="932" t="s">
        <v>274</v>
      </c>
      <c r="B24" s="927" t="s">
        <v>273</v>
      </c>
      <c r="C24" s="933">
        <v>0.5</v>
      </c>
      <c r="D24" s="934">
        <v>0.5</v>
      </c>
      <c r="E24" s="934">
        <v>0.5</v>
      </c>
      <c r="F24" s="934">
        <v>0.5</v>
      </c>
      <c r="G24" s="934">
        <v>0.5</v>
      </c>
      <c r="H24" s="934">
        <v>0.5</v>
      </c>
      <c r="I24" s="934">
        <v>1</v>
      </c>
      <c r="J24" s="935">
        <v>1</v>
      </c>
      <c r="K24" s="933">
        <v>1</v>
      </c>
      <c r="L24" s="934">
        <v>1</v>
      </c>
      <c r="M24" s="934">
        <v>1</v>
      </c>
      <c r="N24" s="934">
        <v>1</v>
      </c>
      <c r="O24" s="934">
        <v>1</v>
      </c>
      <c r="P24" s="934">
        <v>1</v>
      </c>
      <c r="Q24" s="934">
        <v>1</v>
      </c>
      <c r="R24" s="934">
        <v>1</v>
      </c>
      <c r="S24" s="934">
        <v>1</v>
      </c>
      <c r="T24" s="934">
        <v>1</v>
      </c>
      <c r="U24" s="936">
        <v>1</v>
      </c>
      <c r="V24" s="935">
        <v>1</v>
      </c>
      <c r="W24" s="933">
        <v>1</v>
      </c>
      <c r="X24" s="934">
        <v>1</v>
      </c>
      <c r="Y24" s="934">
        <v>1</v>
      </c>
      <c r="Z24" s="934">
        <v>1</v>
      </c>
      <c r="AA24" s="934">
        <v>1</v>
      </c>
      <c r="AB24" s="934">
        <v>1</v>
      </c>
      <c r="AC24" s="936">
        <v>1</v>
      </c>
      <c r="AD24" s="936">
        <v>1</v>
      </c>
      <c r="AE24" s="513">
        <f t="shared" si="9"/>
        <v>0.8928571428571429</v>
      </c>
      <c r="AF24" s="530">
        <v>1</v>
      </c>
      <c r="AG24" s="518">
        <f t="shared" si="8"/>
        <v>1</v>
      </c>
    </row>
    <row r="25" spans="1:34" s="390" customFormat="1">
      <c r="A25" s="932" t="s">
        <v>275</v>
      </c>
      <c r="B25" s="927" t="s">
        <v>276</v>
      </c>
      <c r="C25" s="933">
        <v>1</v>
      </c>
      <c r="D25" s="934">
        <v>1</v>
      </c>
      <c r="E25" s="934">
        <v>1</v>
      </c>
      <c r="F25" s="934">
        <v>1</v>
      </c>
      <c r="G25" s="934">
        <v>1</v>
      </c>
      <c r="H25" s="934">
        <v>1</v>
      </c>
      <c r="I25" s="934">
        <v>1</v>
      </c>
      <c r="J25" s="935">
        <v>1</v>
      </c>
      <c r="K25" s="933">
        <v>1</v>
      </c>
      <c r="L25" s="934">
        <v>1</v>
      </c>
      <c r="M25" s="934">
        <v>1</v>
      </c>
      <c r="N25" s="934">
        <v>1</v>
      </c>
      <c r="O25" s="934">
        <v>1</v>
      </c>
      <c r="P25" s="934">
        <v>1</v>
      </c>
      <c r="Q25" s="934">
        <v>1</v>
      </c>
      <c r="R25" s="934">
        <v>1</v>
      </c>
      <c r="S25" s="934">
        <v>1</v>
      </c>
      <c r="T25" s="934">
        <v>1</v>
      </c>
      <c r="U25" s="936">
        <v>1</v>
      </c>
      <c r="V25" s="935">
        <v>1</v>
      </c>
      <c r="W25" s="933">
        <v>1</v>
      </c>
      <c r="X25" s="934">
        <v>1</v>
      </c>
      <c r="Y25" s="934">
        <v>1</v>
      </c>
      <c r="Z25" s="934">
        <v>1</v>
      </c>
      <c r="AA25" s="934">
        <v>1</v>
      </c>
      <c r="AB25" s="934">
        <v>1</v>
      </c>
      <c r="AC25" s="936">
        <v>1</v>
      </c>
      <c r="AD25" s="936">
        <v>1</v>
      </c>
      <c r="AE25" s="513">
        <f t="shared" si="9"/>
        <v>1</v>
      </c>
      <c r="AF25" s="530">
        <v>1</v>
      </c>
      <c r="AG25" s="518">
        <f t="shared" si="8"/>
        <v>1</v>
      </c>
      <c r="AH25" s="389"/>
    </row>
    <row r="26" spans="1:34" s="390" customFormat="1">
      <c r="A26" s="932" t="s">
        <v>277</v>
      </c>
      <c r="B26" s="905" t="s">
        <v>273</v>
      </c>
      <c r="C26" s="933"/>
      <c r="D26" s="934"/>
      <c r="E26" s="934"/>
      <c r="F26" s="934"/>
      <c r="G26" s="934"/>
      <c r="H26" s="934"/>
      <c r="I26" s="934"/>
      <c r="J26" s="935"/>
      <c r="K26" s="933">
        <v>1</v>
      </c>
      <c r="L26" s="934">
        <v>1</v>
      </c>
      <c r="M26" s="934">
        <v>1</v>
      </c>
      <c r="N26" s="934">
        <v>1</v>
      </c>
      <c r="O26" s="934">
        <v>1</v>
      </c>
      <c r="P26" s="934">
        <v>1</v>
      </c>
      <c r="Q26" s="934">
        <v>1</v>
      </c>
      <c r="R26" s="934">
        <v>1</v>
      </c>
      <c r="S26" s="934">
        <v>1</v>
      </c>
      <c r="T26" s="934">
        <v>1</v>
      </c>
      <c r="U26" s="934">
        <v>1</v>
      </c>
      <c r="V26" s="935">
        <v>1</v>
      </c>
      <c r="W26" s="934">
        <v>1</v>
      </c>
      <c r="X26" s="934">
        <v>1</v>
      </c>
      <c r="Y26" s="934"/>
      <c r="Z26" s="934"/>
      <c r="AA26" s="934"/>
      <c r="AB26" s="934"/>
      <c r="AC26" s="936"/>
      <c r="AD26" s="936"/>
      <c r="AE26" s="513">
        <f t="shared" si="9"/>
        <v>0.5</v>
      </c>
      <c r="AF26" s="530"/>
      <c r="AG26" s="518">
        <f t="shared" si="8"/>
        <v>0</v>
      </c>
      <c r="AH26" s="389"/>
    </row>
    <row r="27" spans="1:34" s="390" customFormat="1">
      <c r="A27" s="932" t="s">
        <v>278</v>
      </c>
      <c r="B27" s="905" t="s">
        <v>273</v>
      </c>
      <c r="C27" s="933">
        <v>1</v>
      </c>
      <c r="D27" s="934">
        <v>1</v>
      </c>
      <c r="E27" s="934">
        <v>1</v>
      </c>
      <c r="F27" s="934">
        <v>1</v>
      </c>
      <c r="G27" s="934">
        <v>1</v>
      </c>
      <c r="H27" s="934">
        <v>1</v>
      </c>
      <c r="I27" s="934">
        <v>1</v>
      </c>
      <c r="J27" s="935">
        <v>1</v>
      </c>
      <c r="K27" s="933">
        <v>1</v>
      </c>
      <c r="L27" s="934">
        <v>1</v>
      </c>
      <c r="M27" s="934">
        <v>1</v>
      </c>
      <c r="N27" s="934">
        <v>1</v>
      </c>
      <c r="O27" s="934">
        <v>1</v>
      </c>
      <c r="P27" s="934">
        <v>1</v>
      </c>
      <c r="Q27" s="934">
        <v>1</v>
      </c>
      <c r="R27" s="934">
        <v>1</v>
      </c>
      <c r="S27" s="934">
        <v>1</v>
      </c>
      <c r="T27" s="934">
        <v>1</v>
      </c>
      <c r="U27" s="936">
        <v>1</v>
      </c>
      <c r="V27" s="935">
        <v>1</v>
      </c>
      <c r="W27" s="933">
        <v>1</v>
      </c>
      <c r="X27" s="934">
        <v>1</v>
      </c>
      <c r="Y27" s="934">
        <v>1</v>
      </c>
      <c r="Z27" s="934">
        <v>1</v>
      </c>
      <c r="AA27" s="934">
        <v>1</v>
      </c>
      <c r="AB27" s="934">
        <v>1</v>
      </c>
      <c r="AC27" s="936">
        <v>1</v>
      </c>
      <c r="AD27" s="936">
        <v>1</v>
      </c>
      <c r="AE27" s="513">
        <f t="shared" si="9"/>
        <v>1</v>
      </c>
      <c r="AF27" s="530">
        <v>1</v>
      </c>
      <c r="AG27" s="518">
        <f t="shared" si="8"/>
        <v>1</v>
      </c>
      <c r="AH27" s="389"/>
    </row>
    <row r="28" spans="1:34" s="390" customFormat="1">
      <c r="A28" s="932" t="s">
        <v>279</v>
      </c>
      <c r="B28" s="905" t="s">
        <v>273</v>
      </c>
      <c r="C28" s="933"/>
      <c r="D28" s="934"/>
      <c r="E28" s="934"/>
      <c r="F28" s="934"/>
      <c r="G28" s="934"/>
      <c r="H28" s="934"/>
      <c r="I28" s="934"/>
      <c r="J28" s="935"/>
      <c r="K28" s="933">
        <v>1</v>
      </c>
      <c r="L28" s="934">
        <v>1</v>
      </c>
      <c r="M28" s="934">
        <v>1</v>
      </c>
      <c r="N28" s="934">
        <v>1</v>
      </c>
      <c r="O28" s="934">
        <v>1</v>
      </c>
      <c r="P28" s="934">
        <v>1</v>
      </c>
      <c r="Q28" s="934">
        <v>1</v>
      </c>
      <c r="R28" s="934">
        <v>1</v>
      </c>
      <c r="S28" s="934">
        <v>1</v>
      </c>
      <c r="T28" s="934">
        <v>1</v>
      </c>
      <c r="U28" s="936">
        <v>1</v>
      </c>
      <c r="V28" s="935">
        <v>1</v>
      </c>
      <c r="W28" s="933">
        <v>1</v>
      </c>
      <c r="X28" s="934">
        <v>1</v>
      </c>
      <c r="Y28" s="934"/>
      <c r="Z28" s="934"/>
      <c r="AA28" s="934"/>
      <c r="AB28" s="934"/>
      <c r="AC28" s="936"/>
      <c r="AD28" s="936"/>
      <c r="AE28" s="513">
        <f t="shared" si="9"/>
        <v>0.5</v>
      </c>
      <c r="AF28" s="530"/>
      <c r="AG28" s="518">
        <f t="shared" si="8"/>
        <v>0</v>
      </c>
      <c r="AH28" s="389"/>
    </row>
    <row r="29" spans="1:34" s="390" customFormat="1">
      <c r="A29" s="932" t="s">
        <v>280</v>
      </c>
      <c r="B29" s="905" t="s">
        <v>273</v>
      </c>
      <c r="C29" s="937">
        <v>0.2</v>
      </c>
      <c r="D29" s="938">
        <v>0.2</v>
      </c>
      <c r="E29" s="938">
        <v>0.2</v>
      </c>
      <c r="F29" s="938">
        <v>0.2</v>
      </c>
      <c r="G29" s="938">
        <v>0.2</v>
      </c>
      <c r="H29" s="938">
        <v>0.2</v>
      </c>
      <c r="I29" s="938">
        <v>0.2</v>
      </c>
      <c r="J29" s="939">
        <v>0.2</v>
      </c>
      <c r="K29" s="937">
        <v>0.2</v>
      </c>
      <c r="L29" s="938">
        <v>0.2</v>
      </c>
      <c r="M29" s="938">
        <v>0.2</v>
      </c>
      <c r="N29" s="938">
        <v>0.2</v>
      </c>
      <c r="O29" s="938">
        <v>0.2</v>
      </c>
      <c r="P29" s="938">
        <v>0.2</v>
      </c>
      <c r="Q29" s="938">
        <v>0.2</v>
      </c>
      <c r="R29" s="938">
        <v>0.2</v>
      </c>
      <c r="S29" s="938">
        <v>0.2</v>
      </c>
      <c r="T29" s="938">
        <v>0.2</v>
      </c>
      <c r="U29" s="938">
        <v>0.2</v>
      </c>
      <c r="V29" s="939">
        <v>0.2</v>
      </c>
      <c r="W29" s="937">
        <v>0.2</v>
      </c>
      <c r="X29" s="938">
        <v>0.2</v>
      </c>
      <c r="Y29" s="938">
        <v>0.2</v>
      </c>
      <c r="Z29" s="938">
        <v>0.2</v>
      </c>
      <c r="AA29" s="938">
        <v>0.2</v>
      </c>
      <c r="AB29" s="938">
        <v>0.2</v>
      </c>
      <c r="AC29" s="940">
        <v>0.2</v>
      </c>
      <c r="AD29" s="940">
        <v>0.2</v>
      </c>
      <c r="AE29" s="514">
        <f t="shared" si="9"/>
        <v>0.20000000000000009</v>
      </c>
      <c r="AF29" s="531">
        <v>0</v>
      </c>
      <c r="AG29" s="519">
        <f t="shared" si="8"/>
        <v>0</v>
      </c>
      <c r="AH29" s="389"/>
    </row>
    <row r="30" spans="1:34" s="390" customFormat="1">
      <c r="A30" s="932" t="s">
        <v>281</v>
      </c>
      <c r="B30" s="905" t="s">
        <v>273</v>
      </c>
      <c r="C30" s="937"/>
      <c r="D30" s="938"/>
      <c r="E30" s="938"/>
      <c r="F30" s="938"/>
      <c r="G30" s="938"/>
      <c r="H30" s="938"/>
      <c r="I30" s="938"/>
      <c r="J30" s="939"/>
      <c r="K30" s="937"/>
      <c r="L30" s="938"/>
      <c r="M30" s="938"/>
      <c r="N30" s="938"/>
      <c r="O30" s="938"/>
      <c r="P30" s="938"/>
      <c r="Q30" s="938"/>
      <c r="R30" s="938"/>
      <c r="S30" s="938"/>
      <c r="T30" s="938"/>
      <c r="U30" s="940"/>
      <c r="V30" s="939"/>
      <c r="W30" s="937"/>
      <c r="X30" s="938"/>
      <c r="Y30" s="938"/>
      <c r="Z30" s="938"/>
      <c r="AA30" s="938"/>
      <c r="AB30" s="938"/>
      <c r="AC30" s="940"/>
      <c r="AD30" s="940"/>
      <c r="AE30" s="514">
        <f t="shared" si="9"/>
        <v>0</v>
      </c>
      <c r="AF30" s="531"/>
      <c r="AG30" s="519">
        <f t="shared" si="8"/>
        <v>0</v>
      </c>
      <c r="AH30" s="389"/>
    </row>
    <row r="31" spans="1:34" s="390" customFormat="1">
      <c r="A31" s="932" t="s">
        <v>54</v>
      </c>
      <c r="B31" s="905" t="s">
        <v>273</v>
      </c>
      <c r="C31" s="937">
        <v>0.2</v>
      </c>
      <c r="D31" s="937">
        <v>0.2</v>
      </c>
      <c r="E31" s="937">
        <v>0.2</v>
      </c>
      <c r="F31" s="937">
        <v>0.2</v>
      </c>
      <c r="G31" s="937">
        <v>0.2</v>
      </c>
      <c r="H31" s="937">
        <v>0.2</v>
      </c>
      <c r="I31" s="937">
        <v>0.2</v>
      </c>
      <c r="J31" s="937">
        <v>0.2</v>
      </c>
      <c r="K31" s="937">
        <v>0.2</v>
      </c>
      <c r="L31" s="937">
        <v>0.2</v>
      </c>
      <c r="M31" s="937">
        <v>0.2</v>
      </c>
      <c r="N31" s="937">
        <v>0.2</v>
      </c>
      <c r="O31" s="937">
        <v>0.2</v>
      </c>
      <c r="P31" s="937">
        <v>0.2</v>
      </c>
      <c r="Q31" s="937">
        <v>0.2</v>
      </c>
      <c r="R31" s="937">
        <v>0.2</v>
      </c>
      <c r="S31" s="937">
        <v>0.2</v>
      </c>
      <c r="T31" s="937">
        <v>0.2</v>
      </c>
      <c r="U31" s="937">
        <v>0.2</v>
      </c>
      <c r="V31" s="937">
        <v>0.2</v>
      </c>
      <c r="W31" s="937">
        <v>0.2</v>
      </c>
      <c r="X31" s="937">
        <v>0.2</v>
      </c>
      <c r="Y31" s="937">
        <v>0.2</v>
      </c>
      <c r="Z31" s="937">
        <v>0.2</v>
      </c>
      <c r="AA31" s="937">
        <v>0.2</v>
      </c>
      <c r="AB31" s="937">
        <v>0.2</v>
      </c>
      <c r="AC31" s="937">
        <v>0.2</v>
      </c>
      <c r="AD31" s="937">
        <v>0.2</v>
      </c>
      <c r="AE31" s="514">
        <f t="shared" si="9"/>
        <v>0.20000000000000009</v>
      </c>
      <c r="AF31" s="531">
        <v>0</v>
      </c>
      <c r="AG31" s="519">
        <f t="shared" si="8"/>
        <v>0</v>
      </c>
      <c r="AH31" s="389"/>
    </row>
    <row r="32" spans="1:34" s="390" customFormat="1">
      <c r="A32" s="932" t="s">
        <v>282</v>
      </c>
      <c r="B32" s="905" t="s">
        <v>273</v>
      </c>
      <c r="C32" s="937">
        <v>0.2</v>
      </c>
      <c r="D32" s="938">
        <v>0.2</v>
      </c>
      <c r="E32" s="938">
        <v>0.2</v>
      </c>
      <c r="F32" s="938">
        <v>0.2</v>
      </c>
      <c r="G32" s="938">
        <v>0.2</v>
      </c>
      <c r="H32" s="938">
        <v>0.2</v>
      </c>
      <c r="I32" s="938">
        <v>0.2</v>
      </c>
      <c r="J32" s="939">
        <v>0.2</v>
      </c>
      <c r="K32" s="937">
        <v>0.2</v>
      </c>
      <c r="L32" s="938">
        <v>0.2</v>
      </c>
      <c r="M32" s="938">
        <v>0.2</v>
      </c>
      <c r="N32" s="938">
        <v>0.2</v>
      </c>
      <c r="O32" s="938">
        <v>0.2</v>
      </c>
      <c r="P32" s="938">
        <v>0.2</v>
      </c>
      <c r="Q32" s="938">
        <v>0.2</v>
      </c>
      <c r="R32" s="938">
        <v>0.2</v>
      </c>
      <c r="S32" s="938">
        <v>0.2</v>
      </c>
      <c r="T32" s="938">
        <v>0.2</v>
      </c>
      <c r="U32" s="940">
        <v>0.2</v>
      </c>
      <c r="V32" s="939">
        <v>0.2</v>
      </c>
      <c r="W32" s="937">
        <v>0.2</v>
      </c>
      <c r="X32" s="938">
        <v>0.2</v>
      </c>
      <c r="Y32" s="938">
        <v>0.2</v>
      </c>
      <c r="Z32" s="938">
        <v>0.2</v>
      </c>
      <c r="AA32" s="938">
        <v>0.2</v>
      </c>
      <c r="AB32" s="938">
        <v>0.2</v>
      </c>
      <c r="AC32" s="940">
        <v>0.2</v>
      </c>
      <c r="AD32" s="940">
        <v>0.2</v>
      </c>
      <c r="AE32" s="514">
        <f t="shared" si="9"/>
        <v>0.20000000000000009</v>
      </c>
      <c r="AF32" s="531">
        <v>0.2</v>
      </c>
      <c r="AG32" s="519">
        <f t="shared" si="8"/>
        <v>0.2</v>
      </c>
      <c r="AH32" s="389"/>
    </row>
    <row r="33" spans="1:34" s="390" customFormat="1">
      <c r="A33" s="932" t="s">
        <v>283</v>
      </c>
      <c r="B33" s="905" t="s">
        <v>273</v>
      </c>
      <c r="C33" s="941"/>
      <c r="D33" s="942"/>
      <c r="E33" s="942"/>
      <c r="F33" s="942"/>
      <c r="G33" s="942"/>
      <c r="H33" s="942"/>
      <c r="I33" s="942"/>
      <c r="J33" s="943"/>
      <c r="K33" s="941"/>
      <c r="L33" s="942"/>
      <c r="M33" s="942"/>
      <c r="N33" s="942"/>
      <c r="O33" s="942"/>
      <c r="P33" s="942"/>
      <c r="Q33" s="942"/>
      <c r="R33" s="942"/>
      <c r="S33" s="942"/>
      <c r="T33" s="942"/>
      <c r="U33" s="944"/>
      <c r="V33" s="943"/>
      <c r="W33" s="941"/>
      <c r="X33" s="942"/>
      <c r="Y33" s="942"/>
      <c r="Z33" s="942"/>
      <c r="AA33" s="942"/>
      <c r="AB33" s="942"/>
      <c r="AC33" s="944"/>
      <c r="AD33" s="944"/>
      <c r="AE33" s="513">
        <f t="shared" si="9"/>
        <v>0</v>
      </c>
      <c r="AF33" s="530"/>
      <c r="AG33" s="518">
        <f t="shared" si="8"/>
        <v>0</v>
      </c>
      <c r="AH33" s="389"/>
    </row>
    <row r="34" spans="1:34">
      <c r="A34" s="945" t="s">
        <v>284</v>
      </c>
      <c r="B34" s="946" t="s">
        <v>285</v>
      </c>
      <c r="C34" s="947"/>
      <c r="D34" s="948"/>
      <c r="E34" s="948"/>
      <c r="F34" s="948"/>
      <c r="G34" s="948"/>
      <c r="H34" s="948"/>
      <c r="I34" s="948"/>
      <c r="J34" s="949"/>
      <c r="K34" s="947"/>
      <c r="L34" s="948"/>
      <c r="M34" s="948"/>
      <c r="N34" s="948"/>
      <c r="O34" s="948"/>
      <c r="P34" s="948"/>
      <c r="Q34" s="948"/>
      <c r="R34" s="948"/>
      <c r="S34" s="948"/>
      <c r="T34" s="948"/>
      <c r="U34" s="948"/>
      <c r="V34" s="949"/>
      <c r="W34" s="947"/>
      <c r="X34" s="948"/>
      <c r="Y34" s="948"/>
      <c r="Z34" s="948"/>
      <c r="AA34" s="948"/>
      <c r="AB34" s="948"/>
      <c r="AC34" s="949"/>
      <c r="AD34" s="949"/>
      <c r="AE34" s="513">
        <f t="shared" si="9"/>
        <v>0</v>
      </c>
      <c r="AF34" s="950"/>
      <c r="AG34" s="518">
        <f t="shared" si="8"/>
        <v>0</v>
      </c>
    </row>
    <row r="35" spans="1:34">
      <c r="A35" s="951" t="s">
        <v>286</v>
      </c>
      <c r="B35" s="952" t="s">
        <v>285</v>
      </c>
      <c r="C35" s="953"/>
      <c r="D35" s="954"/>
      <c r="E35" s="954"/>
      <c r="F35" s="954"/>
      <c r="G35" s="954"/>
      <c r="H35" s="954"/>
      <c r="I35" s="954"/>
      <c r="J35" s="955"/>
      <c r="K35" s="953"/>
      <c r="L35" s="954"/>
      <c r="M35" s="954"/>
      <c r="N35" s="954"/>
      <c r="O35" s="954"/>
      <c r="P35" s="954"/>
      <c r="Q35" s="954"/>
      <c r="R35" s="954"/>
      <c r="S35" s="954"/>
      <c r="T35" s="954"/>
      <c r="U35" s="954"/>
      <c r="V35" s="955"/>
      <c r="W35" s="953"/>
      <c r="X35" s="954"/>
      <c r="Y35" s="954"/>
      <c r="Z35" s="954"/>
      <c r="AA35" s="954"/>
      <c r="AB35" s="954"/>
      <c r="AC35" s="955"/>
      <c r="AD35" s="955"/>
      <c r="AE35" s="513">
        <f t="shared" si="9"/>
        <v>0</v>
      </c>
      <c r="AF35" s="532"/>
      <c r="AG35" s="518">
        <f t="shared" si="8"/>
        <v>0</v>
      </c>
    </row>
    <row r="36" spans="1:34">
      <c r="A36" s="951" t="s">
        <v>287</v>
      </c>
      <c r="B36" s="952" t="s">
        <v>285</v>
      </c>
      <c r="C36" s="953"/>
      <c r="D36" s="954"/>
      <c r="E36" s="954"/>
      <c r="F36" s="954"/>
      <c r="G36" s="954"/>
      <c r="H36" s="954"/>
      <c r="I36" s="954"/>
      <c r="J36" s="955"/>
      <c r="K36" s="953"/>
      <c r="L36" s="954"/>
      <c r="M36" s="954"/>
      <c r="N36" s="954"/>
      <c r="O36" s="954"/>
      <c r="P36" s="954"/>
      <c r="Q36" s="954"/>
      <c r="R36" s="954"/>
      <c r="S36" s="954"/>
      <c r="T36" s="954"/>
      <c r="U36" s="954"/>
      <c r="V36" s="955"/>
      <c r="W36" s="953"/>
      <c r="X36" s="954"/>
      <c r="Y36" s="954"/>
      <c r="Z36" s="954"/>
      <c r="AA36" s="954"/>
      <c r="AB36" s="954"/>
      <c r="AC36" s="955"/>
      <c r="AD36" s="955"/>
      <c r="AE36" s="513">
        <f t="shared" si="9"/>
        <v>0</v>
      </c>
      <c r="AF36" s="532"/>
      <c r="AG36" s="518">
        <f t="shared" si="8"/>
        <v>0</v>
      </c>
    </row>
    <row r="37" spans="1:34">
      <c r="A37" s="956"/>
      <c r="B37" s="957"/>
      <c r="C37" s="958"/>
      <c r="D37" s="959"/>
      <c r="E37" s="959"/>
      <c r="F37" s="959"/>
      <c r="G37" s="959"/>
      <c r="H37" s="959"/>
      <c r="I37" s="959"/>
      <c r="J37" s="960"/>
      <c r="K37" s="958"/>
      <c r="L37" s="959"/>
      <c r="M37" s="959"/>
      <c r="N37" s="959"/>
      <c r="O37" s="959"/>
      <c r="P37" s="959"/>
      <c r="Q37" s="959"/>
      <c r="R37" s="959"/>
      <c r="S37" s="959"/>
      <c r="T37" s="959"/>
      <c r="U37" s="959"/>
      <c r="V37" s="960"/>
      <c r="W37" s="958"/>
      <c r="X37" s="959"/>
      <c r="Y37" s="959"/>
      <c r="Z37" s="959"/>
      <c r="AA37" s="959"/>
      <c r="AB37" s="959"/>
      <c r="AC37" s="960"/>
      <c r="AD37" s="960"/>
      <c r="AE37" s="515">
        <f t="shared" si="9"/>
        <v>0</v>
      </c>
      <c r="AF37" s="961"/>
      <c r="AG37" s="520">
        <f t="shared" si="8"/>
        <v>0</v>
      </c>
    </row>
    <row r="39" spans="1:34">
      <c r="U39" s="389" t="s">
        <v>288</v>
      </c>
    </row>
  </sheetData>
  <mergeCells count="14">
    <mergeCell ref="W3:AF3"/>
    <mergeCell ref="A9:B9"/>
    <mergeCell ref="A6:B6"/>
    <mergeCell ref="A7:B7"/>
    <mergeCell ref="A8:B8"/>
    <mergeCell ref="C3:J3"/>
    <mergeCell ref="K3:V3"/>
    <mergeCell ref="A17:B17"/>
    <mergeCell ref="A10:B10"/>
    <mergeCell ref="A11:B11"/>
    <mergeCell ref="A12:B12"/>
    <mergeCell ref="A14:B14"/>
    <mergeCell ref="A15:B15"/>
    <mergeCell ref="A16:B1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94CF-600B-4C59-9E95-1CA553A41424}">
  <sheetPr>
    <tabColor rgb="FFFFC000"/>
  </sheetPr>
  <dimension ref="A1:EE192"/>
  <sheetViews>
    <sheetView topLeftCell="A131" workbookViewId="0">
      <selection activeCell="L162" sqref="L162"/>
    </sheetView>
  </sheetViews>
  <sheetFormatPr defaultColWidth="9.140625" defaultRowHeight="15"/>
  <cols>
    <col min="1" max="1" width="3.28515625" style="229" bestFit="1" customWidth="1"/>
    <col min="2" max="2" width="5.85546875" style="229" customWidth="1"/>
    <col min="3" max="3" width="42.42578125" customWidth="1"/>
    <col min="4" max="4" width="8.85546875" style="291" bestFit="1" customWidth="1"/>
    <col min="5" max="5" width="5.7109375" style="229" customWidth="1"/>
    <col min="6" max="6" width="9.85546875" style="124" bestFit="1" customWidth="1"/>
    <col min="7" max="7" width="11.85546875" style="124" customWidth="1"/>
    <col min="8" max="8" width="14.28515625" style="124" customWidth="1"/>
    <col min="9" max="9" width="12.85546875" style="124" customWidth="1"/>
    <col min="10" max="10" width="10.85546875" style="124" bestFit="1" customWidth="1"/>
    <col min="11" max="11" width="11.85546875" style="124" customWidth="1"/>
    <col min="12" max="12" width="12.85546875" style="290" customWidth="1"/>
    <col min="13" max="13" width="10.140625" style="290" customWidth="1"/>
    <col min="14" max="14" width="46.5703125" style="124" customWidth="1"/>
    <col min="15" max="15" width="19.85546875" customWidth="1"/>
    <col min="16" max="16" width="18.7109375" hidden="1" customWidth="1"/>
    <col min="17" max="23" width="0" hidden="1" customWidth="1"/>
    <col min="24" max="24" width="18.42578125" hidden="1" customWidth="1"/>
  </cols>
  <sheetData>
    <row r="1" spans="1:26">
      <c r="A1" s="962" t="s">
        <v>289</v>
      </c>
      <c r="B1" s="963" t="s">
        <v>290</v>
      </c>
      <c r="C1" s="964" t="str">
        <f>'Area Calculations'!B4</f>
        <v>The Club at Ibis Conceptual Estimate</v>
      </c>
      <c r="D1" s="711"/>
      <c r="E1" s="711"/>
      <c r="F1" s="711"/>
      <c r="G1" s="711"/>
      <c r="H1" s="711"/>
      <c r="I1" s="711"/>
      <c r="J1" s="711"/>
      <c r="K1" s="711"/>
      <c r="L1" s="711"/>
      <c r="M1" s="711"/>
      <c r="N1" s="965"/>
      <c r="O1" s="966"/>
      <c r="P1" s="967"/>
      <c r="Q1" s="967"/>
      <c r="R1" s="967"/>
      <c r="S1" s="967"/>
      <c r="T1" s="967"/>
      <c r="U1" s="967"/>
      <c r="V1" s="967"/>
      <c r="W1" s="967"/>
      <c r="X1" s="968"/>
    </row>
    <row r="2" spans="1:26">
      <c r="A2" s="707"/>
      <c r="B2" s="709"/>
      <c r="C2" s="712"/>
      <c r="D2" s="713"/>
      <c r="E2" s="713"/>
      <c r="F2" s="713"/>
      <c r="G2" s="713"/>
      <c r="H2" s="713"/>
      <c r="I2" s="713"/>
      <c r="J2" s="713"/>
      <c r="K2" s="713"/>
      <c r="L2" s="713"/>
      <c r="M2" s="713"/>
      <c r="N2" s="714"/>
      <c r="O2" s="969"/>
      <c r="P2" s="970"/>
      <c r="Q2" s="970"/>
      <c r="R2" s="970"/>
      <c r="S2" s="970"/>
      <c r="T2" s="970"/>
      <c r="U2" s="970"/>
      <c r="V2" s="970"/>
      <c r="W2" s="970"/>
      <c r="X2" s="971"/>
    </row>
    <row r="3" spans="1:26" s="257" customFormat="1" ht="15" customHeight="1" thickBot="1">
      <c r="A3" s="707"/>
      <c r="B3" s="709"/>
      <c r="C3" s="972" t="s">
        <v>291</v>
      </c>
      <c r="D3" s="717"/>
      <c r="E3" s="973"/>
      <c r="F3" s="974" t="s">
        <v>292</v>
      </c>
      <c r="G3" s="975"/>
      <c r="H3" s="976" t="s">
        <v>293</v>
      </c>
      <c r="I3" s="976" t="s">
        <v>294</v>
      </c>
      <c r="J3" s="976" t="s">
        <v>295</v>
      </c>
      <c r="K3" s="976" t="s">
        <v>296</v>
      </c>
      <c r="L3" s="977" t="s">
        <v>297</v>
      </c>
      <c r="M3" s="978" t="s">
        <v>298</v>
      </c>
      <c r="N3" s="979" t="s">
        <v>299</v>
      </c>
      <c r="O3" s="254"/>
      <c r="P3" s="255"/>
      <c r="Q3" s="256" t="s">
        <v>300</v>
      </c>
      <c r="X3" s="255"/>
    </row>
    <row r="4" spans="1:26" s="257" customFormat="1" ht="15" customHeight="1" thickBot="1">
      <c r="A4" s="707"/>
      <c r="B4" s="709"/>
      <c r="C4" s="718"/>
      <c r="D4" s="719"/>
      <c r="E4" s="720"/>
      <c r="F4" s="980" t="s">
        <v>291</v>
      </c>
      <c r="G4" s="981"/>
      <c r="H4" s="982">
        <v>46143</v>
      </c>
      <c r="I4" s="982">
        <v>46996</v>
      </c>
      <c r="J4" s="983">
        <f>SUM(I4-H4)</f>
        <v>853</v>
      </c>
      <c r="K4" s="983">
        <f>SUM(J4/7)</f>
        <v>121.85714285714286</v>
      </c>
      <c r="L4" s="984">
        <f>SUM(J4/30)</f>
        <v>28.433333333333334</v>
      </c>
      <c r="M4" s="724"/>
      <c r="N4" s="715"/>
      <c r="O4" s="254"/>
      <c r="P4" s="255"/>
      <c r="Q4" s="974" t="s">
        <v>292</v>
      </c>
      <c r="R4" s="975"/>
      <c r="S4" s="976" t="s">
        <v>293</v>
      </c>
      <c r="T4" s="976" t="s">
        <v>294</v>
      </c>
      <c r="U4" s="976" t="s">
        <v>295</v>
      </c>
      <c r="V4" s="976" t="s">
        <v>296</v>
      </c>
      <c r="W4" s="977" t="s">
        <v>297</v>
      </c>
      <c r="X4" s="255"/>
      <c r="Z4" s="257" t="s">
        <v>301</v>
      </c>
    </row>
    <row r="5" spans="1:26" s="257" customFormat="1" ht="15" customHeight="1" thickBot="1">
      <c r="A5" s="707"/>
      <c r="B5" s="709"/>
      <c r="C5" s="718"/>
      <c r="D5" s="719"/>
      <c r="E5" s="720"/>
      <c r="F5" s="985" t="s">
        <v>302</v>
      </c>
      <c r="G5" s="986"/>
      <c r="H5" s="982">
        <v>46997</v>
      </c>
      <c r="I5" s="982">
        <v>47026</v>
      </c>
      <c r="J5" s="987">
        <f>SUM(I5-H5)</f>
        <v>29</v>
      </c>
      <c r="K5" s="987">
        <f>SUM(J5/7)</f>
        <v>4.1428571428571432</v>
      </c>
      <c r="L5" s="988">
        <f>SUM(J5/30)</f>
        <v>0.96666666666666667</v>
      </c>
      <c r="M5" s="724"/>
      <c r="N5" s="715"/>
      <c r="O5" s="254"/>
      <c r="P5" s="255"/>
      <c r="Q5" s="980" t="s">
        <v>291</v>
      </c>
      <c r="R5" s="981"/>
      <c r="S5" s="989">
        <v>0</v>
      </c>
      <c r="T5" s="989">
        <v>0</v>
      </c>
      <c r="U5" s="983">
        <f>SUM(T5-S5)</f>
        <v>0</v>
      </c>
      <c r="V5" s="983">
        <f>SUM(U5/7)</f>
        <v>0</v>
      </c>
      <c r="W5" s="984">
        <f>SUM(U5/30)</f>
        <v>0</v>
      </c>
      <c r="X5" s="255"/>
    </row>
    <row r="6" spans="1:26" s="257" customFormat="1" ht="15" customHeight="1">
      <c r="A6" s="707"/>
      <c r="B6" s="709"/>
      <c r="C6" s="721"/>
      <c r="D6" s="722"/>
      <c r="E6" s="723"/>
      <c r="F6" s="990" t="s">
        <v>303</v>
      </c>
      <c r="G6" s="991"/>
      <c r="H6" s="990" t="s">
        <v>304</v>
      </c>
      <c r="I6" s="991"/>
      <c r="J6" s="990" t="s">
        <v>305</v>
      </c>
      <c r="K6" s="991"/>
      <c r="L6" s="979" t="s">
        <v>5</v>
      </c>
      <c r="M6" s="724"/>
      <c r="N6" s="715"/>
      <c r="O6" s="254"/>
      <c r="P6" s="255"/>
      <c r="Q6" s="257" t="s">
        <v>83</v>
      </c>
      <c r="X6" s="255"/>
    </row>
    <row r="7" spans="1:26" s="261" customFormat="1" ht="45">
      <c r="A7" s="707"/>
      <c r="B7" s="709"/>
      <c r="C7" s="992" t="s">
        <v>306</v>
      </c>
      <c r="D7" s="993" t="s">
        <v>307</v>
      </c>
      <c r="E7" s="994" t="s">
        <v>308</v>
      </c>
      <c r="F7" s="258" t="s">
        <v>309</v>
      </c>
      <c r="G7" s="259" t="s">
        <v>310</v>
      </c>
      <c r="H7" s="258" t="s">
        <v>309</v>
      </c>
      <c r="I7" s="259" t="s">
        <v>311</v>
      </c>
      <c r="J7" s="258" t="s">
        <v>309</v>
      </c>
      <c r="K7" s="259" t="s">
        <v>311</v>
      </c>
      <c r="L7" s="715"/>
      <c r="M7" s="724"/>
      <c r="N7" s="715"/>
      <c r="O7" s="255" t="s">
        <v>312</v>
      </c>
      <c r="P7" s="260" t="s">
        <v>313</v>
      </c>
      <c r="Q7" s="974" t="s">
        <v>292</v>
      </c>
      <c r="R7" s="975"/>
      <c r="S7" s="976" t="s">
        <v>293</v>
      </c>
      <c r="T7" s="976" t="s">
        <v>294</v>
      </c>
      <c r="U7" s="976" t="s">
        <v>295</v>
      </c>
      <c r="V7" s="976" t="s">
        <v>296</v>
      </c>
      <c r="W7" s="977" t="s">
        <v>297</v>
      </c>
      <c r="X7" s="260" t="s">
        <v>314</v>
      </c>
    </row>
    <row r="8" spans="1:26" s="257" customFormat="1" ht="15" customHeight="1" thickBot="1">
      <c r="A8" s="708"/>
      <c r="B8" s="710"/>
      <c r="C8" s="704"/>
      <c r="D8" s="705"/>
      <c r="E8" s="706"/>
      <c r="F8" s="263" t="s">
        <v>315</v>
      </c>
      <c r="G8" s="264" t="s">
        <v>316</v>
      </c>
      <c r="H8" s="263" t="s">
        <v>315</v>
      </c>
      <c r="I8" s="264" t="s">
        <v>317</v>
      </c>
      <c r="J8" s="263" t="s">
        <v>315</v>
      </c>
      <c r="K8" s="264" t="s">
        <v>317</v>
      </c>
      <c r="L8" s="716"/>
      <c r="M8" s="725"/>
      <c r="N8" s="716"/>
      <c r="O8" s="262"/>
      <c r="P8" s="265"/>
      <c r="Q8" s="980" t="s">
        <v>291</v>
      </c>
      <c r="R8" s="981"/>
      <c r="S8" s="989">
        <v>0</v>
      </c>
      <c r="T8" s="989">
        <v>0</v>
      </c>
      <c r="U8" s="983">
        <f>SUM(T8-S8)</f>
        <v>0</v>
      </c>
      <c r="V8" s="983">
        <f>SUM(U8/7)</f>
        <v>0</v>
      </c>
      <c r="W8" s="984">
        <f>SUM(U8/30)</f>
        <v>0</v>
      </c>
      <c r="X8" s="265"/>
    </row>
    <row r="9" spans="1:26" s="261" customFormat="1" ht="19.5" customHeight="1">
      <c r="A9" s="995"/>
      <c r="B9" s="996"/>
      <c r="C9" s="997" t="s">
        <v>318</v>
      </c>
      <c r="D9" s="998"/>
      <c r="E9" s="999"/>
      <c r="F9" s="999"/>
      <c r="G9" s="999"/>
      <c r="H9" s="999"/>
      <c r="I9" s="999"/>
      <c r="J9" s="999"/>
      <c r="K9" s="999"/>
      <c r="L9" s="1000">
        <f>SUM(L10:L27)</f>
        <v>2897709.4650928485</v>
      </c>
      <c r="M9" s="1000"/>
      <c r="N9" s="1001"/>
      <c r="O9" s="1002"/>
      <c r="P9" s="1003"/>
      <c r="X9" s="1003"/>
    </row>
    <row r="10" spans="1:26" ht="17.25" customHeight="1">
      <c r="A10" s="1004"/>
      <c r="B10" s="1005"/>
      <c r="C10" s="1006" t="s">
        <v>319</v>
      </c>
      <c r="D10" s="1007">
        <f>$K$4</f>
        <v>121.85714285714286</v>
      </c>
      <c r="E10" s="1008" t="s">
        <v>320</v>
      </c>
      <c r="F10" s="1009">
        <f t="shared" ref="F10:F26" si="0">(O10*40)*M10</f>
        <v>1488.3723521079494</v>
      </c>
      <c r="G10" s="1010">
        <f t="shared" ref="G10:G27" si="1">SUM(D10*F10)</f>
        <v>181368.80233544012</v>
      </c>
      <c r="H10" s="1011"/>
      <c r="I10" s="1012"/>
      <c r="J10" s="1011"/>
      <c r="K10" s="1012"/>
      <c r="L10" s="1013">
        <f t="shared" ref="L10:L27" si="2">SUM(G10+I10+K10)</f>
        <v>181368.80233544012</v>
      </c>
      <c r="M10" s="1014">
        <f>Manpower!$AE$20</f>
        <v>0.20000000000000009</v>
      </c>
      <c r="N10" s="1015" t="s">
        <v>268</v>
      </c>
      <c r="O10" s="1016">
        <f>'Labor Rates Calculator'!G10</f>
        <v>186.04654401349359</v>
      </c>
      <c r="P10" s="1017">
        <v>253</v>
      </c>
      <c r="X10" s="1016">
        <v>216</v>
      </c>
    </row>
    <row r="11" spans="1:26" ht="17.25" customHeight="1">
      <c r="A11" s="1018"/>
      <c r="B11" s="1019"/>
      <c r="C11" s="1006" t="s">
        <v>321</v>
      </c>
      <c r="D11" s="1007">
        <f>$K$4</f>
        <v>121.85714285714286</v>
      </c>
      <c r="E11" s="1008" t="s">
        <v>320</v>
      </c>
      <c r="F11" s="1020">
        <f t="shared" si="0"/>
        <v>0</v>
      </c>
      <c r="G11" s="1021">
        <f t="shared" si="1"/>
        <v>0</v>
      </c>
      <c r="H11" s="472"/>
      <c r="I11" s="473"/>
      <c r="J11" s="472"/>
      <c r="K11" s="473"/>
      <c r="L11" s="1022">
        <f t="shared" si="2"/>
        <v>0</v>
      </c>
      <c r="M11" s="1014">
        <f>Manpower!$AE$21</f>
        <v>0</v>
      </c>
      <c r="N11" s="1015"/>
      <c r="O11" s="1023">
        <f>'Labor Rates Calculator'!G11</f>
        <v>154.19620454731853</v>
      </c>
      <c r="P11" s="1024">
        <v>195</v>
      </c>
      <c r="X11" s="1025">
        <v>175</v>
      </c>
    </row>
    <row r="12" spans="1:26" ht="17.25" customHeight="1">
      <c r="A12" s="1018"/>
      <c r="B12" s="1019"/>
      <c r="C12" s="1006" t="s">
        <v>322</v>
      </c>
      <c r="D12" s="1007">
        <f>$K$4</f>
        <v>121.85714285714286</v>
      </c>
      <c r="E12" s="1008" t="s">
        <v>320</v>
      </c>
      <c r="F12" s="1020">
        <f t="shared" si="0"/>
        <v>5071.52722544067</v>
      </c>
      <c r="G12" s="1021">
        <f t="shared" si="1"/>
        <v>618001.8176144131</v>
      </c>
      <c r="H12" s="472"/>
      <c r="I12" s="473"/>
      <c r="J12" s="472"/>
      <c r="K12" s="473"/>
      <c r="L12" s="1022">
        <f t="shared" si="2"/>
        <v>618001.8176144131</v>
      </c>
      <c r="M12" s="1014">
        <f>Manpower!AE22</f>
        <v>0.8928571428571429</v>
      </c>
      <c r="N12" s="1015">
        <f>N13</f>
        <v>0</v>
      </c>
      <c r="O12" s="1023">
        <f>'Labor Rates Calculator'!G12</f>
        <v>142.00276231233875</v>
      </c>
      <c r="P12" s="1024"/>
      <c r="X12" s="1025"/>
    </row>
    <row r="13" spans="1:26" ht="17.25" customHeight="1">
      <c r="A13" s="1018"/>
      <c r="B13" s="1019"/>
      <c r="C13" s="1006" t="s">
        <v>323</v>
      </c>
      <c r="D13" s="1007">
        <f t="shared" ref="D13:D26" si="3">$K$4</f>
        <v>121.85714285714286</v>
      </c>
      <c r="E13" s="1008" t="s">
        <v>320</v>
      </c>
      <c r="F13" s="1020">
        <f t="shared" si="0"/>
        <v>0</v>
      </c>
      <c r="G13" s="1021">
        <f t="shared" si="1"/>
        <v>0</v>
      </c>
      <c r="H13" s="472"/>
      <c r="I13" s="473"/>
      <c r="J13" s="472"/>
      <c r="K13" s="473"/>
      <c r="L13" s="1022">
        <f t="shared" si="2"/>
        <v>0</v>
      </c>
      <c r="M13" s="1014">
        <v>0</v>
      </c>
      <c r="N13" s="1015"/>
      <c r="O13" s="1023">
        <f>'Labor Rates Calculator'!G13</f>
        <v>129.97081589230768</v>
      </c>
      <c r="P13" s="1024">
        <v>185</v>
      </c>
      <c r="X13" s="1025">
        <v>155</v>
      </c>
    </row>
    <row r="14" spans="1:26" ht="17.25" customHeight="1">
      <c r="A14" s="1018"/>
      <c r="B14" s="1019"/>
      <c r="C14" s="1006" t="s">
        <v>324</v>
      </c>
      <c r="D14" s="1007">
        <f t="shared" si="3"/>
        <v>121.85714285714286</v>
      </c>
      <c r="E14" s="1008" t="s">
        <v>320</v>
      </c>
      <c r="F14" s="1020">
        <f t="shared" si="0"/>
        <v>0</v>
      </c>
      <c r="G14" s="1021">
        <f t="shared" si="1"/>
        <v>0</v>
      </c>
      <c r="H14" s="472"/>
      <c r="I14" s="473"/>
      <c r="J14" s="472"/>
      <c r="K14" s="473"/>
      <c r="L14" s="1022">
        <f t="shared" si="2"/>
        <v>0</v>
      </c>
      <c r="M14" s="1014">
        <v>0</v>
      </c>
      <c r="N14" s="1015"/>
      <c r="O14" s="1023">
        <f>'Labor Rates Calculator'!G14</f>
        <v>111.233412786325</v>
      </c>
      <c r="P14" s="1024">
        <v>163</v>
      </c>
      <c r="X14" s="1025">
        <v>130</v>
      </c>
    </row>
    <row r="15" spans="1:26" ht="17.25" customHeight="1">
      <c r="A15" s="1018"/>
      <c r="B15" s="1019"/>
      <c r="C15" s="1006" t="s">
        <v>325</v>
      </c>
      <c r="D15" s="1007">
        <f t="shared" si="3"/>
        <v>121.85714285714286</v>
      </c>
      <c r="E15" s="1008" t="s">
        <v>320</v>
      </c>
      <c r="F15" s="266">
        <f t="shared" si="0"/>
        <v>2802.7211254443182</v>
      </c>
      <c r="G15" s="1026">
        <f t="shared" si="1"/>
        <v>341531.5885720005</v>
      </c>
      <c r="H15" s="472"/>
      <c r="I15" s="473"/>
      <c r="J15" s="472"/>
      <c r="K15" s="473"/>
      <c r="L15" s="1022">
        <f t="shared" si="2"/>
        <v>341531.5885720005</v>
      </c>
      <c r="M15" s="1014">
        <f>Manpower!$AE$24</f>
        <v>0.8928571428571429</v>
      </c>
      <c r="N15" s="1015" t="s">
        <v>273</v>
      </c>
      <c r="O15" s="1023">
        <f>'Labor Rates Calculator'!G15</f>
        <v>78.476191512440906</v>
      </c>
      <c r="P15" s="1024">
        <v>95</v>
      </c>
      <c r="X15" s="1025">
        <v>65</v>
      </c>
    </row>
    <row r="16" spans="1:26" ht="15.75" customHeight="1">
      <c r="A16" s="1027"/>
      <c r="B16" s="1028"/>
      <c r="C16" s="1029" t="s">
        <v>326</v>
      </c>
      <c r="D16" s="1007">
        <f t="shared" si="3"/>
        <v>121.85714285714286</v>
      </c>
      <c r="E16" s="1028" t="s">
        <v>320</v>
      </c>
      <c r="F16" s="1030">
        <f t="shared" si="0"/>
        <v>0</v>
      </c>
      <c r="G16" s="1026">
        <f t="shared" si="1"/>
        <v>0</v>
      </c>
      <c r="H16" s="472"/>
      <c r="I16" s="473"/>
      <c r="J16" s="472"/>
      <c r="K16" s="473"/>
      <c r="L16" s="1022">
        <f t="shared" si="2"/>
        <v>0</v>
      </c>
      <c r="M16" s="1031">
        <v>0</v>
      </c>
      <c r="N16" s="1032"/>
      <c r="O16" s="1023">
        <f>'Labor Rates Calculator'!G16</f>
        <v>101.25584742025426</v>
      </c>
      <c r="P16" s="1033">
        <v>81</v>
      </c>
      <c r="X16" s="1023">
        <v>60</v>
      </c>
    </row>
    <row r="17" spans="1:127" ht="15.75" customHeight="1">
      <c r="A17" s="1027"/>
      <c r="B17" s="1028"/>
      <c r="C17" s="1029" t="s">
        <v>327</v>
      </c>
      <c r="D17" s="1007">
        <f t="shared" si="3"/>
        <v>121.85714285714286</v>
      </c>
      <c r="E17" s="1028" t="s">
        <v>320</v>
      </c>
      <c r="F17" s="1030">
        <f t="shared" si="0"/>
        <v>0</v>
      </c>
      <c r="G17" s="1026">
        <f t="shared" si="1"/>
        <v>0</v>
      </c>
      <c r="H17" s="472"/>
      <c r="I17" s="473"/>
      <c r="J17" s="472"/>
      <c r="K17" s="473"/>
      <c r="L17" s="1034">
        <f t="shared" si="2"/>
        <v>0</v>
      </c>
      <c r="M17" s="1031">
        <v>0</v>
      </c>
      <c r="N17" s="1032"/>
      <c r="O17" s="1023">
        <f>'Labor Rates Calculator'!G17</f>
        <v>97.625604956500453</v>
      </c>
      <c r="P17" s="1033">
        <v>118</v>
      </c>
      <c r="X17" s="1023">
        <v>95</v>
      </c>
    </row>
    <row r="18" spans="1:127" ht="15.75" customHeight="1">
      <c r="A18" s="1027"/>
      <c r="B18" s="1028"/>
      <c r="C18" s="1029" t="s">
        <v>328</v>
      </c>
      <c r="D18" s="1007">
        <f t="shared" si="3"/>
        <v>121.85714285714286</v>
      </c>
      <c r="E18" s="1028" t="s">
        <v>320</v>
      </c>
      <c r="F18" s="1030">
        <f t="shared" si="0"/>
        <v>0</v>
      </c>
      <c r="G18" s="1026">
        <f t="shared" si="1"/>
        <v>0</v>
      </c>
      <c r="H18" s="472"/>
      <c r="I18" s="473"/>
      <c r="J18" s="472"/>
      <c r="K18" s="473"/>
      <c r="L18" s="1034">
        <f t="shared" si="2"/>
        <v>0</v>
      </c>
      <c r="M18" s="1031">
        <v>0</v>
      </c>
      <c r="N18" s="1015"/>
      <c r="O18" s="1023">
        <f>'Labor Rates Calculator'!G18</f>
        <v>155.46734625435292</v>
      </c>
      <c r="P18" s="1033">
        <v>183</v>
      </c>
      <c r="X18" s="1023">
        <v>194</v>
      </c>
    </row>
    <row r="19" spans="1:127" ht="15.75" customHeight="1">
      <c r="A19" s="1027"/>
      <c r="B19" s="1028"/>
      <c r="C19" s="1029" t="s">
        <v>329</v>
      </c>
      <c r="D19" s="1007">
        <f t="shared" si="3"/>
        <v>121.85714285714286</v>
      </c>
      <c r="E19" s="1028" t="s">
        <v>320</v>
      </c>
      <c r="F19" s="1030">
        <f t="shared" si="0"/>
        <v>5219.9531320931001</v>
      </c>
      <c r="G19" s="1026">
        <f t="shared" si="1"/>
        <v>636088.5745250592</v>
      </c>
      <c r="H19" s="472"/>
      <c r="I19" s="473"/>
      <c r="J19" s="472"/>
      <c r="K19" s="473"/>
      <c r="L19" s="1034">
        <f t="shared" si="2"/>
        <v>636088.5745250592</v>
      </c>
      <c r="M19" s="1031">
        <f>Manpower!$AE$25</f>
        <v>1</v>
      </c>
      <c r="N19" s="1015" t="s">
        <v>330</v>
      </c>
      <c r="O19" s="1023">
        <f>'Labor Rates Calculator'!G19</f>
        <v>130.4988283023275</v>
      </c>
      <c r="P19" s="1033">
        <v>161</v>
      </c>
      <c r="X19" s="1023">
        <v>173</v>
      </c>
    </row>
    <row r="20" spans="1:127" ht="15.75" customHeight="1">
      <c r="A20" s="1027"/>
      <c r="B20" s="1028"/>
      <c r="C20" s="1029" t="s">
        <v>331</v>
      </c>
      <c r="D20" s="1007">
        <f t="shared" si="3"/>
        <v>121.85714285714286</v>
      </c>
      <c r="E20" s="1028" t="s">
        <v>320</v>
      </c>
      <c r="F20" s="1030">
        <f t="shared" ref="F20" si="4">(O20*40)*M20</f>
        <v>2136.149383021529</v>
      </c>
      <c r="G20" s="1026">
        <f t="shared" ref="G20" si="5">SUM(D20*F20)</f>
        <v>260305.06053105206</v>
      </c>
      <c r="H20" s="472"/>
      <c r="I20" s="473"/>
      <c r="J20" s="472"/>
      <c r="K20" s="473"/>
      <c r="L20" s="1034">
        <f t="shared" ref="L20" si="6">SUM(G20+I20+K20)</f>
        <v>260305.06053105206</v>
      </c>
      <c r="M20" s="1031">
        <f>Manpower!$AE$26</f>
        <v>0.5</v>
      </c>
      <c r="N20" s="1015" t="s">
        <v>332</v>
      </c>
      <c r="O20" s="1023">
        <f>'Labor Rates Calculator'!G20</f>
        <v>106.80746915107646</v>
      </c>
      <c r="P20" s="1033">
        <v>161</v>
      </c>
      <c r="X20" s="1023">
        <v>173</v>
      </c>
    </row>
    <row r="21" spans="1:127" ht="15.75" customHeight="1">
      <c r="A21" s="1027"/>
      <c r="B21" s="1028"/>
      <c r="C21" s="1029" t="s">
        <v>331</v>
      </c>
      <c r="D21" s="1007">
        <f t="shared" si="3"/>
        <v>121.85714285714286</v>
      </c>
      <c r="E21" s="1028" t="s">
        <v>320</v>
      </c>
      <c r="F21" s="1030">
        <f t="shared" si="0"/>
        <v>0</v>
      </c>
      <c r="G21" s="1026">
        <f t="shared" si="1"/>
        <v>0</v>
      </c>
      <c r="H21" s="472"/>
      <c r="I21" s="473"/>
      <c r="J21" s="472"/>
      <c r="K21" s="473"/>
      <c r="L21" s="1034">
        <f t="shared" si="2"/>
        <v>0</v>
      </c>
      <c r="M21" s="1031">
        <v>0</v>
      </c>
      <c r="N21" s="1015"/>
      <c r="O21" s="1023">
        <f>'Labor Rates Calculator'!G20</f>
        <v>106.80746915107646</v>
      </c>
      <c r="P21" s="1033">
        <v>121</v>
      </c>
      <c r="X21" s="1023">
        <v>155</v>
      </c>
    </row>
    <row r="22" spans="1:127" ht="15.75" customHeight="1">
      <c r="A22" s="1027"/>
      <c r="B22" s="1028"/>
      <c r="C22" s="1029" t="s">
        <v>333</v>
      </c>
      <c r="D22" s="1007">
        <f t="shared" si="3"/>
        <v>121.85714285714286</v>
      </c>
      <c r="E22" s="1028" t="s">
        <v>320</v>
      </c>
      <c r="F22" s="1030">
        <f t="shared" si="0"/>
        <v>2828.0099928466116</v>
      </c>
      <c r="G22" s="1026">
        <f t="shared" si="1"/>
        <v>344613.21769973711</v>
      </c>
      <c r="H22" s="472"/>
      <c r="I22" s="473"/>
      <c r="J22" s="472"/>
      <c r="K22" s="473"/>
      <c r="L22" s="1034">
        <f t="shared" si="2"/>
        <v>344613.21769973711</v>
      </c>
      <c r="M22" s="1031">
        <f>Manpower!$AE$27</f>
        <v>1</v>
      </c>
      <c r="N22" s="1015" t="s">
        <v>273</v>
      </c>
      <c r="O22" s="1023">
        <f>'Labor Rates Calculator'!G21</f>
        <v>70.700249821165286</v>
      </c>
      <c r="P22" s="1033">
        <v>84</v>
      </c>
      <c r="X22" s="1023">
        <v>95</v>
      </c>
    </row>
    <row r="23" spans="1:127" ht="15.75" customHeight="1">
      <c r="A23" s="1027"/>
      <c r="B23" s="1028"/>
      <c r="C23" s="1029" t="s">
        <v>333</v>
      </c>
      <c r="D23" s="1007">
        <f t="shared" si="3"/>
        <v>121.85714285714286</v>
      </c>
      <c r="E23" s="1028" t="s">
        <v>320</v>
      </c>
      <c r="F23" s="1030">
        <f t="shared" ref="F23" si="7">(O23*40)*M23</f>
        <v>1414.0049964233058</v>
      </c>
      <c r="G23" s="1026">
        <f t="shared" ref="G23" si="8">SUM(D23*F23)</f>
        <v>172306.60884986856</v>
      </c>
      <c r="H23" s="472"/>
      <c r="I23" s="473"/>
      <c r="J23" s="472"/>
      <c r="K23" s="473"/>
      <c r="L23" s="1034">
        <f t="shared" ref="L23" si="9">SUM(G23+I23+K23)</f>
        <v>172306.60884986856</v>
      </c>
      <c r="M23" s="1031">
        <f>Manpower!$AE$28</f>
        <v>0.5</v>
      </c>
      <c r="N23" s="1015" t="s">
        <v>332</v>
      </c>
      <c r="O23" s="1023">
        <f>'Labor Rates Calculator'!G21</f>
        <v>70.700249821165286</v>
      </c>
      <c r="P23" s="1033">
        <v>84</v>
      </c>
      <c r="X23" s="1023">
        <v>95</v>
      </c>
    </row>
    <row r="24" spans="1:127" ht="15.75" customHeight="1">
      <c r="A24" s="1027"/>
      <c r="B24" s="1028"/>
      <c r="C24" s="407" t="s">
        <v>334</v>
      </c>
      <c r="D24" s="1007">
        <f t="shared" si="3"/>
        <v>121.85714285714286</v>
      </c>
      <c r="E24" s="1028" t="s">
        <v>320</v>
      </c>
      <c r="F24" s="1030">
        <f>(O24*40)*M24</f>
        <v>971.68173834911272</v>
      </c>
      <c r="G24" s="1026">
        <f>SUM(D24*F24)</f>
        <v>118406.36040168474</v>
      </c>
      <c r="H24" s="472"/>
      <c r="I24" s="473"/>
      <c r="J24" s="472"/>
      <c r="K24" s="473"/>
      <c r="L24" s="1034">
        <f>SUM(G24+I24+K24)</f>
        <v>118406.36040168474</v>
      </c>
      <c r="M24" s="1031">
        <f>Manpower!$AE$29</f>
        <v>0.20000000000000009</v>
      </c>
      <c r="N24" s="1015"/>
      <c r="O24" s="1023">
        <f>'Labor Rates Calculator'!G22</f>
        <v>121.46021729363905</v>
      </c>
      <c r="P24" s="1033"/>
      <c r="X24" s="1023"/>
    </row>
    <row r="25" spans="1:127" ht="15.75" customHeight="1">
      <c r="A25" s="1027"/>
      <c r="B25" s="1028"/>
      <c r="C25" s="407" t="s">
        <v>51</v>
      </c>
      <c r="D25" s="1007">
        <f t="shared" si="3"/>
        <v>121.85714285714286</v>
      </c>
      <c r="E25" s="408" t="s">
        <v>320</v>
      </c>
      <c r="F25" s="1030">
        <f t="shared" si="0"/>
        <v>0</v>
      </c>
      <c r="G25" s="1026">
        <f>SUM(D25*F25)</f>
        <v>0</v>
      </c>
      <c r="H25" s="472"/>
      <c r="I25" s="473"/>
      <c r="J25" s="472"/>
      <c r="K25" s="473"/>
      <c r="L25" s="1022">
        <f t="shared" si="2"/>
        <v>0</v>
      </c>
      <c r="M25" s="1035">
        <f>Manpower!$AE$34</f>
        <v>0</v>
      </c>
      <c r="N25" s="1032"/>
      <c r="O25" s="1023">
        <f>'Labor Rates Calculator'!G23</f>
        <v>49.003573506810142</v>
      </c>
      <c r="P25" s="1033">
        <v>65</v>
      </c>
      <c r="X25" s="1023">
        <v>65</v>
      </c>
      <c r="Z25" t="s">
        <v>288</v>
      </c>
    </row>
    <row r="26" spans="1:127" s="267" customFormat="1" ht="15.75" customHeight="1">
      <c r="A26" s="1027"/>
      <c r="B26" s="1028"/>
      <c r="C26" s="407" t="s">
        <v>335</v>
      </c>
      <c r="D26" s="1007">
        <f t="shared" si="3"/>
        <v>121.85714285714286</v>
      </c>
      <c r="E26" s="1028" t="s">
        <v>320</v>
      </c>
      <c r="F26" s="1030">
        <f t="shared" si="0"/>
        <v>1094.4532424285223</v>
      </c>
      <c r="G26" s="1026">
        <f t="shared" si="1"/>
        <v>133366.94511307566</v>
      </c>
      <c r="H26" s="472"/>
      <c r="I26" s="473"/>
      <c r="J26" s="472"/>
      <c r="K26" s="473"/>
      <c r="L26" s="1022">
        <f t="shared" si="2"/>
        <v>133366.94511307566</v>
      </c>
      <c r="M26" s="292">
        <f>Manpower!$AE$32</f>
        <v>0.20000000000000009</v>
      </c>
      <c r="N26" s="1032"/>
      <c r="O26" s="1023">
        <f>'Labor Rates Calculator'!G24</f>
        <v>136.80665530356524</v>
      </c>
      <c r="P26" s="315">
        <v>80</v>
      </c>
      <c r="Q26"/>
      <c r="R26"/>
      <c r="S26"/>
      <c r="T26"/>
      <c r="U26"/>
      <c r="V26"/>
      <c r="W26"/>
      <c r="X26" s="409">
        <v>90</v>
      </c>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row>
    <row r="27" spans="1:127" ht="15.75" customHeight="1">
      <c r="A27" s="410"/>
      <c r="B27" s="408"/>
      <c r="C27" s="407" t="s">
        <v>336</v>
      </c>
      <c r="D27" s="268">
        <f>K4</f>
        <v>121.85714285714286</v>
      </c>
      <c r="E27" s="293" t="s">
        <v>320</v>
      </c>
      <c r="F27" s="1036">
        <f>(O27*40)*M27</f>
        <v>752.68865903121139</v>
      </c>
      <c r="G27" s="1037">
        <f t="shared" si="1"/>
        <v>91720.48945051762</v>
      </c>
      <c r="H27" s="474"/>
      <c r="I27" s="475"/>
      <c r="J27" s="474"/>
      <c r="K27" s="475"/>
      <c r="L27" s="1038">
        <f t="shared" si="2"/>
        <v>91720.48945051762</v>
      </c>
      <c r="M27" s="292">
        <f>Manpower!$AE$31</f>
        <v>0.20000000000000009</v>
      </c>
      <c r="N27" s="269"/>
      <c r="O27" s="1039">
        <f>'Labor Rates Calculator'!G26</f>
        <v>94.086082378901381</v>
      </c>
      <c r="P27" s="315">
        <v>96</v>
      </c>
      <c r="X27" s="409">
        <v>96</v>
      </c>
    </row>
    <row r="28" spans="1:127" s="261" customFormat="1" ht="15.75" customHeight="1">
      <c r="A28" s="995"/>
      <c r="B28" s="996"/>
      <c r="C28" s="997" t="s">
        <v>337</v>
      </c>
      <c r="D28" s="998"/>
      <c r="E28" s="999"/>
      <c r="F28" s="999"/>
      <c r="G28" s="999"/>
      <c r="H28" s="999"/>
      <c r="I28" s="999"/>
      <c r="J28" s="999"/>
      <c r="K28" s="999"/>
      <c r="L28" s="1000">
        <f>SUM(L29:L43)</f>
        <v>93428.984682995244</v>
      </c>
      <c r="M28" s="1000"/>
      <c r="N28" s="1001"/>
      <c r="O28" s="316"/>
      <c r="P28" s="1003"/>
      <c r="Q28"/>
      <c r="R28"/>
      <c r="S28"/>
      <c r="T28"/>
      <c r="U28"/>
      <c r="V28"/>
      <c r="W28"/>
      <c r="X28" s="1003"/>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row>
    <row r="29" spans="1:127" ht="15.75" customHeight="1">
      <c r="A29" s="1004"/>
      <c r="B29" s="1005"/>
      <c r="C29" s="1040" t="s">
        <v>319</v>
      </c>
      <c r="D29" s="1041">
        <f t="shared" ref="D29:D43" si="10">$K$5</f>
        <v>4.1428571428571432</v>
      </c>
      <c r="E29" s="1005" t="s">
        <v>320</v>
      </c>
      <c r="F29" s="1042">
        <f>(40*O29)*M29</f>
        <v>0</v>
      </c>
      <c r="G29" s="1043">
        <f>SUM(D29*F29)</f>
        <v>0</v>
      </c>
      <c r="H29" s="1044"/>
      <c r="I29" s="1045"/>
      <c r="J29" s="1044"/>
      <c r="K29" s="1045"/>
      <c r="L29" s="1046">
        <f t="shared" ref="L29:L42" si="11">SUM(G29+I29+K29)</f>
        <v>0</v>
      </c>
      <c r="M29" s="1047">
        <f>Manpower!$AG$20</f>
        <v>0</v>
      </c>
      <c r="N29" s="1048"/>
      <c r="O29" s="1049">
        <f>+O10</f>
        <v>186.04654401349359</v>
      </c>
      <c r="P29" s="1049">
        <f>+P10</f>
        <v>253</v>
      </c>
      <c r="X29" s="1049">
        <f>+X10</f>
        <v>216</v>
      </c>
    </row>
    <row r="30" spans="1:127" ht="15.75" customHeight="1">
      <c r="A30" s="1027"/>
      <c r="B30" s="1028"/>
      <c r="C30" s="1029" t="s">
        <v>321</v>
      </c>
      <c r="D30" s="1050">
        <f t="shared" si="10"/>
        <v>4.1428571428571432</v>
      </c>
      <c r="E30" s="1028" t="s">
        <v>320</v>
      </c>
      <c r="F30" s="1051">
        <f>(40*O30)*M30</f>
        <v>0</v>
      </c>
      <c r="G30" s="1052">
        <f>SUM(D30*F30)</f>
        <v>0</v>
      </c>
      <c r="H30" s="696"/>
      <c r="I30" s="697"/>
      <c r="J30" s="696"/>
      <c r="K30" s="697"/>
      <c r="L30" s="1053">
        <f t="shared" si="11"/>
        <v>0</v>
      </c>
      <c r="M30" s="1054">
        <f t="shared" ref="M30:M37" si="12">+M11</f>
        <v>0</v>
      </c>
      <c r="N30" s="1055"/>
      <c r="O30" s="1056">
        <f>+O11</f>
        <v>154.19620454731853</v>
      </c>
      <c r="P30" s="1056">
        <f>+P11</f>
        <v>195</v>
      </c>
      <c r="X30" s="1056">
        <f>+X11</f>
        <v>175</v>
      </c>
    </row>
    <row r="31" spans="1:127" ht="15.75" customHeight="1">
      <c r="A31" s="1027"/>
      <c r="B31" s="1028"/>
      <c r="C31" s="1006" t="s">
        <v>322</v>
      </c>
      <c r="D31" s="1050">
        <f t="shared" si="10"/>
        <v>4.1428571428571432</v>
      </c>
      <c r="E31" s="1028" t="s">
        <v>320</v>
      </c>
      <c r="F31" s="1051">
        <f>(40*O31)*M31</f>
        <v>5071.52722544067</v>
      </c>
      <c r="G31" s="1052">
        <f>SUM(D31*F31)</f>
        <v>21010.612791111351</v>
      </c>
      <c r="H31" s="696"/>
      <c r="I31" s="697"/>
      <c r="J31" s="696"/>
      <c r="K31" s="697"/>
      <c r="L31" s="1053">
        <f t="shared" si="11"/>
        <v>21010.612791111351</v>
      </c>
      <c r="M31" s="1054">
        <f t="shared" si="12"/>
        <v>0.8928571428571429</v>
      </c>
      <c r="N31" s="1055"/>
      <c r="O31" s="1056">
        <f>O12</f>
        <v>142.00276231233875</v>
      </c>
      <c r="P31" s="1056"/>
      <c r="X31" s="1056"/>
    </row>
    <row r="32" spans="1:127" ht="15.75" customHeight="1">
      <c r="A32" s="1027"/>
      <c r="B32" s="1028"/>
      <c r="C32" s="1029" t="s">
        <v>323</v>
      </c>
      <c r="D32" s="1050">
        <f t="shared" si="10"/>
        <v>4.1428571428571432</v>
      </c>
      <c r="E32" s="1028" t="s">
        <v>320</v>
      </c>
      <c r="F32" s="1051">
        <f t="shared" ref="F32:F42" si="13">(40*O32)*M32</f>
        <v>5198.8326356923071</v>
      </c>
      <c r="G32" s="1052">
        <f t="shared" ref="G32:G43" si="14">SUM(D32*F32)</f>
        <v>21538.020919296701</v>
      </c>
      <c r="H32" s="696"/>
      <c r="I32" s="697"/>
      <c r="J32" s="696"/>
      <c r="K32" s="697"/>
      <c r="L32" s="1053">
        <f t="shared" si="11"/>
        <v>21538.020919296701</v>
      </c>
      <c r="M32" s="1054">
        <f>Manpower!$AG$22</f>
        <v>1</v>
      </c>
      <c r="N32" s="1055"/>
      <c r="O32" s="1056">
        <f t="shared" ref="O32:P38" si="15">+O13</f>
        <v>129.97081589230768</v>
      </c>
      <c r="P32" s="1056">
        <f t="shared" si="15"/>
        <v>185</v>
      </c>
      <c r="X32" s="1056">
        <f t="shared" ref="X32:X38" si="16">+X13</f>
        <v>155</v>
      </c>
    </row>
    <row r="33" spans="1:135" ht="15.75" customHeight="1">
      <c r="A33" s="1027"/>
      <c r="B33" s="1028"/>
      <c r="C33" s="1029" t="s">
        <v>324</v>
      </c>
      <c r="D33" s="1050">
        <f t="shared" si="10"/>
        <v>4.1428571428571432</v>
      </c>
      <c r="E33" s="1028" t="s">
        <v>320</v>
      </c>
      <c r="F33" s="1051">
        <f t="shared" si="13"/>
        <v>0</v>
      </c>
      <c r="G33" s="1052">
        <f t="shared" si="14"/>
        <v>0</v>
      </c>
      <c r="H33" s="696"/>
      <c r="I33" s="697"/>
      <c r="J33" s="696"/>
      <c r="K33" s="697"/>
      <c r="L33" s="1053">
        <f t="shared" si="11"/>
        <v>0</v>
      </c>
      <c r="M33" s="1054">
        <f t="shared" si="12"/>
        <v>0</v>
      </c>
      <c r="N33" s="1055"/>
      <c r="O33" s="1056">
        <f t="shared" si="15"/>
        <v>111.233412786325</v>
      </c>
      <c r="P33" s="1056">
        <f t="shared" si="15"/>
        <v>163</v>
      </c>
      <c r="X33" s="1056">
        <f t="shared" si="16"/>
        <v>130</v>
      </c>
    </row>
    <row r="34" spans="1:135" ht="15.75" customHeight="1">
      <c r="A34" s="1027"/>
      <c r="B34" s="1028"/>
      <c r="C34" s="1029" t="s">
        <v>325</v>
      </c>
      <c r="D34" s="1050">
        <f t="shared" si="10"/>
        <v>4.1428571428571432</v>
      </c>
      <c r="E34" s="1028" t="s">
        <v>320</v>
      </c>
      <c r="F34" s="1051">
        <f t="shared" si="13"/>
        <v>3139.0476604976361</v>
      </c>
      <c r="G34" s="1052">
        <f t="shared" si="14"/>
        <v>13004.626022061637</v>
      </c>
      <c r="H34" s="696"/>
      <c r="I34" s="697"/>
      <c r="J34" s="696"/>
      <c r="K34" s="697"/>
      <c r="L34" s="1053">
        <f t="shared" si="11"/>
        <v>13004.626022061637</v>
      </c>
      <c r="M34" s="1054">
        <f>Manpower!$AG$24</f>
        <v>1</v>
      </c>
      <c r="N34" s="1048"/>
      <c r="O34" s="1056">
        <f t="shared" si="15"/>
        <v>78.476191512440906</v>
      </c>
      <c r="P34" s="1056">
        <f t="shared" si="15"/>
        <v>95</v>
      </c>
      <c r="X34" s="1056">
        <f t="shared" si="16"/>
        <v>65</v>
      </c>
    </row>
    <row r="35" spans="1:135" ht="15.75" customHeight="1">
      <c r="A35" s="1027"/>
      <c r="B35" s="1028"/>
      <c r="C35" s="1029" t="s">
        <v>338</v>
      </c>
      <c r="D35" s="1050">
        <f t="shared" si="10"/>
        <v>4.1428571428571432</v>
      </c>
      <c r="E35" s="1028" t="s">
        <v>320</v>
      </c>
      <c r="F35" s="1051">
        <f t="shared" si="13"/>
        <v>0</v>
      </c>
      <c r="G35" s="1052">
        <f t="shared" si="14"/>
        <v>0</v>
      </c>
      <c r="H35" s="696"/>
      <c r="I35" s="697"/>
      <c r="J35" s="696"/>
      <c r="K35" s="697"/>
      <c r="L35" s="1053">
        <f t="shared" si="11"/>
        <v>0</v>
      </c>
      <c r="M35" s="1054">
        <f t="shared" si="12"/>
        <v>0</v>
      </c>
      <c r="N35" s="1055"/>
      <c r="O35" s="1056">
        <f t="shared" si="15"/>
        <v>101.25584742025426</v>
      </c>
      <c r="P35" s="1056">
        <f t="shared" si="15"/>
        <v>81</v>
      </c>
      <c r="X35" s="1056">
        <f t="shared" si="16"/>
        <v>60</v>
      </c>
    </row>
    <row r="36" spans="1:135" ht="15.75" customHeight="1">
      <c r="A36" s="1027"/>
      <c r="B36" s="1028"/>
      <c r="C36" s="1029" t="s">
        <v>327</v>
      </c>
      <c r="D36" s="1050">
        <f t="shared" si="10"/>
        <v>4.1428571428571432</v>
      </c>
      <c r="E36" s="1028" t="s">
        <v>320</v>
      </c>
      <c r="F36" s="1051">
        <f t="shared" si="13"/>
        <v>0</v>
      </c>
      <c r="G36" s="1052">
        <f t="shared" si="14"/>
        <v>0</v>
      </c>
      <c r="H36" s="696"/>
      <c r="I36" s="697"/>
      <c r="J36" s="696"/>
      <c r="K36" s="697"/>
      <c r="L36" s="1053">
        <f t="shared" si="11"/>
        <v>0</v>
      </c>
      <c r="M36" s="1054">
        <f t="shared" si="12"/>
        <v>0</v>
      </c>
      <c r="N36" s="1055"/>
      <c r="O36" s="1056">
        <f t="shared" si="15"/>
        <v>97.625604956500453</v>
      </c>
      <c r="P36" s="1056">
        <f t="shared" si="15"/>
        <v>118</v>
      </c>
      <c r="X36" s="1056">
        <f t="shared" si="16"/>
        <v>95</v>
      </c>
    </row>
    <row r="37" spans="1:135" ht="15.75" customHeight="1">
      <c r="A37" s="410"/>
      <c r="B37" s="408"/>
      <c r="C37" s="407" t="s">
        <v>328</v>
      </c>
      <c r="D37" s="1050">
        <f t="shared" si="10"/>
        <v>4.1428571428571432</v>
      </c>
      <c r="E37" s="1028" t="s">
        <v>320</v>
      </c>
      <c r="F37" s="1051">
        <f t="shared" si="13"/>
        <v>0</v>
      </c>
      <c r="G37" s="1052">
        <f t="shared" si="14"/>
        <v>0</v>
      </c>
      <c r="H37" s="696"/>
      <c r="I37" s="697"/>
      <c r="J37" s="696"/>
      <c r="K37" s="697"/>
      <c r="L37" s="1053">
        <f t="shared" si="11"/>
        <v>0</v>
      </c>
      <c r="M37" s="1054">
        <f t="shared" si="12"/>
        <v>0</v>
      </c>
      <c r="N37" s="1055"/>
      <c r="O37" s="1056">
        <f t="shared" si="15"/>
        <v>155.46734625435292</v>
      </c>
      <c r="P37" s="1056">
        <f t="shared" si="15"/>
        <v>183</v>
      </c>
      <c r="X37" s="1056">
        <f t="shared" si="16"/>
        <v>194</v>
      </c>
    </row>
    <row r="38" spans="1:135" ht="15.75" customHeight="1">
      <c r="A38" s="410"/>
      <c r="B38" s="408"/>
      <c r="C38" s="407" t="s">
        <v>329</v>
      </c>
      <c r="D38" s="1050">
        <f t="shared" si="10"/>
        <v>4.1428571428571432</v>
      </c>
      <c r="E38" s="1028" t="s">
        <v>320</v>
      </c>
      <c r="F38" s="1051">
        <f t="shared" si="13"/>
        <v>5219.9531320931001</v>
      </c>
      <c r="G38" s="1052">
        <f t="shared" si="14"/>
        <v>21625.520118671415</v>
      </c>
      <c r="H38" s="696"/>
      <c r="I38" s="697"/>
      <c r="J38" s="696"/>
      <c r="K38" s="697"/>
      <c r="L38" s="1053">
        <f t="shared" si="11"/>
        <v>21625.520118671415</v>
      </c>
      <c r="M38" s="1054">
        <f>Manpower!$AF$25</f>
        <v>1</v>
      </c>
      <c r="N38" s="1055"/>
      <c r="O38" s="1056">
        <f t="shared" si="15"/>
        <v>130.4988283023275</v>
      </c>
      <c r="P38" s="1056">
        <f t="shared" si="15"/>
        <v>161</v>
      </c>
      <c r="X38" s="1056">
        <f t="shared" si="16"/>
        <v>173</v>
      </c>
    </row>
    <row r="39" spans="1:135" ht="15.75" customHeight="1">
      <c r="A39" s="410"/>
      <c r="B39" s="408"/>
      <c r="C39" s="407" t="s">
        <v>331</v>
      </c>
      <c r="D39" s="1050">
        <f t="shared" si="10"/>
        <v>4.1428571428571432</v>
      </c>
      <c r="E39" s="1028" t="s">
        <v>320</v>
      </c>
      <c r="F39" s="1051">
        <f t="shared" si="13"/>
        <v>0</v>
      </c>
      <c r="G39" s="1052">
        <f t="shared" si="14"/>
        <v>0</v>
      </c>
      <c r="H39" s="696"/>
      <c r="I39" s="697"/>
      <c r="J39" s="696"/>
      <c r="K39" s="697"/>
      <c r="L39" s="1053">
        <f t="shared" si="11"/>
        <v>0</v>
      </c>
      <c r="M39" s="1054">
        <f>+M21</f>
        <v>0</v>
      </c>
      <c r="N39" s="1055"/>
      <c r="O39" s="1056">
        <f t="shared" ref="O39:P40" si="17">+O21</f>
        <v>106.80746915107646</v>
      </c>
      <c r="P39" s="1056">
        <f t="shared" si="17"/>
        <v>121</v>
      </c>
      <c r="X39" s="1056">
        <f t="shared" ref="X39:X40" si="18">+X21</f>
        <v>155</v>
      </c>
    </row>
    <row r="40" spans="1:135" ht="15.75" customHeight="1">
      <c r="A40" s="410"/>
      <c r="B40" s="408"/>
      <c r="C40" s="407" t="s">
        <v>339</v>
      </c>
      <c r="D40" s="1050">
        <f t="shared" si="10"/>
        <v>4.1428571428571432</v>
      </c>
      <c r="E40" s="1028" t="s">
        <v>320</v>
      </c>
      <c r="F40" s="1051">
        <f t="shared" si="13"/>
        <v>2828.0099928466116</v>
      </c>
      <c r="G40" s="1052">
        <f t="shared" si="14"/>
        <v>11716.041398935964</v>
      </c>
      <c r="H40" s="696"/>
      <c r="I40" s="697"/>
      <c r="J40" s="696"/>
      <c r="K40" s="697"/>
      <c r="L40" s="1053">
        <f t="shared" si="11"/>
        <v>11716.041398935964</v>
      </c>
      <c r="M40" s="1054">
        <f>Manpower!$AF$27</f>
        <v>1</v>
      </c>
      <c r="N40" s="1055"/>
      <c r="O40" s="1056">
        <f t="shared" si="17"/>
        <v>70.700249821165286</v>
      </c>
      <c r="P40" s="1056">
        <f t="shared" si="17"/>
        <v>84</v>
      </c>
      <c r="X40" s="1056">
        <f t="shared" si="18"/>
        <v>95</v>
      </c>
    </row>
    <row r="41" spans="1:135" ht="15.75" customHeight="1">
      <c r="A41" s="410"/>
      <c r="B41" s="408"/>
      <c r="C41" s="407" t="s">
        <v>51</v>
      </c>
      <c r="D41" s="1050">
        <f t="shared" si="10"/>
        <v>4.1428571428571432</v>
      </c>
      <c r="E41" s="1028" t="s">
        <v>320</v>
      </c>
      <c r="F41" s="1051">
        <f t="shared" si="13"/>
        <v>0</v>
      </c>
      <c r="G41" s="1052">
        <f t="shared" si="14"/>
        <v>0</v>
      </c>
      <c r="H41" s="696"/>
      <c r="I41" s="697"/>
      <c r="J41" s="696"/>
      <c r="K41" s="697"/>
      <c r="L41" s="1053">
        <f t="shared" si="11"/>
        <v>0</v>
      </c>
      <c r="M41" s="1054">
        <f>+M25</f>
        <v>0</v>
      </c>
      <c r="N41" s="1055"/>
      <c r="O41" s="1056">
        <f>+O25</f>
        <v>49.003573506810142</v>
      </c>
      <c r="P41" s="1056">
        <f>+P25</f>
        <v>65</v>
      </c>
      <c r="X41" s="1056">
        <f>+X25</f>
        <v>65</v>
      </c>
    </row>
    <row r="42" spans="1:135" ht="15.75" customHeight="1">
      <c r="A42" s="410"/>
      <c r="B42" s="408"/>
      <c r="C42" s="407" t="s">
        <v>335</v>
      </c>
      <c r="D42" s="1050">
        <f t="shared" si="10"/>
        <v>4.1428571428571432</v>
      </c>
      <c r="E42" s="1028" t="s">
        <v>320</v>
      </c>
      <c r="F42" s="1051">
        <f t="shared" si="13"/>
        <v>1094.4532424285219</v>
      </c>
      <c r="G42" s="1052">
        <f t="shared" si="14"/>
        <v>4534.1634329181625</v>
      </c>
      <c r="H42" s="696"/>
      <c r="I42" s="697"/>
      <c r="J42" s="696"/>
      <c r="K42" s="697"/>
      <c r="L42" s="1053">
        <f t="shared" si="11"/>
        <v>4534.1634329181625</v>
      </c>
      <c r="M42" s="1054">
        <f>Manpower!$AF$32</f>
        <v>0.2</v>
      </c>
      <c r="N42" s="1055"/>
      <c r="O42" s="1056">
        <f>+O26</f>
        <v>136.80665530356524</v>
      </c>
      <c r="P42" s="1056">
        <f>+P26</f>
        <v>80</v>
      </c>
      <c r="X42" s="1056">
        <f>+X26</f>
        <v>90</v>
      </c>
    </row>
    <row r="43" spans="1:135" s="267" customFormat="1" ht="15.75" customHeight="1">
      <c r="A43" s="1057"/>
      <c r="B43" s="1058"/>
      <c r="C43" s="1059" t="s">
        <v>336</v>
      </c>
      <c r="D43" s="270">
        <f t="shared" si="10"/>
        <v>4.1428571428571432</v>
      </c>
      <c r="E43" s="1060" t="s">
        <v>320</v>
      </c>
      <c r="F43" s="1061">
        <f>(40*O43)*M43</f>
        <v>0</v>
      </c>
      <c r="G43" s="271">
        <f t="shared" si="14"/>
        <v>0</v>
      </c>
      <c r="H43" s="698"/>
      <c r="I43" s="699"/>
      <c r="J43" s="698"/>
      <c r="K43" s="699"/>
      <c r="L43" s="1062">
        <f>SUM(G43+I43+K43)</f>
        <v>0</v>
      </c>
      <c r="M43" s="1063">
        <v>0</v>
      </c>
      <c r="O43" s="1064">
        <f t="shared" ref="O43:P43" si="19">+O27</f>
        <v>94.086082378901381</v>
      </c>
      <c r="P43" s="1064">
        <f t="shared" si="19"/>
        <v>96</v>
      </c>
      <c r="Q43"/>
      <c r="R43"/>
      <c r="S43"/>
      <c r="T43"/>
      <c r="U43"/>
      <c r="V43"/>
      <c r="W43"/>
      <c r="X43" s="1064">
        <f>+X27</f>
        <v>96</v>
      </c>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row>
    <row r="44" spans="1:135" ht="33.75" customHeight="1">
      <c r="A44" s="1065"/>
      <c r="B44" s="1066"/>
      <c r="C44" s="1067" t="s">
        <v>340</v>
      </c>
      <c r="D44" s="1068"/>
      <c r="E44" s="1069"/>
      <c r="F44" s="1069"/>
      <c r="G44" s="1069"/>
      <c r="H44" s="1069"/>
      <c r="I44" s="1069"/>
      <c r="J44" s="1069"/>
      <c r="K44" s="1069"/>
      <c r="L44" s="1070">
        <f>SUM(L45:L64)</f>
        <v>136938.5</v>
      </c>
      <c r="M44" s="1070"/>
      <c r="N44" s="1071"/>
    </row>
    <row r="45" spans="1:135" ht="15.6" customHeight="1">
      <c r="A45" s="1027"/>
      <c r="B45" s="1028"/>
      <c r="C45" s="1006" t="s">
        <v>341</v>
      </c>
      <c r="D45" s="1050">
        <v>0</v>
      </c>
      <c r="E45" s="1019" t="s">
        <v>342</v>
      </c>
      <c r="F45" s="1044"/>
      <c r="G45" s="1045"/>
      <c r="H45" s="1072">
        <v>16000</v>
      </c>
      <c r="I45" s="1052">
        <f t="shared" ref="I45:I63" si="20">SUM(D45*H45)</f>
        <v>0</v>
      </c>
      <c r="J45" s="1044" t="s">
        <v>343</v>
      </c>
      <c r="K45" s="1045"/>
      <c r="L45" s="1053">
        <f t="shared" ref="L45:L64" si="21">SUM(G45+I45+K45)</f>
        <v>0</v>
      </c>
      <c r="M45" s="1073"/>
      <c r="N45" s="1048"/>
    </row>
    <row r="46" spans="1:135" ht="15.6" customHeight="1">
      <c r="A46" s="1027"/>
      <c r="B46" s="1028"/>
      <c r="C46" s="1029" t="s">
        <v>344</v>
      </c>
      <c r="D46" s="1050">
        <v>0</v>
      </c>
      <c r="E46" s="1028" t="s">
        <v>345</v>
      </c>
      <c r="F46" s="696"/>
      <c r="G46" s="697"/>
      <c r="H46" s="1036">
        <v>3500</v>
      </c>
      <c r="I46" s="1052">
        <f t="shared" si="20"/>
        <v>0</v>
      </c>
      <c r="J46" s="696"/>
      <c r="K46" s="697"/>
      <c r="L46" s="1053">
        <f t="shared" si="21"/>
        <v>0</v>
      </c>
      <c r="M46" s="700"/>
      <c r="N46" s="1074"/>
    </row>
    <row r="47" spans="1:135" ht="15.6" customHeight="1">
      <c r="A47" s="1027"/>
      <c r="B47" s="1028"/>
      <c r="C47" s="1006" t="s">
        <v>346</v>
      </c>
      <c r="D47" s="1050">
        <v>1</v>
      </c>
      <c r="E47" s="1028" t="s">
        <v>342</v>
      </c>
      <c r="F47" s="696"/>
      <c r="G47" s="697"/>
      <c r="H47" s="1036">
        <v>15958</v>
      </c>
      <c r="I47" s="1052">
        <f t="shared" si="20"/>
        <v>15958</v>
      </c>
      <c r="J47" s="696"/>
      <c r="K47" s="697"/>
      <c r="L47" s="1053">
        <f t="shared" si="21"/>
        <v>15958</v>
      </c>
      <c r="M47" s="700"/>
      <c r="N47" s="1074" t="s">
        <v>347</v>
      </c>
    </row>
    <row r="48" spans="1:135" ht="15.6" customHeight="1">
      <c r="A48" s="1027"/>
      <c r="B48" s="1028"/>
      <c r="C48" s="1029" t="s">
        <v>348</v>
      </c>
      <c r="D48" s="1007">
        <f>$L$4</f>
        <v>28.433333333333334</v>
      </c>
      <c r="E48" s="1028" t="s">
        <v>345</v>
      </c>
      <c r="F48" s="696"/>
      <c r="G48" s="697"/>
      <c r="H48" s="1036">
        <v>1732</v>
      </c>
      <c r="I48" s="1052">
        <f t="shared" si="20"/>
        <v>49246.533333333333</v>
      </c>
      <c r="J48" s="696"/>
      <c r="K48" s="697"/>
      <c r="L48" s="1053">
        <f t="shared" si="21"/>
        <v>49246.533333333333</v>
      </c>
      <c r="M48" s="700"/>
      <c r="N48" s="1074" t="s">
        <v>347</v>
      </c>
    </row>
    <row r="49" spans="1:14" ht="15.6" customHeight="1">
      <c r="A49" s="1027"/>
      <c r="B49" s="1028"/>
      <c r="C49" s="1006" t="s">
        <v>349</v>
      </c>
      <c r="D49" s="1007">
        <v>0</v>
      </c>
      <c r="E49" s="1028" t="s">
        <v>342</v>
      </c>
      <c r="F49" s="696"/>
      <c r="G49" s="697"/>
      <c r="H49" s="1036">
        <v>1371</v>
      </c>
      <c r="I49" s="1052">
        <f t="shared" si="20"/>
        <v>0</v>
      </c>
      <c r="J49" s="696"/>
      <c r="K49" s="697"/>
      <c r="L49" s="1053">
        <f t="shared" si="21"/>
        <v>0</v>
      </c>
      <c r="M49" s="700"/>
      <c r="N49" s="1074" t="s">
        <v>350</v>
      </c>
    </row>
    <row r="50" spans="1:14" ht="15.6" customHeight="1">
      <c r="A50" s="1027"/>
      <c r="B50" s="1028"/>
      <c r="C50" s="1029" t="s">
        <v>351</v>
      </c>
      <c r="D50" s="1075">
        <f>$L$4</f>
        <v>28.433333333333334</v>
      </c>
      <c r="E50" s="1028" t="s">
        <v>345</v>
      </c>
      <c r="F50" s="696"/>
      <c r="G50" s="697"/>
      <c r="H50" s="1036">
        <v>573</v>
      </c>
      <c r="I50" s="1052">
        <f t="shared" si="20"/>
        <v>16292.3</v>
      </c>
      <c r="J50" s="696"/>
      <c r="K50" s="697"/>
      <c r="L50" s="1053">
        <f t="shared" si="21"/>
        <v>16292.3</v>
      </c>
      <c r="M50" s="700"/>
      <c r="N50" s="1074" t="s">
        <v>350</v>
      </c>
    </row>
    <row r="51" spans="1:14" ht="15.6" customHeight="1">
      <c r="A51" s="1027"/>
      <c r="B51" s="1028"/>
      <c r="C51" s="1029" t="s">
        <v>352</v>
      </c>
      <c r="D51" s="1050">
        <v>0</v>
      </c>
      <c r="E51" s="1028" t="s">
        <v>342</v>
      </c>
      <c r="F51" s="696"/>
      <c r="G51" s="697"/>
      <c r="H51" s="1072">
        <v>2000</v>
      </c>
      <c r="I51" s="1052">
        <f t="shared" si="20"/>
        <v>0</v>
      </c>
      <c r="J51" s="696"/>
      <c r="K51" s="697"/>
      <c r="L51" s="1053">
        <f t="shared" si="21"/>
        <v>0</v>
      </c>
      <c r="M51" s="700"/>
      <c r="N51" s="1055"/>
    </row>
    <row r="52" spans="1:14" ht="13.15" customHeight="1">
      <c r="A52" s="1027"/>
      <c r="B52" s="1028"/>
      <c r="C52" s="1029" t="s">
        <v>353</v>
      </c>
      <c r="D52" s="1050">
        <f>$L$4</f>
        <v>28.433333333333334</v>
      </c>
      <c r="E52" s="1028" t="s">
        <v>345</v>
      </c>
      <c r="F52" s="696"/>
      <c r="G52" s="697"/>
      <c r="H52" s="1036">
        <v>250</v>
      </c>
      <c r="I52" s="1052">
        <f t="shared" si="20"/>
        <v>7108.333333333333</v>
      </c>
      <c r="J52" s="696"/>
      <c r="K52" s="697"/>
      <c r="L52" s="1053">
        <f t="shared" si="21"/>
        <v>7108.333333333333</v>
      </c>
      <c r="M52" s="700"/>
      <c r="N52" s="1055"/>
    </row>
    <row r="53" spans="1:14" ht="13.15" customHeight="1">
      <c r="A53" s="1027"/>
      <c r="B53" s="1028"/>
      <c r="C53" s="1029" t="s">
        <v>354</v>
      </c>
      <c r="D53" s="1050">
        <f>$L$4</f>
        <v>28.433333333333334</v>
      </c>
      <c r="E53" s="1028" t="s">
        <v>345</v>
      </c>
      <c r="F53" s="696"/>
      <c r="G53" s="697"/>
      <c r="H53" s="1072">
        <v>0</v>
      </c>
      <c r="I53" s="1052">
        <f t="shared" si="20"/>
        <v>0</v>
      </c>
      <c r="J53" s="696"/>
      <c r="K53" s="697"/>
      <c r="L53" s="1053">
        <f t="shared" si="21"/>
        <v>0</v>
      </c>
      <c r="M53" s="700"/>
      <c r="N53" s="1055" t="s">
        <v>355</v>
      </c>
    </row>
    <row r="54" spans="1:14">
      <c r="A54" s="1027"/>
      <c r="B54" s="1028"/>
      <c r="C54" s="1029" t="s">
        <v>356</v>
      </c>
      <c r="D54" s="1050">
        <v>2</v>
      </c>
      <c r="E54" s="1028" t="s">
        <v>357</v>
      </c>
      <c r="F54" s="696"/>
      <c r="G54" s="697"/>
      <c r="H54" s="1072">
        <v>500</v>
      </c>
      <c r="I54" s="1052">
        <f t="shared" si="20"/>
        <v>1000</v>
      </c>
      <c r="J54" s="696"/>
      <c r="K54" s="697"/>
      <c r="L54" s="1053">
        <f t="shared" si="21"/>
        <v>1000</v>
      </c>
      <c r="M54" s="700"/>
      <c r="N54" s="1055"/>
    </row>
    <row r="55" spans="1:14" ht="13.15" customHeight="1">
      <c r="A55" s="1027"/>
      <c r="B55" s="1028"/>
      <c r="C55" s="1029" t="s">
        <v>358</v>
      </c>
      <c r="D55" s="1050">
        <f>$L$4</f>
        <v>28.433333333333334</v>
      </c>
      <c r="E55" s="1028" t="s">
        <v>345</v>
      </c>
      <c r="F55" s="696"/>
      <c r="G55" s="697"/>
      <c r="H55" s="1072">
        <v>100</v>
      </c>
      <c r="I55" s="1052">
        <f t="shared" si="20"/>
        <v>2843.3333333333335</v>
      </c>
      <c r="J55" s="696"/>
      <c r="K55" s="697"/>
      <c r="L55" s="1053">
        <f t="shared" si="21"/>
        <v>2843.3333333333335</v>
      </c>
      <c r="M55" s="700"/>
      <c r="N55" s="1055"/>
    </row>
    <row r="56" spans="1:14">
      <c r="A56" s="1027"/>
      <c r="B56" s="1028"/>
      <c r="C56" s="1029" t="s">
        <v>359</v>
      </c>
      <c r="D56" s="1050">
        <f>$L$4</f>
        <v>28.433333333333334</v>
      </c>
      <c r="E56" s="1028" t="s">
        <v>345</v>
      </c>
      <c r="F56" s="696"/>
      <c r="G56" s="697"/>
      <c r="H56" s="1072">
        <v>50</v>
      </c>
      <c r="I56" s="1052">
        <f t="shared" si="20"/>
        <v>1421.6666666666667</v>
      </c>
      <c r="J56" s="696"/>
      <c r="K56" s="697"/>
      <c r="L56" s="1053">
        <f t="shared" si="21"/>
        <v>1421.6666666666667</v>
      </c>
      <c r="M56" s="700"/>
      <c r="N56" s="1055"/>
    </row>
    <row r="57" spans="1:14">
      <c r="A57" s="1027"/>
      <c r="B57" s="1028"/>
      <c r="C57" s="1029" t="s">
        <v>360</v>
      </c>
      <c r="D57" s="1050">
        <f>$L$4</f>
        <v>28.433333333333334</v>
      </c>
      <c r="E57" s="1028" t="s">
        <v>345</v>
      </c>
      <c r="F57" s="696"/>
      <c r="G57" s="697"/>
      <c r="H57" s="1072">
        <v>250</v>
      </c>
      <c r="I57" s="1052">
        <f t="shared" si="20"/>
        <v>7108.333333333333</v>
      </c>
      <c r="J57" s="696"/>
      <c r="K57" s="697"/>
      <c r="L57" s="1053">
        <f t="shared" si="21"/>
        <v>7108.333333333333</v>
      </c>
      <c r="M57" s="700"/>
      <c r="N57" s="1055"/>
    </row>
    <row r="58" spans="1:14">
      <c r="A58" s="1027"/>
      <c r="B58" s="1028"/>
      <c r="C58" s="1029" t="s">
        <v>361</v>
      </c>
      <c r="D58" s="1076">
        <v>0</v>
      </c>
      <c r="E58" s="1028" t="s">
        <v>357</v>
      </c>
      <c r="F58" s="696"/>
      <c r="G58" s="697"/>
      <c r="H58" s="1072">
        <v>0</v>
      </c>
      <c r="I58" s="1052">
        <f t="shared" si="20"/>
        <v>0</v>
      </c>
      <c r="J58" s="696"/>
      <c r="K58" s="697"/>
      <c r="L58" s="1053">
        <f t="shared" si="21"/>
        <v>0</v>
      </c>
      <c r="M58" s="700"/>
      <c r="N58" s="1055"/>
    </row>
    <row r="59" spans="1:14">
      <c r="A59" s="1027"/>
      <c r="B59" s="1028"/>
      <c r="C59" s="1029" t="s">
        <v>362</v>
      </c>
      <c r="D59" s="1076">
        <v>0</v>
      </c>
      <c r="E59" s="1028" t="s">
        <v>357</v>
      </c>
      <c r="F59" s="696"/>
      <c r="G59" s="697"/>
      <c r="H59" s="1072">
        <v>500</v>
      </c>
      <c r="I59" s="1052">
        <f t="shared" si="20"/>
        <v>0</v>
      </c>
      <c r="J59" s="696"/>
      <c r="K59" s="697"/>
      <c r="L59" s="1053">
        <f t="shared" si="21"/>
        <v>0</v>
      </c>
      <c r="M59" s="700"/>
      <c r="N59" s="1055"/>
    </row>
    <row r="60" spans="1:14">
      <c r="A60" s="1027"/>
      <c r="B60" s="1028"/>
      <c r="C60" s="1029" t="s">
        <v>363</v>
      </c>
      <c r="D60" s="1076">
        <v>2</v>
      </c>
      <c r="E60" s="1028" t="s">
        <v>357</v>
      </c>
      <c r="F60" s="696"/>
      <c r="G60" s="697"/>
      <c r="H60" s="1036">
        <v>500</v>
      </c>
      <c r="I60" s="1052">
        <f t="shared" si="20"/>
        <v>1000</v>
      </c>
      <c r="J60" s="696"/>
      <c r="K60" s="697"/>
      <c r="L60" s="1053">
        <f t="shared" si="21"/>
        <v>1000</v>
      </c>
      <c r="M60" s="700"/>
      <c r="N60" s="1055"/>
    </row>
    <row r="61" spans="1:14">
      <c r="A61" s="1027"/>
      <c r="B61" s="1028"/>
      <c r="C61" s="1029" t="s">
        <v>364</v>
      </c>
      <c r="D61" s="1076">
        <v>0</v>
      </c>
      <c r="E61" s="1028" t="s">
        <v>345</v>
      </c>
      <c r="F61" s="696"/>
      <c r="G61" s="697"/>
      <c r="H61" s="1072">
        <v>0</v>
      </c>
      <c r="I61" s="1052">
        <f t="shared" si="20"/>
        <v>0</v>
      </c>
      <c r="J61" s="696"/>
      <c r="K61" s="697"/>
      <c r="L61" s="1053">
        <f t="shared" si="21"/>
        <v>0</v>
      </c>
      <c r="M61" s="700"/>
      <c r="N61" s="1055"/>
    </row>
    <row r="62" spans="1:14">
      <c r="A62" s="1027"/>
      <c r="B62" s="1028"/>
      <c r="C62" s="1029" t="s">
        <v>365</v>
      </c>
      <c r="D62" s="1076">
        <v>0</v>
      </c>
      <c r="E62" s="1028" t="s">
        <v>357</v>
      </c>
      <c r="F62" s="696"/>
      <c r="G62" s="697"/>
      <c r="H62" s="1072">
        <v>250</v>
      </c>
      <c r="I62" s="1052">
        <f t="shared" si="20"/>
        <v>0</v>
      </c>
      <c r="J62" s="696"/>
      <c r="K62" s="697"/>
      <c r="L62" s="1053">
        <f t="shared" si="21"/>
        <v>0</v>
      </c>
      <c r="M62" s="700"/>
      <c r="N62" s="1055"/>
    </row>
    <row r="63" spans="1:14">
      <c r="A63" s="1027"/>
      <c r="B63" s="1028"/>
      <c r="C63" s="1029" t="s">
        <v>366</v>
      </c>
      <c r="D63" s="1076">
        <v>1</v>
      </c>
      <c r="E63" s="1028" t="s">
        <v>342</v>
      </c>
      <c r="F63" s="696"/>
      <c r="G63" s="697"/>
      <c r="H63" s="1020">
        <v>840</v>
      </c>
      <c r="I63" s="1052">
        <f t="shared" si="20"/>
        <v>840</v>
      </c>
      <c r="J63" s="696"/>
      <c r="K63" s="697"/>
      <c r="L63" s="1077">
        <f t="shared" si="21"/>
        <v>840</v>
      </c>
      <c r="M63" s="700"/>
      <c r="N63" s="1074" t="s">
        <v>367</v>
      </c>
    </row>
    <row r="64" spans="1:14" ht="15.75" thickBot="1">
      <c r="A64" s="1027"/>
      <c r="B64" s="1028"/>
      <c r="C64" s="1078" t="s">
        <v>368</v>
      </c>
      <c r="D64" s="272">
        <f>$L$4</f>
        <v>28.433333333333334</v>
      </c>
      <c r="E64" s="1058" t="s">
        <v>345</v>
      </c>
      <c r="F64" s="698"/>
      <c r="G64" s="699"/>
      <c r="H64" s="273">
        <v>1200</v>
      </c>
      <c r="I64" s="1079">
        <f>SUM(D64*H64)</f>
        <v>34120</v>
      </c>
      <c r="J64" s="698"/>
      <c r="K64" s="699"/>
      <c r="L64" s="274">
        <f t="shared" si="21"/>
        <v>34120</v>
      </c>
      <c r="M64" s="701"/>
      <c r="N64" s="1074" t="s">
        <v>369</v>
      </c>
    </row>
    <row r="65" spans="1:14" hidden="1">
      <c r="A65" s="1065"/>
      <c r="B65" s="1066"/>
      <c r="C65" s="1080" t="s">
        <v>370</v>
      </c>
      <c r="D65" s="1081"/>
      <c r="E65" s="1082"/>
      <c r="F65" s="1082"/>
      <c r="G65" s="1082"/>
      <c r="H65" s="1082"/>
      <c r="I65" s="1082"/>
      <c r="J65" s="1082"/>
      <c r="K65" s="1082"/>
      <c r="L65" s="1083"/>
      <c r="M65" s="1084"/>
      <c r="N65" s="1071">
        <f>SUM(L66:L80)</f>
        <v>0</v>
      </c>
    </row>
    <row r="66" spans="1:14" hidden="1">
      <c r="A66" s="1004"/>
      <c r="B66" s="1005"/>
      <c r="C66" s="1040" t="s">
        <v>371</v>
      </c>
      <c r="D66" s="1041">
        <v>1</v>
      </c>
      <c r="E66" s="1005" t="s">
        <v>357</v>
      </c>
      <c r="F66" s="1044"/>
      <c r="G66" s="1045"/>
      <c r="H66" s="1044"/>
      <c r="I66" s="1045"/>
      <c r="J66" s="1042">
        <v>0</v>
      </c>
      <c r="K66" s="1043">
        <f>SUM(D66*J66)</f>
        <v>0</v>
      </c>
      <c r="L66" s="1046">
        <f t="shared" ref="L66:L80" si="22">SUM(G66+I66+K66)</f>
        <v>0</v>
      </c>
      <c r="M66" s="1046"/>
      <c r="N66" s="1085" t="s">
        <v>372</v>
      </c>
    </row>
    <row r="67" spans="1:14" hidden="1">
      <c r="A67" s="1027"/>
      <c r="B67" s="1028"/>
      <c r="C67" s="1029" t="s">
        <v>373</v>
      </c>
      <c r="D67" s="1050">
        <f>L4</f>
        <v>28.433333333333334</v>
      </c>
      <c r="E67" s="1028" t="s">
        <v>345</v>
      </c>
      <c r="F67" s="696"/>
      <c r="G67" s="697"/>
      <c r="H67" s="696"/>
      <c r="I67" s="697"/>
      <c r="J67" s="1051">
        <v>0</v>
      </c>
      <c r="K67" s="1052">
        <f t="shared" ref="K67:K80" si="23">SUM(D67*J67)</f>
        <v>0</v>
      </c>
      <c r="L67" s="1053">
        <f t="shared" si="22"/>
        <v>0</v>
      </c>
      <c r="M67" s="1053"/>
      <c r="N67" s="1048" t="s">
        <v>372</v>
      </c>
    </row>
    <row r="68" spans="1:14" hidden="1">
      <c r="A68" s="1027"/>
      <c r="B68" s="1028"/>
      <c r="C68" s="1029" t="s">
        <v>352</v>
      </c>
      <c r="D68" s="1050">
        <v>1</v>
      </c>
      <c r="E68" s="1028" t="s">
        <v>357</v>
      </c>
      <c r="F68" s="696"/>
      <c r="G68" s="697"/>
      <c r="H68" s="696"/>
      <c r="I68" s="697"/>
      <c r="J68" s="1051">
        <v>0</v>
      </c>
      <c r="K68" s="1052">
        <f t="shared" si="23"/>
        <v>0</v>
      </c>
      <c r="L68" s="1053">
        <f t="shared" si="22"/>
        <v>0</v>
      </c>
      <c r="M68" s="1053"/>
      <c r="N68" s="1048" t="s">
        <v>372</v>
      </c>
    </row>
    <row r="69" spans="1:14" hidden="1">
      <c r="A69" s="1027"/>
      <c r="B69" s="1028"/>
      <c r="C69" s="1029" t="s">
        <v>374</v>
      </c>
      <c r="D69" s="1050">
        <f>L4</f>
        <v>28.433333333333334</v>
      </c>
      <c r="E69" s="1028" t="s">
        <v>345</v>
      </c>
      <c r="F69" s="696"/>
      <c r="G69" s="697"/>
      <c r="H69" s="696"/>
      <c r="I69" s="697"/>
      <c r="J69" s="1051">
        <v>0</v>
      </c>
      <c r="K69" s="1052">
        <f t="shared" si="23"/>
        <v>0</v>
      </c>
      <c r="L69" s="1053">
        <f t="shared" si="22"/>
        <v>0</v>
      </c>
      <c r="M69" s="1053"/>
      <c r="N69" s="1048" t="s">
        <v>372</v>
      </c>
    </row>
    <row r="70" spans="1:14" hidden="1">
      <c r="A70" s="1027"/>
      <c r="B70" s="1028"/>
      <c r="C70" s="1029" t="s">
        <v>354</v>
      </c>
      <c r="D70" s="1050">
        <f>L4+L5</f>
        <v>29.4</v>
      </c>
      <c r="E70" s="1028" t="s">
        <v>345</v>
      </c>
      <c r="F70" s="696"/>
      <c r="G70" s="697"/>
      <c r="H70" s="696"/>
      <c r="I70" s="697"/>
      <c r="J70" s="1051">
        <v>0</v>
      </c>
      <c r="K70" s="1052">
        <f t="shared" si="23"/>
        <v>0</v>
      </c>
      <c r="L70" s="1053">
        <f t="shared" si="22"/>
        <v>0</v>
      </c>
      <c r="M70" s="1053"/>
      <c r="N70" s="1048" t="s">
        <v>372</v>
      </c>
    </row>
    <row r="71" spans="1:14" hidden="1">
      <c r="A71" s="1027"/>
      <c r="B71" s="1028"/>
      <c r="C71" s="1029" t="s">
        <v>356</v>
      </c>
      <c r="D71" s="1050">
        <v>1</v>
      </c>
      <c r="E71" s="1028" t="s">
        <v>357</v>
      </c>
      <c r="F71" s="696"/>
      <c r="G71" s="697"/>
      <c r="H71" s="696"/>
      <c r="I71" s="697"/>
      <c r="J71" s="1051">
        <v>0</v>
      </c>
      <c r="K71" s="1052">
        <f t="shared" si="23"/>
        <v>0</v>
      </c>
      <c r="L71" s="1053">
        <f t="shared" si="22"/>
        <v>0</v>
      </c>
      <c r="M71" s="1053"/>
      <c r="N71" s="1048" t="s">
        <v>372</v>
      </c>
    </row>
    <row r="72" spans="1:14" hidden="1">
      <c r="A72" s="1027"/>
      <c r="B72" s="1028"/>
      <c r="C72" s="1029" t="s">
        <v>358</v>
      </c>
      <c r="D72" s="1050">
        <f>L4+L5</f>
        <v>29.4</v>
      </c>
      <c r="E72" s="1028" t="s">
        <v>345</v>
      </c>
      <c r="F72" s="696"/>
      <c r="G72" s="697"/>
      <c r="H72" s="696"/>
      <c r="I72" s="697"/>
      <c r="J72" s="1051">
        <v>0</v>
      </c>
      <c r="K72" s="1052">
        <f t="shared" si="23"/>
        <v>0</v>
      </c>
      <c r="L72" s="1053">
        <f t="shared" si="22"/>
        <v>0</v>
      </c>
      <c r="M72" s="1053"/>
      <c r="N72" s="1048" t="s">
        <v>372</v>
      </c>
    </row>
    <row r="73" spans="1:14" hidden="1">
      <c r="A73" s="1027"/>
      <c r="B73" s="1028"/>
      <c r="C73" s="1029" t="s">
        <v>359</v>
      </c>
      <c r="D73" s="1050">
        <f>L4+L5</f>
        <v>29.4</v>
      </c>
      <c r="E73" s="1028" t="s">
        <v>345</v>
      </c>
      <c r="F73" s="696"/>
      <c r="G73" s="697"/>
      <c r="H73" s="696"/>
      <c r="I73" s="697"/>
      <c r="J73" s="1051">
        <v>0</v>
      </c>
      <c r="K73" s="1052">
        <f t="shared" si="23"/>
        <v>0</v>
      </c>
      <c r="L73" s="1053">
        <f t="shared" si="22"/>
        <v>0</v>
      </c>
      <c r="M73" s="1053"/>
      <c r="N73" s="1048" t="s">
        <v>372</v>
      </c>
    </row>
    <row r="74" spans="1:14" hidden="1">
      <c r="A74" s="1027"/>
      <c r="B74" s="1028"/>
      <c r="C74" s="1029" t="s">
        <v>375</v>
      </c>
      <c r="D74" s="1050">
        <f>L4</f>
        <v>28.433333333333334</v>
      </c>
      <c r="E74" s="1028" t="s">
        <v>345</v>
      </c>
      <c r="F74" s="696"/>
      <c r="G74" s="697"/>
      <c r="H74" s="696"/>
      <c r="I74" s="697"/>
      <c r="J74" s="1051">
        <v>0</v>
      </c>
      <c r="K74" s="1052">
        <f t="shared" si="23"/>
        <v>0</v>
      </c>
      <c r="L74" s="1053">
        <f t="shared" si="22"/>
        <v>0</v>
      </c>
      <c r="M74" s="1053"/>
      <c r="N74" s="1048" t="s">
        <v>372</v>
      </c>
    </row>
    <row r="75" spans="1:14" hidden="1">
      <c r="A75" s="1027"/>
      <c r="B75" s="1028"/>
      <c r="C75" s="1029" t="s">
        <v>361</v>
      </c>
      <c r="D75" s="1050">
        <v>1</v>
      </c>
      <c r="E75" s="1028" t="s">
        <v>357</v>
      </c>
      <c r="F75" s="696"/>
      <c r="G75" s="697"/>
      <c r="H75" s="696"/>
      <c r="I75" s="697"/>
      <c r="J75" s="1051">
        <v>0</v>
      </c>
      <c r="K75" s="1052">
        <f t="shared" si="23"/>
        <v>0</v>
      </c>
      <c r="L75" s="1053">
        <f t="shared" si="22"/>
        <v>0</v>
      </c>
      <c r="M75" s="1053"/>
      <c r="N75" s="1048" t="s">
        <v>372</v>
      </c>
    </row>
    <row r="76" spans="1:14" hidden="1">
      <c r="A76" s="1027"/>
      <c r="B76" s="1028"/>
      <c r="C76" s="1029" t="s">
        <v>362</v>
      </c>
      <c r="D76" s="1050">
        <v>1</v>
      </c>
      <c r="E76" s="1028" t="s">
        <v>357</v>
      </c>
      <c r="F76" s="696"/>
      <c r="G76" s="697"/>
      <c r="H76" s="696"/>
      <c r="I76" s="697"/>
      <c r="J76" s="1051">
        <v>0</v>
      </c>
      <c r="K76" s="1052">
        <f t="shared" si="23"/>
        <v>0</v>
      </c>
      <c r="L76" s="1053">
        <f t="shared" si="22"/>
        <v>0</v>
      </c>
      <c r="M76" s="1053"/>
      <c r="N76" s="1048" t="s">
        <v>372</v>
      </c>
    </row>
    <row r="77" spans="1:14" hidden="1">
      <c r="A77" s="1027"/>
      <c r="B77" s="1028"/>
      <c r="C77" s="1029" t="s">
        <v>363</v>
      </c>
      <c r="D77" s="1050">
        <f>L4+L5</f>
        <v>29.4</v>
      </c>
      <c r="E77" s="1028" t="s">
        <v>345</v>
      </c>
      <c r="F77" s="696"/>
      <c r="G77" s="697"/>
      <c r="H77" s="696"/>
      <c r="I77" s="697"/>
      <c r="J77" s="1051">
        <v>0</v>
      </c>
      <c r="K77" s="1052">
        <f t="shared" si="23"/>
        <v>0</v>
      </c>
      <c r="L77" s="1053">
        <f t="shared" si="22"/>
        <v>0</v>
      </c>
      <c r="M77" s="1053"/>
      <c r="N77" s="1048" t="s">
        <v>372</v>
      </c>
    </row>
    <row r="78" spans="1:14" hidden="1">
      <c r="A78" s="1027"/>
      <c r="B78" s="1028"/>
      <c r="C78" s="1029" t="s">
        <v>376</v>
      </c>
      <c r="D78" s="1050">
        <v>1</v>
      </c>
      <c r="E78" s="1028" t="s">
        <v>357</v>
      </c>
      <c r="F78" s="696"/>
      <c r="G78" s="697"/>
      <c r="H78" s="696"/>
      <c r="I78" s="697"/>
      <c r="J78" s="1051">
        <v>0</v>
      </c>
      <c r="K78" s="1052">
        <f t="shared" si="23"/>
        <v>0</v>
      </c>
      <c r="L78" s="1053">
        <f t="shared" si="22"/>
        <v>0</v>
      </c>
      <c r="M78" s="1053"/>
      <c r="N78" s="1048" t="s">
        <v>372</v>
      </c>
    </row>
    <row r="79" spans="1:14" hidden="1">
      <c r="A79" s="1027"/>
      <c r="B79" s="1028"/>
      <c r="C79" s="1029" t="s">
        <v>364</v>
      </c>
      <c r="D79" s="1050">
        <f>L4</f>
        <v>28.433333333333334</v>
      </c>
      <c r="E79" s="1028" t="s">
        <v>345</v>
      </c>
      <c r="F79" s="696"/>
      <c r="G79" s="697"/>
      <c r="H79" s="696"/>
      <c r="I79" s="697"/>
      <c r="J79" s="1051">
        <v>0</v>
      </c>
      <c r="K79" s="1052">
        <f t="shared" si="23"/>
        <v>0</v>
      </c>
      <c r="L79" s="1077">
        <f t="shared" si="22"/>
        <v>0</v>
      </c>
      <c r="M79" s="1053"/>
      <c r="N79" s="1048" t="s">
        <v>372</v>
      </c>
    </row>
    <row r="80" spans="1:14" hidden="1">
      <c r="A80" s="1057"/>
      <c r="B80" s="1058"/>
      <c r="C80" s="1078" t="s">
        <v>365</v>
      </c>
      <c r="D80" s="270">
        <v>1</v>
      </c>
      <c r="E80" s="1058" t="s">
        <v>357</v>
      </c>
      <c r="F80" s="698"/>
      <c r="G80" s="699"/>
      <c r="H80" s="698"/>
      <c r="I80" s="699"/>
      <c r="J80" s="275">
        <v>0</v>
      </c>
      <c r="K80" s="271">
        <f t="shared" si="23"/>
        <v>0</v>
      </c>
      <c r="L80" s="274">
        <f t="shared" si="22"/>
        <v>0</v>
      </c>
      <c r="M80" s="274"/>
      <c r="N80" s="276" t="s">
        <v>372</v>
      </c>
    </row>
    <row r="81" spans="1:14" ht="15.75" thickBot="1">
      <c r="A81" s="1065"/>
      <c r="B81" s="1066"/>
      <c r="C81" s="1080" t="s">
        <v>377</v>
      </c>
      <c r="D81" s="1068"/>
      <c r="E81" s="1069"/>
      <c r="F81" s="1069"/>
      <c r="G81" s="1069"/>
      <c r="H81" s="1069"/>
      <c r="I81" s="1069"/>
      <c r="J81" s="1069"/>
      <c r="K81" s="1069"/>
      <c r="L81" s="1070">
        <f>SUM(L82:L94)</f>
        <v>84208.866666666669</v>
      </c>
      <c r="M81" s="1070"/>
      <c r="N81" s="1071"/>
    </row>
    <row r="82" spans="1:14">
      <c r="A82" s="1027"/>
      <c r="B82" s="1028"/>
      <c r="C82" s="1006" t="s">
        <v>378</v>
      </c>
      <c r="D82" s="1050">
        <v>0</v>
      </c>
      <c r="E82" s="1019" t="s">
        <v>357</v>
      </c>
      <c r="F82" s="1044"/>
      <c r="G82" s="1045"/>
      <c r="H82" s="1044"/>
      <c r="I82" s="1045"/>
      <c r="J82" s="1072">
        <v>0</v>
      </c>
      <c r="K82" s="1052">
        <f>SUM(D82*J82)</f>
        <v>0</v>
      </c>
      <c r="L82" s="1053">
        <f t="shared" ref="L82:L94" si="24">SUM(G82+I82+K82)</f>
        <v>0</v>
      </c>
      <c r="M82" s="1073"/>
      <c r="N82" s="1086" t="s">
        <v>379</v>
      </c>
    </row>
    <row r="83" spans="1:14">
      <c r="A83" s="1027"/>
      <c r="B83" s="1028"/>
      <c r="C83" s="1029" t="s">
        <v>380</v>
      </c>
      <c r="D83" s="1076">
        <f>$L$4</f>
        <v>28.433333333333334</v>
      </c>
      <c r="E83" s="1028" t="s">
        <v>345</v>
      </c>
      <c r="F83" s="696"/>
      <c r="G83" s="697"/>
      <c r="H83" s="696"/>
      <c r="I83" s="697"/>
      <c r="J83" s="1072">
        <v>0</v>
      </c>
      <c r="K83" s="1052">
        <f t="shared" ref="K83:K94" si="25">SUM(D83*J83)</f>
        <v>0</v>
      </c>
      <c r="L83" s="1053">
        <f t="shared" si="24"/>
        <v>0</v>
      </c>
      <c r="M83" s="700"/>
      <c r="N83" s="1087" t="s">
        <v>381</v>
      </c>
    </row>
    <row r="84" spans="1:14">
      <c r="A84" s="1027"/>
      <c r="B84" s="1028"/>
      <c r="C84" s="1029" t="s">
        <v>382</v>
      </c>
      <c r="D84" s="1076">
        <f>L4</f>
        <v>28.433333333333334</v>
      </c>
      <c r="E84" s="1028" t="s">
        <v>345</v>
      </c>
      <c r="F84" s="696"/>
      <c r="G84" s="697"/>
      <c r="H84" s="696"/>
      <c r="I84" s="697"/>
      <c r="J84" s="1072">
        <v>0</v>
      </c>
      <c r="K84" s="1052">
        <f t="shared" si="25"/>
        <v>0</v>
      </c>
      <c r="L84" s="1053">
        <f t="shared" si="24"/>
        <v>0</v>
      </c>
      <c r="M84" s="700"/>
      <c r="N84" s="1087" t="s">
        <v>381</v>
      </c>
    </row>
    <row r="85" spans="1:14">
      <c r="A85" s="1027"/>
      <c r="B85" s="1028"/>
      <c r="C85" s="1029" t="s">
        <v>383</v>
      </c>
      <c r="D85" s="1076">
        <v>0</v>
      </c>
      <c r="E85" s="1028" t="s">
        <v>384</v>
      </c>
      <c r="F85" s="696"/>
      <c r="G85" s="697"/>
      <c r="H85" s="696"/>
      <c r="I85" s="697"/>
      <c r="J85" s="1072">
        <v>0</v>
      </c>
      <c r="K85" s="1052">
        <f t="shared" si="25"/>
        <v>0</v>
      </c>
      <c r="L85" s="1053">
        <f t="shared" si="24"/>
        <v>0</v>
      </c>
      <c r="M85" s="700"/>
      <c r="N85" s="1086" t="s">
        <v>385</v>
      </c>
    </row>
    <row r="86" spans="1:14">
      <c r="A86" s="1027"/>
      <c r="B86" s="1028"/>
      <c r="C86" s="1029" t="s">
        <v>386</v>
      </c>
      <c r="D86" s="1076">
        <v>0</v>
      </c>
      <c r="E86" s="1028" t="s">
        <v>357</v>
      </c>
      <c r="F86" s="696"/>
      <c r="G86" s="697"/>
      <c r="H86" s="696"/>
      <c r="I86" s="697"/>
      <c r="J86" s="1072">
        <v>0</v>
      </c>
      <c r="K86" s="1052">
        <f t="shared" si="25"/>
        <v>0</v>
      </c>
      <c r="L86" s="1053">
        <f t="shared" si="24"/>
        <v>0</v>
      </c>
      <c r="M86" s="700"/>
      <c r="N86" s="1087" t="s">
        <v>381</v>
      </c>
    </row>
    <row r="87" spans="1:14">
      <c r="A87" s="1027"/>
      <c r="B87" s="1028"/>
      <c r="C87" s="1029" t="s">
        <v>387</v>
      </c>
      <c r="D87" s="1076">
        <f>L4</f>
        <v>28.433333333333334</v>
      </c>
      <c r="E87" s="1028" t="s">
        <v>345</v>
      </c>
      <c r="F87" s="696"/>
      <c r="G87" s="697"/>
      <c r="H87" s="696"/>
      <c r="I87" s="697"/>
      <c r="J87" s="1072">
        <v>0</v>
      </c>
      <c r="K87" s="1052">
        <f t="shared" si="25"/>
        <v>0</v>
      </c>
      <c r="L87" s="1053">
        <f t="shared" si="24"/>
        <v>0</v>
      </c>
      <c r="M87" s="700"/>
      <c r="N87" s="1087"/>
    </row>
    <row r="88" spans="1:14">
      <c r="A88" s="1027"/>
      <c r="B88" s="1028"/>
      <c r="C88" s="1029" t="s">
        <v>388</v>
      </c>
      <c r="D88" s="1076">
        <f>$L$4</f>
        <v>28.433333333333334</v>
      </c>
      <c r="E88" s="1028" t="s">
        <v>345</v>
      </c>
      <c r="F88" s="696"/>
      <c r="G88" s="697"/>
      <c r="H88" s="696"/>
      <c r="I88" s="697"/>
      <c r="J88" s="1036">
        <f>407*4</f>
        <v>1628</v>
      </c>
      <c r="K88" s="1026">
        <f>SUM(D88*J88)</f>
        <v>46289.466666666667</v>
      </c>
      <c r="L88" s="1034">
        <f t="shared" si="24"/>
        <v>46289.466666666667</v>
      </c>
      <c r="M88" s="700"/>
      <c r="N88" s="1074" t="s">
        <v>389</v>
      </c>
    </row>
    <row r="89" spans="1:14" ht="15.6" customHeight="1">
      <c r="A89" s="1027"/>
      <c r="B89" s="1028"/>
      <c r="C89" s="1006" t="s">
        <v>390</v>
      </c>
      <c r="D89" s="1007">
        <v>4</v>
      </c>
      <c r="E89" s="1019" t="s">
        <v>342</v>
      </c>
      <c r="F89" s="696"/>
      <c r="G89" s="697"/>
      <c r="H89" s="696"/>
      <c r="I89" s="697"/>
      <c r="J89" s="1036">
        <v>93</v>
      </c>
      <c r="K89" s="1026">
        <f t="shared" ref="K89:K91" si="26">SUM(D89*J89)</f>
        <v>372</v>
      </c>
      <c r="L89" s="1034">
        <f t="shared" si="24"/>
        <v>372</v>
      </c>
      <c r="M89" s="700"/>
      <c r="N89" s="1074" t="s">
        <v>389</v>
      </c>
    </row>
    <row r="90" spans="1:14">
      <c r="A90" s="1027"/>
      <c r="B90" s="1028"/>
      <c r="C90" s="1029" t="s">
        <v>391</v>
      </c>
      <c r="D90" s="1007">
        <f>$L$4</f>
        <v>28.433333333333334</v>
      </c>
      <c r="E90" s="1028" t="s">
        <v>345</v>
      </c>
      <c r="F90" s="696"/>
      <c r="G90" s="697"/>
      <c r="H90" s="696"/>
      <c r="I90" s="697"/>
      <c r="J90" s="1036">
        <f>407*2</f>
        <v>814</v>
      </c>
      <c r="K90" s="1026">
        <f t="shared" si="26"/>
        <v>23144.733333333334</v>
      </c>
      <c r="L90" s="1034">
        <f t="shared" si="24"/>
        <v>23144.733333333334</v>
      </c>
      <c r="M90" s="700"/>
      <c r="N90" s="1074" t="s">
        <v>389</v>
      </c>
    </row>
    <row r="91" spans="1:14" ht="15.6" customHeight="1">
      <c r="A91" s="1027"/>
      <c r="B91" s="1028"/>
      <c r="C91" s="1006" t="s">
        <v>392</v>
      </c>
      <c r="D91" s="1050">
        <v>2</v>
      </c>
      <c r="E91" s="1019" t="s">
        <v>342</v>
      </c>
      <c r="F91" s="696"/>
      <c r="G91" s="697"/>
      <c r="H91" s="696"/>
      <c r="I91" s="697"/>
      <c r="J91" s="1036">
        <v>93</v>
      </c>
      <c r="K91" s="1026">
        <f t="shared" si="26"/>
        <v>186</v>
      </c>
      <c r="L91" s="1034">
        <f t="shared" si="24"/>
        <v>186</v>
      </c>
      <c r="M91" s="700"/>
      <c r="N91" s="1074" t="s">
        <v>389</v>
      </c>
    </row>
    <row r="92" spans="1:14">
      <c r="A92" s="1027"/>
      <c r="B92" s="1028"/>
      <c r="C92" s="1029" t="s">
        <v>393</v>
      </c>
      <c r="D92" s="1076">
        <f>L4</f>
        <v>28.433333333333334</v>
      </c>
      <c r="E92" s="1028" t="s">
        <v>345</v>
      </c>
      <c r="F92" s="696"/>
      <c r="G92" s="697"/>
      <c r="H92" s="696"/>
      <c r="I92" s="697"/>
      <c r="J92" s="1072">
        <v>500</v>
      </c>
      <c r="K92" s="1052">
        <f t="shared" si="25"/>
        <v>14216.666666666666</v>
      </c>
      <c r="L92" s="1053">
        <f t="shared" si="24"/>
        <v>14216.666666666666</v>
      </c>
      <c r="M92" s="700"/>
      <c r="N92" s="1087"/>
    </row>
    <row r="93" spans="1:14">
      <c r="A93" s="1027"/>
      <c r="B93" s="1028"/>
      <c r="C93" s="1029" t="s">
        <v>394</v>
      </c>
      <c r="D93" s="1076">
        <v>0</v>
      </c>
      <c r="E93" s="1028" t="s">
        <v>357</v>
      </c>
      <c r="F93" s="696"/>
      <c r="G93" s="697"/>
      <c r="H93" s="696"/>
      <c r="I93" s="697"/>
      <c r="J93" s="1072">
        <v>0</v>
      </c>
      <c r="K93" s="1052">
        <f t="shared" si="25"/>
        <v>0</v>
      </c>
      <c r="L93" s="1053">
        <f t="shared" si="24"/>
        <v>0</v>
      </c>
      <c r="M93" s="700"/>
      <c r="N93" s="1087"/>
    </row>
    <row r="94" spans="1:14">
      <c r="A94" s="1027"/>
      <c r="B94" s="1028"/>
      <c r="C94" s="1029" t="s">
        <v>395</v>
      </c>
      <c r="D94" s="1076">
        <f>L4</f>
        <v>28.433333333333334</v>
      </c>
      <c r="E94" s="1028" t="s">
        <v>345</v>
      </c>
      <c r="F94" s="696"/>
      <c r="G94" s="697"/>
      <c r="H94" s="696"/>
      <c r="I94" s="697"/>
      <c r="J94" s="1051">
        <v>0</v>
      </c>
      <c r="K94" s="1052">
        <f t="shared" si="25"/>
        <v>0</v>
      </c>
      <c r="L94" s="1077">
        <f t="shared" si="24"/>
        <v>0</v>
      </c>
      <c r="M94" s="700"/>
      <c r="N94" s="1087"/>
    </row>
    <row r="95" spans="1:14">
      <c r="A95" s="1065"/>
      <c r="B95" s="1066"/>
      <c r="C95" s="1080" t="s">
        <v>396</v>
      </c>
      <c r="D95" s="1068"/>
      <c r="E95" s="1069"/>
      <c r="F95" s="1069"/>
      <c r="G95" s="1069"/>
      <c r="H95" s="1069"/>
      <c r="I95" s="1069"/>
      <c r="J95" s="1069"/>
      <c r="K95" s="1069"/>
      <c r="L95" s="1071">
        <f>SUM(L96:L98)</f>
        <v>113733.33333333333</v>
      </c>
      <c r="M95" s="1071"/>
      <c r="N95" s="1071"/>
    </row>
    <row r="96" spans="1:14">
      <c r="A96" s="1027"/>
      <c r="B96" s="1028"/>
      <c r="C96" s="1040" t="s">
        <v>397</v>
      </c>
      <c r="D96" s="1050">
        <f>$L$4</f>
        <v>28.433333333333334</v>
      </c>
      <c r="E96" s="1088" t="s">
        <v>345</v>
      </c>
      <c r="F96" s="1044"/>
      <c r="G96" s="1045"/>
      <c r="H96" s="1044"/>
      <c r="I96" s="1045"/>
      <c r="J96" s="1042">
        <v>1500</v>
      </c>
      <c r="K96" s="1043">
        <f>SUM(D96*J96)</f>
        <v>42650</v>
      </c>
      <c r="L96" s="1046">
        <f>SUM(G96+I96+K96)</f>
        <v>42650</v>
      </c>
      <c r="M96" s="1073"/>
      <c r="N96" s="1085"/>
    </row>
    <row r="97" spans="1:14">
      <c r="A97" s="1027"/>
      <c r="B97" s="1028"/>
      <c r="C97" s="277" t="s">
        <v>398</v>
      </c>
      <c r="D97" s="278">
        <f>$L$4</f>
        <v>28.433333333333334</v>
      </c>
      <c r="E97" s="1028" t="s">
        <v>345</v>
      </c>
      <c r="F97" s="696"/>
      <c r="G97" s="697"/>
      <c r="H97" s="696"/>
      <c r="I97" s="697"/>
      <c r="J97" s="279">
        <v>2500</v>
      </c>
      <c r="K97" s="280">
        <f>SUM(D97*J97)</f>
        <v>71083.333333333328</v>
      </c>
      <c r="L97" s="281">
        <f>SUM(G97+I97+K97)</f>
        <v>71083.333333333328</v>
      </c>
      <c r="M97" s="700"/>
      <c r="N97" s="282"/>
    </row>
    <row r="98" spans="1:14">
      <c r="A98" s="1027"/>
      <c r="B98" s="1028"/>
      <c r="C98" s="1078" t="s">
        <v>399</v>
      </c>
      <c r="D98" s="1089">
        <v>0</v>
      </c>
      <c r="E98" s="1058" t="s">
        <v>357</v>
      </c>
      <c r="F98" s="698"/>
      <c r="G98" s="699"/>
      <c r="H98" s="698"/>
      <c r="I98" s="699"/>
      <c r="J98" s="1061">
        <v>1000</v>
      </c>
      <c r="K98" s="1090">
        <f>SUM(D98*J98)</f>
        <v>0</v>
      </c>
      <c r="L98" s="1062">
        <f>SUM(G98+I98+K98)</f>
        <v>0</v>
      </c>
      <c r="M98" s="701"/>
      <c r="N98" s="1091"/>
    </row>
    <row r="99" spans="1:14">
      <c r="A99" s="1065"/>
      <c r="B99" s="1066"/>
      <c r="C99" s="1080" t="s">
        <v>400</v>
      </c>
      <c r="D99" s="1068"/>
      <c r="E99" s="1069"/>
      <c r="F99" s="1069"/>
      <c r="G99" s="1069"/>
      <c r="H99" s="1069"/>
      <c r="I99" s="1069"/>
      <c r="J99" s="1069"/>
      <c r="K99" s="1069"/>
      <c r="L99" s="1071">
        <f>SUM(L100:L117)</f>
        <v>70553.333333333343</v>
      </c>
      <c r="M99" s="1071"/>
      <c r="N99" s="1071"/>
    </row>
    <row r="100" spans="1:14">
      <c r="A100" s="1027"/>
      <c r="B100" s="1028">
        <v>15000</v>
      </c>
      <c r="C100" s="1006" t="s">
        <v>401</v>
      </c>
      <c r="D100" s="1007">
        <v>0</v>
      </c>
      <c r="E100" s="1019" t="s">
        <v>402</v>
      </c>
      <c r="F100" s="1044"/>
      <c r="G100" s="1045"/>
      <c r="H100" s="1044"/>
      <c r="I100" s="1045"/>
      <c r="J100" s="1036">
        <v>8.3000000000000007</v>
      </c>
      <c r="K100" s="1026">
        <f>J100*D100</f>
        <v>0</v>
      </c>
      <c r="L100" s="1034">
        <f t="shared" ref="L100:L157" si="27">SUM(G100+I100+K100)</f>
        <v>0</v>
      </c>
      <c r="M100" s="1073"/>
      <c r="N100" s="1092" t="s">
        <v>403</v>
      </c>
    </row>
    <row r="101" spans="1:14">
      <c r="A101" s="1027"/>
      <c r="B101" s="1028"/>
      <c r="C101" s="1006" t="s">
        <v>404</v>
      </c>
      <c r="D101" s="1007">
        <v>0</v>
      </c>
      <c r="E101" s="1019" t="s">
        <v>402</v>
      </c>
      <c r="F101" s="696"/>
      <c r="G101" s="697"/>
      <c r="H101" s="696"/>
      <c r="I101" s="697"/>
      <c r="J101" s="1036">
        <v>9.8000000000000007</v>
      </c>
      <c r="K101" s="1026">
        <f>J101*D101</f>
        <v>0</v>
      </c>
      <c r="L101" s="1034">
        <f t="shared" si="27"/>
        <v>0</v>
      </c>
      <c r="M101" s="700"/>
      <c r="N101" s="1092" t="s">
        <v>403</v>
      </c>
    </row>
    <row r="102" spans="1:14">
      <c r="A102" s="1027"/>
      <c r="B102" s="1028"/>
      <c r="C102" s="1006" t="s">
        <v>405</v>
      </c>
      <c r="D102" s="1007">
        <v>0</v>
      </c>
      <c r="E102" s="1019" t="s">
        <v>402</v>
      </c>
      <c r="F102" s="696"/>
      <c r="G102" s="697"/>
      <c r="H102" s="696"/>
      <c r="I102" s="697"/>
      <c r="J102" s="1072">
        <v>6.49</v>
      </c>
      <c r="K102" s="1052">
        <f>SUM(D102*J102)</f>
        <v>0</v>
      </c>
      <c r="L102" s="1053">
        <f t="shared" si="27"/>
        <v>0</v>
      </c>
      <c r="M102" s="700"/>
      <c r="N102" s="1092" t="s">
        <v>403</v>
      </c>
    </row>
    <row r="103" spans="1:14">
      <c r="A103" s="1027"/>
      <c r="B103" s="1028"/>
      <c r="C103" s="1006" t="s">
        <v>406</v>
      </c>
      <c r="D103" s="1075">
        <v>2500</v>
      </c>
      <c r="E103" s="1019" t="s">
        <v>402</v>
      </c>
      <c r="F103" s="696"/>
      <c r="G103" s="697"/>
      <c r="H103" s="696"/>
      <c r="I103" s="697"/>
      <c r="J103" s="1072">
        <f>7.49*2</f>
        <v>14.98</v>
      </c>
      <c r="K103" s="1052">
        <f>SUM(D103*J103)</f>
        <v>37450</v>
      </c>
      <c r="L103" s="1053">
        <f t="shared" si="27"/>
        <v>37450</v>
      </c>
      <c r="M103" s="700"/>
      <c r="N103" s="1092" t="s">
        <v>403</v>
      </c>
    </row>
    <row r="104" spans="1:14">
      <c r="A104" s="1027"/>
      <c r="B104" s="1028"/>
      <c r="C104" s="1006" t="s">
        <v>407</v>
      </c>
      <c r="D104" s="1076">
        <v>4</v>
      </c>
      <c r="E104" s="1019" t="s">
        <v>342</v>
      </c>
      <c r="F104" s="696"/>
      <c r="G104" s="697"/>
      <c r="H104" s="696"/>
      <c r="I104" s="697"/>
      <c r="J104" s="1072">
        <v>800</v>
      </c>
      <c r="K104" s="1052">
        <f>SUM(D104*J104)</f>
        <v>3200</v>
      </c>
      <c r="L104" s="1053">
        <f t="shared" si="27"/>
        <v>3200</v>
      </c>
      <c r="M104" s="700"/>
      <c r="N104" s="1092" t="s">
        <v>403</v>
      </c>
    </row>
    <row r="105" spans="1:14">
      <c r="A105" s="1027"/>
      <c r="B105" s="1028">
        <v>15000</v>
      </c>
      <c r="C105" s="1029" t="s">
        <v>408</v>
      </c>
      <c r="D105" s="1076">
        <f>$L$4</f>
        <v>28.433333333333334</v>
      </c>
      <c r="E105" s="1028" t="s">
        <v>345</v>
      </c>
      <c r="F105" s="696"/>
      <c r="G105" s="697"/>
      <c r="H105" s="696"/>
      <c r="I105" s="697"/>
      <c r="J105" s="1072">
        <v>150</v>
      </c>
      <c r="K105" s="1052">
        <f t="shared" ref="K105:K117" si="28">SUM(D105*J105)</f>
        <v>4265</v>
      </c>
      <c r="L105" s="1053">
        <f t="shared" si="27"/>
        <v>4265</v>
      </c>
      <c r="M105" s="700"/>
      <c r="N105" s="1048"/>
    </row>
    <row r="106" spans="1:14">
      <c r="A106" s="1027"/>
      <c r="B106" s="1028"/>
      <c r="C106" s="1029" t="s">
        <v>409</v>
      </c>
      <c r="D106" s="1076">
        <v>0</v>
      </c>
      <c r="E106" s="1028" t="s">
        <v>320</v>
      </c>
      <c r="F106" s="696"/>
      <c r="G106" s="697"/>
      <c r="H106" s="696"/>
      <c r="I106" s="697"/>
      <c r="J106" s="1072">
        <v>1000</v>
      </c>
      <c r="K106" s="1052">
        <f t="shared" si="28"/>
        <v>0</v>
      </c>
      <c r="L106" s="1053">
        <f t="shared" si="27"/>
        <v>0</v>
      </c>
      <c r="M106" s="700"/>
      <c r="N106" s="1087"/>
    </row>
    <row r="107" spans="1:14">
      <c r="A107" s="1027"/>
      <c r="B107" s="1028"/>
      <c r="C107" s="1029" t="s">
        <v>410</v>
      </c>
      <c r="D107" s="1076">
        <v>1</v>
      </c>
      <c r="E107" s="1028" t="s">
        <v>357</v>
      </c>
      <c r="F107" s="696"/>
      <c r="G107" s="697"/>
      <c r="H107" s="696"/>
      <c r="I107" s="697"/>
      <c r="J107" s="1036">
        <v>10000</v>
      </c>
      <c r="K107" s="1052">
        <f t="shared" si="28"/>
        <v>10000</v>
      </c>
      <c r="L107" s="1053">
        <f t="shared" si="27"/>
        <v>10000</v>
      </c>
      <c r="M107" s="700"/>
      <c r="N107" s="1055"/>
    </row>
    <row r="108" spans="1:14">
      <c r="A108" s="1027"/>
      <c r="B108" s="1028">
        <v>15000</v>
      </c>
      <c r="C108" s="1029" t="s">
        <v>411</v>
      </c>
      <c r="D108" s="1076">
        <v>0</v>
      </c>
      <c r="E108" s="1028" t="s">
        <v>357</v>
      </c>
      <c r="F108" s="696"/>
      <c r="G108" s="697"/>
      <c r="H108" s="696"/>
      <c r="I108" s="697"/>
      <c r="J108" s="1072">
        <v>2500</v>
      </c>
      <c r="K108" s="1052">
        <f t="shared" si="28"/>
        <v>0</v>
      </c>
      <c r="L108" s="1053">
        <f t="shared" si="27"/>
        <v>0</v>
      </c>
      <c r="M108" s="700"/>
      <c r="N108" s="1055"/>
    </row>
    <row r="109" spans="1:14">
      <c r="A109" s="1027"/>
      <c r="B109" s="1028"/>
      <c r="C109" s="1029" t="s">
        <v>412</v>
      </c>
      <c r="D109" s="1076">
        <v>0</v>
      </c>
      <c r="E109" s="1028" t="s">
        <v>357</v>
      </c>
      <c r="F109" s="696"/>
      <c r="G109" s="697"/>
      <c r="H109" s="696"/>
      <c r="I109" s="697"/>
      <c r="J109" s="1072">
        <v>1500</v>
      </c>
      <c r="K109" s="1052">
        <f>J109*D109</f>
        <v>0</v>
      </c>
      <c r="L109" s="1053">
        <f t="shared" si="27"/>
        <v>0</v>
      </c>
      <c r="M109" s="700"/>
      <c r="N109" s="1055"/>
    </row>
    <row r="110" spans="1:14">
      <c r="A110" s="1027"/>
      <c r="B110" s="1028"/>
      <c r="C110" s="1029" t="s">
        <v>413</v>
      </c>
      <c r="D110" s="1076">
        <v>0</v>
      </c>
      <c r="E110" s="1028" t="s">
        <v>357</v>
      </c>
      <c r="F110" s="696"/>
      <c r="G110" s="697"/>
      <c r="H110" s="696"/>
      <c r="I110" s="697"/>
      <c r="J110" s="1072">
        <v>500</v>
      </c>
      <c r="K110" s="1052">
        <f>J110*D110</f>
        <v>0</v>
      </c>
      <c r="L110" s="1053">
        <f t="shared" si="27"/>
        <v>0</v>
      </c>
      <c r="M110" s="700"/>
      <c r="N110" s="1055"/>
    </row>
    <row r="111" spans="1:14">
      <c r="A111" s="1027"/>
      <c r="B111" s="1028">
        <v>15000</v>
      </c>
      <c r="C111" s="1029" t="s">
        <v>414</v>
      </c>
      <c r="D111" s="1076">
        <v>0</v>
      </c>
      <c r="E111" s="1028" t="s">
        <v>357</v>
      </c>
      <c r="F111" s="696"/>
      <c r="G111" s="697"/>
      <c r="H111" s="696"/>
      <c r="I111" s="697"/>
      <c r="J111" s="1072">
        <v>5000</v>
      </c>
      <c r="K111" s="1052">
        <f t="shared" si="28"/>
        <v>0</v>
      </c>
      <c r="L111" s="1053">
        <f t="shared" si="27"/>
        <v>0</v>
      </c>
      <c r="M111" s="700"/>
      <c r="N111" s="1055"/>
    </row>
    <row r="112" spans="1:14">
      <c r="A112" s="1027"/>
      <c r="B112" s="1028"/>
      <c r="C112" s="1029" t="s">
        <v>415</v>
      </c>
      <c r="D112" s="1076">
        <v>0</v>
      </c>
      <c r="E112" s="1028" t="s">
        <v>357</v>
      </c>
      <c r="F112" s="696"/>
      <c r="G112" s="697"/>
      <c r="H112" s="696"/>
      <c r="I112" s="697"/>
      <c r="J112" s="1072">
        <v>0</v>
      </c>
      <c r="K112" s="1052">
        <f t="shared" si="28"/>
        <v>0</v>
      </c>
      <c r="L112" s="1053">
        <f t="shared" si="27"/>
        <v>0</v>
      </c>
      <c r="M112" s="700"/>
      <c r="N112" s="1055"/>
    </row>
    <row r="113" spans="1:15">
      <c r="A113" s="1027"/>
      <c r="B113" s="1028">
        <v>15000</v>
      </c>
      <c r="C113" s="1029" t="s">
        <v>416</v>
      </c>
      <c r="D113" s="1076">
        <v>0</v>
      </c>
      <c r="E113" s="1028" t="s">
        <v>357</v>
      </c>
      <c r="F113" s="696"/>
      <c r="G113" s="697"/>
      <c r="H113" s="696"/>
      <c r="I113" s="697"/>
      <c r="J113" s="1072">
        <v>5000</v>
      </c>
      <c r="K113" s="1052">
        <f t="shared" si="28"/>
        <v>0</v>
      </c>
      <c r="L113" s="1053">
        <f t="shared" si="27"/>
        <v>0</v>
      </c>
      <c r="M113" s="700"/>
      <c r="N113" s="1055"/>
    </row>
    <row r="114" spans="1:15">
      <c r="A114" s="1027"/>
      <c r="B114" s="1028">
        <v>15000</v>
      </c>
      <c r="C114" s="1029" t="s">
        <v>417</v>
      </c>
      <c r="D114" s="1076">
        <v>0</v>
      </c>
      <c r="E114" s="1028" t="s">
        <v>357</v>
      </c>
      <c r="F114" s="696"/>
      <c r="G114" s="697"/>
      <c r="H114" s="696"/>
      <c r="I114" s="697"/>
      <c r="J114" s="1072">
        <v>5000</v>
      </c>
      <c r="K114" s="1052">
        <f t="shared" si="28"/>
        <v>0</v>
      </c>
      <c r="L114" s="1053">
        <f t="shared" si="27"/>
        <v>0</v>
      </c>
      <c r="M114" s="700"/>
      <c r="N114" s="1055"/>
    </row>
    <row r="115" spans="1:15">
      <c r="A115" s="1027"/>
      <c r="B115" s="1028"/>
      <c r="C115" s="1029" t="s">
        <v>418</v>
      </c>
      <c r="D115" s="1050">
        <f>$L$4</f>
        <v>28.433333333333334</v>
      </c>
      <c r="E115" s="1028" t="s">
        <v>345</v>
      </c>
      <c r="F115" s="696"/>
      <c r="G115" s="697"/>
      <c r="H115" s="696"/>
      <c r="I115" s="697"/>
      <c r="J115" s="1072">
        <v>500</v>
      </c>
      <c r="K115" s="1052">
        <f t="shared" si="28"/>
        <v>14216.666666666666</v>
      </c>
      <c r="L115" s="1053">
        <f t="shared" si="27"/>
        <v>14216.666666666666</v>
      </c>
      <c r="M115" s="700"/>
      <c r="N115" s="1055"/>
    </row>
    <row r="116" spans="1:15">
      <c r="A116" s="1027"/>
      <c r="B116" s="1028"/>
      <c r="C116" s="1029" t="s">
        <v>419</v>
      </c>
      <c r="D116" s="1050">
        <f>$L$4</f>
        <v>28.433333333333334</v>
      </c>
      <c r="E116" s="1028" t="s">
        <v>345</v>
      </c>
      <c r="F116" s="696"/>
      <c r="G116" s="697"/>
      <c r="H116" s="696"/>
      <c r="I116" s="697"/>
      <c r="J116" s="1051">
        <v>50</v>
      </c>
      <c r="K116" s="1052">
        <f t="shared" si="28"/>
        <v>1421.6666666666667</v>
      </c>
      <c r="L116" s="1077">
        <f t="shared" si="27"/>
        <v>1421.6666666666667</v>
      </c>
      <c r="M116" s="700"/>
      <c r="N116" s="1055"/>
    </row>
    <row r="117" spans="1:15">
      <c r="A117" s="1027"/>
      <c r="B117" s="1028"/>
      <c r="C117" s="1078" t="s">
        <v>420</v>
      </c>
      <c r="D117" s="1093">
        <v>0</v>
      </c>
      <c r="E117" s="1058" t="s">
        <v>342</v>
      </c>
      <c r="F117" s="698"/>
      <c r="G117" s="699"/>
      <c r="H117" s="698"/>
      <c r="I117" s="699"/>
      <c r="J117" s="275">
        <v>0</v>
      </c>
      <c r="K117" s="1052">
        <f t="shared" si="28"/>
        <v>0</v>
      </c>
      <c r="L117" s="274">
        <f t="shared" si="27"/>
        <v>0</v>
      </c>
      <c r="M117" s="701"/>
      <c r="N117" s="1091"/>
    </row>
    <row r="118" spans="1:15">
      <c r="A118" s="1065"/>
      <c r="B118" s="1066"/>
      <c r="C118" s="1080" t="s">
        <v>421</v>
      </c>
      <c r="D118" s="1068"/>
      <c r="E118" s="1069"/>
      <c r="F118" s="1069"/>
      <c r="G118" s="1069"/>
      <c r="H118" s="1069"/>
      <c r="I118" s="1069"/>
      <c r="J118" s="1069"/>
      <c r="K118" s="1069"/>
      <c r="L118" s="1071">
        <f>SUM(L119:L124)</f>
        <v>213598.79285714286</v>
      </c>
      <c r="M118" s="1071"/>
      <c r="N118" s="1071"/>
    </row>
    <row r="119" spans="1:15">
      <c r="A119" s="1094"/>
      <c r="B119" s="1088"/>
      <c r="C119" s="1095" t="s">
        <v>422</v>
      </c>
      <c r="D119" s="278">
        <v>0</v>
      </c>
      <c r="E119" s="1088" t="s">
        <v>320</v>
      </c>
      <c r="F119" s="1044"/>
      <c r="G119" s="1045"/>
      <c r="H119" s="1044"/>
      <c r="I119" s="1045"/>
      <c r="J119" s="1096">
        <v>350</v>
      </c>
      <c r="K119" s="1097">
        <f t="shared" ref="K119:K124" si="29">SUM(D119*J119)</f>
        <v>0</v>
      </c>
      <c r="L119" s="1098">
        <f t="shared" si="27"/>
        <v>0</v>
      </c>
      <c r="M119" s="1073"/>
      <c r="N119" s="1099" t="s">
        <v>423</v>
      </c>
    </row>
    <row r="120" spans="1:15">
      <c r="A120" s="1027"/>
      <c r="B120" s="1028"/>
      <c r="C120" s="1029" t="s">
        <v>424</v>
      </c>
      <c r="D120" s="1100">
        <v>0</v>
      </c>
      <c r="E120" s="1028" t="s">
        <v>320</v>
      </c>
      <c r="F120" s="696"/>
      <c r="G120" s="697"/>
      <c r="H120" s="696"/>
      <c r="I120" s="697"/>
      <c r="J120" s="1051">
        <v>400</v>
      </c>
      <c r="K120" s="1101">
        <f t="shared" si="29"/>
        <v>0</v>
      </c>
      <c r="L120" s="1077">
        <f>SUM(G120+I120+K120)</f>
        <v>0</v>
      </c>
      <c r="M120" s="700"/>
      <c r="N120" s="411" t="s">
        <v>423</v>
      </c>
    </row>
    <row r="121" spans="1:15">
      <c r="A121" s="1018"/>
      <c r="B121" s="1019"/>
      <c r="C121" s="1006" t="s">
        <v>425</v>
      </c>
      <c r="D121" s="1050">
        <f>$K$4</f>
        <v>121.85714285714286</v>
      </c>
      <c r="E121" s="1019" t="s">
        <v>320</v>
      </c>
      <c r="F121" s="696"/>
      <c r="G121" s="697"/>
      <c r="H121" s="696"/>
      <c r="I121" s="697"/>
      <c r="J121" s="1072">
        <f>500*2</f>
        <v>1000</v>
      </c>
      <c r="K121" s="1052">
        <f t="shared" si="29"/>
        <v>121857.14285714286</v>
      </c>
      <c r="L121" s="1053">
        <f>SUM(G121+I121+K121)</f>
        <v>121857.14285714286</v>
      </c>
      <c r="M121" s="700"/>
      <c r="N121" s="1087" t="s">
        <v>423</v>
      </c>
    </row>
    <row r="122" spans="1:15">
      <c r="A122" s="1027"/>
      <c r="B122" s="1028"/>
      <c r="C122" s="1029" t="s">
        <v>426</v>
      </c>
      <c r="D122" s="1050">
        <f>K4</f>
        <v>121.85714285714286</v>
      </c>
      <c r="E122" s="1028" t="s">
        <v>320</v>
      </c>
      <c r="F122" s="696"/>
      <c r="G122" s="697"/>
      <c r="H122" s="696"/>
      <c r="I122" s="697"/>
      <c r="J122" s="1051">
        <v>0</v>
      </c>
      <c r="K122" s="1052">
        <f t="shared" si="29"/>
        <v>0</v>
      </c>
      <c r="L122" s="1053">
        <f t="shared" si="27"/>
        <v>0</v>
      </c>
      <c r="M122" s="700"/>
      <c r="N122" s="1087"/>
    </row>
    <row r="123" spans="1:15">
      <c r="A123" s="1027"/>
      <c r="B123" s="1028">
        <v>17300</v>
      </c>
      <c r="C123" s="1029" t="s">
        <v>427</v>
      </c>
      <c r="D123" s="1050">
        <v>0</v>
      </c>
      <c r="E123" s="1028" t="s">
        <v>320</v>
      </c>
      <c r="F123" s="696"/>
      <c r="G123" s="697"/>
      <c r="H123" s="696"/>
      <c r="I123" s="697"/>
      <c r="J123" s="1051">
        <f>65*8</f>
        <v>520</v>
      </c>
      <c r="K123" s="1052">
        <f t="shared" si="29"/>
        <v>0</v>
      </c>
      <c r="L123" s="1053">
        <f t="shared" si="27"/>
        <v>0</v>
      </c>
      <c r="M123" s="700"/>
      <c r="N123" s="1087"/>
    </row>
    <row r="124" spans="1:15">
      <c r="A124" s="1057"/>
      <c r="B124" s="1058"/>
      <c r="C124" s="1078" t="s">
        <v>428</v>
      </c>
      <c r="D124" s="272">
        <f>'Cost Summary'!$F$7</f>
        <v>141141</v>
      </c>
      <c r="E124" s="1058" t="s">
        <v>384</v>
      </c>
      <c r="F124" s="698"/>
      <c r="G124" s="699"/>
      <c r="H124" s="698"/>
      <c r="I124" s="699"/>
      <c r="J124" s="1102">
        <v>0.65</v>
      </c>
      <c r="K124" s="271">
        <f t="shared" si="29"/>
        <v>91741.650000000009</v>
      </c>
      <c r="L124" s="1062">
        <f>SUM(G124+I124+K124)</f>
        <v>91741.650000000009</v>
      </c>
      <c r="M124" s="701"/>
      <c r="N124" s="1103"/>
      <c r="O124" t="s">
        <v>429</v>
      </c>
    </row>
    <row r="125" spans="1:15">
      <c r="A125" s="1065"/>
      <c r="B125" s="1066"/>
      <c r="C125" s="1080" t="s">
        <v>430</v>
      </c>
      <c r="D125" s="1068"/>
      <c r="E125" s="1069"/>
      <c r="F125" s="1069"/>
      <c r="G125" s="1069"/>
      <c r="H125" s="1069"/>
      <c r="I125" s="1069"/>
      <c r="J125" s="1069"/>
      <c r="K125" s="1069"/>
      <c r="L125" s="1071">
        <f>SUM(L126:L133)</f>
        <v>62601.666666666672</v>
      </c>
      <c r="M125" s="1071"/>
      <c r="N125" s="1071"/>
    </row>
    <row r="126" spans="1:15" ht="30">
      <c r="A126" s="1027"/>
      <c r="B126" s="1028">
        <v>13200</v>
      </c>
      <c r="C126" s="1029" t="s">
        <v>431</v>
      </c>
      <c r="D126" s="1007">
        <v>1</v>
      </c>
      <c r="E126" s="1028" t="s">
        <v>357</v>
      </c>
      <c r="F126" s="696"/>
      <c r="G126" s="697"/>
      <c r="H126" s="696"/>
      <c r="I126" s="697"/>
      <c r="J126" s="1020">
        <v>10000</v>
      </c>
      <c r="K126" s="1026">
        <f t="shared" ref="K126:K133" si="30">SUM(D126*J126)</f>
        <v>10000</v>
      </c>
      <c r="L126" s="1034">
        <f>SUM(G126+I126+K126)</f>
        <v>10000</v>
      </c>
      <c r="M126" s="700"/>
      <c r="N126" s="1104" t="s">
        <v>432</v>
      </c>
    </row>
    <row r="127" spans="1:15" ht="30">
      <c r="A127" s="1027"/>
      <c r="B127" s="1028">
        <v>13200</v>
      </c>
      <c r="C127" s="1029" t="s">
        <v>433</v>
      </c>
      <c r="D127" s="1007">
        <f>$L$4</f>
        <v>28.433333333333334</v>
      </c>
      <c r="E127" s="1028" t="s">
        <v>345</v>
      </c>
      <c r="F127" s="696"/>
      <c r="G127" s="697"/>
      <c r="H127" s="696"/>
      <c r="I127" s="697"/>
      <c r="J127" s="1020">
        <v>1650</v>
      </c>
      <c r="K127" s="1105">
        <f t="shared" si="30"/>
        <v>46915</v>
      </c>
      <c r="L127" s="1034">
        <f>SUM(G127+I127+K127)</f>
        <v>46915</v>
      </c>
      <c r="M127" s="700"/>
      <c r="N127" s="1104" t="s">
        <v>434</v>
      </c>
    </row>
    <row r="128" spans="1:15" ht="30">
      <c r="A128" s="1027"/>
      <c r="B128" s="1028">
        <v>13200</v>
      </c>
      <c r="C128" s="1029" t="s">
        <v>435</v>
      </c>
      <c r="D128" s="1007">
        <f>L7</f>
        <v>0</v>
      </c>
      <c r="E128" s="1028" t="s">
        <v>345</v>
      </c>
      <c r="F128" s="696"/>
      <c r="G128" s="697"/>
      <c r="H128" s="696"/>
      <c r="I128" s="697"/>
      <c r="J128" s="1020">
        <v>300</v>
      </c>
      <c r="K128" s="1026">
        <f t="shared" si="30"/>
        <v>0</v>
      </c>
      <c r="L128" s="1034">
        <f>SUM(G128+I128+K128)</f>
        <v>0</v>
      </c>
      <c r="M128" s="700"/>
      <c r="N128" s="1104" t="s">
        <v>436</v>
      </c>
    </row>
    <row r="129" spans="1:14">
      <c r="A129" s="1027"/>
      <c r="B129" s="1028">
        <v>13233</v>
      </c>
      <c r="C129" s="1029" t="s">
        <v>437</v>
      </c>
      <c r="D129" s="1050">
        <f>$L$4</f>
        <v>28.433333333333334</v>
      </c>
      <c r="E129" s="1028" t="s">
        <v>345</v>
      </c>
      <c r="F129" s="696"/>
      <c r="G129" s="697"/>
      <c r="H129" s="696"/>
      <c r="I129" s="697"/>
      <c r="J129" s="1051">
        <v>100</v>
      </c>
      <c r="K129" s="1052">
        <f t="shared" si="30"/>
        <v>2843.3333333333335</v>
      </c>
      <c r="L129" s="1053">
        <f t="shared" si="27"/>
        <v>2843.3333333333335</v>
      </c>
      <c r="M129" s="700"/>
      <c r="N129" s="1087"/>
    </row>
    <row r="130" spans="1:14">
      <c r="A130" s="1027"/>
      <c r="B130" s="1028">
        <v>13233</v>
      </c>
      <c r="C130" s="1029" t="s">
        <v>438</v>
      </c>
      <c r="D130" s="1050">
        <f>$L$4</f>
        <v>28.433333333333334</v>
      </c>
      <c r="E130" s="1028" t="s">
        <v>345</v>
      </c>
      <c r="F130" s="696"/>
      <c r="G130" s="697"/>
      <c r="H130" s="696"/>
      <c r="I130" s="697"/>
      <c r="J130" s="1051">
        <v>100</v>
      </c>
      <c r="K130" s="1052">
        <f t="shared" si="30"/>
        <v>2843.3333333333335</v>
      </c>
      <c r="L130" s="1077">
        <f t="shared" si="27"/>
        <v>2843.3333333333335</v>
      </c>
      <c r="M130" s="700"/>
      <c r="N130" s="1087"/>
    </row>
    <row r="131" spans="1:14">
      <c r="A131" s="1027"/>
      <c r="B131" s="1028"/>
      <c r="C131" s="1029" t="s">
        <v>439</v>
      </c>
      <c r="D131" s="1100">
        <v>0</v>
      </c>
      <c r="E131" s="1028" t="s">
        <v>357</v>
      </c>
      <c r="F131" s="696"/>
      <c r="G131" s="697"/>
      <c r="H131" s="696"/>
      <c r="I131" s="697"/>
      <c r="J131" s="1072">
        <v>2500</v>
      </c>
      <c r="K131" s="1052">
        <f t="shared" si="30"/>
        <v>0</v>
      </c>
      <c r="L131" s="1053">
        <f t="shared" si="27"/>
        <v>0</v>
      </c>
      <c r="M131" s="700"/>
      <c r="N131" s="411"/>
    </row>
    <row r="132" spans="1:14">
      <c r="A132" s="1027"/>
      <c r="B132" s="1028">
        <v>13233</v>
      </c>
      <c r="C132" s="1006" t="s">
        <v>440</v>
      </c>
      <c r="D132" s="1050">
        <v>0</v>
      </c>
      <c r="E132" s="1019" t="s">
        <v>357</v>
      </c>
      <c r="F132" s="696"/>
      <c r="G132" s="697"/>
      <c r="H132" s="696"/>
      <c r="I132" s="697"/>
      <c r="J132" s="1051">
        <v>500</v>
      </c>
      <c r="K132" s="1052">
        <f t="shared" si="30"/>
        <v>0</v>
      </c>
      <c r="L132" s="1077">
        <f t="shared" si="27"/>
        <v>0</v>
      </c>
      <c r="M132" s="700"/>
      <c r="N132" s="411"/>
    </row>
    <row r="133" spans="1:14">
      <c r="A133" s="1027"/>
      <c r="B133" s="1028"/>
      <c r="C133" s="407" t="s">
        <v>441</v>
      </c>
      <c r="D133" s="278">
        <v>0</v>
      </c>
      <c r="E133" s="408" t="s">
        <v>357</v>
      </c>
      <c r="F133" s="698"/>
      <c r="G133" s="699"/>
      <c r="H133" s="698"/>
      <c r="I133" s="699"/>
      <c r="J133" s="279">
        <v>0</v>
      </c>
      <c r="K133" s="1052">
        <f t="shared" si="30"/>
        <v>0</v>
      </c>
      <c r="L133" s="281">
        <f t="shared" si="27"/>
        <v>0</v>
      </c>
      <c r="M133" s="701"/>
      <c r="N133" s="411"/>
    </row>
    <row r="134" spans="1:14">
      <c r="A134" s="1065"/>
      <c r="B134" s="1066"/>
      <c r="C134" s="1080" t="s">
        <v>442</v>
      </c>
      <c r="D134" s="1068"/>
      <c r="E134" s="1069"/>
      <c r="F134" s="1069"/>
      <c r="G134" s="1069"/>
      <c r="H134" s="1069"/>
      <c r="I134" s="1069"/>
      <c r="J134" s="1069"/>
      <c r="K134" s="1069"/>
      <c r="L134" s="1071">
        <f>SUM(L135:L139)</f>
        <v>14265</v>
      </c>
      <c r="M134" s="1071"/>
      <c r="N134" s="1071"/>
    </row>
    <row r="135" spans="1:14">
      <c r="A135" s="1027"/>
      <c r="B135" s="1028"/>
      <c r="C135" s="1006" t="s">
        <v>443</v>
      </c>
      <c r="D135" s="1050">
        <v>0</v>
      </c>
      <c r="E135" s="1019" t="s">
        <v>357</v>
      </c>
      <c r="F135" s="1044"/>
      <c r="G135" s="1045"/>
      <c r="H135" s="1044"/>
      <c r="I135" s="1045"/>
      <c r="J135" s="1051">
        <v>1000</v>
      </c>
      <c r="K135" s="1052">
        <f>SUM(D135*J135)</f>
        <v>0</v>
      </c>
      <c r="L135" s="1053">
        <f t="shared" si="27"/>
        <v>0</v>
      </c>
      <c r="M135" s="1073"/>
      <c r="N135" s="1048"/>
    </row>
    <row r="136" spans="1:14">
      <c r="A136" s="1027"/>
      <c r="B136" s="1028">
        <v>10550</v>
      </c>
      <c r="C136" s="1029" t="s">
        <v>444</v>
      </c>
      <c r="D136" s="1050">
        <v>0</v>
      </c>
      <c r="E136" s="1028" t="s">
        <v>357</v>
      </c>
      <c r="F136" s="696"/>
      <c r="G136" s="697"/>
      <c r="H136" s="1106"/>
      <c r="I136" s="1107"/>
      <c r="J136" s="1051">
        <v>500</v>
      </c>
      <c r="K136" s="1052">
        <f>SUM(D136*J136)</f>
        <v>0</v>
      </c>
      <c r="L136" s="1053">
        <f t="shared" si="27"/>
        <v>0</v>
      </c>
      <c r="M136" s="700"/>
      <c r="N136" s="1055"/>
    </row>
    <row r="137" spans="1:14">
      <c r="A137" s="1027"/>
      <c r="B137" s="1028"/>
      <c r="C137" s="1029" t="s">
        <v>445</v>
      </c>
      <c r="D137" s="1050">
        <v>1</v>
      </c>
      <c r="E137" s="1028" t="s">
        <v>357</v>
      </c>
      <c r="F137" s="696"/>
      <c r="G137" s="697"/>
      <c r="H137" s="1051">
        <v>10000</v>
      </c>
      <c r="I137" s="1052">
        <f>SUM(D137*H137)</f>
        <v>10000</v>
      </c>
      <c r="J137" s="702"/>
      <c r="K137" s="703"/>
      <c r="L137" s="1053">
        <f t="shared" si="27"/>
        <v>10000</v>
      </c>
      <c r="M137" s="700"/>
      <c r="N137" s="1055"/>
    </row>
    <row r="138" spans="1:14">
      <c r="A138" s="1027"/>
      <c r="B138" s="1028"/>
      <c r="C138" s="1029" t="s">
        <v>446</v>
      </c>
      <c r="D138" s="1050">
        <f>$L$4</f>
        <v>28.433333333333334</v>
      </c>
      <c r="E138" s="1028" t="s">
        <v>345</v>
      </c>
      <c r="F138" s="696"/>
      <c r="G138" s="697"/>
      <c r="H138" s="1051">
        <v>75</v>
      </c>
      <c r="I138" s="1052">
        <f>SUM(D138*H138)</f>
        <v>2132.5</v>
      </c>
      <c r="J138" s="696"/>
      <c r="K138" s="697"/>
      <c r="L138" s="1077">
        <f t="shared" si="27"/>
        <v>2132.5</v>
      </c>
      <c r="M138" s="700"/>
      <c r="N138" s="1055"/>
    </row>
    <row r="139" spans="1:14">
      <c r="A139" s="1027"/>
      <c r="B139" s="1028"/>
      <c r="C139" s="407" t="s">
        <v>447</v>
      </c>
      <c r="D139" s="1050">
        <f>$L$4</f>
        <v>28.433333333333334</v>
      </c>
      <c r="E139" s="408" t="s">
        <v>345</v>
      </c>
      <c r="F139" s="698"/>
      <c r="G139" s="699"/>
      <c r="H139" s="279">
        <v>75</v>
      </c>
      <c r="I139" s="1052">
        <f>SUM(D139*H139)</f>
        <v>2132.5</v>
      </c>
      <c r="J139" s="698"/>
      <c r="K139" s="699"/>
      <c r="L139" s="281">
        <f t="shared" si="27"/>
        <v>2132.5</v>
      </c>
      <c r="M139" s="701"/>
      <c r="N139" s="412"/>
    </row>
    <row r="140" spans="1:14">
      <c r="A140" s="1065"/>
      <c r="B140" s="1066"/>
      <c r="C140" s="1080" t="s">
        <v>448</v>
      </c>
      <c r="D140" s="1068"/>
      <c r="E140" s="1069"/>
      <c r="F140" s="1069"/>
      <c r="G140" s="1069"/>
      <c r="H140" s="1069"/>
      <c r="I140" s="1069"/>
      <c r="J140" s="1069"/>
      <c r="K140" s="1069"/>
      <c r="L140" s="1071">
        <f>SUM(L141:L143)</f>
        <v>0</v>
      </c>
      <c r="M140" s="1071"/>
      <c r="N140" s="1071"/>
    </row>
    <row r="141" spans="1:14">
      <c r="A141" s="1027"/>
      <c r="B141" s="1028"/>
      <c r="C141" s="1029" t="s">
        <v>449</v>
      </c>
      <c r="D141" s="1076">
        <v>0</v>
      </c>
      <c r="E141" s="1028" t="s">
        <v>357</v>
      </c>
      <c r="F141" s="696"/>
      <c r="G141" s="697"/>
      <c r="H141" s="696"/>
      <c r="I141" s="697"/>
      <c r="J141" s="1051">
        <v>0</v>
      </c>
      <c r="K141" s="1052">
        <f>SUM(D141*J141)</f>
        <v>0</v>
      </c>
      <c r="L141" s="1053">
        <f t="shared" si="27"/>
        <v>0</v>
      </c>
      <c r="M141" s="1073"/>
      <c r="N141" s="1087" t="s">
        <v>450</v>
      </c>
    </row>
    <row r="142" spans="1:14">
      <c r="A142" s="1027"/>
      <c r="B142" s="1028"/>
      <c r="C142" s="1029" t="s">
        <v>451</v>
      </c>
      <c r="D142" s="1108">
        <v>0</v>
      </c>
      <c r="E142" s="1028" t="s">
        <v>342</v>
      </c>
      <c r="F142" s="696"/>
      <c r="G142" s="697"/>
      <c r="H142" s="696"/>
      <c r="I142" s="697"/>
      <c r="J142" s="1051">
        <v>0</v>
      </c>
      <c r="K142" s="1052">
        <f>SUM(D142*J142)</f>
        <v>0</v>
      </c>
      <c r="L142" s="1077">
        <f t="shared" si="27"/>
        <v>0</v>
      </c>
      <c r="M142" s="700"/>
      <c r="N142" s="1087" t="s">
        <v>450</v>
      </c>
    </row>
    <row r="143" spans="1:14">
      <c r="A143" s="1027"/>
      <c r="B143" s="1028"/>
      <c r="C143" s="407" t="s">
        <v>452</v>
      </c>
      <c r="D143" s="283">
        <v>0</v>
      </c>
      <c r="E143" s="284" t="s">
        <v>357</v>
      </c>
      <c r="F143" s="698"/>
      <c r="G143" s="699"/>
      <c r="H143" s="698"/>
      <c r="I143" s="699"/>
      <c r="J143" s="279">
        <v>0</v>
      </c>
      <c r="K143" s="1052">
        <f>SUM(D143*J143)</f>
        <v>0</v>
      </c>
      <c r="L143" s="281">
        <f t="shared" si="27"/>
        <v>0</v>
      </c>
      <c r="M143" s="701"/>
      <c r="N143" s="1087" t="s">
        <v>450</v>
      </c>
    </row>
    <row r="144" spans="1:14">
      <c r="A144" s="1065"/>
      <c r="B144" s="1066"/>
      <c r="C144" s="1080" t="s">
        <v>453</v>
      </c>
      <c r="D144" s="1068"/>
      <c r="E144" s="1069"/>
      <c r="F144" s="1069"/>
      <c r="G144" s="1069"/>
      <c r="H144" s="1069"/>
      <c r="I144" s="1069"/>
      <c r="J144" s="1069"/>
      <c r="K144" s="1069"/>
      <c r="L144" s="1071">
        <f>SUM(L145:L148)</f>
        <v>0</v>
      </c>
      <c r="M144" s="1071"/>
      <c r="N144" s="1071"/>
    </row>
    <row r="145" spans="1:135">
      <c r="A145" s="1004"/>
      <c r="B145" s="1005"/>
      <c r="C145" s="1040" t="s">
        <v>454</v>
      </c>
      <c r="D145" s="1109">
        <v>0</v>
      </c>
      <c r="E145" s="1005" t="s">
        <v>357</v>
      </c>
      <c r="F145" s="1044"/>
      <c r="G145" s="1045"/>
      <c r="H145" s="1044"/>
      <c r="I145" s="1045"/>
      <c r="J145" s="1042">
        <v>0</v>
      </c>
      <c r="K145" s="1043">
        <f>SUM(D145*J145)</f>
        <v>0</v>
      </c>
      <c r="L145" s="1046">
        <f t="shared" si="27"/>
        <v>0</v>
      </c>
      <c r="M145" s="1073"/>
      <c r="N145" s="1110" t="s">
        <v>450</v>
      </c>
    </row>
    <row r="146" spans="1:135">
      <c r="A146" s="1027"/>
      <c r="B146" s="1028"/>
      <c r="C146" s="1029" t="s">
        <v>455</v>
      </c>
      <c r="D146" s="1076">
        <v>0</v>
      </c>
      <c r="E146" s="1028" t="s">
        <v>357</v>
      </c>
      <c r="F146" s="696"/>
      <c r="G146" s="697"/>
      <c r="H146" s="696"/>
      <c r="I146" s="697"/>
      <c r="J146" s="1051">
        <v>0</v>
      </c>
      <c r="K146" s="1052">
        <f>SUM(D146*J146)</f>
        <v>0</v>
      </c>
      <c r="L146" s="1053">
        <f t="shared" si="27"/>
        <v>0</v>
      </c>
      <c r="M146" s="700"/>
      <c r="N146" s="1087" t="s">
        <v>450</v>
      </c>
    </row>
    <row r="147" spans="1:135">
      <c r="A147" s="1027"/>
      <c r="B147" s="1028"/>
      <c r="C147" s="1029" t="s">
        <v>456</v>
      </c>
      <c r="D147" s="1076">
        <v>0</v>
      </c>
      <c r="E147" s="1028" t="s">
        <v>342</v>
      </c>
      <c r="F147" s="696"/>
      <c r="G147" s="697"/>
      <c r="H147" s="696"/>
      <c r="I147" s="697"/>
      <c r="J147" s="413">
        <v>0</v>
      </c>
      <c r="K147" s="1052">
        <f>SUM(D147*J147)</f>
        <v>0</v>
      </c>
      <c r="L147" s="1077">
        <f t="shared" si="27"/>
        <v>0</v>
      </c>
      <c r="M147" s="700"/>
      <c r="N147" s="1087" t="s">
        <v>450</v>
      </c>
    </row>
    <row r="148" spans="1:135">
      <c r="A148" s="1057"/>
      <c r="B148" s="1058"/>
      <c r="C148" s="1078" t="s">
        <v>457</v>
      </c>
      <c r="D148" s="272">
        <v>0</v>
      </c>
      <c r="E148" s="1058" t="s">
        <v>357</v>
      </c>
      <c r="F148" s="698"/>
      <c r="G148" s="699"/>
      <c r="H148" s="698"/>
      <c r="I148" s="699"/>
      <c r="J148" s="1061">
        <v>0</v>
      </c>
      <c r="K148" s="271">
        <f>SUM(D148*J148)</f>
        <v>0</v>
      </c>
      <c r="L148" s="274">
        <f t="shared" si="27"/>
        <v>0</v>
      </c>
      <c r="M148" s="701"/>
      <c r="N148" s="1103" t="s">
        <v>450</v>
      </c>
    </row>
    <row r="149" spans="1:135">
      <c r="A149" s="1065"/>
      <c r="B149" s="1066"/>
      <c r="C149" s="1080" t="s">
        <v>458</v>
      </c>
      <c r="D149" s="1068"/>
      <c r="E149" s="1069"/>
      <c r="F149" s="1069"/>
      <c r="G149" s="1069"/>
      <c r="H149" s="1069"/>
      <c r="I149" s="1069"/>
      <c r="J149" s="1069"/>
      <c r="K149" s="1069"/>
      <c r="L149" s="1071">
        <f>SUM(L150:L153)</f>
        <v>0</v>
      </c>
      <c r="M149" s="1071"/>
      <c r="N149" s="1071"/>
    </row>
    <row r="150" spans="1:135">
      <c r="A150" s="1004"/>
      <c r="B150" s="1005"/>
      <c r="C150" s="1040" t="s">
        <v>459</v>
      </c>
      <c r="D150" s="1109">
        <v>0</v>
      </c>
      <c r="E150" s="1005" t="s">
        <v>345</v>
      </c>
      <c r="F150" s="1044"/>
      <c r="G150" s="1045"/>
      <c r="H150" s="1044"/>
      <c r="I150" s="1045"/>
      <c r="J150" s="1042">
        <v>0</v>
      </c>
      <c r="K150" s="1043">
        <f>SUM(D150*J150)</f>
        <v>0</v>
      </c>
      <c r="L150" s="1046">
        <f>SUM(G150+I150+K150)</f>
        <v>0</v>
      </c>
      <c r="M150" s="1073"/>
      <c r="N150" s="1110"/>
      <c r="P150">
        <v>250</v>
      </c>
      <c r="Q150" t="s">
        <v>460</v>
      </c>
    </row>
    <row r="151" spans="1:135">
      <c r="A151" s="1027"/>
      <c r="B151" s="1028"/>
      <c r="C151" s="1029" t="s">
        <v>461</v>
      </c>
      <c r="D151" s="1076">
        <v>0</v>
      </c>
      <c r="E151" s="1028" t="s">
        <v>345</v>
      </c>
      <c r="F151" s="696"/>
      <c r="G151" s="697"/>
      <c r="H151" s="696"/>
      <c r="I151" s="697"/>
      <c r="J151" s="1051">
        <v>0</v>
      </c>
      <c r="K151" s="1052">
        <f>SUM(D151*J151)</f>
        <v>0</v>
      </c>
      <c r="L151" s="1053">
        <f>SUM(G151+I151+K151)</f>
        <v>0</v>
      </c>
      <c r="M151" s="700"/>
      <c r="N151" s="1087"/>
      <c r="P151">
        <v>125</v>
      </c>
      <c r="Q151" t="s">
        <v>462</v>
      </c>
      <c r="R151" t="s">
        <v>463</v>
      </c>
    </row>
    <row r="152" spans="1:135">
      <c r="A152" s="1027"/>
      <c r="B152" s="1028"/>
      <c r="C152" s="1029" t="s">
        <v>464</v>
      </c>
      <c r="D152" s="1076">
        <v>0</v>
      </c>
      <c r="E152" s="1028" t="s">
        <v>345</v>
      </c>
      <c r="F152" s="696"/>
      <c r="G152" s="697"/>
      <c r="H152" s="696"/>
      <c r="I152" s="697"/>
      <c r="J152" s="413">
        <v>2600</v>
      </c>
      <c r="K152" s="1052">
        <f>SUM(D152*J152)</f>
        <v>0</v>
      </c>
      <c r="L152" s="1077">
        <f>SUM(G152+I152+K152)</f>
        <v>0</v>
      </c>
      <c r="M152" s="700"/>
      <c r="N152" s="1087"/>
      <c r="P152">
        <v>60</v>
      </c>
      <c r="Q152" t="s">
        <v>465</v>
      </c>
    </row>
    <row r="153" spans="1:135">
      <c r="A153" s="1057"/>
      <c r="B153" s="1058"/>
      <c r="C153" s="1078" t="s">
        <v>466</v>
      </c>
      <c r="D153" s="272">
        <v>0</v>
      </c>
      <c r="E153" s="1028" t="s">
        <v>345</v>
      </c>
      <c r="F153" s="698"/>
      <c r="G153" s="699"/>
      <c r="H153" s="698"/>
      <c r="I153" s="699"/>
      <c r="J153" s="1061">
        <v>0</v>
      </c>
      <c r="K153" s="271">
        <f>SUM(D153*J153)</f>
        <v>0</v>
      </c>
      <c r="L153" s="274">
        <f>SUM(G153+I153+K153)</f>
        <v>0</v>
      </c>
      <c r="M153" s="701"/>
      <c r="N153" s="1103"/>
    </row>
    <row r="154" spans="1:135">
      <c r="A154" s="1065"/>
      <c r="B154" s="1066"/>
      <c r="C154" s="1080" t="s">
        <v>466</v>
      </c>
      <c r="D154" s="1068"/>
      <c r="E154" s="1069"/>
      <c r="F154" s="1069"/>
      <c r="G154" s="1069"/>
      <c r="H154" s="1069"/>
      <c r="I154" s="1069"/>
      <c r="J154" s="1069"/>
      <c r="K154" s="1069"/>
      <c r="L154" s="1071">
        <f>SUM(L155:L157)</f>
        <v>10000</v>
      </c>
      <c r="M154" s="1071"/>
      <c r="N154" s="1071"/>
    </row>
    <row r="155" spans="1:135">
      <c r="A155" s="1027"/>
      <c r="B155" s="1028"/>
      <c r="C155" s="1006" t="s">
        <v>467</v>
      </c>
      <c r="D155" s="1050">
        <v>2</v>
      </c>
      <c r="E155" s="1019" t="s">
        <v>342</v>
      </c>
      <c r="F155" s="1044"/>
      <c r="G155" s="1045"/>
      <c r="H155" s="1044"/>
      <c r="I155" s="1045"/>
      <c r="J155" s="1072">
        <v>5000</v>
      </c>
      <c r="K155" s="1052">
        <f>SUM(D155*J155)</f>
        <v>10000</v>
      </c>
      <c r="L155" s="1053">
        <f t="shared" si="27"/>
        <v>10000</v>
      </c>
      <c r="M155" s="1073"/>
      <c r="N155" s="1086"/>
    </row>
    <row r="156" spans="1:135">
      <c r="A156" s="1027"/>
      <c r="B156" s="1028"/>
      <c r="C156" s="1029" t="s">
        <v>468</v>
      </c>
      <c r="D156" s="1050">
        <v>0</v>
      </c>
      <c r="E156" s="1028" t="s">
        <v>357</v>
      </c>
      <c r="F156" s="696"/>
      <c r="G156" s="697"/>
      <c r="H156" s="696"/>
      <c r="I156" s="697"/>
      <c r="J156" s="1051">
        <v>0</v>
      </c>
      <c r="K156" s="1052">
        <f>SUM(D156*J156)</f>
        <v>0</v>
      </c>
      <c r="L156" s="1053">
        <f t="shared" si="27"/>
        <v>0</v>
      </c>
      <c r="M156" s="700"/>
      <c r="N156" s="1087"/>
    </row>
    <row r="157" spans="1:135">
      <c r="A157" s="1027"/>
      <c r="B157" s="1028"/>
      <c r="C157" s="1029" t="s">
        <v>469</v>
      </c>
      <c r="D157" s="1050">
        <v>0</v>
      </c>
      <c r="E157" s="1028" t="s">
        <v>342</v>
      </c>
      <c r="F157" s="696"/>
      <c r="G157" s="697"/>
      <c r="H157" s="696"/>
      <c r="I157" s="697"/>
      <c r="J157" s="1051">
        <v>0</v>
      </c>
      <c r="K157" s="280">
        <f>SUM(D157*J157)</f>
        <v>0</v>
      </c>
      <c r="L157" s="281">
        <f t="shared" si="27"/>
        <v>0</v>
      </c>
      <c r="M157" s="700"/>
      <c r="N157" s="1087"/>
    </row>
    <row r="158" spans="1:135" s="261" customFormat="1">
      <c r="A158" s="1111"/>
      <c r="B158" s="1112"/>
      <c r="C158" s="285" t="s">
        <v>5</v>
      </c>
      <c r="D158" s="286"/>
      <c r="E158" s="287"/>
      <c r="F158" s="288"/>
      <c r="G158" s="1113">
        <f>SUM(G10:G157)</f>
        <v>2991138.4497758439</v>
      </c>
      <c r="H158" s="288"/>
      <c r="I158" s="1113">
        <f>SUM(I10:I157)</f>
        <v>151203.5</v>
      </c>
      <c r="J158" s="288"/>
      <c r="K158" s="1113">
        <f>SUM(K10:K157)</f>
        <v>554695.99285714305</v>
      </c>
      <c r="L158" s="1113">
        <f>SUM(L9:L157)/2</f>
        <v>3697037.9426329862</v>
      </c>
      <c r="M158" s="1114"/>
      <c r="N158" s="1114"/>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row>
    <row r="159" spans="1:135" s="261" customFormat="1">
      <c r="A159" s="229"/>
      <c r="B159" s="229"/>
      <c r="C159" s="48"/>
      <c r="D159" s="289"/>
      <c r="E159" s="257"/>
      <c r="F159" s="290"/>
      <c r="G159" s="290"/>
      <c r="H159" s="290"/>
      <c r="I159" s="290"/>
      <c r="J159" s="290"/>
      <c r="K159" s="290"/>
      <c r="L159" s="290"/>
      <c r="M159" s="290"/>
      <c r="N159" s="124"/>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row>
    <row r="160" spans="1:135" s="261" customFormat="1" ht="15.75" customHeight="1">
      <c r="A160" s="229"/>
      <c r="B160" s="229"/>
      <c r="C160" s="48"/>
      <c r="D160" s="289"/>
      <c r="E160" s="257"/>
      <c r="F160" s="290"/>
      <c r="G160" s="290"/>
      <c r="H160" s="290"/>
      <c r="I160" s="290"/>
      <c r="J160" s="1115" t="s">
        <v>470</v>
      </c>
      <c r="K160" s="1116"/>
      <c r="L160" s="1117">
        <f>G158</f>
        <v>2991138.4497758439</v>
      </c>
      <c r="M160" s="124">
        <f>L160/L4</f>
        <v>105198.30421251502</v>
      </c>
      <c r="O160"/>
      <c r="X160"/>
    </row>
    <row r="161" spans="1:24" s="261" customFormat="1" ht="15.75" customHeight="1">
      <c r="A161" s="229"/>
      <c r="B161" s="229"/>
      <c r="D161" s="289"/>
      <c r="E161" s="257"/>
      <c r="F161" s="290"/>
      <c r="G161" s="290"/>
      <c r="H161" s="290"/>
      <c r="I161" s="290"/>
      <c r="J161" s="1118" t="s">
        <v>471</v>
      </c>
      <c r="K161" s="1119"/>
      <c r="L161" s="1120">
        <f>I158+K158</f>
        <v>705899.49285714305</v>
      </c>
      <c r="M161" s="124">
        <f>L161/L4</f>
        <v>24826.476888293426</v>
      </c>
      <c r="O161"/>
      <c r="X161"/>
    </row>
    <row r="162" spans="1:24" s="261" customFormat="1" ht="15" customHeight="1">
      <c r="A162" s="229"/>
      <c r="B162" s="229"/>
      <c r="D162" s="289"/>
      <c r="E162" s="257"/>
      <c r="F162" s="290"/>
      <c r="G162" s="290"/>
      <c r="H162" s="290"/>
      <c r="I162" s="290"/>
      <c r="J162" s="1121" t="s">
        <v>472</v>
      </c>
      <c r="K162" s="1122"/>
      <c r="L162" s="1123">
        <f>SUM(L160:L161)</f>
        <v>3697037.9426329872</v>
      </c>
      <c r="M162" s="124">
        <f>L162/L4</f>
        <v>130024.78110080845</v>
      </c>
      <c r="N162" t="s">
        <v>473</v>
      </c>
      <c r="O162"/>
      <c r="X162"/>
    </row>
    <row r="163" spans="1:24" s="261" customFormat="1">
      <c r="A163" s="229"/>
      <c r="B163" s="229"/>
      <c r="D163" s="289"/>
      <c r="E163" s="257"/>
      <c r="F163" s="290"/>
      <c r="G163" s="290"/>
      <c r="H163" s="290"/>
      <c r="I163" s="290"/>
      <c r="J163" s="290"/>
      <c r="K163" s="290"/>
      <c r="L163" s="290">
        <f>L158-L162</f>
        <v>0</v>
      </c>
      <c r="M163" s="124"/>
      <c r="N163" s="124"/>
      <c r="O163"/>
      <c r="X163"/>
    </row>
    <row r="164" spans="1:24" s="261" customFormat="1">
      <c r="A164" s="229"/>
      <c r="B164" s="229"/>
      <c r="D164" s="289"/>
      <c r="E164" s="257"/>
      <c r="F164" s="290"/>
      <c r="G164" s="290"/>
      <c r="H164" s="290"/>
      <c r="I164" s="290"/>
      <c r="J164" s="290"/>
      <c r="K164" s="290"/>
      <c r="L164" s="290"/>
      <c r="M164" s="290"/>
      <c r="N164" s="124"/>
      <c r="O164"/>
      <c r="X164"/>
    </row>
    <row r="165" spans="1:24" s="261" customFormat="1">
      <c r="A165" s="229"/>
      <c r="B165" s="229"/>
      <c r="D165" s="289"/>
      <c r="E165" s="257"/>
      <c r="F165" s="290"/>
      <c r="G165" s="290"/>
      <c r="H165" s="290"/>
      <c r="I165" s="290"/>
      <c r="J165" s="290"/>
      <c r="K165" s="290"/>
      <c r="L165" s="290"/>
      <c r="M165" s="290"/>
      <c r="N165" s="124"/>
      <c r="O165"/>
      <c r="X165"/>
    </row>
    <row r="166" spans="1:24" s="261" customFormat="1">
      <c r="A166" s="229"/>
      <c r="B166" s="229"/>
      <c r="D166" s="289"/>
      <c r="E166" s="257"/>
      <c r="F166" s="290"/>
      <c r="G166" s="290"/>
      <c r="H166" s="290"/>
      <c r="I166" s="290"/>
      <c r="J166" s="290"/>
      <c r="K166" s="290"/>
      <c r="L166" s="290"/>
      <c r="M166" s="290"/>
      <c r="N166" s="124"/>
      <c r="O166"/>
      <c r="X166"/>
    </row>
    <row r="167" spans="1:24" s="261" customFormat="1">
      <c r="A167" s="229"/>
      <c r="B167" s="229"/>
      <c r="D167" s="289"/>
      <c r="E167" s="257"/>
      <c r="F167" s="290"/>
      <c r="G167" s="290"/>
      <c r="H167" s="290"/>
      <c r="I167" s="290"/>
      <c r="J167" s="290"/>
      <c r="K167" s="290"/>
      <c r="L167" s="290"/>
      <c r="M167" s="290"/>
      <c r="N167" s="124"/>
      <c r="O167"/>
      <c r="X167"/>
    </row>
    <row r="168" spans="1:24" s="261" customFormat="1">
      <c r="A168" s="229"/>
      <c r="B168" s="229"/>
      <c r="D168" s="289"/>
      <c r="E168" s="257"/>
      <c r="F168" s="290"/>
      <c r="G168" s="290"/>
      <c r="H168" s="290"/>
      <c r="I168" s="290"/>
      <c r="J168" s="290"/>
      <c r="K168" s="290"/>
      <c r="L168" s="290"/>
      <c r="M168" s="290"/>
      <c r="N168" s="124"/>
      <c r="O168"/>
    </row>
    <row r="169" spans="1:24" s="261" customFormat="1">
      <c r="A169" s="229"/>
      <c r="B169" s="229"/>
      <c r="D169" s="289"/>
      <c r="E169" s="257"/>
      <c r="F169" s="290"/>
      <c r="G169" s="290"/>
      <c r="H169" s="290"/>
      <c r="I169" s="290"/>
      <c r="J169" s="290"/>
      <c r="K169" s="290"/>
      <c r="L169" s="290"/>
      <c r="M169" s="290"/>
      <c r="N169" s="124"/>
      <c r="O169"/>
    </row>
    <row r="170" spans="1:24" s="261" customFormat="1">
      <c r="A170" s="229"/>
      <c r="B170" s="229"/>
      <c r="D170" s="289"/>
      <c r="E170" s="257"/>
      <c r="F170" s="290"/>
      <c r="G170" s="290"/>
      <c r="H170" s="290"/>
      <c r="I170" s="290"/>
      <c r="J170" s="290"/>
      <c r="K170" s="290"/>
      <c r="L170" s="290"/>
      <c r="M170" s="290"/>
      <c r="N170" s="124"/>
      <c r="O170"/>
    </row>
    <row r="171" spans="1:24" s="261" customFormat="1">
      <c r="A171" s="229"/>
      <c r="B171" s="229"/>
      <c r="D171" s="289"/>
      <c r="E171" s="257"/>
      <c r="F171" s="290"/>
      <c r="G171" s="290"/>
      <c r="H171" s="290"/>
      <c r="I171" s="290"/>
      <c r="J171" s="290"/>
      <c r="K171" s="290"/>
      <c r="L171" s="290"/>
      <c r="M171" s="290"/>
      <c r="N171" s="124"/>
      <c r="O171"/>
    </row>
    <row r="172" spans="1:24" s="261" customFormat="1">
      <c r="A172" s="229"/>
      <c r="B172" s="229"/>
      <c r="D172" s="289"/>
      <c r="E172" s="257"/>
      <c r="F172" s="290"/>
      <c r="G172" s="290"/>
      <c r="H172" s="290"/>
      <c r="I172" s="290"/>
      <c r="J172" s="290"/>
      <c r="K172" s="290"/>
      <c r="L172" s="290"/>
      <c r="M172" s="290"/>
      <c r="N172" s="124"/>
      <c r="O172"/>
    </row>
    <row r="173" spans="1:24" s="261" customFormat="1">
      <c r="A173" s="229"/>
      <c r="B173" s="229"/>
      <c r="D173" s="289"/>
      <c r="E173" s="257"/>
      <c r="F173" s="290"/>
      <c r="G173" s="290"/>
      <c r="H173" s="290"/>
      <c r="I173" s="290"/>
      <c r="J173" s="290"/>
      <c r="K173" s="290"/>
      <c r="L173" s="290"/>
      <c r="M173" s="290"/>
      <c r="N173" s="124"/>
      <c r="O173"/>
    </row>
    <row r="174" spans="1:24" s="261" customFormat="1">
      <c r="A174" s="229"/>
      <c r="B174" s="229"/>
      <c r="D174" s="289"/>
      <c r="E174" s="257"/>
      <c r="F174" s="290"/>
      <c r="G174" s="290"/>
      <c r="H174" s="290"/>
      <c r="I174" s="290"/>
      <c r="J174" s="290"/>
      <c r="K174" s="290"/>
      <c r="L174" s="290"/>
      <c r="M174" s="290"/>
      <c r="N174" s="124"/>
      <c r="O174"/>
    </row>
    <row r="175" spans="1:24" s="261" customFormat="1">
      <c r="A175" s="229"/>
      <c r="B175" s="229"/>
      <c r="D175" s="289"/>
      <c r="E175" s="257"/>
      <c r="F175" s="290"/>
      <c r="G175" s="290"/>
      <c r="H175" s="290"/>
      <c r="I175" s="290"/>
      <c r="J175" s="290"/>
      <c r="K175" s="290"/>
      <c r="L175" s="290"/>
      <c r="M175" s="290"/>
      <c r="N175" s="124"/>
      <c r="O175"/>
    </row>
    <row r="176" spans="1:24" s="261" customFormat="1">
      <c r="A176" s="229"/>
      <c r="B176" s="229"/>
      <c r="D176" s="289"/>
      <c r="E176" s="257"/>
      <c r="F176" s="290"/>
      <c r="G176" s="290"/>
      <c r="H176" s="290"/>
      <c r="I176" s="290"/>
      <c r="J176" s="290"/>
      <c r="K176" s="290"/>
      <c r="L176" s="290"/>
      <c r="M176" s="290"/>
      <c r="N176" s="124"/>
      <c r="O176"/>
    </row>
    <row r="177" spans="1:24" s="261" customFormat="1">
      <c r="A177" s="229"/>
      <c r="B177" s="229"/>
      <c r="D177" s="289"/>
      <c r="E177" s="257"/>
      <c r="F177" s="290"/>
      <c r="G177" s="290"/>
      <c r="H177" s="290"/>
      <c r="I177" s="290"/>
      <c r="J177" s="290"/>
      <c r="K177" s="290"/>
      <c r="L177" s="290"/>
      <c r="M177" s="290"/>
      <c r="N177" s="124"/>
      <c r="O177"/>
    </row>
    <row r="178" spans="1:24" s="261" customFormat="1">
      <c r="A178" s="229"/>
      <c r="B178" s="229"/>
      <c r="D178" s="289"/>
      <c r="E178" s="257"/>
      <c r="F178" s="290"/>
      <c r="G178" s="290"/>
      <c r="H178" s="290"/>
      <c r="I178" s="290"/>
      <c r="J178" s="290"/>
      <c r="K178" s="290"/>
      <c r="L178" s="290"/>
      <c r="M178" s="290"/>
      <c r="N178" s="124"/>
      <c r="O178"/>
    </row>
    <row r="179" spans="1:24" s="261" customFormat="1">
      <c r="A179" s="229"/>
      <c r="B179" s="229"/>
      <c r="D179" s="289"/>
      <c r="E179" s="257"/>
      <c r="F179" s="290"/>
      <c r="G179" s="290"/>
      <c r="H179" s="290"/>
      <c r="I179" s="290"/>
      <c r="J179" s="290"/>
      <c r="K179" s="290"/>
      <c r="L179" s="290"/>
      <c r="M179" s="290"/>
      <c r="N179" s="124"/>
      <c r="O179"/>
    </row>
    <row r="180" spans="1:24" s="261" customFormat="1">
      <c r="A180" s="229"/>
      <c r="B180" s="229"/>
      <c r="D180" s="289"/>
      <c r="E180" s="257"/>
      <c r="F180" s="290"/>
      <c r="G180" s="290"/>
      <c r="H180" s="290"/>
      <c r="I180" s="290"/>
      <c r="J180" s="290"/>
      <c r="K180" s="290"/>
      <c r="L180" s="290"/>
      <c r="M180" s="290"/>
      <c r="N180" s="124"/>
      <c r="O180"/>
    </row>
    <row r="181" spans="1:24" s="261" customFormat="1">
      <c r="A181" s="229"/>
      <c r="B181" s="229"/>
      <c r="D181" s="289"/>
      <c r="E181" s="257"/>
      <c r="F181" s="290"/>
      <c r="G181" s="290"/>
      <c r="H181" s="290"/>
      <c r="I181" s="290"/>
      <c r="J181" s="290"/>
      <c r="K181" s="290"/>
      <c r="L181" s="290"/>
      <c r="M181" s="290"/>
      <c r="N181" s="124"/>
      <c r="O181"/>
    </row>
    <row r="182" spans="1:24" s="261" customFormat="1">
      <c r="A182" s="229"/>
      <c r="B182" s="229"/>
      <c r="D182" s="289"/>
      <c r="E182" s="257"/>
      <c r="F182" s="290"/>
      <c r="G182" s="290"/>
      <c r="H182" s="290"/>
      <c r="I182" s="290"/>
      <c r="J182" s="290"/>
      <c r="K182" s="290"/>
      <c r="L182" s="290"/>
      <c r="M182" s="290"/>
      <c r="N182" s="124"/>
      <c r="O182"/>
    </row>
    <row r="183" spans="1:24" s="261" customFormat="1">
      <c r="A183" s="229"/>
      <c r="B183" s="229"/>
      <c r="D183" s="289"/>
      <c r="E183" s="257"/>
      <c r="F183" s="290"/>
      <c r="G183" s="290"/>
      <c r="H183" s="290"/>
      <c r="I183" s="290"/>
      <c r="J183" s="290"/>
      <c r="K183" s="290"/>
      <c r="L183" s="290"/>
      <c r="M183" s="290"/>
      <c r="N183" s="124"/>
      <c r="O183"/>
    </row>
    <row r="184" spans="1:24" s="261" customFormat="1">
      <c r="A184" s="229"/>
      <c r="B184" s="229"/>
      <c r="D184" s="289"/>
      <c r="E184" s="257"/>
      <c r="F184" s="124"/>
      <c r="G184" s="124"/>
      <c r="H184" s="124"/>
      <c r="I184" s="124"/>
      <c r="J184" s="124"/>
      <c r="K184" s="124"/>
      <c r="L184" s="290"/>
      <c r="M184" s="290"/>
      <c r="N184" s="124"/>
      <c r="O184"/>
    </row>
    <row r="185" spans="1:24">
      <c r="X185" s="261"/>
    </row>
    <row r="186" spans="1:24">
      <c r="X186" s="261"/>
    </row>
    <row r="187" spans="1:24">
      <c r="X187" s="261"/>
    </row>
    <row r="188" spans="1:24">
      <c r="X188" s="261"/>
    </row>
    <row r="189" spans="1:24">
      <c r="X189" s="261"/>
    </row>
    <row r="190" spans="1:24">
      <c r="X190" s="261"/>
    </row>
    <row r="191" spans="1:24">
      <c r="X191" s="261"/>
    </row>
    <row r="192" spans="1:24">
      <c r="X192" s="261"/>
    </row>
  </sheetData>
  <mergeCells count="78">
    <mergeCell ref="O1:X2"/>
    <mergeCell ref="C3:E6"/>
    <mergeCell ref="F3:G3"/>
    <mergeCell ref="M3:M8"/>
    <mergeCell ref="N3:N8"/>
    <mergeCell ref="Q4:R4"/>
    <mergeCell ref="F66:G80"/>
    <mergeCell ref="H66:I80"/>
    <mergeCell ref="M45:M64"/>
    <mergeCell ref="Q7:R7"/>
    <mergeCell ref="F4:G4"/>
    <mergeCell ref="Q8:R8"/>
    <mergeCell ref="F5:G5"/>
    <mergeCell ref="Q5:R5"/>
    <mergeCell ref="F6:G6"/>
    <mergeCell ref="H6:I6"/>
    <mergeCell ref="J6:K6"/>
    <mergeCell ref="L6:L8"/>
    <mergeCell ref="A65:B65"/>
    <mergeCell ref="D65:L65"/>
    <mergeCell ref="C7:C8"/>
    <mergeCell ref="D7:D8"/>
    <mergeCell ref="E7:E8"/>
    <mergeCell ref="A28:B28"/>
    <mergeCell ref="H29:I43"/>
    <mergeCell ref="J29:K43"/>
    <mergeCell ref="A44:B44"/>
    <mergeCell ref="F45:G64"/>
    <mergeCell ref="J45:K64"/>
    <mergeCell ref="A9:B9"/>
    <mergeCell ref="A1:A8"/>
    <mergeCell ref="B1:B8"/>
    <mergeCell ref="C1:N2"/>
    <mergeCell ref="F119:G124"/>
    <mergeCell ref="H119:I124"/>
    <mergeCell ref="M119:M124"/>
    <mergeCell ref="A81:B81"/>
    <mergeCell ref="F82:G94"/>
    <mergeCell ref="H82:I94"/>
    <mergeCell ref="M82:M94"/>
    <mergeCell ref="A95:B95"/>
    <mergeCell ref="F96:G98"/>
    <mergeCell ref="H96:I98"/>
    <mergeCell ref="M96:M98"/>
    <mergeCell ref="A99:B99"/>
    <mergeCell ref="F100:G117"/>
    <mergeCell ref="H100:I117"/>
    <mergeCell ref="M100:M117"/>
    <mergeCell ref="A118:B118"/>
    <mergeCell ref="F135:G139"/>
    <mergeCell ref="H135:I136"/>
    <mergeCell ref="M135:M139"/>
    <mergeCell ref="J137:K139"/>
    <mergeCell ref="A140:B140"/>
    <mergeCell ref="A125:B125"/>
    <mergeCell ref="F126:G133"/>
    <mergeCell ref="H126:I133"/>
    <mergeCell ref="M126:M133"/>
    <mergeCell ref="A134:B134"/>
    <mergeCell ref="M155:M157"/>
    <mergeCell ref="A158:B158"/>
    <mergeCell ref="F141:G143"/>
    <mergeCell ref="H141:I143"/>
    <mergeCell ref="M141:M143"/>
    <mergeCell ref="A144:B144"/>
    <mergeCell ref="M150:M153"/>
    <mergeCell ref="F145:G148"/>
    <mergeCell ref="H145:I148"/>
    <mergeCell ref="M145:M148"/>
    <mergeCell ref="J160:K160"/>
    <mergeCell ref="J161:K161"/>
    <mergeCell ref="J162:K162"/>
    <mergeCell ref="A149:B149"/>
    <mergeCell ref="F150:G153"/>
    <mergeCell ref="H150:I153"/>
    <mergeCell ref="A154:B154"/>
    <mergeCell ref="F155:G157"/>
    <mergeCell ref="H155:I157"/>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870E-D281-484B-97D7-08D5177ADBF6}">
  <sheetPr>
    <tabColor rgb="FFFFC000"/>
  </sheetPr>
  <dimension ref="A1:AH138"/>
  <sheetViews>
    <sheetView zoomScale="89" zoomScaleNormal="89" workbookViewId="0">
      <pane xSplit="2" ySplit="9" topLeftCell="C109" activePane="bottomRight" state="frozen"/>
      <selection pane="bottomRight" activeCell="B135" sqref="B13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2.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c r="E2" s="110"/>
      <c r="F2" s="146" t="s">
        <v>475</v>
      </c>
      <c r="G2" s="147" t="s">
        <v>476</v>
      </c>
      <c r="H2" s="732"/>
      <c r="I2" s="732"/>
      <c r="J2" s="732"/>
      <c r="K2" s="732"/>
      <c r="L2" s="732"/>
      <c r="M2" s="732"/>
      <c r="N2" s="732"/>
      <c r="O2" s="732"/>
      <c r="P2" s="732"/>
      <c r="Q2" s="732"/>
      <c r="R2" s="732"/>
      <c r="S2" s="732"/>
    </row>
    <row r="3" spans="1:19" ht="20.25">
      <c r="B3" s="161" t="s">
        <v>477</v>
      </c>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t="s">
        <v>488</v>
      </c>
      <c r="I4" s="729"/>
      <c r="J4" s="728"/>
      <c r="K4" s="729"/>
      <c r="L4" s="728"/>
      <c r="M4" s="729"/>
      <c r="N4" s="728"/>
      <c r="O4" s="729"/>
      <c r="P4" s="728"/>
      <c r="Q4" s="729"/>
      <c r="R4" s="728"/>
      <c r="S4" s="729"/>
    </row>
    <row r="5" spans="1:19">
      <c r="A5" s="627" t="s">
        <v>489</v>
      </c>
      <c r="B5" s="862" t="s">
        <v>490</v>
      </c>
      <c r="C5" s="1124"/>
      <c r="D5" s="1124"/>
      <c r="E5" s="1124"/>
      <c r="F5" s="1124"/>
      <c r="G5" s="1125" t="s">
        <v>491</v>
      </c>
      <c r="H5" s="778" t="s">
        <v>492</v>
      </c>
      <c r="I5" s="1126"/>
      <c r="J5" s="778"/>
      <c r="K5" s="1126"/>
      <c r="L5" s="778"/>
      <c r="M5" s="1126"/>
      <c r="N5" s="778"/>
      <c r="O5" s="1126"/>
      <c r="P5" s="778"/>
      <c r="Q5" s="1126"/>
      <c r="R5" s="778"/>
      <c r="S5" s="1126"/>
    </row>
    <row r="6" spans="1:19">
      <c r="A6" s="627" t="s">
        <v>493</v>
      </c>
      <c r="B6" s="1127"/>
      <c r="C6" s="1124"/>
      <c r="D6" s="1124"/>
      <c r="E6" s="1124"/>
      <c r="F6" s="1124"/>
      <c r="G6" s="1128" t="s">
        <v>494</v>
      </c>
      <c r="H6" s="776" t="s">
        <v>495</v>
      </c>
      <c r="I6" s="1129"/>
      <c r="J6" s="776"/>
      <c r="K6" s="1129"/>
      <c r="L6" s="776"/>
      <c r="M6" s="1129"/>
      <c r="N6" s="776"/>
      <c r="O6" s="1129"/>
      <c r="P6" s="776"/>
      <c r="Q6" s="1129"/>
      <c r="R6" s="776"/>
      <c r="S6" s="1129"/>
    </row>
    <row r="7" spans="1:19">
      <c r="A7" s="627" t="s">
        <v>496</v>
      </c>
      <c r="B7" s="1130"/>
      <c r="C7" s="1124"/>
      <c r="D7" s="1124"/>
      <c r="E7" s="1124"/>
      <c r="F7" s="1124"/>
      <c r="G7" s="1128" t="s">
        <v>497</v>
      </c>
      <c r="H7" s="777" t="s">
        <v>498</v>
      </c>
      <c r="I7" s="1131"/>
      <c r="J7" s="777"/>
      <c r="K7" s="1131"/>
      <c r="L7" s="777"/>
      <c r="M7" s="1131"/>
      <c r="N7" s="777"/>
      <c r="O7" s="1131"/>
      <c r="P7" s="777"/>
      <c r="Q7" s="1131"/>
      <c r="R7" s="777"/>
      <c r="S7" s="1131"/>
    </row>
    <row r="8" spans="1:19">
      <c r="A8" s="414" t="s">
        <v>499</v>
      </c>
      <c r="B8" s="295"/>
      <c r="C8" s="184"/>
      <c r="D8" s="184"/>
      <c r="E8" s="184"/>
      <c r="F8" s="184"/>
      <c r="G8" s="414" t="s">
        <v>499</v>
      </c>
      <c r="H8" s="774">
        <f>I99</f>
        <v>50969</v>
      </c>
      <c r="I8" s="775"/>
      <c r="J8" s="774">
        <f>K99</f>
        <v>0</v>
      </c>
      <c r="K8" s="775"/>
      <c r="L8" s="774">
        <f>M99</f>
        <v>0</v>
      </c>
      <c r="M8" s="775"/>
      <c r="N8" s="774">
        <f>O99</f>
        <v>0</v>
      </c>
      <c r="O8" s="775"/>
      <c r="P8" s="774">
        <f>Q99</f>
        <v>0</v>
      </c>
      <c r="Q8" s="775"/>
      <c r="R8" s="774">
        <f>S99</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132" t="s">
        <v>508</v>
      </c>
      <c r="C10" s="1124"/>
      <c r="D10" s="1124"/>
      <c r="E10" s="1124"/>
      <c r="F10" s="1124"/>
      <c r="G10" s="1133"/>
      <c r="H10" s="617"/>
      <c r="I10" s="617"/>
      <c r="J10" s="617"/>
      <c r="K10" s="617"/>
      <c r="L10" s="617"/>
      <c r="M10" s="617"/>
      <c r="N10" s="617"/>
      <c r="O10" s="617"/>
      <c r="P10" s="617"/>
      <c r="Q10" s="617"/>
      <c r="R10" s="617"/>
      <c r="S10" s="617"/>
    </row>
    <row r="11" spans="1:19" hidden="1">
      <c r="A11" s="628"/>
      <c r="B11" s="862" t="e" vm="1">
        <f>'[1]Area Calculations'!J54</f>
        <v>#VALUE!</v>
      </c>
      <c r="C11" s="1134" t="s">
        <v>509</v>
      </c>
      <c r="D11" s="1124"/>
      <c r="E11" s="1124"/>
      <c r="F11" s="1124"/>
      <c r="G11" s="1133"/>
      <c r="H11" s="617"/>
      <c r="I11" s="617"/>
      <c r="J11" s="617"/>
      <c r="K11" s="617"/>
      <c r="L11" s="617"/>
      <c r="M11" s="617"/>
      <c r="N11" s="617"/>
      <c r="O11" s="617"/>
      <c r="P11" s="617"/>
      <c r="Q11" s="617"/>
      <c r="R11" s="617"/>
      <c r="S11" s="617"/>
    </row>
    <row r="12" spans="1:19" hidden="1">
      <c r="A12" s="628"/>
      <c r="B12" s="862" t="e" vm="1">
        <f>'[1]Area Calculations'!J55</f>
        <v>#VALUE!</v>
      </c>
      <c r="C12" s="1134" t="s">
        <v>509</v>
      </c>
      <c r="D12" s="1124"/>
      <c r="E12" s="1124"/>
      <c r="F12" s="1124"/>
      <c r="G12" s="1133"/>
      <c r="H12" s="617"/>
      <c r="I12" s="617"/>
      <c r="J12" s="617"/>
      <c r="K12" s="617"/>
      <c r="L12" s="617"/>
      <c r="M12" s="617"/>
      <c r="N12" s="617"/>
      <c r="O12" s="617"/>
      <c r="P12" s="617"/>
      <c r="Q12" s="617"/>
      <c r="R12" s="617"/>
      <c r="S12" s="617"/>
    </row>
    <row r="13" spans="1:19" hidden="1">
      <c r="A13" s="628"/>
      <c r="B13" s="862" t="e" vm="1">
        <f>'[1]Area Calculations'!J56</f>
        <v>#VALUE!</v>
      </c>
      <c r="C13" s="1134" t="s">
        <v>509</v>
      </c>
      <c r="D13" s="1124"/>
      <c r="E13" s="1124"/>
      <c r="F13" s="1124"/>
      <c r="G13" s="1133"/>
      <c r="H13" s="617"/>
      <c r="I13" s="617"/>
      <c r="J13" s="617"/>
      <c r="K13" s="617"/>
      <c r="L13" s="617"/>
      <c r="M13" s="617"/>
      <c r="N13" s="617"/>
      <c r="O13" s="617"/>
      <c r="P13" s="617"/>
      <c r="Q13" s="617"/>
      <c r="R13" s="617"/>
      <c r="S13" s="617"/>
    </row>
    <row r="14" spans="1:19" hidden="1">
      <c r="A14" s="628"/>
      <c r="B14" s="862" t="e" vm="1">
        <f>'[1]Area Calculations'!J57</f>
        <v>#VALUE!</v>
      </c>
      <c r="C14" s="1134" t="s">
        <v>509</v>
      </c>
      <c r="D14" s="1124"/>
      <c r="E14" s="1124"/>
      <c r="F14" s="1124"/>
      <c r="G14" s="1133"/>
      <c r="H14" s="617"/>
      <c r="I14" s="617"/>
      <c r="J14" s="617"/>
      <c r="K14" s="617"/>
      <c r="L14" s="617"/>
      <c r="M14" s="617"/>
      <c r="N14" s="617"/>
      <c r="O14" s="617"/>
      <c r="P14" s="617"/>
      <c r="Q14" s="617"/>
      <c r="R14" s="617"/>
      <c r="S14" s="617"/>
    </row>
    <row r="15" spans="1:19" hidden="1">
      <c r="A15" s="628"/>
      <c r="B15" s="862" t="e" vm="1">
        <f>'[1]Area Calculations'!J58</f>
        <v>#VALUE!</v>
      </c>
      <c r="C15" s="1134" t="s">
        <v>509</v>
      </c>
      <c r="D15" s="1124"/>
      <c r="E15" s="1124"/>
      <c r="F15" s="1124"/>
      <c r="G15" s="1133"/>
      <c r="H15" s="617"/>
      <c r="I15" s="617"/>
      <c r="J15" s="617"/>
      <c r="K15" s="617"/>
      <c r="L15" s="617"/>
      <c r="M15" s="617"/>
      <c r="N15" s="617"/>
      <c r="O15" s="617"/>
      <c r="P15" s="617"/>
      <c r="Q15" s="617"/>
      <c r="R15" s="617"/>
      <c r="S15" s="617"/>
    </row>
    <row r="16" spans="1:19" hidden="1">
      <c r="A16" s="628"/>
      <c r="B16" s="862" t="e" vm="1">
        <f>'[1]Area Calculations'!J59</f>
        <v>#VALUE!</v>
      </c>
      <c r="C16" s="1134" t="s">
        <v>509</v>
      </c>
      <c r="D16" s="1124"/>
      <c r="E16" s="1124"/>
      <c r="F16" s="1124"/>
      <c r="G16" s="1133"/>
      <c r="H16" s="617"/>
      <c r="I16" s="617"/>
      <c r="J16" s="617"/>
      <c r="K16" s="617"/>
      <c r="L16" s="617"/>
      <c r="M16" s="617"/>
      <c r="N16" s="617"/>
      <c r="O16" s="617"/>
      <c r="P16" s="617"/>
      <c r="Q16" s="617"/>
      <c r="R16" s="617"/>
      <c r="S16" s="617"/>
    </row>
    <row r="17" spans="1:19" hidden="1">
      <c r="A17" s="628"/>
      <c r="B17" s="862" t="e" vm="1">
        <f>'[1]Area Calculations'!J60</f>
        <v>#VALUE!</v>
      </c>
      <c r="C17" s="1134" t="s">
        <v>509</v>
      </c>
      <c r="D17" s="1124"/>
      <c r="E17" s="1124"/>
      <c r="F17" s="1124"/>
      <c r="G17" s="1133"/>
      <c r="H17" s="617"/>
      <c r="I17" s="617"/>
      <c r="J17" s="617"/>
      <c r="K17" s="617"/>
      <c r="L17" s="617"/>
      <c r="M17" s="617"/>
      <c r="N17" s="617"/>
      <c r="O17" s="617"/>
      <c r="P17" s="617"/>
      <c r="Q17" s="617"/>
      <c r="R17" s="617"/>
      <c r="S17" s="617"/>
    </row>
    <row r="18" spans="1:19" hidden="1">
      <c r="A18" s="628"/>
      <c r="B18" s="862" t="e" vm="1">
        <f>'[1]Area Calculations'!J61</f>
        <v>#VALUE!</v>
      </c>
      <c r="C18" s="1134" t="s">
        <v>509</v>
      </c>
      <c r="D18" s="1124"/>
      <c r="E18" s="1124"/>
      <c r="F18" s="1124"/>
      <c r="G18" s="1133"/>
      <c r="H18" s="617"/>
      <c r="I18" s="617"/>
      <c r="J18" s="617"/>
      <c r="K18" s="617"/>
      <c r="L18" s="617"/>
      <c r="M18" s="617"/>
      <c r="N18" s="617"/>
      <c r="O18" s="617"/>
      <c r="P18" s="617"/>
      <c r="Q18" s="617"/>
      <c r="R18" s="617"/>
      <c r="S18" s="617"/>
    </row>
    <row r="19" spans="1:19" hidden="1">
      <c r="A19" s="628"/>
      <c r="B19" s="862" t="e" vm="1">
        <f>'[1]Area Calculations'!J62</f>
        <v>#VALUE!</v>
      </c>
      <c r="C19" s="1134" t="s">
        <v>509</v>
      </c>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1135"/>
      <c r="B21" s="1136" t="s">
        <v>510</v>
      </c>
      <c r="C21" s="1134"/>
      <c r="D21" s="1124"/>
      <c r="E21" s="1124"/>
      <c r="F21" s="1124"/>
      <c r="G21" s="1133"/>
      <c r="H21" s="590"/>
      <c r="I21" s="651"/>
      <c r="J21" s="590"/>
      <c r="K21" s="652"/>
      <c r="L21" s="590"/>
      <c r="M21" s="652"/>
      <c r="N21" s="590"/>
      <c r="O21" s="652"/>
      <c r="P21" s="590"/>
      <c r="Q21" s="652"/>
      <c r="R21" s="590"/>
      <c r="S21" s="652"/>
    </row>
    <row r="22" spans="1:19" ht="15.75" hidden="1">
      <c r="A22" s="1135"/>
      <c r="B22" s="1137" t="s">
        <v>511</v>
      </c>
      <c r="C22" s="1134"/>
      <c r="D22" s="1124"/>
      <c r="E22" s="1124"/>
      <c r="F22" s="1124"/>
      <c r="G22" s="1133"/>
      <c r="H22" s="590"/>
      <c r="I22" s="651"/>
      <c r="J22" s="590"/>
      <c r="K22" s="652"/>
      <c r="L22" s="590"/>
      <c r="M22" s="652"/>
      <c r="N22" s="590"/>
      <c r="O22" s="652"/>
      <c r="P22" s="590"/>
      <c r="Q22" s="652"/>
      <c r="R22" s="590"/>
      <c r="S22" s="652"/>
    </row>
    <row r="23" spans="1:19" ht="15.75">
      <c r="A23" s="650"/>
      <c r="B23" s="582" t="s">
        <v>512</v>
      </c>
      <c r="C23" s="1138"/>
      <c r="D23" s="1124"/>
      <c r="E23" s="1124"/>
      <c r="F23" s="1124"/>
      <c r="G23" s="1133"/>
      <c r="H23" s="590"/>
      <c r="I23" s="651"/>
      <c r="J23" s="590"/>
      <c r="K23" s="97"/>
      <c r="L23" s="590"/>
      <c r="M23" s="652"/>
      <c r="N23" s="590"/>
      <c r="O23" s="652"/>
      <c r="P23" s="590"/>
      <c r="Q23" s="652"/>
      <c r="R23" s="590"/>
      <c r="S23" s="652"/>
    </row>
    <row r="24" spans="1:19">
      <c r="A24" s="1135"/>
      <c r="B24" s="1139" t="s">
        <v>513</v>
      </c>
      <c r="C24" s="1134"/>
      <c r="D24" s="1124"/>
      <c r="E24" s="1124"/>
      <c r="F24" s="1124"/>
      <c r="G24" s="1133"/>
      <c r="H24" s="590"/>
      <c r="I24" s="651"/>
      <c r="J24" s="590"/>
      <c r="K24" s="652"/>
      <c r="L24" s="590"/>
      <c r="M24" s="652"/>
      <c r="N24" s="590"/>
      <c r="O24" s="652"/>
      <c r="P24" s="590"/>
      <c r="Q24" s="652"/>
      <c r="R24" s="590"/>
      <c r="S24" s="652"/>
    </row>
    <row r="25" spans="1:19">
      <c r="A25" s="623"/>
      <c r="B25" s="1140" t="s">
        <v>514</v>
      </c>
      <c r="C25" s="1134"/>
      <c r="D25" s="1124"/>
      <c r="E25" s="1124"/>
      <c r="F25" s="1124"/>
      <c r="G25" s="1133"/>
      <c r="H25" s="590"/>
      <c r="I25" s="651"/>
      <c r="J25" s="590"/>
      <c r="K25" s="652"/>
      <c r="L25" s="590"/>
      <c r="M25" s="652"/>
      <c r="N25" s="590"/>
      <c r="O25" s="652"/>
      <c r="P25" s="590"/>
      <c r="Q25" s="652"/>
      <c r="R25" s="590"/>
      <c r="S25" s="652"/>
    </row>
    <row r="26" spans="1:19">
      <c r="A26" s="623"/>
      <c r="B26" s="1141" t="s">
        <v>515</v>
      </c>
      <c r="C26" s="1134"/>
      <c r="D26" s="1124"/>
      <c r="E26" s="1124"/>
      <c r="F26" s="1124"/>
      <c r="G26" s="1133"/>
      <c r="H26" s="590"/>
      <c r="I26" s="651"/>
      <c r="J26" s="590"/>
      <c r="K26" s="652"/>
      <c r="L26" s="590"/>
      <c r="M26" s="652"/>
      <c r="N26" s="590"/>
      <c r="O26" s="652"/>
      <c r="P26" s="590"/>
      <c r="Q26" s="652"/>
      <c r="R26" s="590"/>
      <c r="S26" s="652"/>
    </row>
    <row r="27" spans="1:19">
      <c r="A27" s="623"/>
      <c r="B27" s="1141" t="s">
        <v>516</v>
      </c>
      <c r="C27" s="1134"/>
      <c r="D27" s="1124"/>
      <c r="E27" s="1124"/>
      <c r="F27" s="1124"/>
      <c r="G27" s="1133"/>
      <c r="H27" s="590"/>
      <c r="I27" s="651"/>
      <c r="J27" s="590"/>
      <c r="K27" s="651"/>
      <c r="L27" s="590"/>
      <c r="M27" s="651"/>
      <c r="N27" s="590"/>
      <c r="O27" s="651"/>
      <c r="P27" s="590"/>
      <c r="Q27" s="651"/>
      <c r="R27" s="590"/>
      <c r="S27" s="651"/>
    </row>
    <row r="28" spans="1:19">
      <c r="A28" s="623"/>
      <c r="B28" s="1141" t="s">
        <v>517</v>
      </c>
      <c r="C28" s="1134"/>
      <c r="D28" s="1124"/>
      <c r="E28" s="1124"/>
      <c r="F28" s="1124"/>
      <c r="G28" s="1133"/>
      <c r="H28" s="590"/>
      <c r="I28" s="651"/>
      <c r="J28" s="590"/>
      <c r="K28" s="652"/>
      <c r="L28" s="590"/>
      <c r="M28" s="652"/>
      <c r="N28" s="590"/>
      <c r="O28" s="652"/>
      <c r="P28" s="590"/>
      <c r="Q28" s="652"/>
      <c r="R28" s="590"/>
      <c r="S28" s="652"/>
    </row>
    <row r="29" spans="1:19">
      <c r="A29" s="623"/>
      <c r="B29" s="1141" t="s">
        <v>518</v>
      </c>
      <c r="C29" s="1134"/>
      <c r="D29" s="1124"/>
      <c r="E29" s="1124"/>
      <c r="F29" s="1124"/>
      <c r="G29" s="1133"/>
      <c r="H29" s="590"/>
      <c r="I29" s="651"/>
      <c r="J29" s="590"/>
      <c r="K29" s="652"/>
      <c r="L29" s="590"/>
      <c r="M29" s="652"/>
      <c r="N29" s="590"/>
      <c r="O29" s="652"/>
      <c r="P29" s="590"/>
      <c r="Q29" s="652"/>
      <c r="R29" s="590"/>
      <c r="S29" s="652"/>
    </row>
    <row r="30" spans="1:19">
      <c r="A30" s="623"/>
      <c r="B30" s="1142" t="s">
        <v>519</v>
      </c>
      <c r="C30" s="1134"/>
      <c r="D30" s="1124"/>
      <c r="E30" s="1124"/>
      <c r="F30" s="1124"/>
      <c r="G30" s="1133"/>
      <c r="H30" s="590"/>
      <c r="I30" s="651"/>
      <c r="J30" s="590"/>
      <c r="K30" s="652"/>
      <c r="L30" s="590"/>
      <c r="M30" s="652"/>
      <c r="N30" s="590"/>
      <c r="O30" s="652"/>
      <c r="P30" s="590"/>
      <c r="Q30" s="652"/>
      <c r="R30" s="590"/>
      <c r="S30" s="652"/>
    </row>
    <row r="31" spans="1:19">
      <c r="A31" s="623"/>
      <c r="B31" s="1143" t="s">
        <v>520</v>
      </c>
      <c r="C31" s="1144"/>
      <c r="D31" s="1145"/>
      <c r="E31" s="1145"/>
      <c r="F31" s="1146"/>
      <c r="G31" s="1147"/>
      <c r="H31" s="619"/>
      <c r="I31" s="1148">
        <v>50969</v>
      </c>
      <c r="J31" s="619"/>
      <c r="K31" s="1149"/>
      <c r="L31" s="619"/>
      <c r="M31" s="1149"/>
      <c r="N31" s="619"/>
      <c r="O31" s="1149"/>
      <c r="P31" s="619"/>
      <c r="Q31" s="1149"/>
      <c r="R31" s="619"/>
      <c r="S31" s="1149"/>
    </row>
    <row r="32" spans="1:19">
      <c r="A32" s="623"/>
      <c r="B32" s="1150"/>
      <c r="C32" s="1134"/>
      <c r="D32" s="1124"/>
      <c r="E32" s="1124"/>
      <c r="F32" s="1151"/>
      <c r="G32" s="1133"/>
      <c r="H32" s="590"/>
      <c r="I32" s="651"/>
      <c r="J32" s="590"/>
      <c r="K32" s="652"/>
      <c r="L32" s="590"/>
      <c r="M32" s="652"/>
      <c r="N32" s="590"/>
      <c r="O32" s="652"/>
      <c r="P32" s="590"/>
      <c r="Q32" s="652"/>
      <c r="R32" s="590"/>
      <c r="S32" s="652"/>
    </row>
    <row r="33" spans="1:19">
      <c r="A33" s="623"/>
      <c r="B33" s="1152" t="s">
        <v>521</v>
      </c>
      <c r="C33" s="1134"/>
      <c r="D33" s="1124"/>
      <c r="E33" s="1124"/>
      <c r="F33" s="1124"/>
      <c r="G33" s="1133"/>
      <c r="H33" s="590"/>
      <c r="I33" s="651"/>
      <c r="J33" s="590"/>
      <c r="K33" s="652"/>
      <c r="L33" s="590"/>
      <c r="M33" s="652"/>
      <c r="N33" s="590"/>
      <c r="O33" s="652"/>
      <c r="P33" s="590"/>
      <c r="Q33" s="652"/>
      <c r="R33" s="590"/>
      <c r="S33" s="652"/>
    </row>
    <row r="34" spans="1:19">
      <c r="A34" s="623"/>
      <c r="B34" s="1153" t="s">
        <v>522</v>
      </c>
      <c r="C34" s="1134"/>
      <c r="D34" s="1124"/>
      <c r="E34" s="1124"/>
      <c r="F34" s="1124"/>
      <c r="G34" s="1133"/>
      <c r="H34" s="590"/>
      <c r="I34" s="651"/>
      <c r="J34" s="590"/>
      <c r="K34" s="652"/>
      <c r="L34" s="590"/>
      <c r="M34" s="652"/>
      <c r="N34" s="590"/>
      <c r="O34" s="652"/>
      <c r="P34" s="590"/>
      <c r="Q34" s="652"/>
      <c r="R34" s="590"/>
      <c r="S34" s="652"/>
    </row>
    <row r="35" spans="1:19">
      <c r="A35" s="623"/>
      <c r="B35" s="1153" t="s">
        <v>523</v>
      </c>
      <c r="C35" s="1154"/>
      <c r="D35" s="1154"/>
      <c r="E35" s="1124"/>
      <c r="F35" s="1124"/>
      <c r="G35" s="1133"/>
      <c r="H35" s="590"/>
      <c r="I35" s="651"/>
      <c r="J35" s="590"/>
      <c r="K35" s="652"/>
      <c r="L35" s="590"/>
      <c r="M35" s="651"/>
      <c r="N35" s="590"/>
      <c r="O35" s="651"/>
      <c r="P35" s="590"/>
      <c r="Q35" s="652"/>
      <c r="R35" s="590"/>
      <c r="S35" s="652"/>
    </row>
    <row r="36" spans="1:19">
      <c r="A36" s="623"/>
      <c r="B36" s="1153" t="s">
        <v>524</v>
      </c>
      <c r="C36" s="1154"/>
      <c r="D36" s="1154"/>
      <c r="E36" s="1124"/>
      <c r="F36" s="1124"/>
      <c r="G36" s="1133"/>
      <c r="H36" s="590"/>
      <c r="I36" s="651"/>
      <c r="J36" s="590"/>
      <c r="K36" s="652"/>
      <c r="L36" s="590"/>
      <c r="M36" s="652"/>
      <c r="N36" s="590"/>
      <c r="O36" s="652"/>
      <c r="P36" s="590"/>
      <c r="Q36" s="652"/>
      <c r="R36" s="590"/>
      <c r="S36" s="652"/>
    </row>
    <row r="37" spans="1:19">
      <c r="A37" s="623"/>
      <c r="B37" s="1153" t="s">
        <v>525</v>
      </c>
      <c r="C37" s="1154"/>
      <c r="D37" s="1154"/>
      <c r="E37" s="1124"/>
      <c r="F37" s="1124"/>
      <c r="G37" s="1133"/>
      <c r="H37" s="590"/>
      <c r="I37" s="651"/>
      <c r="J37" s="590"/>
      <c r="K37" s="652"/>
      <c r="L37" s="590"/>
      <c r="M37" s="652"/>
      <c r="N37" s="590"/>
      <c r="O37" s="652"/>
      <c r="P37" s="590"/>
      <c r="Q37" s="652"/>
      <c r="R37" s="590"/>
      <c r="S37" s="652"/>
    </row>
    <row r="38" spans="1:19">
      <c r="A38" s="623"/>
      <c r="B38" s="1153" t="s">
        <v>526</v>
      </c>
      <c r="C38" s="1154"/>
      <c r="D38" s="1154"/>
      <c r="E38" s="1124"/>
      <c r="F38" s="1124"/>
      <c r="G38" s="1133"/>
      <c r="H38" s="590"/>
      <c r="I38" s="651"/>
      <c r="J38" s="590"/>
      <c r="K38" s="652"/>
      <c r="L38" s="590"/>
      <c r="M38" s="652"/>
      <c r="N38" s="590"/>
      <c r="O38" s="652"/>
      <c r="P38" s="590"/>
      <c r="Q38" s="652"/>
      <c r="R38" s="590"/>
      <c r="S38" s="652"/>
    </row>
    <row r="39" spans="1:19">
      <c r="A39" s="623"/>
      <c r="B39" s="1153" t="s">
        <v>527</v>
      </c>
      <c r="C39" s="1154"/>
      <c r="D39" s="1154"/>
      <c r="E39" s="1124"/>
      <c r="F39" s="1124"/>
      <c r="G39" s="1133"/>
      <c r="H39" s="590"/>
      <c r="I39" s="651"/>
      <c r="J39" s="590"/>
      <c r="K39" s="652"/>
      <c r="L39" s="590"/>
      <c r="M39" s="652"/>
      <c r="N39" s="590"/>
      <c r="O39" s="652"/>
      <c r="P39" s="590"/>
      <c r="Q39" s="652"/>
      <c r="R39" s="590"/>
      <c r="S39" s="652"/>
    </row>
    <row r="40" spans="1:19">
      <c r="A40" s="623"/>
      <c r="B40" s="1153" t="s">
        <v>528</v>
      </c>
      <c r="C40" s="1154"/>
      <c r="D40" s="1154"/>
      <c r="E40" s="1124"/>
      <c r="F40" s="1124"/>
      <c r="G40" s="1133"/>
      <c r="H40" s="590"/>
      <c r="I40" s="651"/>
      <c r="J40" s="590"/>
      <c r="K40" s="652"/>
      <c r="L40" s="590"/>
      <c r="M40" s="652"/>
      <c r="N40" s="590"/>
      <c r="O40" s="652"/>
      <c r="P40" s="590"/>
      <c r="Q40" s="652"/>
      <c r="R40" s="590"/>
      <c r="S40" s="652"/>
    </row>
    <row r="41" spans="1:19" ht="15.75" customHeight="1">
      <c r="A41" s="623"/>
      <c r="B41" s="1153" t="s">
        <v>529</v>
      </c>
      <c r="C41" s="1154"/>
      <c r="D41" s="1154"/>
      <c r="E41" s="1124"/>
      <c r="F41" s="1124"/>
      <c r="G41" s="1133"/>
      <c r="H41" s="590"/>
      <c r="I41" s="651"/>
      <c r="J41" s="590"/>
      <c r="K41" s="652"/>
      <c r="L41" s="590"/>
      <c r="M41" s="652"/>
      <c r="N41" s="590"/>
      <c r="O41" s="652"/>
      <c r="P41" s="590"/>
      <c r="Q41" s="652"/>
      <c r="R41" s="590"/>
      <c r="S41" s="652"/>
    </row>
    <row r="42" spans="1:19" ht="15.75" customHeight="1">
      <c r="A42" s="623"/>
      <c r="B42" s="1153" t="s">
        <v>530</v>
      </c>
      <c r="C42" s="1154"/>
      <c r="D42" s="1154"/>
      <c r="E42" s="1124"/>
      <c r="F42" s="1124"/>
      <c r="G42" s="1133"/>
      <c r="H42" s="590"/>
      <c r="I42" s="651"/>
      <c r="J42" s="590"/>
      <c r="K42" s="652"/>
      <c r="L42" s="590"/>
      <c r="M42" s="652"/>
      <c r="N42" s="590"/>
      <c r="O42" s="652"/>
      <c r="P42" s="590"/>
      <c r="Q42" s="652"/>
      <c r="R42" s="590"/>
      <c r="S42" s="652"/>
    </row>
    <row r="43" spans="1:19" ht="15.75" customHeight="1">
      <c r="A43" s="623"/>
      <c r="B43" s="1153" t="s">
        <v>531</v>
      </c>
      <c r="C43" s="1154"/>
      <c r="D43" s="1154"/>
      <c r="E43" s="1124"/>
      <c r="F43" s="1124"/>
      <c r="G43" s="1133"/>
      <c r="H43" s="590"/>
      <c r="I43" s="651"/>
      <c r="J43" s="590"/>
      <c r="K43" s="652"/>
      <c r="L43" s="590"/>
      <c r="M43" s="652"/>
      <c r="N43" s="590"/>
      <c r="O43" s="652"/>
      <c r="P43" s="590"/>
      <c r="Q43" s="652"/>
      <c r="R43" s="590"/>
      <c r="S43" s="652"/>
    </row>
    <row r="44" spans="1:19" ht="15.75" customHeight="1">
      <c r="A44" s="623"/>
      <c r="B44" s="643"/>
      <c r="C44" s="1154"/>
      <c r="D44" s="1154"/>
      <c r="E44" s="1124"/>
      <c r="F44" s="1124"/>
      <c r="G44" s="1133"/>
      <c r="H44" s="590"/>
      <c r="I44" s="651"/>
      <c r="J44" s="590"/>
      <c r="K44" s="652"/>
      <c r="L44" s="590"/>
      <c r="M44" s="652"/>
      <c r="N44" s="590"/>
      <c r="O44" s="652"/>
      <c r="P44" s="590"/>
      <c r="Q44" s="652"/>
      <c r="R44" s="590"/>
      <c r="S44" s="652"/>
    </row>
    <row r="45" spans="1:19" ht="15.75" customHeight="1">
      <c r="A45" s="623"/>
      <c r="B45" s="1152" t="s">
        <v>532</v>
      </c>
      <c r="C45" s="1154"/>
      <c r="D45" s="1154"/>
      <c r="E45" s="1124"/>
      <c r="F45" s="1124"/>
      <c r="G45" s="1133"/>
      <c r="H45" s="590"/>
      <c r="I45" s="651"/>
      <c r="J45" s="590"/>
      <c r="K45" s="652"/>
      <c r="L45" s="590"/>
      <c r="M45" s="652"/>
      <c r="N45" s="590"/>
      <c r="O45" s="652"/>
      <c r="P45" s="590"/>
      <c r="Q45" s="652"/>
      <c r="R45" s="590"/>
      <c r="S45" s="652"/>
    </row>
    <row r="46" spans="1:19" ht="15.75" customHeight="1">
      <c r="A46" s="623"/>
      <c r="B46" s="1155" t="s">
        <v>533</v>
      </c>
      <c r="C46" s="1154"/>
      <c r="D46" s="1154"/>
      <c r="E46" s="1124"/>
      <c r="F46" s="1124"/>
      <c r="G46" s="1133"/>
      <c r="H46" s="590"/>
      <c r="I46" s="651"/>
      <c r="J46" s="590"/>
      <c r="K46" s="652"/>
      <c r="L46" s="590"/>
      <c r="M46" s="652"/>
      <c r="N46" s="590"/>
      <c r="O46" s="652"/>
      <c r="P46" s="590"/>
      <c r="Q46" s="652"/>
      <c r="R46" s="590"/>
      <c r="S46" s="652"/>
    </row>
    <row r="47" spans="1:19" ht="15.75" customHeight="1">
      <c r="A47" s="623"/>
      <c r="B47" s="1155" t="s">
        <v>534</v>
      </c>
      <c r="C47" s="1154"/>
      <c r="D47" s="1154"/>
      <c r="E47" s="1124"/>
      <c r="F47" s="1124"/>
      <c r="G47" s="1133"/>
      <c r="H47" s="590"/>
      <c r="I47" s="651"/>
      <c r="J47" s="590"/>
      <c r="K47" s="652"/>
      <c r="L47" s="590"/>
      <c r="M47" s="652"/>
      <c r="N47" s="590"/>
      <c r="O47" s="652"/>
      <c r="P47" s="590"/>
      <c r="Q47" s="652"/>
      <c r="R47" s="590"/>
      <c r="S47" s="652"/>
    </row>
    <row r="48" spans="1:19" ht="15.75" customHeight="1">
      <c r="A48" s="623"/>
      <c r="B48" s="1155" t="s">
        <v>535</v>
      </c>
      <c r="C48" s="1154"/>
      <c r="D48" s="1154"/>
      <c r="E48" s="1124"/>
      <c r="F48" s="1124"/>
      <c r="G48" s="1133"/>
      <c r="H48" s="590"/>
      <c r="I48" s="651"/>
      <c r="J48" s="590"/>
      <c r="K48" s="652"/>
      <c r="L48" s="590"/>
      <c r="M48" s="652"/>
      <c r="N48" s="590"/>
      <c r="O48" s="652"/>
      <c r="P48" s="590"/>
      <c r="Q48" s="652"/>
      <c r="R48" s="590"/>
      <c r="S48" s="652"/>
    </row>
    <row r="49" spans="1:19" ht="15.75" customHeight="1">
      <c r="A49" s="623"/>
      <c r="B49" s="1155"/>
      <c r="C49" s="1154"/>
      <c r="D49" s="1154"/>
      <c r="E49" s="1124"/>
      <c r="F49" s="1124"/>
      <c r="G49" s="1133"/>
      <c r="H49" s="590"/>
      <c r="I49" s="651"/>
      <c r="J49" s="590"/>
      <c r="K49" s="652"/>
      <c r="L49" s="590"/>
      <c r="M49" s="652"/>
      <c r="N49" s="590"/>
      <c r="O49" s="652"/>
      <c r="P49" s="590"/>
      <c r="Q49" s="652"/>
      <c r="R49" s="590"/>
      <c r="S49" s="652"/>
    </row>
    <row r="50" spans="1:19" ht="15.75" customHeight="1">
      <c r="A50" s="623"/>
      <c r="B50" s="1152" t="s">
        <v>536</v>
      </c>
      <c r="C50" s="1154"/>
      <c r="D50" s="1154"/>
      <c r="E50" s="1124"/>
      <c r="F50" s="1124"/>
      <c r="G50" s="1133"/>
      <c r="H50" s="590"/>
      <c r="I50" s="651"/>
      <c r="J50" s="590"/>
      <c r="K50" s="652"/>
      <c r="L50" s="590"/>
      <c r="M50" s="652"/>
      <c r="N50" s="590"/>
      <c r="O50" s="652"/>
      <c r="P50" s="590"/>
      <c r="Q50" s="652"/>
      <c r="R50" s="590"/>
      <c r="S50" s="652"/>
    </row>
    <row r="51" spans="1:19" ht="15.75" customHeight="1">
      <c r="A51" s="623"/>
      <c r="B51" s="1155" t="s">
        <v>537</v>
      </c>
      <c r="C51" s="1154"/>
      <c r="D51" s="1154"/>
      <c r="E51" s="1124"/>
      <c r="F51" s="1124"/>
      <c r="G51" s="1133"/>
      <c r="H51" s="590"/>
      <c r="I51" s="651"/>
      <c r="J51" s="590"/>
      <c r="K51" s="652"/>
      <c r="L51" s="590"/>
      <c r="M51" s="652"/>
      <c r="N51" s="590"/>
      <c r="O51" s="652"/>
      <c r="P51" s="590"/>
      <c r="Q51" s="652"/>
      <c r="R51" s="590"/>
      <c r="S51" s="652"/>
    </row>
    <row r="52" spans="1:19" ht="15.75" customHeight="1">
      <c r="A52" s="623"/>
      <c r="B52" s="1155" t="s">
        <v>538</v>
      </c>
      <c r="C52" s="1154"/>
      <c r="D52" s="1154"/>
      <c r="E52" s="1124"/>
      <c r="F52" s="1124"/>
      <c r="G52" s="1133"/>
      <c r="H52" s="590"/>
      <c r="I52" s="651"/>
      <c r="J52" s="590"/>
      <c r="K52" s="652"/>
      <c r="L52" s="590"/>
      <c r="M52" s="652"/>
      <c r="N52" s="590"/>
      <c r="O52" s="652"/>
      <c r="P52" s="590"/>
      <c r="Q52" s="652"/>
      <c r="R52" s="590"/>
      <c r="S52" s="652"/>
    </row>
    <row r="53" spans="1:19" ht="15.75" customHeight="1">
      <c r="A53" s="623"/>
      <c r="B53" s="1155" t="s">
        <v>539</v>
      </c>
      <c r="C53" s="1154"/>
      <c r="D53" s="1154"/>
      <c r="E53" s="1124"/>
      <c r="F53" s="1124"/>
      <c r="G53" s="1133"/>
      <c r="H53" s="590"/>
      <c r="I53" s="651"/>
      <c r="J53" s="590"/>
      <c r="K53" s="652"/>
      <c r="L53" s="590"/>
      <c r="M53" s="652"/>
      <c r="N53" s="590"/>
      <c r="O53" s="652"/>
      <c r="P53" s="590"/>
      <c r="Q53" s="652"/>
      <c r="R53" s="590"/>
      <c r="S53" s="652"/>
    </row>
    <row r="54" spans="1:19" ht="15.75" customHeight="1">
      <c r="A54" s="623"/>
      <c r="B54" s="1155" t="s">
        <v>540</v>
      </c>
      <c r="C54" s="1154"/>
      <c r="D54" s="1154"/>
      <c r="E54" s="1124"/>
      <c r="F54" s="1124"/>
      <c r="G54" s="1133"/>
      <c r="H54" s="590"/>
      <c r="I54" s="651"/>
      <c r="J54" s="590"/>
      <c r="K54" s="652"/>
      <c r="L54" s="590"/>
      <c r="M54" s="652"/>
      <c r="N54" s="590"/>
      <c r="O54" s="652"/>
      <c r="P54" s="590"/>
      <c r="Q54" s="652"/>
      <c r="R54" s="590"/>
      <c r="S54" s="652"/>
    </row>
    <row r="55" spans="1:19" ht="15.75" customHeight="1">
      <c r="A55" s="623"/>
      <c r="B55" s="1155" t="s">
        <v>541</v>
      </c>
      <c r="C55" s="1154"/>
      <c r="D55" s="1154"/>
      <c r="E55" s="1124"/>
      <c r="F55" s="1124"/>
      <c r="G55" s="1133"/>
      <c r="H55" s="590"/>
      <c r="I55" s="651"/>
      <c r="J55" s="590"/>
      <c r="K55" s="652"/>
      <c r="L55" s="590"/>
      <c r="M55" s="652"/>
      <c r="N55" s="590"/>
      <c r="O55" s="652"/>
      <c r="P55" s="590"/>
      <c r="Q55" s="652"/>
      <c r="R55" s="590"/>
      <c r="S55" s="652"/>
    </row>
    <row r="56" spans="1:19" ht="15.75" customHeight="1">
      <c r="A56" s="623"/>
      <c r="B56" s="1155" t="s">
        <v>542</v>
      </c>
      <c r="C56" s="1154"/>
      <c r="D56" s="1154"/>
      <c r="E56" s="1124"/>
      <c r="F56" s="1124"/>
      <c r="G56" s="1133"/>
      <c r="H56" s="590"/>
      <c r="I56" s="651"/>
      <c r="J56" s="590"/>
      <c r="K56" s="652"/>
      <c r="L56" s="590"/>
      <c r="M56" s="652"/>
      <c r="N56" s="590"/>
      <c r="O56" s="652"/>
      <c r="P56" s="590"/>
      <c r="Q56" s="652"/>
      <c r="R56" s="590"/>
      <c r="S56" s="652"/>
    </row>
    <row r="57" spans="1:19" ht="15.75" customHeight="1">
      <c r="A57" s="623"/>
      <c r="B57" s="1155" t="s">
        <v>543</v>
      </c>
      <c r="C57" s="1154"/>
      <c r="D57" s="1154"/>
      <c r="E57" s="1124"/>
      <c r="F57" s="1124"/>
      <c r="G57" s="1133"/>
      <c r="H57" s="590"/>
      <c r="I57" s="651"/>
      <c r="J57" s="590"/>
      <c r="K57" s="652"/>
      <c r="L57" s="590"/>
      <c r="M57" s="652"/>
      <c r="N57" s="590"/>
      <c r="O57" s="652"/>
      <c r="P57" s="590"/>
      <c r="Q57" s="652"/>
      <c r="R57" s="590"/>
      <c r="S57" s="652"/>
    </row>
    <row r="58" spans="1:19" ht="15.75" customHeight="1">
      <c r="A58" s="623"/>
      <c r="B58" s="1155" t="s">
        <v>544</v>
      </c>
      <c r="C58" s="1154"/>
      <c r="D58" s="1154"/>
      <c r="E58" s="1124"/>
      <c r="F58" s="1124"/>
      <c r="G58" s="1133"/>
      <c r="H58" s="590"/>
      <c r="I58" s="651"/>
      <c r="J58" s="590"/>
      <c r="K58" s="652"/>
      <c r="L58" s="590"/>
      <c r="M58" s="652"/>
      <c r="N58" s="590"/>
      <c r="O58" s="652"/>
      <c r="P58" s="590"/>
      <c r="Q58" s="652"/>
      <c r="R58" s="590"/>
      <c r="S58" s="652"/>
    </row>
    <row r="59" spans="1:19" ht="15.75" customHeight="1">
      <c r="A59" s="623"/>
      <c r="B59" s="1155" t="s">
        <v>545</v>
      </c>
      <c r="C59" s="1154"/>
      <c r="D59" s="1154"/>
      <c r="E59" s="1124"/>
      <c r="F59" s="1124"/>
      <c r="G59" s="1133"/>
      <c r="H59" s="590"/>
      <c r="I59" s="651"/>
      <c r="J59" s="590"/>
      <c r="K59" s="652"/>
      <c r="L59" s="590"/>
      <c r="M59" s="652"/>
      <c r="N59" s="590"/>
      <c r="O59" s="652"/>
      <c r="P59" s="590"/>
      <c r="Q59" s="652"/>
      <c r="R59" s="590"/>
      <c r="S59" s="652"/>
    </row>
    <row r="60" spans="1:19" ht="15.75" customHeight="1">
      <c r="A60" s="623"/>
      <c r="B60" s="1155"/>
      <c r="C60" s="1154"/>
      <c r="D60" s="1154"/>
      <c r="E60" s="1124"/>
      <c r="F60" s="1124"/>
      <c r="G60" s="1133"/>
      <c r="H60" s="590"/>
      <c r="I60" s="651"/>
      <c r="J60" s="590"/>
      <c r="K60" s="652"/>
      <c r="L60" s="590"/>
      <c r="M60" s="652"/>
      <c r="N60" s="590"/>
      <c r="O60" s="652"/>
      <c r="P60" s="590"/>
      <c r="Q60" s="652"/>
      <c r="R60" s="590"/>
      <c r="S60" s="652"/>
    </row>
    <row r="61" spans="1:19" ht="15.75" customHeight="1">
      <c r="A61" s="623"/>
      <c r="B61" s="1152" t="s">
        <v>546</v>
      </c>
      <c r="C61" s="1154"/>
      <c r="D61" s="1154"/>
      <c r="E61" s="1124"/>
      <c r="F61" s="1124"/>
      <c r="G61" s="1133"/>
      <c r="H61" s="590"/>
      <c r="I61" s="651"/>
      <c r="J61" s="590"/>
      <c r="K61" s="652"/>
      <c r="L61" s="590"/>
      <c r="M61" s="652"/>
      <c r="N61" s="590"/>
      <c r="O61" s="652"/>
      <c r="P61" s="590"/>
      <c r="Q61" s="652"/>
      <c r="R61" s="590"/>
      <c r="S61" s="652"/>
    </row>
    <row r="62" spans="1:19" ht="15.75" customHeight="1">
      <c r="A62" s="623"/>
      <c r="B62" s="1155" t="s">
        <v>537</v>
      </c>
      <c r="C62" s="1154"/>
      <c r="D62" s="1154"/>
      <c r="E62" s="1124"/>
      <c r="F62" s="1124"/>
      <c r="G62" s="1133"/>
      <c r="H62" s="590"/>
      <c r="I62" s="651"/>
      <c r="J62" s="590"/>
      <c r="K62" s="652"/>
      <c r="L62" s="590"/>
      <c r="M62" s="652"/>
      <c r="N62" s="590"/>
      <c r="O62" s="652"/>
      <c r="P62" s="590"/>
      <c r="Q62" s="652"/>
      <c r="R62" s="590"/>
      <c r="S62" s="652"/>
    </row>
    <row r="63" spans="1:19" ht="15.75" customHeight="1">
      <c r="A63" s="623"/>
      <c r="B63" s="1155" t="s">
        <v>538</v>
      </c>
      <c r="C63" s="1154"/>
      <c r="D63" s="1154"/>
      <c r="E63" s="1124"/>
      <c r="F63" s="1124"/>
      <c r="G63" s="1133"/>
      <c r="H63" s="590"/>
      <c r="I63" s="651"/>
      <c r="J63" s="590"/>
      <c r="K63" s="652"/>
      <c r="L63" s="590"/>
      <c r="M63" s="652"/>
      <c r="N63" s="590"/>
      <c r="O63" s="652"/>
      <c r="P63" s="590"/>
      <c r="Q63" s="652"/>
      <c r="R63" s="590"/>
      <c r="S63" s="652"/>
    </row>
    <row r="64" spans="1:19" ht="15.75" customHeight="1">
      <c r="A64" s="623"/>
      <c r="B64" s="1155" t="s">
        <v>539</v>
      </c>
      <c r="C64" s="1154"/>
      <c r="D64" s="1154"/>
      <c r="E64" s="1124"/>
      <c r="F64" s="1124"/>
      <c r="G64" s="1133"/>
      <c r="H64" s="590"/>
      <c r="I64" s="651"/>
      <c r="J64" s="590"/>
      <c r="K64" s="652"/>
      <c r="L64" s="590"/>
      <c r="M64" s="652"/>
      <c r="N64" s="590"/>
      <c r="O64" s="652"/>
      <c r="P64" s="590"/>
      <c r="Q64" s="652"/>
      <c r="R64" s="590"/>
      <c r="S64" s="652"/>
    </row>
    <row r="65" spans="1:19" ht="15.75" customHeight="1">
      <c r="A65" s="623"/>
      <c r="B65" s="1155" t="s">
        <v>540</v>
      </c>
      <c r="C65" s="1154"/>
      <c r="D65" s="1154"/>
      <c r="E65" s="1124"/>
      <c r="F65" s="1124"/>
      <c r="G65" s="1133"/>
      <c r="H65" s="590"/>
      <c r="I65" s="651"/>
      <c r="J65" s="590"/>
      <c r="K65" s="652"/>
      <c r="L65" s="590"/>
      <c r="M65" s="652"/>
      <c r="N65" s="590"/>
      <c r="O65" s="652"/>
      <c r="P65" s="590"/>
      <c r="Q65" s="652"/>
      <c r="R65" s="590"/>
      <c r="S65" s="652"/>
    </row>
    <row r="66" spans="1:19" ht="15.75" customHeight="1">
      <c r="A66" s="623"/>
      <c r="B66" s="1155" t="s">
        <v>541</v>
      </c>
      <c r="C66" s="1154"/>
      <c r="D66" s="1154"/>
      <c r="E66" s="1124"/>
      <c r="F66" s="1124"/>
      <c r="G66" s="1133"/>
      <c r="H66" s="590"/>
      <c r="I66" s="651"/>
      <c r="J66" s="590"/>
      <c r="K66" s="652"/>
      <c r="L66" s="590"/>
      <c r="M66" s="652"/>
      <c r="N66" s="590"/>
      <c r="O66" s="652"/>
      <c r="P66" s="590"/>
      <c r="Q66" s="652"/>
      <c r="R66" s="590"/>
      <c r="S66" s="652"/>
    </row>
    <row r="67" spans="1:19" ht="15.75" customHeight="1">
      <c r="A67" s="623"/>
      <c r="B67" s="1155" t="s">
        <v>542</v>
      </c>
      <c r="C67" s="1154"/>
      <c r="D67" s="1154"/>
      <c r="E67" s="1124"/>
      <c r="F67" s="1124"/>
      <c r="G67" s="1133"/>
      <c r="H67" s="590"/>
      <c r="I67" s="651"/>
      <c r="J67" s="590"/>
      <c r="K67" s="652"/>
      <c r="L67" s="590"/>
      <c r="M67" s="652"/>
      <c r="N67" s="590"/>
      <c r="O67" s="652"/>
      <c r="P67" s="590"/>
      <c r="Q67" s="652"/>
      <c r="R67" s="590"/>
      <c r="S67" s="652"/>
    </row>
    <row r="68" spans="1:19" ht="15.75" customHeight="1">
      <c r="A68" s="623"/>
      <c r="B68" s="1155" t="s">
        <v>543</v>
      </c>
      <c r="C68" s="1154"/>
      <c r="D68" s="1154"/>
      <c r="E68" s="1124"/>
      <c r="F68" s="1124"/>
      <c r="G68" s="1133"/>
      <c r="H68" s="590"/>
      <c r="I68" s="651"/>
      <c r="J68" s="590"/>
      <c r="K68" s="652"/>
      <c r="L68" s="590"/>
      <c r="M68" s="652"/>
      <c r="N68" s="590"/>
      <c r="O68" s="652"/>
      <c r="P68" s="590"/>
      <c r="Q68" s="652"/>
      <c r="R68" s="590"/>
      <c r="S68" s="652"/>
    </row>
    <row r="69" spans="1:19" ht="15.75" customHeight="1">
      <c r="A69" s="623"/>
      <c r="B69" s="1155" t="s">
        <v>544</v>
      </c>
      <c r="C69" s="1154"/>
      <c r="D69" s="1154"/>
      <c r="E69" s="1124"/>
      <c r="F69" s="1124"/>
      <c r="G69" s="1133"/>
      <c r="H69" s="590"/>
      <c r="I69" s="651"/>
      <c r="J69" s="590"/>
      <c r="K69" s="652"/>
      <c r="L69" s="590"/>
      <c r="M69" s="652"/>
      <c r="N69" s="590"/>
      <c r="O69" s="652"/>
      <c r="P69" s="590"/>
      <c r="Q69" s="652"/>
      <c r="R69" s="590"/>
      <c r="S69" s="652"/>
    </row>
    <row r="70" spans="1:19" ht="15.75" customHeight="1">
      <c r="A70" s="623"/>
      <c r="B70" s="1155" t="s">
        <v>545</v>
      </c>
      <c r="C70" s="1154"/>
      <c r="D70" s="1154"/>
      <c r="E70" s="1124"/>
      <c r="F70" s="1124"/>
      <c r="G70" s="1133"/>
      <c r="H70" s="590"/>
      <c r="I70" s="651"/>
      <c r="J70" s="590"/>
      <c r="K70" s="652"/>
      <c r="L70" s="590"/>
      <c r="M70" s="652"/>
      <c r="N70" s="590"/>
      <c r="O70" s="652"/>
      <c r="P70" s="590"/>
      <c r="Q70" s="652"/>
      <c r="R70" s="590"/>
      <c r="S70" s="652"/>
    </row>
    <row r="71" spans="1:19" ht="15.75" customHeight="1">
      <c r="A71" s="623"/>
      <c r="B71" s="641"/>
      <c r="C71" s="1154"/>
      <c r="D71" s="1154"/>
      <c r="E71" s="1124"/>
      <c r="F71" s="1124"/>
      <c r="G71" s="1133"/>
      <c r="H71" s="590"/>
      <c r="I71" s="651"/>
      <c r="J71" s="590"/>
      <c r="K71" s="652"/>
      <c r="L71" s="590"/>
      <c r="M71" s="652"/>
      <c r="N71" s="590"/>
      <c r="O71" s="652"/>
      <c r="P71" s="590"/>
      <c r="Q71" s="652"/>
      <c r="R71" s="590"/>
      <c r="S71" s="652"/>
    </row>
    <row r="72" spans="1:19" ht="15.75" customHeight="1">
      <c r="A72" s="623"/>
      <c r="B72" s="1152" t="s">
        <v>547</v>
      </c>
      <c r="C72" s="1154"/>
      <c r="D72" s="1154"/>
      <c r="E72" s="1124"/>
      <c r="F72" s="1124"/>
      <c r="G72" s="1133"/>
      <c r="H72" s="590"/>
      <c r="I72" s="651"/>
      <c r="J72" s="590"/>
      <c r="K72" s="652"/>
      <c r="L72" s="590"/>
      <c r="M72" s="652"/>
      <c r="N72" s="590"/>
      <c r="O72" s="652"/>
      <c r="P72" s="590"/>
      <c r="Q72" s="652"/>
      <c r="R72" s="590"/>
      <c r="S72" s="652"/>
    </row>
    <row r="73" spans="1:19" ht="15.75" customHeight="1">
      <c r="A73" s="623"/>
      <c r="B73" s="1155" t="s">
        <v>548</v>
      </c>
      <c r="C73" s="1154"/>
      <c r="D73" s="1154"/>
      <c r="E73" s="1124"/>
      <c r="F73" s="1124"/>
      <c r="G73" s="1133"/>
      <c r="H73" s="590"/>
      <c r="I73" s="651"/>
      <c r="J73" s="590"/>
      <c r="K73" s="652"/>
      <c r="L73" s="590"/>
      <c r="M73" s="652"/>
      <c r="N73" s="590"/>
      <c r="O73" s="652"/>
      <c r="P73" s="590"/>
      <c r="Q73" s="652"/>
      <c r="R73" s="590"/>
      <c r="S73" s="652"/>
    </row>
    <row r="74" spans="1:19" ht="15.75" customHeight="1">
      <c r="A74" s="623"/>
      <c r="B74" s="318" t="s">
        <v>549</v>
      </c>
      <c r="C74" s="1154"/>
      <c r="D74" s="1154"/>
      <c r="E74" s="1124"/>
      <c r="F74" s="1124"/>
      <c r="G74" s="1133"/>
      <c r="H74" s="590"/>
      <c r="I74" s="651"/>
      <c r="J74" s="590"/>
      <c r="K74" s="652"/>
      <c r="L74" s="590"/>
      <c r="M74" s="652"/>
      <c r="N74" s="590"/>
      <c r="O74" s="652"/>
      <c r="P74" s="590"/>
      <c r="Q74" s="652"/>
      <c r="R74" s="590"/>
      <c r="S74" s="652"/>
    </row>
    <row r="75" spans="1:19" ht="15.75" customHeight="1">
      <c r="A75" s="623"/>
      <c r="B75" s="643"/>
      <c r="C75" s="1154"/>
      <c r="D75" s="1154"/>
      <c r="E75" s="1124"/>
      <c r="F75" s="1124"/>
      <c r="G75" s="1133"/>
      <c r="H75" s="590"/>
      <c r="I75" s="651"/>
      <c r="J75" s="590"/>
      <c r="K75" s="652"/>
      <c r="L75" s="590"/>
      <c r="M75" s="652"/>
      <c r="N75" s="590"/>
      <c r="O75" s="652"/>
      <c r="P75" s="590"/>
      <c r="Q75" s="652"/>
      <c r="R75" s="590"/>
      <c r="S75" s="652"/>
    </row>
    <row r="76" spans="1:19" ht="15.75" customHeight="1">
      <c r="A76" s="623"/>
      <c r="B76" s="1152" t="s">
        <v>550</v>
      </c>
      <c r="C76" s="1154"/>
      <c r="D76" s="1154"/>
      <c r="E76" s="1124"/>
      <c r="F76" s="1124"/>
      <c r="G76" s="1133"/>
      <c r="H76" s="590"/>
      <c r="I76" s="651"/>
      <c r="J76" s="590"/>
      <c r="K76" s="652"/>
      <c r="L76" s="590"/>
      <c r="M76" s="652"/>
      <c r="N76" s="590"/>
      <c r="O76" s="652"/>
      <c r="P76" s="590"/>
      <c r="Q76" s="652"/>
      <c r="R76" s="590"/>
      <c r="S76" s="652"/>
    </row>
    <row r="77" spans="1:19" ht="15.75" customHeight="1">
      <c r="A77" s="623"/>
      <c r="B77" s="1155" t="s">
        <v>551</v>
      </c>
      <c r="C77" s="1154"/>
      <c r="D77" s="1154"/>
      <c r="E77" s="1124"/>
      <c r="F77" s="1124"/>
      <c r="G77" s="1133"/>
      <c r="H77" s="590"/>
      <c r="I77" s="651"/>
      <c r="J77" s="590"/>
      <c r="K77" s="652"/>
      <c r="L77" s="590"/>
      <c r="M77" s="652"/>
      <c r="N77" s="590"/>
      <c r="O77" s="652"/>
      <c r="P77" s="590"/>
      <c r="Q77" s="652"/>
      <c r="R77" s="590"/>
      <c r="S77" s="652"/>
    </row>
    <row r="78" spans="1:19" ht="15.75" customHeight="1">
      <c r="A78" s="623"/>
      <c r="B78" s="1155" t="s">
        <v>552</v>
      </c>
      <c r="C78" s="1154"/>
      <c r="D78" s="1154"/>
      <c r="E78" s="1124"/>
      <c r="F78" s="1124"/>
      <c r="G78" s="1133"/>
      <c r="H78" s="590"/>
      <c r="I78" s="651"/>
      <c r="J78" s="590"/>
      <c r="K78" s="652"/>
      <c r="L78" s="590"/>
      <c r="M78" s="652"/>
      <c r="N78" s="590"/>
      <c r="O78" s="652"/>
      <c r="P78" s="590"/>
      <c r="Q78" s="652"/>
      <c r="R78" s="590"/>
      <c r="S78" s="652"/>
    </row>
    <row r="79" spans="1:19" ht="15.75" customHeight="1">
      <c r="A79" s="623"/>
      <c r="B79" s="1155" t="s">
        <v>553</v>
      </c>
      <c r="C79" s="1154"/>
      <c r="D79" s="1154"/>
      <c r="E79" s="1124"/>
      <c r="F79" s="1124"/>
      <c r="G79" s="1133"/>
      <c r="H79" s="590"/>
      <c r="I79" s="651"/>
      <c r="J79" s="590"/>
      <c r="K79" s="652"/>
      <c r="L79" s="590"/>
      <c r="M79" s="652"/>
      <c r="N79" s="590"/>
      <c r="O79" s="652"/>
      <c r="P79" s="590"/>
      <c r="Q79" s="652"/>
      <c r="R79" s="590"/>
      <c r="S79" s="652"/>
    </row>
    <row r="80" spans="1:19" ht="15.75" customHeight="1">
      <c r="A80" s="623"/>
      <c r="B80" s="1155" t="s">
        <v>554</v>
      </c>
      <c r="C80" s="1154"/>
      <c r="D80" s="1154"/>
      <c r="E80" s="1124"/>
      <c r="F80" s="1124"/>
      <c r="G80" s="1133"/>
      <c r="H80" s="590"/>
      <c r="I80" s="651"/>
      <c r="J80" s="590"/>
      <c r="K80" s="652"/>
      <c r="L80" s="590"/>
      <c r="M80" s="652"/>
      <c r="N80" s="590"/>
      <c r="O80" s="652"/>
      <c r="P80" s="590"/>
      <c r="Q80" s="652"/>
      <c r="R80" s="590"/>
      <c r="S80" s="652"/>
    </row>
    <row r="81" spans="1:19" ht="15.75" customHeight="1">
      <c r="A81" s="623"/>
      <c r="B81" s="643"/>
      <c r="C81" s="1154"/>
      <c r="D81" s="1154"/>
      <c r="E81" s="1124"/>
      <c r="F81" s="1124"/>
      <c r="G81" s="1133"/>
      <c r="H81" s="590"/>
      <c r="I81" s="651"/>
      <c r="J81" s="590"/>
      <c r="K81" s="652"/>
      <c r="L81" s="590"/>
      <c r="M81" s="652"/>
      <c r="N81" s="590"/>
      <c r="O81" s="652"/>
      <c r="P81" s="590"/>
      <c r="Q81" s="652"/>
      <c r="R81" s="590"/>
      <c r="S81" s="652"/>
    </row>
    <row r="82" spans="1:19" ht="15.75" customHeight="1">
      <c r="A82" s="623"/>
      <c r="B82" s="1152" t="s">
        <v>555</v>
      </c>
      <c r="C82" s="1154"/>
      <c r="D82" s="1154"/>
      <c r="E82" s="1124"/>
      <c r="F82" s="1124"/>
      <c r="G82" s="1133"/>
      <c r="H82" s="590"/>
      <c r="I82" s="651"/>
      <c r="J82" s="590"/>
      <c r="K82" s="652"/>
      <c r="L82" s="590"/>
      <c r="M82" s="652"/>
      <c r="N82" s="590"/>
      <c r="O82" s="652"/>
      <c r="P82" s="590"/>
      <c r="Q82" s="652"/>
      <c r="R82" s="590"/>
      <c r="S82" s="652"/>
    </row>
    <row r="83" spans="1:19" ht="15.75" customHeight="1">
      <c r="A83" s="623"/>
      <c r="B83" s="1155" t="s">
        <v>556</v>
      </c>
      <c r="C83" s="1154"/>
      <c r="D83" s="1154"/>
      <c r="E83" s="1124"/>
      <c r="F83" s="1124"/>
      <c r="G83" s="1133"/>
      <c r="H83" s="590"/>
      <c r="I83" s="651"/>
      <c r="J83" s="590"/>
      <c r="K83" s="652"/>
      <c r="L83" s="590"/>
      <c r="M83" s="652"/>
      <c r="N83" s="590"/>
      <c r="O83" s="652"/>
      <c r="P83" s="590"/>
      <c r="Q83" s="652"/>
      <c r="R83" s="590"/>
      <c r="S83" s="652"/>
    </row>
    <row r="84" spans="1:19" ht="15.75" customHeight="1">
      <c r="A84" s="623"/>
      <c r="B84" s="1155" t="s">
        <v>557</v>
      </c>
      <c r="C84" s="1154"/>
      <c r="D84" s="1154"/>
      <c r="E84" s="1124"/>
      <c r="F84" s="1124"/>
      <c r="G84" s="1133"/>
      <c r="H84" s="590"/>
      <c r="I84" s="651"/>
      <c r="J84" s="590"/>
      <c r="K84" s="652"/>
      <c r="L84" s="590"/>
      <c r="M84" s="652"/>
      <c r="N84" s="590"/>
      <c r="O84" s="652"/>
      <c r="P84" s="590"/>
      <c r="Q84" s="652"/>
      <c r="R84" s="590"/>
      <c r="S84" s="652"/>
    </row>
    <row r="85" spans="1:19" ht="15.75" customHeight="1">
      <c r="A85" s="623"/>
      <c r="B85" s="1155" t="s">
        <v>558</v>
      </c>
      <c r="C85" s="1154"/>
      <c r="D85" s="1154"/>
      <c r="E85" s="1124"/>
      <c r="F85" s="1124"/>
      <c r="G85" s="1133"/>
      <c r="H85" s="590"/>
      <c r="I85" s="651"/>
      <c r="J85" s="590"/>
      <c r="K85" s="652"/>
      <c r="L85" s="590"/>
      <c r="M85" s="652"/>
      <c r="N85" s="590"/>
      <c r="O85" s="652"/>
      <c r="P85" s="590"/>
      <c r="Q85" s="652"/>
      <c r="R85" s="590"/>
      <c r="S85" s="652"/>
    </row>
    <row r="86" spans="1:19" ht="15.75" customHeight="1">
      <c r="A86" s="623"/>
      <c r="B86" s="1155" t="s">
        <v>559</v>
      </c>
      <c r="C86" s="1154"/>
      <c r="D86" s="1154"/>
      <c r="E86" s="1124"/>
      <c r="F86" s="1124"/>
      <c r="G86" s="1133"/>
      <c r="H86" s="590"/>
      <c r="I86" s="651"/>
      <c r="J86" s="590"/>
      <c r="K86" s="652"/>
      <c r="L86" s="590"/>
      <c r="M86" s="652"/>
      <c r="N86" s="590"/>
      <c r="O86" s="652"/>
      <c r="P86" s="590"/>
      <c r="Q86" s="652"/>
      <c r="R86" s="590"/>
      <c r="S86" s="652"/>
    </row>
    <row r="87" spans="1:19" ht="15.75" customHeight="1">
      <c r="A87" s="623"/>
      <c r="B87" s="1155" t="s">
        <v>560</v>
      </c>
      <c r="C87" s="1154"/>
      <c r="D87" s="1154"/>
      <c r="E87" s="1124"/>
      <c r="F87" s="1124"/>
      <c r="G87" s="1133"/>
      <c r="H87" s="590"/>
      <c r="I87" s="651"/>
      <c r="J87" s="590"/>
      <c r="K87" s="652"/>
      <c r="L87" s="590"/>
      <c r="M87" s="652"/>
      <c r="N87" s="590"/>
      <c r="O87" s="652"/>
      <c r="P87" s="590"/>
      <c r="Q87" s="652"/>
      <c r="R87" s="590"/>
      <c r="S87" s="652"/>
    </row>
    <row r="88" spans="1:19" ht="15.75" customHeight="1">
      <c r="A88" s="623"/>
      <c r="B88" s="1155" t="s">
        <v>561</v>
      </c>
      <c r="C88" s="1154"/>
      <c r="D88" s="1154"/>
      <c r="E88" s="1124"/>
      <c r="F88" s="1124"/>
      <c r="G88" s="1133"/>
      <c r="H88" s="590"/>
      <c r="I88" s="651"/>
      <c r="J88" s="590"/>
      <c r="K88" s="652"/>
      <c r="L88" s="590"/>
      <c r="M88" s="652"/>
      <c r="N88" s="590"/>
      <c r="O88" s="652"/>
      <c r="P88" s="590"/>
      <c r="Q88" s="652"/>
      <c r="R88" s="590"/>
      <c r="S88" s="652"/>
    </row>
    <row r="89" spans="1:19" ht="15.75" customHeight="1">
      <c r="A89" s="623"/>
      <c r="B89" s="1155" t="s">
        <v>562</v>
      </c>
      <c r="C89" s="1154"/>
      <c r="D89" s="1154"/>
      <c r="E89" s="1124"/>
      <c r="F89" s="1124"/>
      <c r="G89" s="1133"/>
      <c r="H89" s="590"/>
      <c r="I89" s="651"/>
      <c r="J89" s="590"/>
      <c r="K89" s="652"/>
      <c r="L89" s="590"/>
      <c r="M89" s="652"/>
      <c r="N89" s="590"/>
      <c r="O89" s="652"/>
      <c r="P89" s="590"/>
      <c r="Q89" s="652"/>
      <c r="R89" s="590"/>
      <c r="S89" s="652"/>
    </row>
    <row r="90" spans="1:19" ht="15.75" customHeight="1">
      <c r="A90" s="623"/>
      <c r="B90" s="1155" t="s">
        <v>563</v>
      </c>
      <c r="C90" s="1154"/>
      <c r="D90" s="1154"/>
      <c r="E90" s="1124"/>
      <c r="F90" s="1124"/>
      <c r="G90" s="1133"/>
      <c r="H90" s="590"/>
      <c r="I90" s="651"/>
      <c r="J90" s="590"/>
      <c r="K90" s="652"/>
      <c r="L90" s="590"/>
      <c r="M90" s="652"/>
      <c r="N90" s="590"/>
      <c r="O90" s="652"/>
      <c r="P90" s="590"/>
      <c r="Q90" s="652"/>
      <c r="R90" s="590"/>
      <c r="S90" s="652"/>
    </row>
    <row r="91" spans="1:19" ht="15.75" customHeight="1">
      <c r="A91" s="623"/>
      <c r="B91" s="1155" t="s">
        <v>564</v>
      </c>
      <c r="C91" s="1154"/>
      <c r="D91" s="1154"/>
      <c r="E91" s="1124"/>
      <c r="F91" s="1124"/>
      <c r="G91" s="1133"/>
      <c r="H91" s="590"/>
      <c r="I91" s="651"/>
      <c r="J91" s="590"/>
      <c r="K91" s="652"/>
      <c r="L91" s="590"/>
      <c r="M91" s="652"/>
      <c r="N91" s="590"/>
      <c r="O91" s="652"/>
      <c r="P91" s="590"/>
      <c r="Q91" s="652"/>
      <c r="R91" s="590"/>
      <c r="S91" s="652"/>
    </row>
    <row r="92" spans="1:19" ht="15.75" customHeight="1">
      <c r="A92" s="623"/>
      <c r="B92" s="1155" t="s">
        <v>565</v>
      </c>
      <c r="C92" s="1154"/>
      <c r="D92" s="1154"/>
      <c r="E92" s="1124"/>
      <c r="F92" s="1124"/>
      <c r="G92" s="1133"/>
      <c r="H92" s="590"/>
      <c r="I92" s="651"/>
      <c r="J92" s="590"/>
      <c r="K92" s="652"/>
      <c r="L92" s="590"/>
      <c r="M92" s="652"/>
      <c r="N92" s="590"/>
      <c r="O92" s="652"/>
      <c r="P92" s="590"/>
      <c r="Q92" s="652"/>
      <c r="R92" s="590"/>
      <c r="S92" s="652"/>
    </row>
    <row r="93" spans="1:19" ht="15.75" customHeight="1">
      <c r="A93" s="623"/>
      <c r="B93" s="1155" t="s">
        <v>566</v>
      </c>
      <c r="C93" s="1154"/>
      <c r="D93" s="1154"/>
      <c r="E93" s="1124"/>
      <c r="F93" s="1124"/>
      <c r="G93" s="1133"/>
      <c r="H93" s="590"/>
      <c r="I93" s="651"/>
      <c r="J93" s="590"/>
      <c r="K93" s="652"/>
      <c r="L93" s="590"/>
      <c r="M93" s="652"/>
      <c r="N93" s="590"/>
      <c r="O93" s="652"/>
      <c r="P93" s="590"/>
      <c r="Q93" s="652"/>
      <c r="R93" s="590"/>
      <c r="S93" s="652"/>
    </row>
    <row r="94" spans="1:19" ht="15.75" customHeight="1">
      <c r="A94" s="623"/>
      <c r="B94" s="643"/>
      <c r="C94" s="1154"/>
      <c r="D94" s="1154"/>
      <c r="E94" s="1124"/>
      <c r="F94" s="1124"/>
      <c r="G94" s="1133"/>
      <c r="H94" s="590"/>
      <c r="I94" s="651"/>
      <c r="J94" s="590"/>
      <c r="K94" s="652"/>
      <c r="L94" s="590"/>
      <c r="M94" s="652"/>
      <c r="N94" s="590"/>
      <c r="O94" s="652"/>
      <c r="P94" s="590"/>
      <c r="Q94" s="652"/>
      <c r="R94" s="590"/>
      <c r="S94" s="652"/>
    </row>
    <row r="95" spans="1:19">
      <c r="A95" s="14"/>
      <c r="B95" s="15"/>
      <c r="C95" s="16"/>
      <c r="D95" s="16"/>
      <c r="E95" s="17"/>
      <c r="F95" s="18" t="s">
        <v>567</v>
      </c>
      <c r="G95" s="19"/>
      <c r="H95" s="20"/>
      <c r="I95" s="319">
        <f>SUM(I31:I94)</f>
        <v>50969</v>
      </c>
      <c r="J95" s="20"/>
      <c r="K95" s="61">
        <f>SUM(K31:K94)</f>
        <v>0</v>
      </c>
      <c r="L95" s="20"/>
      <c r="M95" s="61">
        <f>SUM(M31:M94)</f>
        <v>0</v>
      </c>
      <c r="N95" s="20"/>
      <c r="O95" s="61">
        <f>SUM(O31:O94)</f>
        <v>0</v>
      </c>
      <c r="P95" s="20"/>
      <c r="Q95" s="61">
        <f>SUM(Q31:Q94)</f>
        <v>0</v>
      </c>
      <c r="R95" s="20"/>
      <c r="S95" s="61">
        <f>SUM(S31:S94)</f>
        <v>0</v>
      </c>
    </row>
    <row r="96" spans="1:19">
      <c r="A96" s="624"/>
      <c r="B96" s="1156"/>
      <c r="C96" s="1157"/>
      <c r="D96" s="1157"/>
      <c r="E96" s="1158"/>
      <c r="F96" s="1159" t="s">
        <v>568</v>
      </c>
      <c r="G96" s="1160"/>
      <c r="H96" s="593">
        <v>0</v>
      </c>
      <c r="I96" s="415"/>
      <c r="J96" s="593">
        <v>0</v>
      </c>
      <c r="K96" s="415"/>
      <c r="L96" s="593">
        <v>0</v>
      </c>
      <c r="M96" s="415"/>
      <c r="N96" s="593">
        <v>0</v>
      </c>
      <c r="O96" s="415"/>
      <c r="P96" s="593">
        <v>0</v>
      </c>
      <c r="Q96" s="415"/>
      <c r="R96" s="593">
        <v>0</v>
      </c>
      <c r="S96" s="415"/>
    </row>
    <row r="97" spans="1:34">
      <c r="A97" s="624"/>
      <c r="B97" s="1156"/>
      <c r="C97" s="1157"/>
      <c r="D97" s="1157"/>
      <c r="E97" s="1158"/>
      <c r="F97" s="1159" t="s">
        <v>569</v>
      </c>
      <c r="G97" s="1160"/>
      <c r="H97" s="594"/>
      <c r="I97" s="598">
        <f>H96*I95</f>
        <v>0</v>
      </c>
      <c r="J97" s="594"/>
      <c r="K97" s="598">
        <f>J96*K95</f>
        <v>0</v>
      </c>
      <c r="L97" s="594"/>
      <c r="M97" s="598">
        <f>L96*M95</f>
        <v>0</v>
      </c>
      <c r="N97" s="594"/>
      <c r="O97" s="598">
        <f>N96*O95</f>
        <v>0</v>
      </c>
      <c r="P97" s="594"/>
      <c r="Q97" s="598">
        <f>P96*Q95</f>
        <v>0</v>
      </c>
      <c r="R97" s="594"/>
      <c r="S97" s="598">
        <f>R96*S95</f>
        <v>0</v>
      </c>
    </row>
    <row r="98" spans="1:34">
      <c r="A98" s="624"/>
      <c r="B98" s="1156"/>
      <c r="C98" s="1157"/>
      <c r="D98" s="1157"/>
      <c r="E98" s="1158"/>
      <c r="F98" s="1159"/>
      <c r="G98" s="1160"/>
      <c r="H98" s="594"/>
      <c r="I98" s="596"/>
      <c r="J98" s="594"/>
      <c r="K98" s="596"/>
      <c r="L98" s="594"/>
      <c r="M98" s="596"/>
      <c r="N98" s="594"/>
      <c r="O98" s="596"/>
      <c r="P98" s="594"/>
      <c r="Q98" s="596"/>
      <c r="R98" s="594"/>
      <c r="S98" s="596"/>
    </row>
    <row r="99" spans="1:34">
      <c r="A99" s="624"/>
      <c r="B99" s="1156"/>
      <c r="C99" s="1157"/>
      <c r="D99" s="1157"/>
      <c r="E99" s="1158"/>
      <c r="F99" s="1159" t="s">
        <v>570</v>
      </c>
      <c r="G99" s="1160"/>
      <c r="H99" s="597"/>
      <c r="I99" s="598">
        <f>SUM(I95:I97)</f>
        <v>50969</v>
      </c>
      <c r="J99" s="597"/>
      <c r="K99" s="598">
        <f>SUM(K95:K97)</f>
        <v>0</v>
      </c>
      <c r="L99" s="597"/>
      <c r="M99" s="598">
        <f>SUM(M95:M97)</f>
        <v>0</v>
      </c>
      <c r="N99" s="597"/>
      <c r="O99" s="598">
        <f>SUM(O95:O97)</f>
        <v>0</v>
      </c>
      <c r="P99" s="597"/>
      <c r="Q99" s="598">
        <f>SUM(Q95:Q97)</f>
        <v>0</v>
      </c>
      <c r="R99" s="597"/>
      <c r="S99" s="598">
        <f>SUM(S95:S97)</f>
        <v>0</v>
      </c>
    </row>
    <row r="100" spans="1:34">
      <c r="A100" s="624"/>
      <c r="B100" s="1156"/>
      <c r="C100" s="1157"/>
      <c r="D100" s="1157"/>
      <c r="E100" s="1158"/>
      <c r="F100" s="1161" t="s">
        <v>571</v>
      </c>
      <c r="G100" s="1162"/>
      <c r="H100" s="599"/>
      <c r="I100" s="600" t="e">
        <f>I99/'[1]Area Calculations'!$G$4</f>
        <v>#DIV/0!</v>
      </c>
      <c r="J100" s="599"/>
      <c r="K100" s="600" t="e" vm="1">
        <f>K99/'[1]Area Calculations'!$G$4</f>
        <v>#VALUE!</v>
      </c>
      <c r="L100" s="599"/>
      <c r="M100" s="600" t="e" vm="1">
        <f>M99/'[1]Area Calculations'!$G$4</f>
        <v>#VALUE!</v>
      </c>
      <c r="N100" s="599"/>
      <c r="O100" s="600" t="e" vm="1">
        <f>O99/'[1]Area Calculations'!$G$4</f>
        <v>#VALUE!</v>
      </c>
      <c r="P100" s="599"/>
      <c r="Q100" s="600" t="e" vm="1">
        <f>Q99/'[1]Area Calculations'!$G$4</f>
        <v>#VALUE!</v>
      </c>
      <c r="R100" s="600" t="e" vm="1">
        <f>R99/'[1]Area Calculations'!$G$4</f>
        <v>#VALUE!</v>
      </c>
      <c r="S100" s="600" t="e">
        <f>S99/'[1]Cost Summary'!#REF!</f>
        <v>#REF!</v>
      </c>
    </row>
    <row r="101" spans="1:34">
      <c r="A101" s="624"/>
      <c r="B101" s="1156"/>
      <c r="C101" s="1157"/>
      <c r="D101" s="1157"/>
      <c r="E101" s="1158"/>
      <c r="F101" s="1161" t="s">
        <v>572</v>
      </c>
      <c r="G101" s="1163"/>
      <c r="H101" s="599"/>
      <c r="I101" s="600" t="e">
        <f>I99/'[1]Area Calculations'!$G$9</f>
        <v>#DIV/0!</v>
      </c>
      <c r="J101" s="599"/>
      <c r="K101" s="600" t="e" vm="1">
        <f>K99/'[1]Area Calculations'!$G$9</f>
        <v>#VALUE!</v>
      </c>
      <c r="L101" s="599"/>
      <c r="M101" s="600" t="e" vm="1">
        <f>M99/'[1]Area Calculations'!$G$9</f>
        <v>#VALUE!</v>
      </c>
      <c r="N101" s="599"/>
      <c r="O101" s="600" t="e" vm="1">
        <f>O99/'[1]Area Calculations'!$G$9</f>
        <v>#VALUE!</v>
      </c>
      <c r="P101" s="599"/>
      <c r="Q101" s="600" t="e" vm="1">
        <f>Q99/'[1]Area Calculations'!$G$9</f>
        <v>#VALUE!</v>
      </c>
      <c r="R101" s="600" t="e" vm="1">
        <f>R99/'[1]Area Calculations'!$G$9</f>
        <v>#VALUE!</v>
      </c>
      <c r="S101" s="600" t="e">
        <f>S99/'[1]Cost Summary'!#REF!</f>
        <v>#REF!</v>
      </c>
    </row>
    <row r="102" spans="1:34">
      <c r="A102" s="624"/>
      <c r="B102" s="1156"/>
      <c r="C102" s="1157"/>
      <c r="D102" s="1157"/>
      <c r="E102" s="1158"/>
      <c r="F102" s="1159"/>
      <c r="G102" s="1160"/>
      <c r="H102" s="603"/>
      <c r="I102" s="603"/>
      <c r="J102" s="603"/>
      <c r="K102" s="603"/>
      <c r="L102" s="603"/>
      <c r="M102" s="603"/>
      <c r="N102" s="603"/>
      <c r="O102" s="603"/>
      <c r="P102" s="603"/>
      <c r="Q102" s="603"/>
      <c r="R102" s="603"/>
      <c r="S102" s="603"/>
    </row>
    <row r="103" spans="1:34">
      <c r="A103" s="726" t="s">
        <v>573</v>
      </c>
      <c r="B103" s="727"/>
      <c r="C103" s="12"/>
      <c r="D103" s="12"/>
      <c r="E103" s="12"/>
      <c r="F103" s="12"/>
      <c r="G103" s="54"/>
      <c r="H103" s="52"/>
      <c r="I103" s="21"/>
      <c r="J103" s="21"/>
      <c r="K103" s="21"/>
      <c r="L103" s="21"/>
      <c r="M103" s="21"/>
      <c r="N103" s="21"/>
      <c r="O103" s="21"/>
      <c r="P103" s="21"/>
      <c r="Q103" s="21"/>
      <c r="R103" s="21"/>
      <c r="S103" s="21"/>
    </row>
    <row r="104" spans="1:34">
      <c r="A104" s="1164"/>
      <c r="B104" s="862"/>
      <c r="C104" s="1165"/>
      <c r="D104" s="1165"/>
      <c r="E104" s="1165"/>
      <c r="F104" s="1165"/>
      <c r="G104" s="1166"/>
      <c r="H104" s="1167"/>
      <c r="I104" s="1168"/>
      <c r="J104" s="1168"/>
      <c r="K104" s="1168"/>
      <c r="L104" s="1168"/>
      <c r="M104" s="1168"/>
      <c r="N104" s="1168"/>
      <c r="O104" s="1168"/>
      <c r="P104" s="1168"/>
      <c r="Q104" s="1168"/>
      <c r="R104" s="1168"/>
      <c r="S104" s="1168"/>
    </row>
    <row r="105" spans="1:34">
      <c r="A105" s="1164"/>
      <c r="B105" s="862"/>
      <c r="C105" s="1165"/>
      <c r="D105" s="1165"/>
      <c r="E105" s="1165"/>
      <c r="F105" s="1165"/>
      <c r="G105" s="1166"/>
      <c r="H105" s="1167"/>
      <c r="I105" s="1168"/>
      <c r="J105" s="1168"/>
      <c r="K105" s="1168"/>
      <c r="L105" s="1168"/>
      <c r="M105" s="1168"/>
      <c r="N105" s="1168"/>
      <c r="O105" s="1168"/>
      <c r="P105" s="1168"/>
      <c r="Q105" s="1168"/>
      <c r="R105" s="1168"/>
      <c r="S105" s="1168"/>
    </row>
    <row r="106" spans="1:34">
      <c r="A106" s="1164"/>
      <c r="B106" s="862"/>
      <c r="C106" s="1165"/>
      <c r="D106" s="1165"/>
      <c r="E106" s="1165"/>
      <c r="F106" s="1165"/>
      <c r="G106" s="1166"/>
      <c r="H106" s="1167"/>
      <c r="I106" s="1168"/>
      <c r="J106" s="1168"/>
      <c r="K106" s="1168"/>
      <c r="L106" s="1168"/>
      <c r="M106" s="1168"/>
      <c r="N106" s="1168"/>
      <c r="O106" s="1168"/>
      <c r="P106" s="1168"/>
      <c r="Q106" s="1168"/>
      <c r="R106" s="1168"/>
      <c r="S106" s="1168"/>
    </row>
    <row r="107" spans="1:34" s="2" customFormat="1">
      <c r="A107" s="726" t="s">
        <v>574</v>
      </c>
      <c r="B107" s="727"/>
      <c r="C107" s="12"/>
      <c r="D107" s="12"/>
      <c r="E107" s="12"/>
      <c r="F107" s="12"/>
      <c r="G107" s="54"/>
      <c r="H107" s="52"/>
      <c r="I107" s="21"/>
      <c r="J107" s="21"/>
      <c r="K107" s="21"/>
      <c r="L107" s="21"/>
      <c r="M107" s="21"/>
      <c r="N107" s="21"/>
      <c r="O107" s="21"/>
      <c r="P107" s="21"/>
      <c r="Q107" s="21"/>
      <c r="R107" s="21"/>
      <c r="S107" s="21"/>
      <c r="T107"/>
      <c r="U107"/>
      <c r="V107"/>
      <c r="W107"/>
      <c r="X107"/>
      <c r="Y107"/>
      <c r="Z107"/>
      <c r="AA107"/>
      <c r="AB107"/>
      <c r="AC107"/>
      <c r="AD107"/>
      <c r="AE107"/>
      <c r="AF107"/>
      <c r="AG107"/>
      <c r="AH107"/>
    </row>
    <row r="108" spans="1:34" s="2" customFormat="1">
      <c r="A108" s="1164"/>
      <c r="B108" s="862"/>
      <c r="C108" s="1165"/>
      <c r="D108" s="1165"/>
      <c r="E108" s="1165"/>
      <c r="F108" s="1165"/>
      <c r="G108" s="1166"/>
      <c r="H108" s="1167"/>
      <c r="I108" s="1168"/>
      <c r="J108" s="1168"/>
      <c r="K108" s="1168"/>
      <c r="L108" s="1168"/>
      <c r="M108" s="1168"/>
      <c r="N108" s="1168"/>
      <c r="O108" s="1168"/>
      <c r="P108" s="1168"/>
      <c r="Q108" s="1168"/>
      <c r="R108" s="1168"/>
      <c r="S108" s="1168"/>
      <c r="T108"/>
      <c r="U108"/>
      <c r="V108"/>
      <c r="W108"/>
      <c r="X108"/>
      <c r="Y108"/>
      <c r="Z108"/>
      <c r="AA108"/>
      <c r="AB108"/>
      <c r="AC108"/>
      <c r="AD108"/>
      <c r="AE108"/>
      <c r="AF108"/>
      <c r="AG108"/>
      <c r="AH108"/>
    </row>
    <row r="109" spans="1:34" s="2" customFormat="1">
      <c r="A109" s="1164"/>
      <c r="B109" s="862"/>
      <c r="C109" s="1165"/>
      <c r="D109" s="1165"/>
      <c r="E109" s="1165"/>
      <c r="F109" s="1165"/>
      <c r="G109" s="1166"/>
      <c r="H109" s="1167"/>
      <c r="I109" s="1168"/>
      <c r="J109" s="1168"/>
      <c r="K109" s="1168"/>
      <c r="L109" s="1168"/>
      <c r="M109" s="1168"/>
      <c r="N109" s="1168"/>
      <c r="O109" s="1168"/>
      <c r="P109" s="1168"/>
      <c r="Q109" s="1168"/>
      <c r="R109" s="1168"/>
      <c r="S109" s="1168"/>
      <c r="T109"/>
      <c r="U109"/>
      <c r="V109"/>
      <c r="W109"/>
      <c r="X109"/>
      <c r="Y109"/>
      <c r="Z109"/>
      <c r="AA109"/>
      <c r="AB109"/>
      <c r="AC109"/>
      <c r="AD109"/>
      <c r="AE109"/>
      <c r="AF109"/>
      <c r="AG109"/>
      <c r="AH109"/>
    </row>
    <row r="110" spans="1:34">
      <c r="A110" s="1164"/>
      <c r="B110" s="862"/>
      <c r="C110" s="1165"/>
      <c r="D110" s="1165"/>
      <c r="E110" s="1165"/>
      <c r="F110" s="1165"/>
      <c r="G110" s="1166"/>
      <c r="H110" s="1167"/>
      <c r="I110" s="1168"/>
      <c r="J110" s="1168"/>
      <c r="K110" s="1168"/>
      <c r="L110" s="1168"/>
      <c r="M110" s="1168"/>
      <c r="N110" s="1168"/>
      <c r="O110" s="1168"/>
      <c r="P110" s="1168"/>
      <c r="Q110" s="1168"/>
      <c r="R110" s="1168"/>
      <c r="S110" s="1168"/>
    </row>
    <row r="111" spans="1:34" s="2" customFormat="1">
      <c r="A111" s="726" t="s">
        <v>575</v>
      </c>
      <c r="B111" s="727"/>
      <c r="C111" s="12"/>
      <c r="D111" s="12"/>
      <c r="E111" s="12"/>
      <c r="F111" s="12"/>
      <c r="G111" s="54"/>
      <c r="H111" s="52"/>
      <c r="I111" s="21"/>
      <c r="J111" s="21"/>
      <c r="K111" s="21"/>
      <c r="L111" s="21"/>
      <c r="M111" s="21"/>
      <c r="N111" s="21"/>
      <c r="O111" s="21"/>
      <c r="P111" s="21"/>
      <c r="Q111" s="21"/>
      <c r="R111" s="21"/>
      <c r="S111" s="21"/>
      <c r="T111"/>
      <c r="U111"/>
      <c r="V111"/>
      <c r="W111"/>
      <c r="X111"/>
      <c r="Y111"/>
      <c r="Z111"/>
      <c r="AA111"/>
      <c r="AB111"/>
      <c r="AC111"/>
      <c r="AD111"/>
      <c r="AE111"/>
      <c r="AF111"/>
      <c r="AG111"/>
      <c r="AH111"/>
    </row>
    <row r="112" spans="1:34" s="2" customFormat="1">
      <c r="A112" s="1164"/>
      <c r="B112" s="862"/>
      <c r="C112" s="1165"/>
      <c r="D112" s="1165"/>
      <c r="E112" s="1165"/>
      <c r="F112" s="1165"/>
      <c r="G112" s="1166"/>
      <c r="H112" s="1167"/>
      <c r="I112" s="1168"/>
      <c r="J112" s="1168"/>
      <c r="K112" s="1168"/>
      <c r="L112" s="1168"/>
      <c r="M112" s="1168"/>
      <c r="N112" s="1168"/>
      <c r="O112" s="1168"/>
      <c r="P112" s="1168"/>
      <c r="Q112" s="1168"/>
      <c r="R112" s="1168"/>
      <c r="S112" s="1168"/>
      <c r="T112"/>
      <c r="U112"/>
      <c r="V112"/>
      <c r="W112"/>
      <c r="X112"/>
      <c r="Y112"/>
      <c r="Z112"/>
      <c r="AA112"/>
      <c r="AB112"/>
      <c r="AC112"/>
      <c r="AD112"/>
      <c r="AE112"/>
      <c r="AF112"/>
      <c r="AG112"/>
      <c r="AH112"/>
    </row>
    <row r="113" spans="1:34" s="2" customFormat="1">
      <c r="A113" s="628"/>
      <c r="B113" s="862"/>
      <c r="C113" s="1124"/>
      <c r="D113" s="1124"/>
      <c r="E113" s="1124"/>
      <c r="F113" s="1124"/>
      <c r="G113" s="1169"/>
      <c r="H113" s="1170"/>
      <c r="I113" s="604"/>
      <c r="J113" s="604"/>
      <c r="K113" s="604"/>
      <c r="L113" s="604"/>
      <c r="M113" s="604"/>
      <c r="N113" s="604"/>
      <c r="O113" s="604"/>
      <c r="P113" s="604"/>
      <c r="Q113" s="604"/>
      <c r="R113" s="604"/>
      <c r="S113" s="604"/>
      <c r="T113"/>
      <c r="U113"/>
      <c r="V113"/>
      <c r="W113"/>
      <c r="X113"/>
      <c r="Y113"/>
      <c r="Z113"/>
      <c r="AA113"/>
      <c r="AB113"/>
      <c r="AC113"/>
      <c r="AD113"/>
      <c r="AE113"/>
      <c r="AF113"/>
      <c r="AG113"/>
      <c r="AH113"/>
    </row>
    <row r="114" spans="1:34" s="2" customFormat="1">
      <c r="A114" s="625"/>
      <c r="B114" s="1171"/>
      <c r="C114" s="1124"/>
      <c r="D114" s="1124"/>
      <c r="E114" s="1124"/>
      <c r="F114" s="1124"/>
      <c r="G114" s="1169"/>
      <c r="H114" s="1172"/>
      <c r="I114" s="605"/>
      <c r="J114" s="605"/>
      <c r="K114" s="605"/>
      <c r="L114" s="605"/>
      <c r="M114" s="605"/>
      <c r="N114" s="605"/>
      <c r="O114" s="605"/>
      <c r="P114" s="605"/>
      <c r="Q114" s="605"/>
      <c r="R114" s="605"/>
      <c r="S114" s="605"/>
    </row>
    <row r="115" spans="1:34" s="2" customFormat="1">
      <c r="A115" s="726" t="s">
        <v>576</v>
      </c>
      <c r="B115" s="727"/>
      <c r="C115" s="12"/>
      <c r="D115" s="12"/>
      <c r="E115" s="12"/>
      <c r="F115" s="12"/>
      <c r="G115" s="54"/>
      <c r="H115" s="52"/>
      <c r="I115" s="21"/>
      <c r="J115" s="21"/>
      <c r="K115" s="21"/>
      <c r="L115" s="21"/>
      <c r="M115" s="21"/>
      <c r="N115" s="21"/>
      <c r="O115" s="21"/>
      <c r="P115" s="21"/>
      <c r="Q115" s="21"/>
      <c r="R115" s="21"/>
      <c r="S115" s="21"/>
      <c r="T115"/>
      <c r="U115"/>
      <c r="V115"/>
      <c r="W115"/>
      <c r="X115"/>
      <c r="Y115"/>
      <c r="Z115"/>
      <c r="AA115"/>
      <c r="AB115"/>
      <c r="AC115"/>
      <c r="AD115"/>
      <c r="AE115"/>
      <c r="AF115"/>
      <c r="AG115"/>
      <c r="AH115"/>
    </row>
    <row r="116" spans="1:34">
      <c r="A116" s="1173"/>
      <c r="B116" s="1174"/>
      <c r="C116" s="1165"/>
      <c r="D116" s="1165"/>
      <c r="E116" s="1165"/>
      <c r="F116" s="1165"/>
      <c r="G116" s="1166"/>
      <c r="H116" s="1167"/>
      <c r="I116" s="1168"/>
      <c r="J116" s="1168"/>
      <c r="K116" s="1168"/>
      <c r="L116" s="1168"/>
      <c r="M116" s="1168"/>
      <c r="N116" s="1168"/>
      <c r="O116" s="1168"/>
      <c r="P116" s="1168"/>
      <c r="Q116" s="1168"/>
      <c r="R116" s="1168"/>
      <c r="S116" s="1168"/>
      <c r="T116" s="2"/>
      <c r="U116" s="2"/>
      <c r="V116" s="2"/>
      <c r="W116" s="2"/>
      <c r="X116" s="2"/>
      <c r="Y116" s="2"/>
      <c r="Z116" s="2"/>
      <c r="AA116" s="2"/>
      <c r="AB116" s="2"/>
      <c r="AC116" s="2"/>
      <c r="AD116" s="2"/>
      <c r="AE116" s="2"/>
      <c r="AF116" s="2"/>
      <c r="AG116" s="2"/>
      <c r="AH116" s="2"/>
    </row>
    <row r="117" spans="1:34">
      <c r="A117" s="625"/>
      <c r="B117" s="1171"/>
      <c r="C117" s="1124"/>
      <c r="D117" s="1124"/>
      <c r="E117" s="1124"/>
      <c r="F117" s="1124"/>
      <c r="G117" s="1169"/>
      <c r="H117" s="1175"/>
      <c r="I117" s="606"/>
      <c r="J117" s="606"/>
      <c r="K117" s="606"/>
      <c r="L117" s="606"/>
      <c r="M117" s="606"/>
      <c r="N117" s="606"/>
      <c r="O117" s="606"/>
      <c r="P117" s="606"/>
      <c r="Q117" s="606"/>
      <c r="R117" s="606"/>
      <c r="S117" s="606"/>
      <c r="T117" s="2"/>
      <c r="U117" s="2"/>
      <c r="V117" s="2"/>
      <c r="W117" s="2"/>
      <c r="X117" s="2"/>
      <c r="Y117" s="2"/>
      <c r="Z117" s="2"/>
      <c r="AA117" s="2"/>
      <c r="AB117" s="2"/>
      <c r="AC117" s="2"/>
      <c r="AD117" s="2"/>
      <c r="AE117" s="2"/>
      <c r="AF117" s="2"/>
      <c r="AG117" s="2"/>
      <c r="AH117" s="2"/>
    </row>
    <row r="118" spans="1:34">
      <c r="A118" s="625"/>
      <c r="B118" s="1171"/>
      <c r="C118" s="1124"/>
      <c r="D118" s="1124"/>
      <c r="E118" s="1124"/>
      <c r="F118" s="1124"/>
      <c r="G118" s="1169"/>
      <c r="H118" s="1175"/>
      <c r="I118" s="606"/>
      <c r="J118" s="606"/>
      <c r="K118" s="606"/>
      <c r="L118" s="606"/>
      <c r="M118" s="606"/>
      <c r="N118" s="606"/>
      <c r="O118" s="606"/>
      <c r="P118" s="606"/>
      <c r="Q118" s="606"/>
      <c r="R118" s="606"/>
      <c r="S118" s="606"/>
      <c r="T118" s="2"/>
      <c r="U118" s="2"/>
      <c r="V118" s="2"/>
      <c r="W118" s="2"/>
      <c r="X118" s="2"/>
      <c r="Y118" s="2"/>
      <c r="Z118" s="2"/>
      <c r="AA118" s="2"/>
      <c r="AB118" s="2"/>
      <c r="AC118" s="2"/>
      <c r="AD118" s="2"/>
      <c r="AE118" s="2"/>
      <c r="AF118" s="2"/>
      <c r="AG118" s="2"/>
      <c r="AH118" s="2"/>
    </row>
    <row r="119" spans="1:34">
      <c r="A119" s="726" t="s">
        <v>577</v>
      </c>
      <c r="B119" s="727"/>
      <c r="C119" s="12"/>
      <c r="D119" s="12"/>
      <c r="E119" s="12"/>
      <c r="F119" s="12"/>
      <c r="G119" s="54"/>
      <c r="H119" s="52"/>
      <c r="I119" s="21"/>
      <c r="J119" s="21"/>
      <c r="K119" s="21"/>
      <c r="L119" s="21"/>
      <c r="M119" s="21"/>
      <c r="N119" s="21"/>
      <c r="O119" s="21"/>
      <c r="P119" s="21"/>
      <c r="Q119" s="21"/>
      <c r="R119" s="21"/>
      <c r="S119" s="21"/>
    </row>
    <row r="120" spans="1:34">
      <c r="A120" s="628"/>
      <c r="B120" s="862" t="s">
        <v>578</v>
      </c>
      <c r="C120" s="1124"/>
      <c r="D120" s="1124"/>
      <c r="E120" s="1124"/>
      <c r="F120" s="1124"/>
      <c r="G120" s="1169"/>
      <c r="H120" s="1175"/>
      <c r="I120" s="606"/>
      <c r="J120" s="606"/>
      <c r="K120" s="606"/>
      <c r="L120" s="606"/>
      <c r="M120" s="606"/>
      <c r="N120" s="606"/>
      <c r="O120" s="606"/>
      <c r="P120" s="606"/>
      <c r="Q120" s="606"/>
      <c r="R120" s="606"/>
      <c r="S120" s="606"/>
    </row>
    <row r="121" spans="1:34">
      <c r="A121" s="628"/>
      <c r="B121" s="862" t="s">
        <v>579</v>
      </c>
      <c r="C121" s="1124"/>
      <c r="D121" s="1124"/>
      <c r="E121" s="1124"/>
      <c r="F121" s="1124"/>
      <c r="G121" s="1169"/>
      <c r="H121" s="1175"/>
      <c r="I121" s="606"/>
      <c r="J121" s="606"/>
      <c r="K121" s="606"/>
      <c r="L121" s="606"/>
      <c r="M121" s="606"/>
      <c r="N121" s="606"/>
      <c r="O121" s="606"/>
      <c r="P121" s="606"/>
      <c r="Q121" s="606"/>
      <c r="R121" s="606"/>
      <c r="S121" s="606"/>
    </row>
    <row r="122" spans="1:34">
      <c r="A122" s="628"/>
      <c r="B122" s="862" t="s">
        <v>580</v>
      </c>
      <c r="C122" s="1124"/>
      <c r="D122" s="1124"/>
      <c r="E122" s="1124"/>
      <c r="F122" s="1124"/>
      <c r="G122" s="1169"/>
      <c r="H122" s="1175"/>
      <c r="I122" s="606"/>
      <c r="J122" s="606"/>
      <c r="K122" s="606"/>
      <c r="L122" s="606"/>
      <c r="M122" s="606"/>
      <c r="N122" s="606"/>
      <c r="O122" s="606"/>
      <c r="P122" s="606"/>
      <c r="Q122" s="606"/>
      <c r="R122" s="606"/>
      <c r="S122" s="606"/>
    </row>
    <row r="123" spans="1:34">
      <c r="A123" s="628"/>
      <c r="B123" s="862" t="s">
        <v>581</v>
      </c>
      <c r="C123" s="1124"/>
      <c r="D123" s="1124"/>
      <c r="E123" s="1124"/>
      <c r="F123" s="1124"/>
      <c r="G123" s="1169"/>
      <c r="H123" s="1175"/>
      <c r="I123" s="606"/>
      <c r="J123" s="606"/>
      <c r="K123" s="606"/>
      <c r="L123" s="606"/>
      <c r="M123" s="606"/>
      <c r="N123" s="606"/>
      <c r="O123" s="606"/>
      <c r="P123" s="606"/>
      <c r="Q123" s="606"/>
      <c r="R123" s="606"/>
      <c r="S123" s="606"/>
    </row>
    <row r="124" spans="1:34">
      <c r="A124" s="416"/>
      <c r="B124" s="295"/>
      <c r="C124" s="184"/>
      <c r="D124" s="184"/>
      <c r="E124" s="184"/>
      <c r="F124" s="184"/>
      <c r="G124" s="417"/>
      <c r="H124" s="53"/>
      <c r="I124" s="418"/>
      <c r="J124" s="418"/>
      <c r="K124" s="418"/>
      <c r="L124" s="418"/>
      <c r="M124" s="418"/>
      <c r="N124" s="418"/>
      <c r="O124" s="418"/>
      <c r="P124" s="418"/>
      <c r="Q124" s="418"/>
      <c r="R124" s="418"/>
      <c r="S124" s="418"/>
    </row>
    <row r="125" spans="1:34">
      <c r="A125" s="7" t="s">
        <v>582</v>
      </c>
      <c r="B125" s="8"/>
      <c r="C125" s="12"/>
      <c r="D125" s="12"/>
      <c r="E125" s="12"/>
      <c r="F125" s="12"/>
      <c r="G125" s="54"/>
      <c r="H125" s="52"/>
      <c r="I125" s="21"/>
      <c r="J125" s="21"/>
      <c r="K125" s="21"/>
      <c r="L125" s="21"/>
      <c r="M125" s="21"/>
      <c r="N125" s="21"/>
      <c r="O125" s="21"/>
      <c r="P125" s="21"/>
      <c r="Q125" s="21"/>
      <c r="R125" s="21"/>
      <c r="S125" s="21"/>
    </row>
    <row r="126" spans="1:34">
      <c r="A126" s="1164"/>
      <c r="B126" s="1176" t="s">
        <v>583</v>
      </c>
      <c r="C126" s="1165"/>
      <c r="D126" s="1165"/>
      <c r="E126" s="1165"/>
      <c r="F126" s="1165"/>
      <c r="G126" s="1166"/>
      <c r="H126" s="652"/>
      <c r="I126" s="1177"/>
      <c r="J126" s="1177"/>
      <c r="K126" s="1177"/>
      <c r="L126" s="1177"/>
      <c r="M126" s="1177"/>
      <c r="N126" s="1177"/>
      <c r="O126" s="1177"/>
      <c r="P126" s="1177"/>
      <c r="Q126" s="1177"/>
      <c r="R126" s="1177"/>
      <c r="S126" s="1177"/>
    </row>
    <row r="127" spans="1:34">
      <c r="A127" s="628"/>
      <c r="B127" s="862" t="s">
        <v>584</v>
      </c>
      <c r="C127" s="1124"/>
      <c r="D127" s="1124"/>
      <c r="E127" s="1124"/>
      <c r="F127" s="1124"/>
      <c r="G127" s="1169"/>
      <c r="H127" s="1178"/>
      <c r="I127" s="618"/>
      <c r="J127" s="618"/>
      <c r="K127" s="618"/>
      <c r="L127" s="618"/>
      <c r="M127" s="618"/>
      <c r="N127" s="618"/>
      <c r="O127" s="618"/>
      <c r="P127" s="618"/>
      <c r="Q127" s="618"/>
      <c r="R127" s="618"/>
      <c r="S127" s="618"/>
    </row>
    <row r="128" spans="1:34">
      <c r="A128" s="607"/>
      <c r="B128" s="608" t="s">
        <v>585</v>
      </c>
      <c r="C128" s="609"/>
      <c r="D128" s="609"/>
      <c r="E128" s="609"/>
      <c r="F128" s="609"/>
      <c r="G128" s="634"/>
      <c r="H128" s="631"/>
      <c r="I128" s="611"/>
      <c r="J128" s="611"/>
      <c r="K128" s="611"/>
      <c r="L128" s="611"/>
      <c r="M128" s="611"/>
      <c r="N128" s="611"/>
      <c r="O128" s="611"/>
      <c r="P128" s="611"/>
      <c r="Q128" s="611"/>
      <c r="R128" s="611"/>
      <c r="S128" s="611"/>
    </row>
    <row r="130" spans="1:2">
      <c r="A130" s="92" t="s">
        <v>586</v>
      </c>
      <c r="B130" s="94"/>
    </row>
    <row r="131" spans="1:2">
      <c r="A131" s="93" t="s">
        <v>487</v>
      </c>
      <c r="B131" s="612" t="str">
        <f>H4</f>
        <v>HB Construction</v>
      </c>
    </row>
    <row r="132" spans="1:2">
      <c r="A132" s="626" t="s">
        <v>491</v>
      </c>
      <c r="B132" s="612" t="str">
        <f>H5</f>
        <v>Butch Carmichael</v>
      </c>
    </row>
    <row r="133" spans="1:2">
      <c r="A133" s="613" t="s">
        <v>494</v>
      </c>
      <c r="B133" s="614" t="str">
        <f>H6</f>
        <v>561-225-4868</v>
      </c>
    </row>
    <row r="134" spans="1:2">
      <c r="A134" s="613" t="s">
        <v>497</v>
      </c>
      <c r="B134" s="622" t="str">
        <f>H7</f>
        <v xml:space="preserve"> &lt;bcarmichael@hedrickbrothers.com&gt;</v>
      </c>
    </row>
    <row r="135" spans="1:2">
      <c r="A135" s="615" t="s">
        <v>587</v>
      </c>
      <c r="B135" s="616">
        <f>H8</f>
        <v>50969</v>
      </c>
    </row>
    <row r="137" spans="1:2">
      <c r="A137" s="95"/>
      <c r="B137" s="1" t="s">
        <v>588</v>
      </c>
    </row>
    <row r="138" spans="1:2">
      <c r="A138" s="96"/>
      <c r="B138"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103:B103"/>
    <mergeCell ref="A107:B107"/>
    <mergeCell ref="A111:B111"/>
    <mergeCell ref="A115:B115"/>
    <mergeCell ref="A119:B119"/>
  </mergeCells>
  <conditionalFormatting sqref="H20:H30">
    <cfRule type="cellIs" dxfId="1837" priority="13" operator="equal">
      <formula>"X"</formula>
    </cfRule>
    <cfRule type="cellIs" dxfId="1836" priority="14" operator="equal">
      <formula>"I"</formula>
    </cfRule>
  </conditionalFormatting>
  <conditionalFormatting sqref="H32:H94">
    <cfRule type="cellIs" dxfId="1835" priority="1" operator="equal">
      <formula>"X"</formula>
    </cfRule>
    <cfRule type="cellIs" dxfId="1834" priority="2" operator="equal">
      <formula>"I"</formula>
    </cfRule>
  </conditionalFormatting>
  <conditionalFormatting sqref="J20:J30">
    <cfRule type="cellIs" dxfId="1833" priority="15" operator="equal">
      <formula>"X"</formula>
    </cfRule>
    <cfRule type="cellIs" dxfId="1832" priority="16" operator="equal">
      <formula>"I"</formula>
    </cfRule>
  </conditionalFormatting>
  <conditionalFormatting sqref="J32:J94">
    <cfRule type="cellIs" dxfId="1831" priority="3" operator="equal">
      <formula>"X"</formula>
    </cfRule>
    <cfRule type="cellIs" dxfId="1830" priority="4" operator="equal">
      <formula>"I"</formula>
    </cfRule>
  </conditionalFormatting>
  <conditionalFormatting sqref="L20:L30">
    <cfRule type="cellIs" dxfId="1829" priority="17" operator="equal">
      <formula>"X"</formula>
    </cfRule>
    <cfRule type="cellIs" dxfId="1828" priority="18" operator="equal">
      <formula>"I"</formula>
    </cfRule>
  </conditionalFormatting>
  <conditionalFormatting sqref="L32:L94">
    <cfRule type="cellIs" dxfId="1827" priority="5" operator="equal">
      <formula>"X"</formula>
    </cfRule>
    <cfRule type="cellIs" dxfId="1826" priority="6" operator="equal">
      <formula>"I"</formula>
    </cfRule>
  </conditionalFormatting>
  <conditionalFormatting sqref="N20:N30">
    <cfRule type="cellIs" dxfId="1825" priority="19" operator="equal">
      <formula>"X"</formula>
    </cfRule>
    <cfRule type="cellIs" dxfId="1824" priority="20" operator="equal">
      <formula>"I"</formula>
    </cfRule>
  </conditionalFormatting>
  <conditionalFormatting sqref="N32:N94">
    <cfRule type="cellIs" dxfId="1823" priority="7" operator="equal">
      <formula>"X"</formula>
    </cfRule>
    <cfRule type="cellIs" dxfId="1822" priority="8" operator="equal">
      <formula>"I"</formula>
    </cfRule>
  </conditionalFormatting>
  <conditionalFormatting sqref="P20:P30">
    <cfRule type="cellIs" dxfId="1821" priority="21" operator="equal">
      <formula>"X"</formula>
    </cfRule>
    <cfRule type="cellIs" dxfId="1820" priority="22" operator="equal">
      <formula>"I"</formula>
    </cfRule>
  </conditionalFormatting>
  <conditionalFormatting sqref="P32:P94">
    <cfRule type="cellIs" dxfId="1819" priority="9" operator="equal">
      <formula>"X"</formula>
    </cfRule>
    <cfRule type="cellIs" dxfId="1818" priority="10" operator="equal">
      <formula>"I"</formula>
    </cfRule>
  </conditionalFormatting>
  <conditionalFormatting sqref="R20:R30">
    <cfRule type="cellIs" dxfId="1817" priority="23" operator="equal">
      <formula>"X"</formula>
    </cfRule>
    <cfRule type="cellIs" dxfId="1816" priority="24" operator="equal">
      <formula>"I"</formula>
    </cfRule>
  </conditionalFormatting>
  <conditionalFormatting sqref="R32:R94">
    <cfRule type="cellIs" dxfId="1815" priority="11" operator="equal">
      <formula>"X"</formula>
    </cfRule>
    <cfRule type="cellIs" dxfId="1814" priority="12" operator="equal">
      <formula>"I"</formula>
    </cfRule>
  </conditionalFormatting>
  <hyperlinks>
    <hyperlink ref="B3" location="'Cost Summary'!A1" display="BACK TO SUMMARY SHEET" xr:uid="{F98B45CA-E35F-4F5D-B9EC-B7C753F54F0E}"/>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CA59-1D55-42DF-A35E-4E71415C77E0}">
  <sheetPr>
    <tabColor theme="4" tint="-0.249977111117893"/>
    <pageSetUpPr fitToPage="1"/>
  </sheetPr>
  <dimension ref="A1:AM101"/>
  <sheetViews>
    <sheetView topLeftCell="A2" zoomScale="85" zoomScaleNormal="85" workbookViewId="0">
      <pane ySplit="10" topLeftCell="A58" activePane="bottomLeft" state="frozen"/>
      <selection pane="bottomLeft" activeCell="D79" sqref="D79"/>
      <selection activeCell="A2" sqref="A2"/>
    </sheetView>
  </sheetViews>
  <sheetFormatPr defaultColWidth="9.140625" defaultRowHeight="15"/>
  <cols>
    <col min="1" max="1" width="12.7109375" bestFit="1" customWidth="1"/>
    <col min="2" max="2" width="43.42578125" customWidth="1"/>
    <col min="3" max="3" width="9.5703125" customWidth="1"/>
    <col min="4" max="4" width="17.28515625" style="200" customWidth="1"/>
    <col min="5" max="5" width="12.42578125" customWidth="1"/>
    <col min="6" max="6" width="14.28515625" customWidth="1"/>
    <col min="7" max="7" width="1" customWidth="1"/>
    <col min="8" max="8" width="14.28515625" customWidth="1"/>
    <col min="9" max="9" width="10.5703125" customWidth="1"/>
    <col min="10" max="10" width="14.28515625" customWidth="1"/>
    <col min="11" max="11" width="1" customWidth="1"/>
    <col min="12" max="12" width="14.28515625" customWidth="1"/>
    <col min="13" max="13" width="10.5703125" customWidth="1"/>
    <col min="14" max="14" width="14.28515625" customWidth="1"/>
    <col min="15" max="15" width="1" customWidth="1"/>
    <col min="16" max="16" width="14.28515625" customWidth="1"/>
    <col min="17" max="17" width="10.5703125" customWidth="1"/>
    <col min="18" max="18" width="14.28515625" customWidth="1"/>
    <col min="19" max="19" width="1" hidden="1" customWidth="1"/>
    <col min="20" max="21" width="14.28515625" hidden="1" customWidth="1"/>
    <col min="22" max="22" width="1" customWidth="1"/>
    <col min="23" max="23" width="14.28515625" customWidth="1"/>
    <col min="24" max="24" width="1" customWidth="1"/>
    <col min="25" max="25" width="14.28515625" customWidth="1"/>
    <col min="26" max="26" width="1" customWidth="1"/>
    <col min="27" max="27" width="14.28515625" customWidth="1"/>
    <col min="28" max="28" width="1" customWidth="1"/>
    <col min="29" max="29" width="14.28515625" customWidth="1"/>
    <col min="30" max="30" width="1" customWidth="1"/>
    <col min="31" max="31" width="14.28515625" customWidth="1"/>
    <col min="32" max="32" width="1" hidden="1" customWidth="1"/>
    <col min="33" max="33" width="13.140625" hidden="1" customWidth="1"/>
    <col min="34" max="34" width="1" hidden="1" customWidth="1"/>
    <col min="35" max="35" width="14.28515625" hidden="1" customWidth="1"/>
    <col min="36" max="36" width="1" hidden="1" customWidth="1"/>
    <col min="37" max="37" width="38.42578125" hidden="1" customWidth="1"/>
    <col min="38" max="38" width="7.140625" style="1" customWidth="1"/>
    <col min="39" max="39" width="12.7109375" customWidth="1"/>
  </cols>
  <sheetData>
    <row r="1" spans="1:39" ht="26.25" customHeight="1">
      <c r="A1" s="741" t="s">
        <v>590</v>
      </c>
      <c r="B1" s="742"/>
    </row>
    <row r="2" spans="1:39" ht="26.25" customHeight="1">
      <c r="A2" s="201"/>
      <c r="B2" s="201"/>
    </row>
    <row r="3" spans="1:39" ht="51.75" customHeight="1">
      <c r="A3" s="201"/>
      <c r="B3" s="201"/>
    </row>
    <row r="4" spans="1:39" ht="6" customHeight="1">
      <c r="A4" s="663"/>
      <c r="B4" s="663"/>
      <c r="C4" s="663"/>
      <c r="D4" s="663"/>
      <c r="E4" s="663"/>
      <c r="F4" s="664"/>
      <c r="G4" s="332"/>
      <c r="H4" s="332"/>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229"/>
    </row>
    <row r="5" spans="1:39" ht="8.25" customHeight="1">
      <c r="AG5" s="202"/>
      <c r="AH5" s="202"/>
      <c r="AI5" s="202"/>
      <c r="AJ5" s="202"/>
      <c r="AK5" s="202"/>
      <c r="AL5" s="202"/>
    </row>
    <row r="6" spans="1:39" ht="18" customHeight="1">
      <c r="A6" s="247" t="str">
        <f>'Area Calculations'!B4</f>
        <v>The Club at Ibis Conceptual Estimate</v>
      </c>
      <c r="B6" s="242"/>
      <c r="C6" s="242"/>
      <c r="D6" s="242"/>
      <c r="E6" s="242"/>
      <c r="F6" s="242"/>
      <c r="G6" s="242"/>
      <c r="H6" s="242"/>
      <c r="I6" s="242"/>
      <c r="J6" s="242"/>
      <c r="K6" s="242"/>
      <c r="L6" s="242"/>
      <c r="M6" s="242"/>
      <c r="N6" s="242"/>
      <c r="O6" s="242"/>
      <c r="P6" s="242"/>
      <c r="Q6" s="242"/>
      <c r="R6" s="242"/>
      <c r="S6" s="242"/>
      <c r="T6" s="242"/>
      <c r="U6" s="242"/>
      <c r="V6" s="242"/>
      <c r="W6" s="242"/>
      <c r="X6" s="242"/>
      <c r="Y6" s="242"/>
      <c r="Z6" s="242"/>
      <c r="AA6" s="242"/>
      <c r="AB6" s="242"/>
      <c r="AC6" s="242"/>
      <c r="AD6" s="242"/>
      <c r="AE6" s="242"/>
      <c r="AF6" s="242"/>
      <c r="AG6" s="242"/>
      <c r="AH6" s="243"/>
      <c r="AJ6" s="375"/>
      <c r="AM6" s="196"/>
    </row>
    <row r="7" spans="1:39" ht="15" customHeight="1">
      <c r="A7" s="246" t="str">
        <f>'Area Calculations'!B5</f>
        <v>West Palm Beach, FL</v>
      </c>
      <c r="B7" s="248"/>
      <c r="C7" s="248"/>
      <c r="D7" s="248"/>
      <c r="E7" s="206" t="s">
        <v>72</v>
      </c>
      <c r="F7" s="841">
        <f>J7+N7+R7+W7+Y7+AA7+AE7+AC7</f>
        <v>149933</v>
      </c>
      <c r="G7" s="310"/>
      <c r="H7" s="310"/>
      <c r="I7" s="206" t="s">
        <v>72</v>
      </c>
      <c r="J7" s="841">
        <v>663</v>
      </c>
      <c r="K7" s="310"/>
      <c r="L7" s="310"/>
      <c r="M7" s="206" t="s">
        <v>72</v>
      </c>
      <c r="N7" s="841">
        <v>11678</v>
      </c>
      <c r="O7" s="310"/>
      <c r="P7" s="310"/>
      <c r="Q7" s="206" t="s">
        <v>72</v>
      </c>
      <c r="R7" s="1179">
        <f>5262+1663+4300</f>
        <v>11225</v>
      </c>
      <c r="S7" s="310"/>
      <c r="T7" s="310"/>
      <c r="U7" s="310"/>
      <c r="V7" s="310"/>
      <c r="W7" s="1179">
        <v>91377</v>
      </c>
      <c r="X7" s="310"/>
      <c r="Y7" s="1179">
        <v>8946</v>
      </c>
      <c r="Z7" s="310"/>
      <c r="AA7" s="1179">
        <f>5824+223</f>
        <v>6047</v>
      </c>
      <c r="AB7" s="310"/>
      <c r="AC7" s="1179">
        <f>3436+1206</f>
        <v>4642</v>
      </c>
      <c r="AD7" s="310"/>
      <c r="AE7" s="1179">
        <f>8101+7254</f>
        <v>15355</v>
      </c>
      <c r="AF7" s="310"/>
      <c r="AH7" s="310"/>
      <c r="AJ7" s="376"/>
      <c r="AM7" s="196"/>
    </row>
    <row r="8" spans="1:39" ht="15" customHeight="1">
      <c r="A8" s="203"/>
      <c r="B8" s="204"/>
      <c r="D8" s="205"/>
      <c r="E8" s="206" t="s">
        <v>79</v>
      </c>
      <c r="F8" s="1179">
        <f>'GCs &amp; GRs'!$L$4+'GCs &amp; GRs'!$L$5</f>
        <v>29.4</v>
      </c>
      <c r="G8" s="310"/>
      <c r="H8" s="310"/>
      <c r="I8" s="206" t="s">
        <v>79</v>
      </c>
      <c r="J8" s="841">
        <v>10</v>
      </c>
      <c r="K8" s="310"/>
      <c r="L8" s="310"/>
      <c r="M8" s="206" t="s">
        <v>79</v>
      </c>
      <c r="N8" s="841">
        <v>14</v>
      </c>
      <c r="O8" s="310"/>
      <c r="P8" s="310"/>
      <c r="Q8" s="206" t="s">
        <v>79</v>
      </c>
      <c r="R8" s="841">
        <v>12</v>
      </c>
      <c r="S8" s="310"/>
      <c r="T8" s="310"/>
      <c r="U8" s="310"/>
      <c r="V8" s="310"/>
      <c r="W8" s="841">
        <v>7</v>
      </c>
      <c r="X8" s="310"/>
      <c r="Y8" s="841">
        <v>5</v>
      </c>
      <c r="Z8" s="310"/>
      <c r="AA8" s="841">
        <v>5</v>
      </c>
      <c r="AB8" s="310"/>
      <c r="AC8" s="841">
        <v>7</v>
      </c>
      <c r="AD8" s="310"/>
      <c r="AE8" s="841">
        <v>7</v>
      </c>
      <c r="AF8" s="310"/>
      <c r="AH8" s="310"/>
      <c r="AJ8" s="376"/>
      <c r="AM8" s="196"/>
    </row>
    <row r="9" spans="1:39" ht="15" customHeight="1">
      <c r="A9" s="207">
        <f ca="1">NOW()</f>
        <v>46146.221987847224</v>
      </c>
      <c r="B9" s="208"/>
      <c r="D9" s="205"/>
      <c r="E9" s="206" t="s">
        <v>87</v>
      </c>
      <c r="F9" s="1180">
        <f>J9+N9+R9+W9+Y9+AA9+AE9+AC9</f>
        <v>9.7700000000000014</v>
      </c>
      <c r="G9" s="206"/>
      <c r="H9" s="206"/>
      <c r="I9" s="206" t="s">
        <v>87</v>
      </c>
      <c r="J9" s="1180">
        <v>3.49</v>
      </c>
      <c r="K9" s="206"/>
      <c r="L9" s="206"/>
      <c r="M9" s="206" t="s">
        <v>87</v>
      </c>
      <c r="N9" s="1180">
        <v>2.14</v>
      </c>
      <c r="O9" s="206"/>
      <c r="P9" s="206"/>
      <c r="Q9" s="206" t="s">
        <v>87</v>
      </c>
      <c r="R9" s="1180">
        <v>0.96</v>
      </c>
      <c r="S9" s="206"/>
      <c r="T9" s="206"/>
      <c r="U9" s="206"/>
      <c r="V9" s="206"/>
      <c r="W9" s="1180">
        <v>1.57</v>
      </c>
      <c r="X9" s="206"/>
      <c r="Y9" s="1180">
        <v>0.25</v>
      </c>
      <c r="Z9" s="206"/>
      <c r="AA9" s="1180">
        <v>0.17</v>
      </c>
      <c r="AB9" s="206"/>
      <c r="AC9" s="1180">
        <v>0.88</v>
      </c>
      <c r="AD9" s="206"/>
      <c r="AE9" s="1180">
        <v>0.31</v>
      </c>
      <c r="AF9" s="206"/>
      <c r="AG9" s="310"/>
      <c r="AH9" s="206"/>
      <c r="AJ9" s="377"/>
      <c r="AM9" s="196"/>
    </row>
    <row r="10" spans="1:39">
      <c r="A10" s="209"/>
      <c r="D10" s="205"/>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310"/>
      <c r="AH10" s="206"/>
      <c r="AJ10" s="377"/>
      <c r="AM10" s="196"/>
    </row>
    <row r="11" spans="1:39" s="210" customFormat="1" ht="63" customHeight="1">
      <c r="A11" s="387" t="s">
        <v>130</v>
      </c>
      <c r="B11" s="743" t="s">
        <v>131</v>
      </c>
      <c r="C11" s="744"/>
      <c r="D11" s="479" t="s">
        <v>591</v>
      </c>
      <c r="E11" s="480" t="s">
        <v>592</v>
      </c>
      <c r="F11" s="481" t="s">
        <v>98</v>
      </c>
      <c r="G11" s="335"/>
      <c r="H11" s="470" t="s">
        <v>593</v>
      </c>
      <c r="I11" s="1181" t="s">
        <v>592</v>
      </c>
      <c r="J11" s="579" t="s">
        <v>98</v>
      </c>
      <c r="K11" s="335"/>
      <c r="L11" s="470" t="s">
        <v>594</v>
      </c>
      <c r="M11" s="1181" t="s">
        <v>592</v>
      </c>
      <c r="N11" s="579" t="s">
        <v>98</v>
      </c>
      <c r="O11" s="335"/>
      <c r="P11" s="470" t="s">
        <v>595</v>
      </c>
      <c r="Q11" s="1181" t="s">
        <v>592</v>
      </c>
      <c r="R11" s="579" t="s">
        <v>98</v>
      </c>
      <c r="S11" s="335"/>
      <c r="T11" s="356" t="s">
        <v>596</v>
      </c>
      <c r="U11" s="356" t="s">
        <v>597</v>
      </c>
      <c r="V11" s="335"/>
      <c r="W11" s="356" t="s">
        <v>598</v>
      </c>
      <c r="X11" s="335"/>
      <c r="Y11" s="356" t="s">
        <v>599</v>
      </c>
      <c r="Z11" s="335"/>
      <c r="AA11" s="356" t="s">
        <v>600</v>
      </c>
      <c r="AB11" s="335"/>
      <c r="AC11" s="356" t="s">
        <v>601</v>
      </c>
      <c r="AD11" s="335"/>
      <c r="AE11" s="356" t="s">
        <v>602</v>
      </c>
      <c r="AF11" s="335"/>
      <c r="AG11" s="352" t="s">
        <v>603</v>
      </c>
      <c r="AH11" s="335"/>
      <c r="AI11" s="352" t="s">
        <v>597</v>
      </c>
      <c r="AJ11" s="378"/>
      <c r="AK11" s="381" t="s">
        <v>604</v>
      </c>
      <c r="AL11" s="230"/>
    </row>
    <row r="12" spans="1:39" s="173" customFormat="1" ht="6.75" customHeight="1">
      <c r="A12" s="337"/>
      <c r="B12" s="211"/>
      <c r="C12" s="211"/>
      <c r="D12" s="482"/>
      <c r="E12" s="211"/>
      <c r="F12" s="483"/>
      <c r="G12" s="334"/>
      <c r="H12" s="396"/>
      <c r="I12" s="402"/>
      <c r="J12" s="394"/>
      <c r="K12" s="334"/>
      <c r="L12" s="396"/>
      <c r="M12" s="402"/>
      <c r="N12" s="394"/>
      <c r="O12" s="334"/>
      <c r="P12" s="396"/>
      <c r="Q12" s="402"/>
      <c r="R12" s="394"/>
      <c r="S12" s="334"/>
      <c r="T12" s="353"/>
      <c r="U12" s="353"/>
      <c r="V12" s="334"/>
      <c r="W12" s="353"/>
      <c r="X12" s="334"/>
      <c r="Y12" s="353"/>
      <c r="Z12" s="334"/>
      <c r="AA12" s="353"/>
      <c r="AB12" s="334"/>
      <c r="AC12" s="353"/>
      <c r="AD12" s="334"/>
      <c r="AE12" s="353"/>
      <c r="AF12" s="334"/>
      <c r="AG12" s="353"/>
      <c r="AH12" s="334"/>
      <c r="AI12" s="353"/>
      <c r="AJ12" s="379"/>
      <c r="AK12" s="382"/>
      <c r="AL12"/>
    </row>
    <row r="13" spans="1:39" ht="16.5" customHeight="1">
      <c r="A13" s="338" t="s">
        <v>605</v>
      </c>
      <c r="B13" s="214" t="s">
        <v>606</v>
      </c>
      <c r="C13" s="215"/>
      <c r="D13" s="397">
        <f ca="1">'Cost Summary'!D13*($D$85+1)</f>
        <v>61417.558190129246</v>
      </c>
      <c r="E13" s="216"/>
      <c r="F13" s="484"/>
      <c r="G13" s="336"/>
      <c r="H13" s="397">
        <f ca="1">'Cost Summary'!H13*(1+$H$85)</f>
        <v>16136.034890209499</v>
      </c>
      <c r="I13" s="216"/>
      <c r="J13" s="395"/>
      <c r="K13" s="336"/>
      <c r="L13" s="397">
        <f ca="1">'Cost Summary'!L13*(1+$L$85)</f>
        <v>32960.020361166084</v>
      </c>
      <c r="M13" s="216">
        <f ca="1">L13/$N$7</f>
        <v>2.8224028396271694</v>
      </c>
      <c r="N13" s="395">
        <f ca="1">L13/$L$76</f>
        <v>3.4984028919399688E-3</v>
      </c>
      <c r="O13" s="336"/>
      <c r="P13" s="397">
        <f ca="1">'Cost Summary'!P13*(1+$P$85)</f>
        <v>12321.502938753674</v>
      </c>
      <c r="Q13" s="216">
        <f ca="1">P13/$R$7</f>
        <v>1.0976840034524431</v>
      </c>
      <c r="R13" s="395">
        <f ca="1">P13/$P$76</f>
        <v>1.8754469941408541E-3</v>
      </c>
      <c r="S13" s="336"/>
      <c r="T13" s="357">
        <f ca="1">H13+L13+P13+W13+Y13+AA13+AC13+AE13</f>
        <v>61417.558190129261</v>
      </c>
      <c r="U13" s="357">
        <f ca="1">D13-T13</f>
        <v>0</v>
      </c>
      <c r="V13" s="336"/>
      <c r="W13" s="357"/>
      <c r="X13" s="336"/>
      <c r="Y13" s="357"/>
      <c r="Z13" s="336"/>
      <c r="AA13" s="357"/>
      <c r="AB13" s="336"/>
      <c r="AC13" s="357"/>
      <c r="AD13" s="336"/>
      <c r="AE13" s="357"/>
      <c r="AF13" s="336"/>
      <c r="AG13" s="365"/>
      <c r="AH13" s="336"/>
      <c r="AI13" s="370">
        <f ca="1">D13-AG13</f>
        <v>61417.558190129246</v>
      </c>
      <c r="AJ13" s="336"/>
      <c r="AK13" s="383"/>
      <c r="AL13"/>
    </row>
    <row r="14" spans="1:39" ht="16.5" customHeight="1">
      <c r="A14" s="338" t="s">
        <v>607</v>
      </c>
      <c r="B14" s="214" t="s">
        <v>608</v>
      </c>
      <c r="C14" s="215" t="s">
        <v>609</v>
      </c>
      <c r="D14" s="397"/>
      <c r="E14" s="216"/>
      <c r="F14" s="484"/>
      <c r="G14" s="336"/>
      <c r="H14" s="397"/>
      <c r="I14" s="216"/>
      <c r="J14" s="395"/>
      <c r="K14" s="336"/>
      <c r="L14" s="397"/>
      <c r="M14" s="216"/>
      <c r="N14" s="395"/>
      <c r="O14" s="336"/>
      <c r="P14" s="397"/>
      <c r="Q14" s="216"/>
      <c r="R14" s="395"/>
      <c r="S14" s="336"/>
      <c r="T14" s="357"/>
      <c r="U14" s="357"/>
      <c r="V14" s="336"/>
      <c r="W14" s="357"/>
      <c r="X14" s="336"/>
      <c r="Y14" s="357"/>
      <c r="Z14" s="336"/>
      <c r="AA14" s="357"/>
      <c r="AB14" s="336"/>
      <c r="AC14" s="357"/>
      <c r="AD14" s="336"/>
      <c r="AE14" s="357"/>
      <c r="AF14" s="336"/>
      <c r="AG14" s="365"/>
      <c r="AH14" s="336"/>
      <c r="AI14" s="370"/>
      <c r="AJ14" s="336"/>
      <c r="AK14" s="383"/>
      <c r="AL14"/>
    </row>
    <row r="15" spans="1:39" ht="16.5" customHeight="1">
      <c r="A15" s="338" t="s">
        <v>135</v>
      </c>
      <c r="B15" s="214" t="s">
        <v>136</v>
      </c>
      <c r="C15" s="215"/>
      <c r="D15" s="397">
        <f ca="1">'Cost Summary'!D15*($D$85+1)</f>
        <v>40301.582528840139</v>
      </c>
      <c r="E15" s="216"/>
      <c r="F15" s="484"/>
      <c r="G15" s="336"/>
      <c r="H15" s="397">
        <f ca="1">'Cost Summary'!H15*(1+$H$85)</f>
        <v>10267.919115628061</v>
      </c>
      <c r="I15" s="216"/>
      <c r="J15" s="395"/>
      <c r="K15" s="336"/>
      <c r="L15" s="397">
        <f ca="1">'Cost Summary'!L15*(1+$L$85)</f>
        <v>0</v>
      </c>
      <c r="M15" s="216">
        <f ca="1">L15/$N$7</f>
        <v>0</v>
      </c>
      <c r="N15" s="395">
        <f ca="1">L15/$L$76</f>
        <v>0</v>
      </c>
      <c r="O15" s="336"/>
      <c r="P15" s="397">
        <f ca="1">'Cost Summary'!P15*(1+$P$85)</f>
        <v>30033.663413212078</v>
      </c>
      <c r="Q15" s="216">
        <f ca="1">P15/$R$7</f>
        <v>2.67560475841533</v>
      </c>
      <c r="R15" s="395">
        <f ca="1">P15/$P$76</f>
        <v>4.5714020482183308E-3</v>
      </c>
      <c r="S15" s="336"/>
      <c r="T15" s="357">
        <f t="shared" ref="T15:T50" ca="1" si="0">H15+L15+P15+W15+Y15+AA15+AC15+AE15</f>
        <v>40301.582528840139</v>
      </c>
      <c r="U15" s="357">
        <f t="shared" ref="U15:U53" ca="1" si="1">D15-T15</f>
        <v>0</v>
      </c>
      <c r="V15" s="336"/>
      <c r="W15" s="357"/>
      <c r="X15" s="336"/>
      <c r="Y15" s="357"/>
      <c r="Z15" s="336"/>
      <c r="AA15" s="357"/>
      <c r="AB15" s="336"/>
      <c r="AC15" s="357"/>
      <c r="AD15" s="336"/>
      <c r="AE15" s="357"/>
      <c r="AF15" s="336"/>
      <c r="AG15" s="365"/>
      <c r="AH15" s="336"/>
      <c r="AI15" s="370">
        <f t="shared" ref="AI15:AI41" ca="1" si="2">D15-AG15</f>
        <v>40301.582528840139</v>
      </c>
      <c r="AJ15" s="336"/>
      <c r="AK15" s="383"/>
      <c r="AL15"/>
    </row>
    <row r="16" spans="1:39" ht="16.5" customHeight="1">
      <c r="A16" s="338" t="s">
        <v>140</v>
      </c>
      <c r="B16" s="214" t="s">
        <v>141</v>
      </c>
      <c r="C16" s="215"/>
      <c r="D16" s="397">
        <f ca="1">'Cost Summary'!D16*($D$85+1)</f>
        <v>1796291.3327181158</v>
      </c>
      <c r="E16" s="216"/>
      <c r="F16" s="484"/>
      <c r="G16" s="336"/>
      <c r="H16" s="397">
        <f ca="1">'Cost Summary'!H16*(1+$H$85)</f>
        <v>153115.20985224567</v>
      </c>
      <c r="I16" s="216"/>
      <c r="J16" s="395"/>
      <c r="K16" s="336"/>
      <c r="L16" s="397">
        <f ca="1">'Cost Summary'!L16*(1+$L$85)</f>
        <v>803388.68819644011</v>
      </c>
      <c r="M16" s="216">
        <f t="shared" ref="M16:M54" ca="1" si="3">L16/$N$7</f>
        <v>68.79505807470801</v>
      </c>
      <c r="N16" s="395">
        <f t="shared" ref="N16:N54" ca="1" si="4">L16/$L$76</f>
        <v>8.5272317169128392E-2</v>
      </c>
      <c r="O16" s="336"/>
      <c r="P16" s="397">
        <f ca="1">'Cost Summary'!P16*(1+$P$85)</f>
        <v>839787.43466943002</v>
      </c>
      <c r="Q16" s="216">
        <f t="shared" ref="Q16:Q53" ca="1" si="5">P16/$R$7</f>
        <v>74.814025360305564</v>
      </c>
      <c r="R16" s="395">
        <f t="shared" ref="R16:R54" ca="1" si="6">P16/$P$76</f>
        <v>0.12782343419441256</v>
      </c>
      <c r="S16" s="336"/>
      <c r="T16" s="357">
        <f t="shared" ca="1" si="0"/>
        <v>1796291.3327181158</v>
      </c>
      <c r="U16" s="357">
        <f t="shared" ca="1" si="1"/>
        <v>0</v>
      </c>
      <c r="V16" s="336"/>
      <c r="W16" s="357"/>
      <c r="X16" s="336"/>
      <c r="Y16" s="357"/>
      <c r="Z16" s="336"/>
      <c r="AA16" s="357"/>
      <c r="AB16" s="336"/>
      <c r="AC16" s="357"/>
      <c r="AD16" s="336"/>
      <c r="AE16" s="357"/>
      <c r="AF16" s="336"/>
      <c r="AG16" s="365"/>
      <c r="AH16" s="336"/>
      <c r="AI16" s="370">
        <f t="shared" ca="1" si="2"/>
        <v>1796291.3327181158</v>
      </c>
      <c r="AJ16" s="336"/>
      <c r="AK16" s="383"/>
      <c r="AL16"/>
    </row>
    <row r="17" spans="1:38" ht="16.5" customHeight="1">
      <c r="A17" s="338" t="s">
        <v>145</v>
      </c>
      <c r="B17" s="214" t="s">
        <v>146</v>
      </c>
      <c r="C17" s="215"/>
      <c r="D17" s="397">
        <f ca="1">'Cost Summary'!D17*($D$85+1)</f>
        <v>640995.28395212186</v>
      </c>
      <c r="E17" s="216"/>
      <c r="F17" s="484"/>
      <c r="G17" s="336"/>
      <c r="H17" s="397">
        <f ca="1">'Cost Summary'!H17*(1+$H$85)</f>
        <v>304649.16016068461</v>
      </c>
      <c r="I17" s="216"/>
      <c r="J17" s="395"/>
      <c r="K17" s="336"/>
      <c r="L17" s="397">
        <f ca="1">'Cost Summary'!L17*(1+$L$85)</f>
        <v>296006.03656591353</v>
      </c>
      <c r="M17" s="216">
        <f t="shared" ca="1" si="3"/>
        <v>25.347322877711381</v>
      </c>
      <c r="N17" s="395">
        <f t="shared" ca="1" si="4"/>
        <v>3.1418317191756848E-2</v>
      </c>
      <c r="O17" s="336"/>
      <c r="P17" s="397">
        <f ca="1">'Cost Summary'!P17*(1+$P$85)</f>
        <v>40340.087225523748</v>
      </c>
      <c r="Q17" s="216">
        <f t="shared" ca="1" si="5"/>
        <v>3.5937716904698216</v>
      </c>
      <c r="R17" s="395">
        <f t="shared" ca="1" si="6"/>
        <v>6.1401353151924005E-3</v>
      </c>
      <c r="S17" s="336"/>
      <c r="T17" s="357">
        <f t="shared" ca="1" si="0"/>
        <v>640995.28395212186</v>
      </c>
      <c r="U17" s="357">
        <f t="shared" ca="1" si="1"/>
        <v>0</v>
      </c>
      <c r="V17" s="336"/>
      <c r="W17" s="357"/>
      <c r="X17" s="336"/>
      <c r="Y17" s="357"/>
      <c r="Z17" s="336"/>
      <c r="AA17" s="357"/>
      <c r="AB17" s="336"/>
      <c r="AC17" s="357"/>
      <c r="AD17" s="336"/>
      <c r="AE17" s="357"/>
      <c r="AF17" s="336"/>
      <c r="AG17" s="365"/>
      <c r="AH17" s="336"/>
      <c r="AI17" s="370">
        <f t="shared" ca="1" si="2"/>
        <v>640995.28395212186</v>
      </c>
      <c r="AJ17" s="336"/>
      <c r="AK17" s="383"/>
      <c r="AL17"/>
    </row>
    <row r="18" spans="1:38" ht="16.5" customHeight="1">
      <c r="A18" s="338" t="s">
        <v>610</v>
      </c>
      <c r="B18" s="214" t="s">
        <v>611</v>
      </c>
      <c r="C18" s="215"/>
      <c r="D18" s="397">
        <f ca="1">'Cost Summary'!D18*($D$85+1)</f>
        <v>108734.69645472226</v>
      </c>
      <c r="E18" s="216"/>
      <c r="F18" s="484"/>
      <c r="G18" s="336"/>
      <c r="H18" s="397">
        <f ca="1">'Cost Summary'!H18*(1+$H$85)</f>
        <v>1361.5260747322809</v>
      </c>
      <c r="I18" s="216"/>
      <c r="J18" s="395"/>
      <c r="K18" s="336"/>
      <c r="L18" s="397">
        <f ca="1">'Cost Summary'!L18*(1+$L$85)</f>
        <v>93478.108836766303</v>
      </c>
      <c r="M18" s="216">
        <f t="shared" ca="1" si="3"/>
        <v>8.0046333992778127</v>
      </c>
      <c r="N18" s="395">
        <f t="shared" ca="1" si="4"/>
        <v>9.9218411488885584E-3</v>
      </c>
      <c r="O18" s="336"/>
      <c r="P18" s="397">
        <f ca="1">'Cost Summary'!P18*(1+$P$85)</f>
        <v>13895.061543223674</v>
      </c>
      <c r="Q18" s="216">
        <f t="shared" ca="1" si="5"/>
        <v>1.2378673980600154</v>
      </c>
      <c r="R18" s="395">
        <f t="shared" ca="1" si="6"/>
        <v>2.1149572040175921E-3</v>
      </c>
      <c r="S18" s="336"/>
      <c r="T18" s="357">
        <f t="shared" ca="1" si="0"/>
        <v>108734.69645472226</v>
      </c>
      <c r="U18" s="357">
        <f t="shared" ca="1" si="1"/>
        <v>0</v>
      </c>
      <c r="V18" s="336"/>
      <c r="W18" s="357"/>
      <c r="X18" s="336"/>
      <c r="Y18" s="357"/>
      <c r="Z18" s="336"/>
      <c r="AA18" s="357"/>
      <c r="AB18" s="336"/>
      <c r="AC18" s="357"/>
      <c r="AD18" s="336"/>
      <c r="AE18" s="357"/>
      <c r="AF18" s="336"/>
      <c r="AG18" s="365"/>
      <c r="AH18" s="336"/>
      <c r="AI18" s="370">
        <f t="shared" ca="1" si="2"/>
        <v>108734.69645472226</v>
      </c>
      <c r="AJ18" s="336"/>
      <c r="AK18" s="383"/>
      <c r="AL18"/>
    </row>
    <row r="19" spans="1:38" ht="16.5" customHeight="1">
      <c r="A19" s="338" t="s">
        <v>612</v>
      </c>
      <c r="B19" s="214" t="s">
        <v>613</v>
      </c>
      <c r="C19" s="215"/>
      <c r="D19" s="397">
        <f ca="1">'Cost Summary'!D19*($D$85+1)</f>
        <v>357903.73064251168</v>
      </c>
      <c r="E19" s="216"/>
      <c r="F19" s="484"/>
      <c r="G19" s="336"/>
      <c r="H19" s="397">
        <f ca="1">'Cost Summary'!H19*(1+$H$85)</f>
        <v>7413.3808533632682</v>
      </c>
      <c r="I19" s="216"/>
      <c r="J19" s="395"/>
      <c r="K19" s="336"/>
      <c r="L19" s="397">
        <f ca="1">'Cost Summary'!L19*(1+$L$85)</f>
        <v>179577.92331527112</v>
      </c>
      <c r="M19" s="216">
        <f t="shared" ca="1" si="3"/>
        <v>15.377455327562179</v>
      </c>
      <c r="N19" s="395">
        <f t="shared" ca="1" si="4"/>
        <v>1.9060544240285544E-2</v>
      </c>
      <c r="O19" s="336"/>
      <c r="P19" s="397">
        <f ca="1">'Cost Summary'!P19*(1+$P$85)</f>
        <v>170912.42647387722</v>
      </c>
      <c r="Q19" s="216">
        <f t="shared" ca="1" si="5"/>
        <v>15.226051356247414</v>
      </c>
      <c r="R19" s="395">
        <f t="shared" ca="1" si="6"/>
        <v>2.6014456035521202E-2</v>
      </c>
      <c r="S19" s="336"/>
      <c r="T19" s="357">
        <f t="shared" ca="1" si="0"/>
        <v>357903.73064251163</v>
      </c>
      <c r="U19" s="357">
        <f t="shared" ca="1" si="1"/>
        <v>0</v>
      </c>
      <c r="V19" s="336"/>
      <c r="W19" s="357"/>
      <c r="X19" s="336"/>
      <c r="Y19" s="357"/>
      <c r="Z19" s="336"/>
      <c r="AA19" s="357"/>
      <c r="AB19" s="336"/>
      <c r="AC19" s="357"/>
      <c r="AD19" s="336"/>
      <c r="AE19" s="357"/>
      <c r="AF19" s="336"/>
      <c r="AG19" s="365"/>
      <c r="AH19" s="336"/>
      <c r="AI19" s="370">
        <f t="shared" ca="1" si="2"/>
        <v>357903.73064251168</v>
      </c>
      <c r="AJ19" s="336"/>
      <c r="AK19" s="383"/>
      <c r="AL19"/>
    </row>
    <row r="20" spans="1:38" ht="16.5" customHeight="1">
      <c r="A20" s="338" t="s">
        <v>614</v>
      </c>
      <c r="B20" s="214" t="s">
        <v>615</v>
      </c>
      <c r="C20" s="215"/>
      <c r="D20" s="397">
        <f ca="1">'Cost Summary'!D20*($D$85+1)</f>
        <v>42694.007682781477</v>
      </c>
      <c r="E20" s="216"/>
      <c r="F20" s="484"/>
      <c r="G20" s="336"/>
      <c r="H20" s="397">
        <f ca="1">'Cost Summary'!H20*(1+$H$85)</f>
        <v>7360.0444220821946</v>
      </c>
      <c r="I20" s="216"/>
      <c r="J20" s="395"/>
      <c r="K20" s="336"/>
      <c r="L20" s="397">
        <f ca="1">'Cost Summary'!L20*(1+$L$85)</f>
        <v>0</v>
      </c>
      <c r="M20" s="216">
        <f t="shared" ca="1" si="3"/>
        <v>0</v>
      </c>
      <c r="N20" s="395">
        <f t="shared" ca="1" si="4"/>
        <v>0</v>
      </c>
      <c r="O20" s="336"/>
      <c r="P20" s="397">
        <f ca="1">'Cost Summary'!P20*(1+$P$85)</f>
        <v>35333.963260699282</v>
      </c>
      <c r="Q20" s="216">
        <f t="shared" ca="1" si="5"/>
        <v>3.1477918272337888</v>
      </c>
      <c r="R20" s="395">
        <f t="shared" ca="1" si="6"/>
        <v>5.3781568301979219E-3</v>
      </c>
      <c r="S20" s="336"/>
      <c r="T20" s="357">
        <f t="shared" ca="1" si="0"/>
        <v>42694.007682781477</v>
      </c>
      <c r="U20" s="357">
        <f t="shared" ca="1" si="1"/>
        <v>0</v>
      </c>
      <c r="V20" s="336"/>
      <c r="W20" s="357"/>
      <c r="X20" s="336"/>
      <c r="Y20" s="357"/>
      <c r="Z20" s="336"/>
      <c r="AA20" s="357"/>
      <c r="AB20" s="336"/>
      <c r="AC20" s="357"/>
      <c r="AD20" s="336"/>
      <c r="AE20" s="357"/>
      <c r="AF20" s="336"/>
      <c r="AG20" s="365"/>
      <c r="AH20" s="336"/>
      <c r="AI20" s="370">
        <f t="shared" ca="1" si="2"/>
        <v>42694.007682781477</v>
      </c>
      <c r="AJ20" s="336"/>
      <c r="AK20" s="383"/>
      <c r="AL20"/>
    </row>
    <row r="21" spans="1:38" ht="16.5" customHeight="1">
      <c r="A21" s="338" t="s">
        <v>150</v>
      </c>
      <c r="B21" s="214" t="s">
        <v>151</v>
      </c>
      <c r="C21" s="215"/>
      <c r="D21" s="397">
        <f ca="1">'Cost Summary'!D21*($D$85+1)</f>
        <v>518139.73441282322</v>
      </c>
      <c r="E21" s="216"/>
      <c r="F21" s="484"/>
      <c r="G21" s="336"/>
      <c r="H21" s="397">
        <f ca="1">'Cost Summary'!H21*(1+$H$85)</f>
        <v>15044.555088218236</v>
      </c>
      <c r="I21" s="216"/>
      <c r="J21" s="395"/>
      <c r="K21" s="336"/>
      <c r="L21" s="397">
        <f ca="1">'Cost Summary'!L21*(1+$L$85)</f>
        <v>437483.17617574171</v>
      </c>
      <c r="M21" s="216">
        <f t="shared" ca="1" si="3"/>
        <v>37.462166139385317</v>
      </c>
      <c r="N21" s="395">
        <f t="shared" ca="1" si="4"/>
        <v>4.6434813811933907E-2</v>
      </c>
      <c r="O21" s="336"/>
      <c r="P21" s="397">
        <f ca="1">'Cost Summary'!P21*(1+$P$85)</f>
        <v>65612.00314886331</v>
      </c>
      <c r="Q21" s="216">
        <f t="shared" ca="1" si="5"/>
        <v>5.8451673183842594</v>
      </c>
      <c r="R21" s="395">
        <f t="shared" ca="1" si="6"/>
        <v>9.9867552438000461E-3</v>
      </c>
      <c r="S21" s="336"/>
      <c r="T21" s="357">
        <f t="shared" ca="1" si="0"/>
        <v>518139.73441282328</v>
      </c>
      <c r="U21" s="357">
        <f t="shared" ca="1" si="1"/>
        <v>0</v>
      </c>
      <c r="V21" s="336"/>
      <c r="W21" s="357"/>
      <c r="X21" s="336"/>
      <c r="Y21" s="357"/>
      <c r="Z21" s="336"/>
      <c r="AA21" s="357"/>
      <c r="AB21" s="336"/>
      <c r="AC21" s="357"/>
      <c r="AD21" s="336"/>
      <c r="AE21" s="357"/>
      <c r="AF21" s="336"/>
      <c r="AG21" s="365"/>
      <c r="AH21" s="336"/>
      <c r="AI21" s="370">
        <f t="shared" ca="1" si="2"/>
        <v>518139.73441282322</v>
      </c>
      <c r="AJ21" s="336"/>
      <c r="AK21" s="383"/>
      <c r="AL21"/>
    </row>
    <row r="22" spans="1:38" ht="16.5" customHeight="1">
      <c r="A22" s="338" t="s">
        <v>155</v>
      </c>
      <c r="B22" s="214" t="s">
        <v>156</v>
      </c>
      <c r="C22" s="215"/>
      <c r="D22" s="397">
        <f ca="1">'Cost Summary'!D22*($D$85+1)</f>
        <v>527810.06063592178</v>
      </c>
      <c r="E22" s="216"/>
      <c r="F22" s="484"/>
      <c r="G22" s="336"/>
      <c r="H22" s="397">
        <f ca="1">'Cost Summary'!H22*(1+$H$85)</f>
        <v>23131.568183686897</v>
      </c>
      <c r="I22" s="216"/>
      <c r="J22" s="395"/>
      <c r="K22" s="336"/>
      <c r="L22" s="397">
        <f ca="1">'Cost Summary'!L22*(1+$L$85)</f>
        <v>357364.65690031904</v>
      </c>
      <c r="M22" s="216">
        <f t="shared" ca="1" si="3"/>
        <v>30.601529106038623</v>
      </c>
      <c r="N22" s="395">
        <f t="shared" ca="1" si="4"/>
        <v>3.7930970171675592E-2</v>
      </c>
      <c r="O22" s="336"/>
      <c r="P22" s="397">
        <f ca="1">'Cost Summary'!P22*(1+$P$85)</f>
        <v>147313.83555191581</v>
      </c>
      <c r="Q22" s="216">
        <f t="shared" ca="1" si="5"/>
        <v>13.123726997943502</v>
      </c>
      <c r="R22" s="395">
        <f t="shared" ca="1" si="6"/>
        <v>2.2422531687449027E-2</v>
      </c>
      <c r="S22" s="336"/>
      <c r="T22" s="357">
        <f t="shared" ca="1" si="0"/>
        <v>527810.06063592178</v>
      </c>
      <c r="U22" s="357">
        <f t="shared" ca="1" si="1"/>
        <v>0</v>
      </c>
      <c r="V22" s="336"/>
      <c r="W22" s="357"/>
      <c r="X22" s="336"/>
      <c r="Y22" s="357"/>
      <c r="Z22" s="336"/>
      <c r="AA22" s="357"/>
      <c r="AB22" s="336"/>
      <c r="AC22" s="357"/>
      <c r="AD22" s="336"/>
      <c r="AE22" s="357"/>
      <c r="AF22" s="336"/>
      <c r="AG22" s="365"/>
      <c r="AH22" s="336"/>
      <c r="AI22" s="370">
        <f t="shared" ca="1" si="2"/>
        <v>527810.06063592178</v>
      </c>
      <c r="AJ22" s="336"/>
      <c r="AK22" s="383"/>
      <c r="AL22"/>
    </row>
    <row r="23" spans="1:38">
      <c r="A23" s="338" t="s">
        <v>616</v>
      </c>
      <c r="B23" s="214" t="s">
        <v>617</v>
      </c>
      <c r="C23" s="215"/>
      <c r="D23" s="397">
        <f ca="1">'Cost Summary'!D23*($D$85+1)</f>
        <v>91072.032484360738</v>
      </c>
      <c r="E23" s="216"/>
      <c r="F23" s="484"/>
      <c r="G23" s="336"/>
      <c r="H23" s="397">
        <f ca="1">'Cost Summary'!H23*(1+$H$85)</f>
        <v>1701.9075934153511</v>
      </c>
      <c r="I23" s="216"/>
      <c r="J23" s="395"/>
      <c r="K23" s="336"/>
      <c r="L23" s="397">
        <f ca="1">'Cost Summary'!L23*(1+$L$85)</f>
        <v>49030.037665421645</v>
      </c>
      <c r="M23" s="216">
        <f t="shared" ca="1" si="3"/>
        <v>4.1984961179501319</v>
      </c>
      <c r="N23" s="395">
        <f t="shared" ca="1" si="4"/>
        <v>5.2040873664851179E-3</v>
      </c>
      <c r="O23" s="336"/>
      <c r="P23" s="397">
        <f ca="1">'Cost Summary'!P23*(1+$P$85)</f>
        <v>40340.087225523748</v>
      </c>
      <c r="Q23" s="216">
        <f t="shared" ca="1" si="5"/>
        <v>3.5937716904698216</v>
      </c>
      <c r="R23" s="395">
        <f t="shared" ca="1" si="6"/>
        <v>6.1401353151924005E-3</v>
      </c>
      <c r="S23" s="336"/>
      <c r="T23" s="357">
        <f t="shared" ca="1" si="0"/>
        <v>91072.032484360738</v>
      </c>
      <c r="U23" s="357">
        <f t="shared" ca="1" si="1"/>
        <v>0</v>
      </c>
      <c r="V23" s="336"/>
      <c r="W23" s="357"/>
      <c r="X23" s="336"/>
      <c r="Y23" s="357"/>
      <c r="Z23" s="336"/>
      <c r="AA23" s="357"/>
      <c r="AB23" s="336"/>
      <c r="AC23" s="357"/>
      <c r="AD23" s="336"/>
      <c r="AE23" s="357"/>
      <c r="AF23" s="336"/>
      <c r="AG23" s="365"/>
      <c r="AH23" s="336"/>
      <c r="AI23" s="370">
        <f t="shared" ca="1" si="2"/>
        <v>91072.032484360738</v>
      </c>
      <c r="AJ23" s="336"/>
      <c r="AK23" s="383"/>
      <c r="AL23"/>
    </row>
    <row r="24" spans="1:38">
      <c r="A24" s="338" t="s">
        <v>618</v>
      </c>
      <c r="B24" s="214" t="s">
        <v>619</v>
      </c>
      <c r="C24" s="215"/>
      <c r="D24" s="397">
        <f ca="1">'Cost Summary'!D24*($D$85+1)</f>
        <v>232868.13986755634</v>
      </c>
      <c r="E24" s="216"/>
      <c r="F24" s="484"/>
      <c r="G24" s="336"/>
      <c r="H24" s="397">
        <f ca="1">'Cost Summary'!H24*(1+$H$85)</f>
        <v>0</v>
      </c>
      <c r="I24" s="216"/>
      <c r="J24" s="395"/>
      <c r="K24" s="336"/>
      <c r="L24" s="397">
        <f ca="1">'Cost Summary'!L24*(1+$L$85)</f>
        <v>232868.13986755634</v>
      </c>
      <c r="M24" s="216">
        <f t="shared" ca="1" si="3"/>
        <v>19.940755254971428</v>
      </c>
      <c r="N24" s="395">
        <f t="shared" ca="1" si="4"/>
        <v>2.4716810397155908E-2</v>
      </c>
      <c r="O24" s="336"/>
      <c r="P24" s="397">
        <f ca="1">'Cost Summary'!P24*(1+$P$85)</f>
        <v>0</v>
      </c>
      <c r="Q24" s="216">
        <f t="shared" ca="1" si="5"/>
        <v>0</v>
      </c>
      <c r="R24" s="395">
        <f t="shared" ca="1" si="6"/>
        <v>0</v>
      </c>
      <c r="S24" s="336"/>
      <c r="T24" s="357">
        <f t="shared" ca="1" si="0"/>
        <v>232868.13986755634</v>
      </c>
      <c r="U24" s="357">
        <f t="shared" ca="1" si="1"/>
        <v>0</v>
      </c>
      <c r="V24" s="336"/>
      <c r="W24" s="357"/>
      <c r="X24" s="336"/>
      <c r="Y24" s="357"/>
      <c r="Z24" s="336"/>
      <c r="AA24" s="357"/>
      <c r="AB24" s="336"/>
      <c r="AC24" s="357"/>
      <c r="AD24" s="336"/>
      <c r="AE24" s="357"/>
      <c r="AF24" s="336"/>
      <c r="AG24" s="365"/>
      <c r="AH24" s="336"/>
      <c r="AI24" s="370">
        <f t="shared" ca="1" si="2"/>
        <v>232868.13986755634</v>
      </c>
      <c r="AJ24" s="336"/>
      <c r="AK24" s="383"/>
      <c r="AL24"/>
    </row>
    <row r="25" spans="1:38" ht="16.5" customHeight="1">
      <c r="A25" s="338" t="s">
        <v>620</v>
      </c>
      <c r="B25" s="214" t="s">
        <v>621</v>
      </c>
      <c r="C25" s="215"/>
      <c r="D25" s="397">
        <f ca="1">'Cost Summary'!D25*($D$85+1)</f>
        <v>170190.75934153513</v>
      </c>
      <c r="E25" s="216"/>
      <c r="F25" s="484"/>
      <c r="G25" s="336"/>
      <c r="H25" s="397">
        <f ca="1">'Cost Summary'!H25*(1+$H$85)</f>
        <v>3593.7716904698214</v>
      </c>
      <c r="I25" s="216"/>
      <c r="J25" s="395"/>
      <c r="K25" s="336"/>
      <c r="L25" s="397">
        <f ca="1">'Cost Summary'!L25*(1+$L$85)</f>
        <v>125268.61321066236</v>
      </c>
      <c r="M25" s="216">
        <f t="shared" ca="1" si="3"/>
        <v>10.726889297025377</v>
      </c>
      <c r="N25" s="395">
        <f t="shared" ca="1" si="4"/>
        <v>1.3296110679647231E-2</v>
      </c>
      <c r="O25" s="336"/>
      <c r="P25" s="397">
        <f ca="1">'Cost Summary'!P25*(1+$P$85)</f>
        <v>41328.374440402949</v>
      </c>
      <c r="Q25" s="216">
        <f t="shared" ca="1" si="5"/>
        <v>3.6818150949134032</v>
      </c>
      <c r="R25" s="395">
        <f t="shared" ca="1" si="6"/>
        <v>6.2905617928474475E-3</v>
      </c>
      <c r="S25" s="336"/>
      <c r="T25" s="357">
        <f t="shared" ca="1" si="0"/>
        <v>170190.75934153513</v>
      </c>
      <c r="U25" s="357">
        <f t="shared" ca="1" si="1"/>
        <v>0</v>
      </c>
      <c r="V25" s="336"/>
      <c r="W25" s="357"/>
      <c r="X25" s="336"/>
      <c r="Y25" s="357"/>
      <c r="Z25" s="336"/>
      <c r="AA25" s="357"/>
      <c r="AB25" s="336"/>
      <c r="AC25" s="357"/>
      <c r="AD25" s="336"/>
      <c r="AE25" s="357"/>
      <c r="AF25" s="336"/>
      <c r="AG25" s="365"/>
      <c r="AH25" s="336"/>
      <c r="AI25" s="370">
        <f t="shared" ca="1" si="2"/>
        <v>170190.75934153513</v>
      </c>
      <c r="AJ25" s="336"/>
      <c r="AK25" s="383"/>
      <c r="AL25"/>
    </row>
    <row r="26" spans="1:38" ht="16.5" customHeight="1">
      <c r="A26" s="338" t="s">
        <v>160</v>
      </c>
      <c r="B26" s="214" t="s">
        <v>161</v>
      </c>
      <c r="C26" s="215"/>
      <c r="D26" s="397">
        <f ca="1">'Cost Summary'!D26*($D$85+1)</f>
        <v>522770.56593397149</v>
      </c>
      <c r="E26" s="216"/>
      <c r="F26" s="484"/>
      <c r="G26" s="336"/>
      <c r="H26" s="397">
        <f ca="1">'Cost Summary'!H26*(1+$H$85)</f>
        <v>0</v>
      </c>
      <c r="I26" s="216"/>
      <c r="J26" s="395"/>
      <c r="K26" s="336"/>
      <c r="L26" s="397">
        <f ca="1">'Cost Summary'!L26*(1+$L$85)</f>
        <v>147488.39017688148</v>
      </c>
      <c r="M26" s="216">
        <f t="shared" ca="1" si="3"/>
        <v>12.62959326741578</v>
      </c>
      <c r="N26" s="395">
        <f t="shared" ca="1" si="4"/>
        <v>1.5654535557578102E-2</v>
      </c>
      <c r="O26" s="336"/>
      <c r="P26" s="397">
        <f ca="1">'Cost Summary'!P26*(1+$P$85)</f>
        <v>375282.17575709004</v>
      </c>
      <c r="Q26" s="216">
        <f t="shared" ca="1" si="5"/>
        <v>33.432710535152786</v>
      </c>
      <c r="R26" s="395">
        <f t="shared" ca="1" si="6"/>
        <v>5.7121426824045064E-2</v>
      </c>
      <c r="S26" s="336"/>
      <c r="T26" s="357">
        <f t="shared" ca="1" si="0"/>
        <v>522770.56593397155</v>
      </c>
      <c r="U26" s="357">
        <f t="shared" ca="1" si="1"/>
        <v>0</v>
      </c>
      <c r="V26" s="336"/>
      <c r="W26" s="357"/>
      <c r="X26" s="336"/>
      <c r="Y26" s="357"/>
      <c r="Z26" s="336"/>
      <c r="AA26" s="357"/>
      <c r="AB26" s="336"/>
      <c r="AC26" s="357"/>
      <c r="AD26" s="336"/>
      <c r="AE26" s="357"/>
      <c r="AF26" s="336"/>
      <c r="AG26" s="365"/>
      <c r="AH26" s="336"/>
      <c r="AI26" s="370">
        <f t="shared" ca="1" si="2"/>
        <v>522770.56593397149</v>
      </c>
      <c r="AJ26" s="336"/>
      <c r="AK26" s="383"/>
      <c r="AL26"/>
    </row>
    <row r="27" spans="1:38">
      <c r="A27" s="338" t="s">
        <v>165</v>
      </c>
      <c r="B27" s="214" t="s">
        <v>166</v>
      </c>
      <c r="C27" s="215"/>
      <c r="D27" s="397">
        <f ca="1">'Cost Summary'!D27*($D$85+1)</f>
        <v>126714.33622214278</v>
      </c>
      <c r="E27" s="216"/>
      <c r="F27" s="484"/>
      <c r="G27" s="336"/>
      <c r="H27" s="397">
        <f ca="1">'Cost Summary'!H27*(1+$H$85)</f>
        <v>9826.3985936560548</v>
      </c>
      <c r="I27" s="216"/>
      <c r="J27" s="395"/>
      <c r="K27" s="336"/>
      <c r="L27" s="397">
        <f ca="1">'Cost Summary'!L27*(1+$L$85)</f>
        <v>57344.274676959598</v>
      </c>
      <c r="M27" s="216">
        <f t="shared" ca="1" si="3"/>
        <v>4.9104533890186328</v>
      </c>
      <c r="N27" s="395">
        <f t="shared" ca="1" si="4"/>
        <v>6.0865671248929391E-3</v>
      </c>
      <c r="O27" s="336"/>
      <c r="P27" s="397">
        <f ca="1">'Cost Summary'!P27*(1+$P$85)</f>
        <v>59543.662951527127</v>
      </c>
      <c r="Q27" s="216">
        <f t="shared" ca="1" si="5"/>
        <v>5.3045579466839312</v>
      </c>
      <c r="R27" s="395">
        <f t="shared" ca="1" si="6"/>
        <v>9.0630975991856759E-3</v>
      </c>
      <c r="S27" s="336"/>
      <c r="T27" s="357">
        <f t="shared" ca="1" si="0"/>
        <v>126714.33622214277</v>
      </c>
      <c r="U27" s="357">
        <f t="shared" ca="1" si="1"/>
        <v>0</v>
      </c>
      <c r="V27" s="336"/>
      <c r="W27" s="357"/>
      <c r="X27" s="336"/>
      <c r="Y27" s="357"/>
      <c r="Z27" s="336"/>
      <c r="AA27" s="357"/>
      <c r="AB27" s="336"/>
      <c r="AC27" s="357"/>
      <c r="AD27" s="336"/>
      <c r="AE27" s="357"/>
      <c r="AF27" s="336"/>
      <c r="AG27" s="365"/>
      <c r="AH27" s="336"/>
      <c r="AI27" s="370">
        <f t="shared" ca="1" si="2"/>
        <v>126714.33622214278</v>
      </c>
      <c r="AJ27" s="336"/>
      <c r="AK27" s="383"/>
      <c r="AL27"/>
    </row>
    <row r="28" spans="1:38" ht="16.5" customHeight="1">
      <c r="A28" s="338" t="s">
        <v>170</v>
      </c>
      <c r="B28" s="214" t="s">
        <v>171</v>
      </c>
      <c r="C28" s="215"/>
      <c r="D28" s="397">
        <f ca="1">'Cost Summary'!D28*($D$85+1)</f>
        <v>841178.73770959768</v>
      </c>
      <c r="E28" s="216"/>
      <c r="F28" s="484"/>
      <c r="G28" s="336"/>
      <c r="H28" s="397">
        <f ca="1">'Cost Summary'!H28*(1+$H$85)</f>
        <v>20422.891120984215</v>
      </c>
      <c r="I28" s="216"/>
      <c r="J28" s="395"/>
      <c r="K28" s="336"/>
      <c r="L28" s="397">
        <f ca="1">'Cost Summary'!L28*(1+$L$85)</f>
        <v>359726.27829691349</v>
      </c>
      <c r="M28" s="216">
        <f t="shared" ca="1" si="3"/>
        <v>30.803757346884183</v>
      </c>
      <c r="N28" s="395">
        <f t="shared" ca="1" si="4"/>
        <v>3.8181634553341073E-2</v>
      </c>
      <c r="O28" s="336"/>
      <c r="P28" s="397">
        <f ca="1">'Cost Summary'!P28*(1+$P$85)</f>
        <v>461029.56829169998</v>
      </c>
      <c r="Q28" s="216">
        <f t="shared" ca="1" si="5"/>
        <v>41.071676462512251</v>
      </c>
      <c r="R28" s="395">
        <f t="shared" ca="1" si="6"/>
        <v>7.0172975030770288E-2</v>
      </c>
      <c r="S28" s="336"/>
      <c r="T28" s="357">
        <f t="shared" ca="1" si="0"/>
        <v>841178.73770959768</v>
      </c>
      <c r="U28" s="357">
        <f t="shared" ca="1" si="1"/>
        <v>0</v>
      </c>
      <c r="V28" s="336"/>
      <c r="W28" s="357"/>
      <c r="X28" s="336"/>
      <c r="Y28" s="357"/>
      <c r="Z28" s="336"/>
      <c r="AA28" s="357"/>
      <c r="AB28" s="336"/>
      <c r="AC28" s="357"/>
      <c r="AD28" s="336"/>
      <c r="AE28" s="357"/>
      <c r="AF28" s="336"/>
      <c r="AG28" s="365"/>
      <c r="AH28" s="336"/>
      <c r="AI28" s="370">
        <f t="shared" ca="1" si="2"/>
        <v>841178.73770959768</v>
      </c>
      <c r="AJ28" s="336"/>
      <c r="AK28" s="383"/>
      <c r="AL28"/>
    </row>
    <row r="29" spans="1:38" ht="16.5" customHeight="1">
      <c r="A29" s="339" t="s">
        <v>622</v>
      </c>
      <c r="B29" s="214" t="s">
        <v>623</v>
      </c>
      <c r="C29" s="215"/>
      <c r="D29" s="397">
        <f ca="1">'Cost Summary'!D29*($D$85+1)</f>
        <v>33506.27365811749</v>
      </c>
      <c r="E29" s="216"/>
      <c r="F29" s="484"/>
      <c r="G29" s="336"/>
      <c r="H29" s="397">
        <f ca="1">'Cost Summary'!H29*(1+$H$85)</f>
        <v>0</v>
      </c>
      <c r="I29" s="216"/>
      <c r="J29" s="395"/>
      <c r="K29" s="336"/>
      <c r="L29" s="397">
        <f ca="1">'Cost Summary'!L29*(1+$L$85)</f>
        <v>6546.8252281244522</v>
      </c>
      <c r="M29" s="216">
        <f t="shared" ca="1" si="3"/>
        <v>0.56061185375273614</v>
      </c>
      <c r="N29" s="395">
        <f t="shared" ca="1" si="4"/>
        <v>6.9488525978221919E-4</v>
      </c>
      <c r="O29" s="336"/>
      <c r="P29" s="397">
        <f ca="1">'Cost Summary'!P29*(1+$P$85)</f>
        <v>26959.448429993037</v>
      </c>
      <c r="Q29" s="216">
        <f t="shared" ca="1" si="5"/>
        <v>2.4017325995539456</v>
      </c>
      <c r="R29" s="395">
        <f t="shared" ca="1" si="6"/>
        <v>4.1034780231801885E-3</v>
      </c>
      <c r="S29" s="336"/>
      <c r="T29" s="357">
        <f t="shared" ca="1" si="0"/>
        <v>33506.27365811749</v>
      </c>
      <c r="U29" s="357">
        <f t="shared" ca="1" si="1"/>
        <v>0</v>
      </c>
      <c r="V29" s="336"/>
      <c r="W29" s="357"/>
      <c r="X29" s="336"/>
      <c r="Y29" s="357"/>
      <c r="Z29" s="336"/>
      <c r="AA29" s="357"/>
      <c r="AB29" s="336"/>
      <c r="AC29" s="357"/>
      <c r="AD29" s="336"/>
      <c r="AE29" s="357"/>
      <c r="AF29" s="336"/>
      <c r="AG29" s="365"/>
      <c r="AH29" s="336"/>
      <c r="AI29" s="370">
        <f t="shared" ca="1" si="2"/>
        <v>33506.27365811749</v>
      </c>
      <c r="AJ29" s="336"/>
      <c r="AK29" s="383"/>
      <c r="AL29"/>
    </row>
    <row r="30" spans="1:38" ht="16.5" customHeight="1">
      <c r="A30" s="339" t="s">
        <v>624</v>
      </c>
      <c r="B30" s="214" t="s">
        <v>625</v>
      </c>
      <c r="C30" s="215"/>
      <c r="D30" s="397">
        <f ca="1">'Cost Summary'!D30*($D$85+1)</f>
        <v>26029.174958117135</v>
      </c>
      <c r="E30" s="216"/>
      <c r="F30" s="484"/>
      <c r="G30" s="336"/>
      <c r="H30" s="397">
        <f ca="1">'Cost Summary'!H30*(1+$H$85)</f>
        <v>0</v>
      </c>
      <c r="I30" s="216"/>
      <c r="J30" s="395"/>
      <c r="K30" s="336"/>
      <c r="L30" s="397">
        <f ca="1">'Cost Summary'!L30*(1+$L$85)</f>
        <v>0</v>
      </c>
      <c r="M30" s="216">
        <f t="shared" ca="1" si="3"/>
        <v>0</v>
      </c>
      <c r="N30" s="395">
        <f t="shared" ca="1" si="4"/>
        <v>0</v>
      </c>
      <c r="O30" s="336"/>
      <c r="P30" s="397">
        <f ca="1">'Cost Summary'!P30*(1+$P$85)</f>
        <v>26029.174958117135</v>
      </c>
      <c r="Q30" s="216">
        <f t="shared" ca="1" si="5"/>
        <v>2.3188574572932859</v>
      </c>
      <c r="R30" s="395">
        <f t="shared" ca="1" si="6"/>
        <v>3.9618817751225534E-3</v>
      </c>
      <c r="S30" s="336"/>
      <c r="T30" s="357">
        <f t="shared" ca="1" si="0"/>
        <v>26029.174958117135</v>
      </c>
      <c r="U30" s="357">
        <f t="shared" ca="1" si="1"/>
        <v>0</v>
      </c>
      <c r="V30" s="336"/>
      <c r="W30" s="357"/>
      <c r="X30" s="336"/>
      <c r="Y30" s="357"/>
      <c r="Z30" s="336"/>
      <c r="AA30" s="357"/>
      <c r="AB30" s="336"/>
      <c r="AC30" s="357"/>
      <c r="AD30" s="336"/>
      <c r="AE30" s="357"/>
      <c r="AF30" s="336"/>
      <c r="AG30" s="365"/>
      <c r="AH30" s="336"/>
      <c r="AI30" s="370">
        <f t="shared" ca="1" si="2"/>
        <v>26029.174958117135</v>
      </c>
      <c r="AJ30" s="336"/>
      <c r="AK30" s="383"/>
      <c r="AL30"/>
    </row>
    <row r="31" spans="1:38" ht="16.5" customHeight="1">
      <c r="A31" s="338" t="s">
        <v>174</v>
      </c>
      <c r="B31" s="214" t="s">
        <v>175</v>
      </c>
      <c r="C31" s="215"/>
      <c r="D31" s="397">
        <f ca="1">'Cost Summary'!D31*($D$85+1)</f>
        <v>461991.91874289309</v>
      </c>
      <c r="E31" s="216"/>
      <c r="F31" s="484"/>
      <c r="G31" s="336"/>
      <c r="H31" s="397">
        <f ca="1">'Cost Summary'!H31*(1+$H$85)</f>
        <v>35927.798094832513</v>
      </c>
      <c r="I31" s="216"/>
      <c r="J31" s="395"/>
      <c r="K31" s="336"/>
      <c r="L31" s="397">
        <f ca="1">'Cost Summary'!L31*(1+$L$85)</f>
        <v>325451.84107391763</v>
      </c>
      <c r="M31" s="216">
        <f t="shared" ca="1" si="3"/>
        <v>27.868799543921703</v>
      </c>
      <c r="N31" s="395">
        <f t="shared" ca="1" si="4"/>
        <v>3.4543718405636921E-2</v>
      </c>
      <c r="O31" s="336"/>
      <c r="P31" s="397">
        <f ca="1">'Cost Summary'!P31*(1+$P$85)</f>
        <v>100612.27957414291</v>
      </c>
      <c r="Q31" s="216">
        <f t="shared" ca="1" si="5"/>
        <v>8.9632320333312165</v>
      </c>
      <c r="R31" s="395">
        <f t="shared" ca="1" si="6"/>
        <v>1.5314121843651645E-2</v>
      </c>
      <c r="S31" s="336"/>
      <c r="T31" s="357">
        <f t="shared" ca="1" si="0"/>
        <v>461991.91874289303</v>
      </c>
      <c r="U31" s="357">
        <f t="shared" ca="1" si="1"/>
        <v>0</v>
      </c>
      <c r="V31" s="336"/>
      <c r="W31" s="357"/>
      <c r="X31" s="336"/>
      <c r="Y31" s="357"/>
      <c r="Z31" s="336"/>
      <c r="AA31" s="357"/>
      <c r="AB31" s="336"/>
      <c r="AC31" s="357"/>
      <c r="AD31" s="336"/>
      <c r="AE31" s="357"/>
      <c r="AF31" s="336"/>
      <c r="AG31" s="365"/>
      <c r="AH31" s="336"/>
      <c r="AI31" s="370">
        <f t="shared" ca="1" si="2"/>
        <v>461991.91874289309</v>
      </c>
      <c r="AJ31" s="336"/>
      <c r="AK31" s="383"/>
      <c r="AL31"/>
    </row>
    <row r="32" spans="1:38" ht="16.5" customHeight="1">
      <c r="A32" s="338" t="s">
        <v>179</v>
      </c>
      <c r="B32" s="214" t="s">
        <v>180</v>
      </c>
      <c r="C32" s="215"/>
      <c r="D32" s="397">
        <f ca="1">'Cost Summary'!D32*($D$85+1)</f>
        <v>55288.842628393177</v>
      </c>
      <c r="E32" s="216"/>
      <c r="F32" s="484"/>
      <c r="G32" s="336"/>
      <c r="H32" s="397">
        <f ca="1">'Cost Summary'!H32*(1+$H$85)</f>
        <v>0</v>
      </c>
      <c r="I32" s="216"/>
      <c r="J32" s="395"/>
      <c r="K32" s="336"/>
      <c r="L32" s="397">
        <f ca="1">'Cost Summary'!L32*(1+$L$85)</f>
        <v>49159.285097289612</v>
      </c>
      <c r="M32" s="216">
        <f t="shared" ca="1" si="3"/>
        <v>4.2095637178703216</v>
      </c>
      <c r="N32" s="395">
        <f t="shared" ca="1" si="4"/>
        <v>5.2178057921556144E-3</v>
      </c>
      <c r="O32" s="336"/>
      <c r="P32" s="397">
        <f ca="1">'Cost Summary'!P32*(1+$P$85)</f>
        <v>6129.5575311035591</v>
      </c>
      <c r="Q32" s="216">
        <f t="shared" ca="1" si="5"/>
        <v>0.54606303172414783</v>
      </c>
      <c r="R32" s="395">
        <f t="shared" ca="1" si="6"/>
        <v>9.3297549043026037E-4</v>
      </c>
      <c r="S32" s="336"/>
      <c r="T32" s="357">
        <f t="shared" ca="1" si="0"/>
        <v>55288.842628393169</v>
      </c>
      <c r="U32" s="357">
        <f t="shared" ca="1" si="1"/>
        <v>0</v>
      </c>
      <c r="V32" s="336"/>
      <c r="W32" s="357"/>
      <c r="X32" s="336"/>
      <c r="Y32" s="357"/>
      <c r="Z32" s="336"/>
      <c r="AA32" s="357"/>
      <c r="AB32" s="336"/>
      <c r="AC32" s="357"/>
      <c r="AD32" s="336"/>
      <c r="AE32" s="357"/>
      <c r="AF32" s="336"/>
      <c r="AG32" s="365"/>
      <c r="AH32" s="336"/>
      <c r="AI32" s="370">
        <f t="shared" ca="1" si="2"/>
        <v>55288.842628393177</v>
      </c>
      <c r="AJ32" s="336"/>
      <c r="AK32" s="383"/>
      <c r="AL32"/>
    </row>
    <row r="33" spans="1:38" ht="16.5" customHeight="1">
      <c r="A33" s="338" t="s">
        <v>626</v>
      </c>
      <c r="B33" s="214" t="s">
        <v>627</v>
      </c>
      <c r="C33" s="215"/>
      <c r="D33" s="397">
        <f ca="1">'Cost Summary'!D33*($D$85+1)</f>
        <v>125178.51222042271</v>
      </c>
      <c r="E33" s="216"/>
      <c r="F33" s="484"/>
      <c r="G33" s="336"/>
      <c r="H33" s="397">
        <f ca="1">'Cost Summary'!H33*(1+$H$85)</f>
        <v>0</v>
      </c>
      <c r="I33" s="216"/>
      <c r="J33" s="395"/>
      <c r="K33" s="336"/>
      <c r="L33" s="397">
        <f ca="1">'Cost Summary'!L33*(1+$L$85)</f>
        <v>0</v>
      </c>
      <c r="M33" s="216">
        <f t="shared" ca="1" si="3"/>
        <v>0</v>
      </c>
      <c r="N33" s="395">
        <f t="shared" ca="1" si="4"/>
        <v>0</v>
      </c>
      <c r="O33" s="336"/>
      <c r="P33" s="397">
        <f ca="1">'Cost Summary'!P33*(1+$P$85)</f>
        <v>125178.51222042271</v>
      </c>
      <c r="Q33" s="216">
        <f t="shared" ca="1" si="5"/>
        <v>11.151760554157924</v>
      </c>
      <c r="R33" s="395">
        <f t="shared" ca="1" si="6"/>
        <v>1.9053330234287361E-2</v>
      </c>
      <c r="S33" s="336"/>
      <c r="T33" s="357">
        <f t="shared" ca="1" si="0"/>
        <v>125178.51222042271</v>
      </c>
      <c r="U33" s="357">
        <f t="shared" ca="1" si="1"/>
        <v>0</v>
      </c>
      <c r="V33" s="336"/>
      <c r="W33" s="357"/>
      <c r="X33" s="336"/>
      <c r="Y33" s="357"/>
      <c r="Z33" s="336"/>
      <c r="AA33" s="357"/>
      <c r="AB33" s="336"/>
      <c r="AC33" s="357"/>
      <c r="AD33" s="336"/>
      <c r="AE33" s="357"/>
      <c r="AF33" s="336"/>
      <c r="AG33" s="365"/>
      <c r="AH33" s="336"/>
      <c r="AI33" s="370">
        <f t="shared" ca="1" si="2"/>
        <v>125178.51222042271</v>
      </c>
      <c r="AJ33" s="336"/>
      <c r="AK33" s="383"/>
      <c r="AL33"/>
    </row>
    <row r="34" spans="1:38" ht="16.5" customHeight="1">
      <c r="A34" s="338" t="s">
        <v>181</v>
      </c>
      <c r="B34" s="214" t="s">
        <v>182</v>
      </c>
      <c r="C34" s="215"/>
      <c r="D34" s="397">
        <f ca="1">'Cost Summary'!D34*($D$85+1)</f>
        <v>233912.02786444669</v>
      </c>
      <c r="E34" s="216"/>
      <c r="F34" s="484"/>
      <c r="G34" s="336"/>
      <c r="H34" s="397">
        <f ca="1">'Cost Summary'!H34*(1+$H$85)</f>
        <v>2331.3310352033513</v>
      </c>
      <c r="I34" s="216"/>
      <c r="J34" s="395"/>
      <c r="K34" s="336"/>
      <c r="L34" s="397">
        <f ca="1">'Cost Summary'!L34*(1+$L$85)</f>
        <v>125145.15859649546</v>
      </c>
      <c r="M34" s="216">
        <f t="shared" ca="1" si="3"/>
        <v>10.716317742464074</v>
      </c>
      <c r="N34" s="395">
        <f t="shared" ca="1" si="4"/>
        <v>1.3283007108275241E-2</v>
      </c>
      <c r="O34" s="336"/>
      <c r="P34" s="397">
        <f ca="1">'Cost Summary'!P34*(1+$P$85)</f>
        <v>106435.53823274787</v>
      </c>
      <c r="Q34" s="216">
        <f t="shared" ca="1" si="5"/>
        <v>9.4820078603784292</v>
      </c>
      <c r="R34" s="395">
        <f t="shared" ca="1" si="6"/>
        <v>1.6200475805637556E-2</v>
      </c>
      <c r="S34" s="336"/>
      <c r="T34" s="357">
        <f t="shared" ca="1" si="0"/>
        <v>233912.02786444669</v>
      </c>
      <c r="U34" s="357">
        <f t="shared" ca="1" si="1"/>
        <v>0</v>
      </c>
      <c r="V34" s="336"/>
      <c r="W34" s="357"/>
      <c r="X34" s="336"/>
      <c r="Y34" s="357"/>
      <c r="Z34" s="336"/>
      <c r="AA34" s="357"/>
      <c r="AB34" s="336"/>
      <c r="AC34" s="357"/>
      <c r="AD34" s="336"/>
      <c r="AE34" s="357"/>
      <c r="AF34" s="336"/>
      <c r="AG34" s="365"/>
      <c r="AH34" s="336"/>
      <c r="AI34" s="370">
        <f t="shared" ca="1" si="2"/>
        <v>233912.02786444669</v>
      </c>
      <c r="AJ34" s="336"/>
      <c r="AK34" s="383"/>
      <c r="AL34"/>
    </row>
    <row r="35" spans="1:38" ht="16.5" customHeight="1">
      <c r="A35" s="338" t="s">
        <v>628</v>
      </c>
      <c r="B35" s="214" t="s">
        <v>629</v>
      </c>
      <c r="C35" s="215"/>
      <c r="D35" s="397">
        <f ca="1">'Cost Summary'!D35*($D$85+1)</f>
        <v>24030.011106304351</v>
      </c>
      <c r="E35" s="216"/>
      <c r="F35" s="484"/>
      <c r="G35" s="336"/>
      <c r="H35" s="397">
        <f ca="1">'Cost Summary'!H35*(1+$H$85)</f>
        <v>513.39595578140302</v>
      </c>
      <c r="I35" s="216"/>
      <c r="J35" s="395"/>
      <c r="K35" s="336"/>
      <c r="L35" s="397">
        <f ca="1">'Cost Summary'!L35*(1+$L$85)</f>
        <v>11990.875943230451</v>
      </c>
      <c r="M35" s="216">
        <f t="shared" ca="1" si="3"/>
        <v>1.0267919115628061</v>
      </c>
      <c r="N35" s="395">
        <f t="shared" ca="1" si="4"/>
        <v>1.2727211517780358E-3</v>
      </c>
      <c r="O35" s="336"/>
      <c r="P35" s="397">
        <f ca="1">'Cost Summary'!P35*(1+$P$85)</f>
        <v>11525.739207292499</v>
      </c>
      <c r="Q35" s="216">
        <f t="shared" ca="1" si="5"/>
        <v>1.0267919115628061</v>
      </c>
      <c r="R35" s="395">
        <f t="shared" ca="1" si="6"/>
        <v>1.7543243757692571E-3</v>
      </c>
      <c r="S35" s="336"/>
      <c r="T35" s="357">
        <f t="shared" ca="1" si="0"/>
        <v>24030.011106304351</v>
      </c>
      <c r="U35" s="357">
        <f t="shared" ca="1" si="1"/>
        <v>0</v>
      </c>
      <c r="V35" s="336"/>
      <c r="W35" s="357"/>
      <c r="X35" s="336"/>
      <c r="Y35" s="357"/>
      <c r="Z35" s="336"/>
      <c r="AA35" s="357"/>
      <c r="AB35" s="336"/>
      <c r="AC35" s="357"/>
      <c r="AD35" s="336"/>
      <c r="AE35" s="357"/>
      <c r="AF35" s="336"/>
      <c r="AG35" s="365"/>
      <c r="AH35" s="336"/>
      <c r="AI35" s="370">
        <f t="shared" ca="1" si="2"/>
        <v>24030.011106304351</v>
      </c>
      <c r="AJ35" s="336"/>
      <c r="AK35" s="383"/>
      <c r="AL35"/>
    </row>
    <row r="36" spans="1:38" ht="16.5" customHeight="1">
      <c r="A36" s="338" t="s">
        <v>185</v>
      </c>
      <c r="B36" s="214" t="s">
        <v>186</v>
      </c>
      <c r="C36" s="215"/>
      <c r="D36" s="397">
        <f ca="1">'Cost Summary'!D36*($D$85+1)</f>
        <v>195090.46319693315</v>
      </c>
      <c r="E36" s="216"/>
      <c r="F36" s="484"/>
      <c r="G36" s="336"/>
      <c r="H36" s="397">
        <f ca="1">'Cost Summary'!H36*(1+$H$85)</f>
        <v>0</v>
      </c>
      <c r="I36" s="216"/>
      <c r="J36" s="395"/>
      <c r="K36" s="336"/>
      <c r="L36" s="397">
        <f ca="1">'Cost Summary'!L36*(1+$L$85)</f>
        <v>0</v>
      </c>
      <c r="M36" s="216">
        <f t="shared" ca="1" si="3"/>
        <v>0</v>
      </c>
      <c r="N36" s="395">
        <f t="shared" ca="1" si="4"/>
        <v>0</v>
      </c>
      <c r="O36" s="336"/>
      <c r="P36" s="397">
        <f ca="1">'Cost Summary'!P36*(1+$P$85)</f>
        <v>195090.46319693315</v>
      </c>
      <c r="Q36" s="216">
        <f t="shared" ca="1" si="5"/>
        <v>17.379996721330347</v>
      </c>
      <c r="R36" s="395">
        <f t="shared" ca="1" si="6"/>
        <v>2.9694577407230183E-2</v>
      </c>
      <c r="S36" s="336"/>
      <c r="T36" s="357">
        <f t="shared" ca="1" si="0"/>
        <v>195090.46319693315</v>
      </c>
      <c r="U36" s="357">
        <f t="shared" ca="1" si="1"/>
        <v>0</v>
      </c>
      <c r="V36" s="336"/>
      <c r="W36" s="357"/>
      <c r="X36" s="336"/>
      <c r="Y36" s="357"/>
      <c r="Z36" s="336"/>
      <c r="AA36" s="357"/>
      <c r="AB36" s="336"/>
      <c r="AC36" s="357"/>
      <c r="AD36" s="336"/>
      <c r="AE36" s="357"/>
      <c r="AF36" s="336"/>
      <c r="AG36" s="365"/>
      <c r="AH36" s="336"/>
      <c r="AI36" s="370">
        <f t="shared" ca="1" si="2"/>
        <v>195090.46319693315</v>
      </c>
      <c r="AJ36" s="336"/>
      <c r="AK36" s="383"/>
      <c r="AL36"/>
    </row>
    <row r="37" spans="1:38" ht="16.5" customHeight="1">
      <c r="A37" s="338" t="s">
        <v>630</v>
      </c>
      <c r="B37" s="214" t="s">
        <v>631</v>
      </c>
      <c r="C37" s="215"/>
      <c r="D37" s="397">
        <f ca="1">'Cost Summary'!D37*($D$85+1)</f>
        <v>29355.980751580628</v>
      </c>
      <c r="E37" s="216"/>
      <c r="F37" s="484"/>
      <c r="G37" s="336"/>
      <c r="H37" s="397">
        <f ca="1">'Cost Summary'!H37*(1+$H$85)</f>
        <v>13071.061034194523</v>
      </c>
      <c r="I37" s="216"/>
      <c r="J37" s="395"/>
      <c r="K37" s="336"/>
      <c r="L37" s="397">
        <f ca="1">'Cost Summary'!L37*(1+$L$85)</f>
        <v>11109.888483109562</v>
      </c>
      <c r="M37" s="216">
        <f t="shared" ca="1" si="3"/>
        <v>0.95135198519520137</v>
      </c>
      <c r="N37" s="395">
        <f t="shared" ca="1" si="4"/>
        <v>1.1792124389654348E-3</v>
      </c>
      <c r="O37" s="336"/>
      <c r="P37" s="397">
        <f ca="1">'Cost Summary'!P37*(1+$P$85)</f>
        <v>5175.0312342765428</v>
      </c>
      <c r="Q37" s="216">
        <f t="shared" ca="1" si="5"/>
        <v>0.46102728145002608</v>
      </c>
      <c r="R37" s="395">
        <f t="shared" ca="1" si="6"/>
        <v>7.8768773753915857E-4</v>
      </c>
      <c r="S37" s="336"/>
      <c r="T37" s="357">
        <f t="shared" ca="1" si="0"/>
        <v>29355.980751580628</v>
      </c>
      <c r="U37" s="357">
        <f t="shared" ca="1" si="1"/>
        <v>0</v>
      </c>
      <c r="V37" s="336"/>
      <c r="W37" s="357"/>
      <c r="X37" s="336"/>
      <c r="Y37" s="357"/>
      <c r="Z37" s="336"/>
      <c r="AA37" s="357"/>
      <c r="AB37" s="336"/>
      <c r="AC37" s="357"/>
      <c r="AD37" s="336"/>
      <c r="AE37" s="357"/>
      <c r="AF37" s="336"/>
      <c r="AG37" s="365"/>
      <c r="AH37" s="336"/>
      <c r="AI37" s="370">
        <f t="shared" ca="1" si="2"/>
        <v>29355.980751580628</v>
      </c>
      <c r="AJ37" s="336"/>
      <c r="AK37" s="383"/>
      <c r="AL37"/>
    </row>
    <row r="38" spans="1:38" ht="16.5" customHeight="1">
      <c r="A38" s="338" t="s">
        <v>632</v>
      </c>
      <c r="B38" s="214" t="s">
        <v>633</v>
      </c>
      <c r="C38" s="215"/>
      <c r="D38" s="397">
        <f ca="1">'Cost Summary'!D38*($D$85+1)</f>
        <v>106786.35880253183</v>
      </c>
      <c r="E38" s="216"/>
      <c r="F38" s="484"/>
      <c r="G38" s="336"/>
      <c r="H38" s="397">
        <f ca="1">'Cost Summary'!H38*(1+$H$85)</f>
        <v>0</v>
      </c>
      <c r="I38" s="216"/>
      <c r="J38" s="395"/>
      <c r="K38" s="336"/>
      <c r="L38" s="397">
        <f ca="1">'Cost Summary'!L38*(1+$L$85)</f>
        <v>106786.35880253183</v>
      </c>
      <c r="M38" s="216">
        <f t="shared" ca="1" si="3"/>
        <v>9.1442334991035992</v>
      </c>
      <c r="N38" s="395">
        <f t="shared" ca="1" si="4"/>
        <v>1.1334389431830426E-2</v>
      </c>
      <c r="O38" s="336"/>
      <c r="P38" s="397">
        <f ca="1">'Cost Summary'!P38*(1+$P$85)</f>
        <v>0</v>
      </c>
      <c r="Q38" s="216">
        <f t="shared" ca="1" si="5"/>
        <v>0</v>
      </c>
      <c r="R38" s="395">
        <f t="shared" ca="1" si="6"/>
        <v>0</v>
      </c>
      <c r="S38" s="336"/>
      <c r="T38" s="357">
        <f t="shared" ca="1" si="0"/>
        <v>106786.35880253183</v>
      </c>
      <c r="U38" s="357">
        <f t="shared" ca="1" si="1"/>
        <v>0</v>
      </c>
      <c r="V38" s="336"/>
      <c r="W38" s="357"/>
      <c r="X38" s="336"/>
      <c r="Y38" s="357"/>
      <c r="Z38" s="336"/>
      <c r="AA38" s="357"/>
      <c r="AB38" s="336"/>
      <c r="AC38" s="357"/>
      <c r="AD38" s="336"/>
      <c r="AE38" s="357"/>
      <c r="AF38" s="336"/>
      <c r="AG38" s="365"/>
      <c r="AH38" s="336"/>
      <c r="AI38" s="370">
        <f t="shared" ca="1" si="2"/>
        <v>106786.35880253183</v>
      </c>
      <c r="AJ38" s="336"/>
      <c r="AK38" s="383"/>
      <c r="AL38"/>
    </row>
    <row r="39" spans="1:38" ht="16.5" customHeight="1">
      <c r="A39" s="338" t="s">
        <v>634</v>
      </c>
      <c r="B39" s="214" t="s">
        <v>635</v>
      </c>
      <c r="C39" s="215"/>
      <c r="D39" s="397">
        <f ca="1">'Cost Summary'!D39*($D$85+1)</f>
        <v>5319.3981770422743</v>
      </c>
      <c r="E39" s="216"/>
      <c r="F39" s="484"/>
      <c r="G39" s="336"/>
      <c r="H39" s="397">
        <f ca="1">'Cost Summary'!H39*(1+$H$85)</f>
        <v>616.07514693768371</v>
      </c>
      <c r="I39" s="216"/>
      <c r="J39" s="395"/>
      <c r="K39" s="336"/>
      <c r="L39" s="397">
        <f ca="1">'Cost Summary'!L39*(1+$L$85)</f>
        <v>2398.1751886460897</v>
      </c>
      <c r="M39" s="216">
        <f t="shared" ca="1" si="3"/>
        <v>0.20535838231256121</v>
      </c>
      <c r="N39" s="395">
        <f t="shared" ca="1" si="4"/>
        <v>2.5454423035560714E-4</v>
      </c>
      <c r="O39" s="336"/>
      <c r="P39" s="397">
        <f ca="1">'Cost Summary'!P39*(1+$P$85)</f>
        <v>2305.1478414584999</v>
      </c>
      <c r="Q39" s="216">
        <f t="shared" ca="1" si="5"/>
        <v>0.20535838231256123</v>
      </c>
      <c r="R39" s="395">
        <f t="shared" ca="1" si="6"/>
        <v>3.5086487515385145E-4</v>
      </c>
      <c r="S39" s="336"/>
      <c r="T39" s="357">
        <f t="shared" ca="1" si="0"/>
        <v>5319.3981770422733</v>
      </c>
      <c r="U39" s="357">
        <f t="shared" ca="1" si="1"/>
        <v>0</v>
      </c>
      <c r="V39" s="336"/>
      <c r="W39" s="357"/>
      <c r="X39" s="336"/>
      <c r="Y39" s="357"/>
      <c r="Z39" s="336"/>
      <c r="AA39" s="357"/>
      <c r="AB39" s="336"/>
      <c r="AC39" s="357"/>
      <c r="AD39" s="336"/>
      <c r="AE39" s="357"/>
      <c r="AF39" s="336"/>
      <c r="AG39" s="365"/>
      <c r="AH39" s="336"/>
      <c r="AI39" s="370">
        <f t="shared" ca="1" si="2"/>
        <v>5319.3981770422743</v>
      </c>
      <c r="AJ39" s="336"/>
      <c r="AK39" s="383"/>
      <c r="AL39"/>
    </row>
    <row r="40" spans="1:38" ht="16.5" customHeight="1">
      <c r="A40" s="338" t="s">
        <v>636</v>
      </c>
      <c r="B40" s="214" t="s">
        <v>637</v>
      </c>
      <c r="C40" s="215"/>
      <c r="D40" s="397">
        <f ca="1">'Cost Summary'!D40*($D$85+1)</f>
        <v>35274.922725784425</v>
      </c>
      <c r="E40" s="216"/>
      <c r="F40" s="484"/>
      <c r="G40" s="336"/>
      <c r="H40" s="397">
        <f ca="1">'Cost Summary'!H40*(1+$H$85)</f>
        <v>0</v>
      </c>
      <c r="I40" s="216"/>
      <c r="J40" s="395"/>
      <c r="K40" s="336"/>
      <c r="L40" s="397">
        <f ca="1">'Cost Summary'!L40*(1+$L$85)</f>
        <v>17986.313914845676</v>
      </c>
      <c r="M40" s="216">
        <f t="shared" ca="1" si="3"/>
        <v>1.5401878673442093</v>
      </c>
      <c r="N40" s="395">
        <f t="shared" ca="1" si="4"/>
        <v>1.9090817276670538E-3</v>
      </c>
      <c r="O40" s="336"/>
      <c r="P40" s="397">
        <f ca="1">'Cost Summary'!P40*(1+$P$85)</f>
        <v>17288.608810938749</v>
      </c>
      <c r="Q40" s="216">
        <f t="shared" ca="1" si="5"/>
        <v>1.5401878673442093</v>
      </c>
      <c r="R40" s="395">
        <f t="shared" ca="1" si="6"/>
        <v>2.6314865636538859E-3</v>
      </c>
      <c r="S40" s="336"/>
      <c r="T40" s="357">
        <f t="shared" ca="1" si="0"/>
        <v>35274.922725784425</v>
      </c>
      <c r="U40" s="357">
        <f ca="1">D40-T40</f>
        <v>0</v>
      </c>
      <c r="V40" s="336"/>
      <c r="W40" s="357"/>
      <c r="X40" s="336"/>
      <c r="Y40" s="357"/>
      <c r="Z40" s="336"/>
      <c r="AA40" s="357"/>
      <c r="AB40" s="336"/>
      <c r="AC40" s="357"/>
      <c r="AD40" s="336"/>
      <c r="AE40" s="357"/>
      <c r="AF40" s="336"/>
      <c r="AG40" s="365"/>
      <c r="AH40" s="336"/>
      <c r="AI40" s="370">
        <f t="shared" ca="1" si="2"/>
        <v>35274.922725784425</v>
      </c>
      <c r="AJ40" s="336"/>
      <c r="AK40" s="383"/>
      <c r="AL40"/>
    </row>
    <row r="41" spans="1:38" ht="16.5" customHeight="1">
      <c r="A41" s="338" t="s">
        <v>190</v>
      </c>
      <c r="B41" s="309" t="s">
        <v>191</v>
      </c>
      <c r="C41" s="215"/>
      <c r="D41" s="397">
        <f ca="1">'Cost Summary'!D41*($D$85+1)</f>
        <v>452969.25178593193</v>
      </c>
      <c r="E41" s="216"/>
      <c r="F41" s="484"/>
      <c r="G41" s="336"/>
      <c r="H41" s="397">
        <f ca="1">'Cost Summary'!H41*(1+$H$85)</f>
        <v>0</v>
      </c>
      <c r="I41" s="216"/>
      <c r="J41" s="395"/>
      <c r="K41" s="336"/>
      <c r="L41" s="397">
        <f ca="1">'Cost Summary'!L41*(1+$L$85)</f>
        <v>452969.25178593193</v>
      </c>
      <c r="M41" s="216">
        <f t="shared" ca="1" si="3"/>
        <v>38.788255847399547</v>
      </c>
      <c r="N41" s="395">
        <f t="shared" ca="1" si="4"/>
        <v>4.8078518248576854E-2</v>
      </c>
      <c r="O41" s="336"/>
      <c r="P41" s="397">
        <f ca="1">'Cost Summary'!P41*(1+$P$85)</f>
        <v>0</v>
      </c>
      <c r="Q41" s="216">
        <f t="shared" ca="1" si="5"/>
        <v>0</v>
      </c>
      <c r="R41" s="395">
        <f t="shared" ca="1" si="6"/>
        <v>0</v>
      </c>
      <c r="S41" s="336"/>
      <c r="T41" s="357">
        <f t="shared" ca="1" si="0"/>
        <v>452969.25178593193</v>
      </c>
      <c r="U41" s="357">
        <f t="shared" ref="U41:U43" ca="1" si="7">D41-T41</f>
        <v>0</v>
      </c>
      <c r="V41" s="336"/>
      <c r="W41" s="357"/>
      <c r="X41" s="336"/>
      <c r="Y41" s="357"/>
      <c r="Z41" s="336"/>
      <c r="AA41" s="357"/>
      <c r="AB41" s="336"/>
      <c r="AC41" s="357"/>
      <c r="AD41" s="336"/>
      <c r="AE41" s="357"/>
      <c r="AF41" s="336"/>
      <c r="AG41" s="365"/>
      <c r="AH41" s="336"/>
      <c r="AI41" s="370">
        <f t="shared" ca="1" si="2"/>
        <v>452969.25178593193</v>
      </c>
      <c r="AJ41" s="336"/>
      <c r="AK41" s="383"/>
      <c r="AL41"/>
    </row>
    <row r="42" spans="1:38" ht="16.5" customHeight="1">
      <c r="A42" s="338" t="s">
        <v>195</v>
      </c>
      <c r="B42" s="309" t="s">
        <v>196</v>
      </c>
      <c r="C42" s="215"/>
      <c r="D42" s="397">
        <f ca="1">'Cost Summary'!D42*($D$85+1)</f>
        <v>303073.03457643569</v>
      </c>
      <c r="E42" s="216"/>
      <c r="F42" s="484"/>
      <c r="G42" s="336"/>
      <c r="H42" s="397">
        <f ca="1">'Cost Summary'!H42*(1+$H$85)</f>
        <v>303073.03457643569</v>
      </c>
      <c r="I42" s="216"/>
      <c r="J42" s="395"/>
      <c r="K42" s="336"/>
      <c r="L42" s="397">
        <f ca="1">'Cost Summary'!L42*(1+$L$85)</f>
        <v>0</v>
      </c>
      <c r="M42" s="216">
        <f t="shared" ca="1" si="3"/>
        <v>0</v>
      </c>
      <c r="N42" s="395">
        <f t="shared" ca="1" si="4"/>
        <v>0</v>
      </c>
      <c r="O42" s="336"/>
      <c r="P42" s="397">
        <f ca="1">'Cost Summary'!P42*(1+$P$85)</f>
        <v>0</v>
      </c>
      <c r="Q42" s="216"/>
      <c r="R42" s="395"/>
      <c r="S42" s="336"/>
      <c r="T42" s="357">
        <f t="shared" ca="1" si="0"/>
        <v>303073.03457643569</v>
      </c>
      <c r="U42" s="357">
        <f t="shared" ca="1" si="7"/>
        <v>0</v>
      </c>
      <c r="V42" s="336"/>
      <c r="W42" s="357"/>
      <c r="X42" s="336"/>
      <c r="Y42" s="357"/>
      <c r="Z42" s="336"/>
      <c r="AA42" s="357"/>
      <c r="AB42" s="336"/>
      <c r="AC42" s="357"/>
      <c r="AD42" s="336"/>
      <c r="AE42" s="357"/>
      <c r="AF42" s="336"/>
      <c r="AG42" s="365"/>
      <c r="AH42" s="336"/>
      <c r="AI42" s="370"/>
      <c r="AJ42" s="336"/>
      <c r="AK42" s="383"/>
      <c r="AL42"/>
    </row>
    <row r="43" spans="1:38" ht="16.5" customHeight="1">
      <c r="A43" s="338" t="s">
        <v>200</v>
      </c>
      <c r="B43" s="214" t="s">
        <v>201</v>
      </c>
      <c r="C43" s="215"/>
      <c r="D43" s="397">
        <f ca="1">'Cost Summary'!D43*($D$85+1)</f>
        <v>133482.94850316481</v>
      </c>
      <c r="E43" s="216"/>
      <c r="F43" s="484"/>
      <c r="G43" s="336"/>
      <c r="H43" s="397">
        <f ca="1">'Cost Summary'!H43*(1+$H$85)</f>
        <v>0</v>
      </c>
      <c r="I43" s="216"/>
      <c r="J43" s="395"/>
      <c r="K43" s="336"/>
      <c r="L43" s="397">
        <f ca="1">'Cost Summary'!L43*(1+$L$85)</f>
        <v>0</v>
      </c>
      <c r="M43" s="216">
        <f t="shared" ca="1" si="3"/>
        <v>0</v>
      </c>
      <c r="N43" s="395">
        <f t="shared" ca="1" si="4"/>
        <v>0</v>
      </c>
      <c r="O43" s="336"/>
      <c r="P43" s="397">
        <f ca="1">'Cost Summary'!P43*(1+$P$85)</f>
        <v>133482.94850316481</v>
      </c>
      <c r="Q43" s="216">
        <f t="shared" ref="Q43" ca="1" si="8">P43/$R$7</f>
        <v>11.891576704068134</v>
      </c>
      <c r="R43" s="395">
        <f t="shared" ca="1" si="6"/>
        <v>2.0317342436525918E-2</v>
      </c>
      <c r="S43" s="336"/>
      <c r="T43" s="357">
        <f t="shared" ca="1" si="0"/>
        <v>133482.94850316481</v>
      </c>
      <c r="U43" s="357">
        <f t="shared" ca="1" si="7"/>
        <v>0</v>
      </c>
      <c r="V43" s="336"/>
      <c r="W43" s="357"/>
      <c r="X43" s="336"/>
      <c r="Y43" s="357"/>
      <c r="Z43" s="336"/>
      <c r="AA43" s="357"/>
      <c r="AB43" s="336"/>
      <c r="AC43" s="357"/>
      <c r="AD43" s="336"/>
      <c r="AE43" s="357"/>
      <c r="AF43" s="336"/>
      <c r="AG43" s="365"/>
      <c r="AH43" s="336"/>
      <c r="AI43" s="370">
        <f t="shared" ref="AI43:AI54" ca="1" si="9">D43-AG43</f>
        <v>133482.94850316481</v>
      </c>
      <c r="AJ43" s="336"/>
      <c r="AK43" s="383"/>
      <c r="AL43"/>
    </row>
    <row r="44" spans="1:38" ht="16.5" customHeight="1">
      <c r="A44" s="338" t="s">
        <v>205</v>
      </c>
      <c r="B44" s="214" t="s">
        <v>206</v>
      </c>
      <c r="C44" s="215"/>
      <c r="D44" s="397">
        <f ca="1">'Cost Summary'!D44*($D$85+1)</f>
        <v>85711.968213661021</v>
      </c>
      <c r="E44" s="216"/>
      <c r="F44" s="484"/>
      <c r="G44" s="336"/>
      <c r="H44" s="397">
        <f ca="1">'Cost Summary'!H44*(1+$H$85)</f>
        <v>3403.8151868307023</v>
      </c>
      <c r="I44" s="216"/>
      <c r="J44" s="395"/>
      <c r="K44" s="336"/>
      <c r="L44" s="397">
        <f ca="1">'Cost Summary'!L44*(1+$L$85)</f>
        <v>41968.065801306577</v>
      </c>
      <c r="M44" s="216">
        <f t="shared" ca="1" si="3"/>
        <v>3.5937716904698216</v>
      </c>
      <c r="N44" s="395">
        <f t="shared" ca="1" si="4"/>
        <v>4.4545240312231253E-3</v>
      </c>
      <c r="O44" s="336"/>
      <c r="P44" s="397">
        <f ca="1">'Cost Summary'!P44*(1+$P$85)</f>
        <v>40340.087225523748</v>
      </c>
      <c r="Q44" s="216">
        <f t="shared" ca="1" si="5"/>
        <v>3.5937716904698216</v>
      </c>
      <c r="R44" s="395">
        <f t="shared" ca="1" si="6"/>
        <v>6.1401353151924005E-3</v>
      </c>
      <c r="S44" s="336"/>
      <c r="T44" s="357">
        <f t="shared" ca="1" si="0"/>
        <v>85711.968213661021</v>
      </c>
      <c r="U44" s="357">
        <f t="shared" ca="1" si="1"/>
        <v>0</v>
      </c>
      <c r="V44" s="336"/>
      <c r="W44" s="357"/>
      <c r="X44" s="336"/>
      <c r="Y44" s="357"/>
      <c r="Z44" s="336"/>
      <c r="AA44" s="357"/>
      <c r="AB44" s="336"/>
      <c r="AC44" s="357"/>
      <c r="AD44" s="336"/>
      <c r="AE44" s="357"/>
      <c r="AF44" s="336"/>
      <c r="AG44" s="365"/>
      <c r="AH44" s="336"/>
      <c r="AI44" s="370">
        <f t="shared" ca="1" si="9"/>
        <v>85711.968213661021</v>
      </c>
      <c r="AJ44" s="336"/>
      <c r="AK44" s="383"/>
      <c r="AL44"/>
    </row>
    <row r="45" spans="1:38" ht="16.5" customHeight="1">
      <c r="A45" s="338" t="s">
        <v>210</v>
      </c>
      <c r="B45" s="214" t="s">
        <v>211</v>
      </c>
      <c r="C45" s="215"/>
      <c r="D45" s="397">
        <f ca="1">'Cost Summary'!D45*($D$85+1)</f>
        <v>545226.50503985002</v>
      </c>
      <c r="E45" s="216"/>
      <c r="F45" s="484"/>
      <c r="G45" s="336"/>
      <c r="H45" s="397">
        <f ca="1">'Cost Summary'!H45*(1+$H$85)</f>
        <v>35937.716904698216</v>
      </c>
      <c r="I45" s="216"/>
      <c r="J45" s="395"/>
      <c r="K45" s="336"/>
      <c r="L45" s="397">
        <f ca="1">'Cost Summary'!L45*(1+$L$85)</f>
        <v>338841.33081572602</v>
      </c>
      <c r="M45" s="216">
        <f t="shared" ca="1" si="3"/>
        <v>29.015356295232575</v>
      </c>
      <c r="N45" s="395">
        <f t="shared" ca="1" si="4"/>
        <v>3.5964889543308079E-2</v>
      </c>
      <c r="O45" s="336"/>
      <c r="P45" s="397">
        <f ca="1">'Cost Summary'!P45*(1+$P$85)</f>
        <v>170447.45731942583</v>
      </c>
      <c r="Q45" s="216">
        <f t="shared" ca="1" si="5"/>
        <v>15.184628714425463</v>
      </c>
      <c r="R45" s="395">
        <f t="shared" ca="1" si="6"/>
        <v>2.5943683418948479E-2</v>
      </c>
      <c r="S45" s="336"/>
      <c r="T45" s="357">
        <f t="shared" ca="1" si="0"/>
        <v>545226.50503985002</v>
      </c>
      <c r="U45" s="357">
        <f t="shared" ca="1" si="1"/>
        <v>0</v>
      </c>
      <c r="V45" s="336"/>
      <c r="W45" s="357"/>
      <c r="X45" s="336"/>
      <c r="Y45" s="357"/>
      <c r="Z45" s="336"/>
      <c r="AA45" s="357"/>
      <c r="AB45" s="336"/>
      <c r="AC45" s="357"/>
      <c r="AD45" s="336"/>
      <c r="AE45" s="357"/>
      <c r="AF45" s="336"/>
      <c r="AG45" s="365"/>
      <c r="AH45" s="336"/>
      <c r="AI45" s="370">
        <f t="shared" ca="1" si="9"/>
        <v>545226.50503985002</v>
      </c>
      <c r="AJ45" s="336"/>
      <c r="AK45" s="383"/>
      <c r="AL45"/>
    </row>
    <row r="46" spans="1:38" ht="16.5" customHeight="1">
      <c r="A46" s="338" t="s">
        <v>215</v>
      </c>
      <c r="B46" s="214" t="s">
        <v>216</v>
      </c>
      <c r="C46" s="215"/>
      <c r="D46" s="397">
        <f ca="1">'Cost Summary'!D46*($D$85+1)</f>
        <v>1600768.5901264148</v>
      </c>
      <c r="E46" s="216"/>
      <c r="F46" s="484"/>
      <c r="G46" s="336"/>
      <c r="H46" s="397">
        <f ca="1">'Cost Summary'!H46*(1+$H$85)</f>
        <v>43125.260285637858</v>
      </c>
      <c r="I46" s="216"/>
      <c r="J46" s="395"/>
      <c r="K46" s="336"/>
      <c r="L46" s="397">
        <f ca="1">'Cost Summary'!L46*(1+$L$85)</f>
        <v>1117149.599780333</v>
      </c>
      <c r="M46" s="216">
        <f t="shared" ca="1" si="3"/>
        <v>95.662750452160722</v>
      </c>
      <c r="N46" s="395">
        <f t="shared" ca="1" si="4"/>
        <v>0.11857515097914906</v>
      </c>
      <c r="O46" s="336"/>
      <c r="P46" s="397">
        <f ca="1">'Cost Summary'!P46*(1+$P$85)</f>
        <v>440493.73006044381</v>
      </c>
      <c r="Q46" s="216">
        <f t="shared" ca="1" si="5"/>
        <v>39.242203123424837</v>
      </c>
      <c r="R46" s="395">
        <f t="shared" ca="1" si="6"/>
        <v>6.7047230040535519E-2</v>
      </c>
      <c r="S46" s="336"/>
      <c r="T46" s="357">
        <f t="shared" ca="1" si="0"/>
        <v>1600768.5901264146</v>
      </c>
      <c r="U46" s="357">
        <f t="shared" ca="1" si="1"/>
        <v>0</v>
      </c>
      <c r="V46" s="336"/>
      <c r="W46" s="357"/>
      <c r="X46" s="336"/>
      <c r="Y46" s="357"/>
      <c r="Z46" s="336"/>
      <c r="AA46" s="357"/>
      <c r="AB46" s="336"/>
      <c r="AC46" s="357"/>
      <c r="AD46" s="336"/>
      <c r="AE46" s="357"/>
      <c r="AF46" s="336"/>
      <c r="AG46" s="365"/>
      <c r="AH46" s="336"/>
      <c r="AI46" s="370">
        <f t="shared" ca="1" si="9"/>
        <v>1600768.5901264148</v>
      </c>
      <c r="AJ46" s="336"/>
      <c r="AK46" s="383"/>
      <c r="AL46"/>
    </row>
    <row r="47" spans="1:38" ht="16.5" customHeight="1">
      <c r="A47" s="338" t="s">
        <v>219</v>
      </c>
      <c r="B47" s="214" t="s">
        <v>220</v>
      </c>
      <c r="C47" s="215"/>
      <c r="D47" s="397">
        <f ca="1">'Cost Summary'!D47*($D$85+1)</f>
        <v>1730944.878493421</v>
      </c>
      <c r="E47" s="216"/>
      <c r="F47" s="484"/>
      <c r="G47" s="336"/>
      <c r="H47" s="397">
        <f ca="1">'Cost Summary'!H47*(1+$H$85)</f>
        <v>285054.75662938302</v>
      </c>
      <c r="I47" s="216"/>
      <c r="J47" s="395"/>
      <c r="K47" s="336"/>
      <c r="L47" s="397">
        <f ca="1">'Cost Summary'!L47*(1+$L$85)</f>
        <v>743018.2010581271</v>
      </c>
      <c r="M47" s="216">
        <f t="shared" ca="1" si="3"/>
        <v>63.625466780110216</v>
      </c>
      <c r="N47" s="395">
        <f t="shared" ca="1" si="4"/>
        <v>7.8864545436033898E-2</v>
      </c>
      <c r="O47" s="336"/>
      <c r="P47" s="397">
        <f ca="1">'Cost Summary'!P47*(1+$P$85)</f>
        <v>702871.92080591084</v>
      </c>
      <c r="Q47" s="216">
        <f t="shared" ca="1" si="5"/>
        <v>62.616652187608985</v>
      </c>
      <c r="R47" s="395">
        <f t="shared" ca="1" si="6"/>
        <v>0.10698362348276892</v>
      </c>
      <c r="S47" s="336"/>
      <c r="T47" s="357">
        <f t="shared" ca="1" si="0"/>
        <v>1730944.878493421</v>
      </c>
      <c r="U47" s="357">
        <f t="shared" ca="1" si="1"/>
        <v>0</v>
      </c>
      <c r="V47" s="336"/>
      <c r="W47" s="357"/>
      <c r="X47" s="336"/>
      <c r="Y47" s="357"/>
      <c r="Z47" s="336"/>
      <c r="AA47" s="357"/>
      <c r="AB47" s="336"/>
      <c r="AC47" s="357"/>
      <c r="AD47" s="336"/>
      <c r="AE47" s="357"/>
      <c r="AF47" s="336"/>
      <c r="AG47" s="365"/>
      <c r="AH47" s="336"/>
      <c r="AI47" s="370">
        <f t="shared" ca="1" si="9"/>
        <v>1730944.878493421</v>
      </c>
      <c r="AJ47" s="336"/>
      <c r="AK47" s="383"/>
      <c r="AL47"/>
    </row>
    <row r="48" spans="1:38" ht="16.5" customHeight="1">
      <c r="A48" s="338" t="s">
        <v>638</v>
      </c>
      <c r="B48" s="476" t="s">
        <v>639</v>
      </c>
      <c r="C48" s="215"/>
      <c r="D48" s="397">
        <f ca="1">'Cost Summary'!D48*($D$85+1)</f>
        <v>245784.72005865624</v>
      </c>
      <c r="E48" s="216"/>
      <c r="F48" s="484"/>
      <c r="G48" s="336"/>
      <c r="H48" s="397">
        <f ca="1">'Cost Summary'!H48*(1+$H$85)</f>
        <v>19189.714035197285</v>
      </c>
      <c r="I48" s="216"/>
      <c r="J48" s="395"/>
      <c r="K48" s="336"/>
      <c r="L48" s="397">
        <f ca="1">'Cost Summary'!L48*(1+$L$85)</f>
        <v>98772.247932784143</v>
      </c>
      <c r="M48" s="216">
        <f t="shared" ca="1" si="3"/>
        <v>8.4579763600602966</v>
      </c>
      <c r="N48" s="395">
        <f t="shared" ca="1" si="4"/>
        <v>1.0483765301874308E-2</v>
      </c>
      <c r="O48" s="336"/>
      <c r="P48" s="397">
        <f ca="1">'Cost Summary'!P48*(1+$P$85)</f>
        <v>127822.75809067483</v>
      </c>
      <c r="Q48" s="216">
        <f t="shared" ca="1" si="5"/>
        <v>11.387328114982168</v>
      </c>
      <c r="R48" s="395">
        <f t="shared" ca="1" si="6"/>
        <v>1.9455808973592462E-2</v>
      </c>
      <c r="S48" s="336"/>
      <c r="T48" s="357">
        <f t="shared" ca="1" si="0"/>
        <v>245784.72005865624</v>
      </c>
      <c r="U48" s="357">
        <f t="shared" ca="1" si="1"/>
        <v>0</v>
      </c>
      <c r="V48" s="336"/>
      <c r="W48" s="357"/>
      <c r="X48" s="336"/>
      <c r="Y48" s="357"/>
      <c r="Z48" s="336"/>
      <c r="AA48" s="357"/>
      <c r="AB48" s="336"/>
      <c r="AC48" s="357"/>
      <c r="AD48" s="336"/>
      <c r="AE48" s="357"/>
      <c r="AF48" s="336"/>
      <c r="AG48" s="365"/>
      <c r="AH48" s="336"/>
      <c r="AI48" s="370">
        <f t="shared" ca="1" si="9"/>
        <v>245784.72005865624</v>
      </c>
      <c r="AJ48" s="336"/>
      <c r="AK48" s="383"/>
      <c r="AL48"/>
    </row>
    <row r="49" spans="1:38" ht="16.5" customHeight="1">
      <c r="A49" s="338" t="s">
        <v>224</v>
      </c>
      <c r="B49" s="214" t="s">
        <v>225</v>
      </c>
      <c r="C49" s="215"/>
      <c r="D49" s="397">
        <f ca="1">'Cost Summary'!D49*($D$85+1)</f>
        <v>2138400.9421883463</v>
      </c>
      <c r="E49" s="216"/>
      <c r="F49" s="484"/>
      <c r="G49" s="336"/>
      <c r="H49" s="397">
        <f ca="1">'Cost Summary'!H49*(1+$H$85)</f>
        <v>1168780.8042613573</v>
      </c>
      <c r="I49" s="504"/>
      <c r="J49" s="395"/>
      <c r="K49" s="336"/>
      <c r="L49" s="397">
        <f ca="1">'Cost Summary'!L49*(1+$L$85)</f>
        <v>564735.55135954334</v>
      </c>
      <c r="M49" s="216">
        <f t="shared" ca="1" si="3"/>
        <v>48.358927158720959</v>
      </c>
      <c r="N49" s="395">
        <f t="shared" ca="1" si="4"/>
        <v>5.9941482572180134E-2</v>
      </c>
      <c r="O49" s="336"/>
      <c r="P49" s="397">
        <f ca="1">'Cost Summary'!P49*(1+$P$85)</f>
        <v>404884.58656744572</v>
      </c>
      <c r="Q49" s="216">
        <f t="shared" ca="1" si="5"/>
        <v>36.069896353447277</v>
      </c>
      <c r="R49" s="395">
        <f t="shared" ca="1" si="6"/>
        <v>6.162718822746846E-2</v>
      </c>
      <c r="S49" s="336"/>
      <c r="T49" s="357">
        <f t="shared" ca="1" si="0"/>
        <v>2138400.9421883463</v>
      </c>
      <c r="U49" s="357">
        <f t="shared" ca="1" si="1"/>
        <v>0</v>
      </c>
      <c r="V49" s="336"/>
      <c r="W49" s="357"/>
      <c r="X49" s="336"/>
      <c r="Y49" s="357"/>
      <c r="Z49" s="336"/>
      <c r="AA49" s="357"/>
      <c r="AB49" s="336"/>
      <c r="AC49" s="357"/>
      <c r="AD49" s="336"/>
      <c r="AE49" s="357"/>
      <c r="AF49" s="336"/>
      <c r="AG49" s="365"/>
      <c r="AH49" s="336"/>
      <c r="AI49" s="370">
        <f t="shared" ca="1" si="9"/>
        <v>2138400.9421883463</v>
      </c>
      <c r="AJ49" s="336"/>
      <c r="AK49" s="383"/>
      <c r="AL49"/>
    </row>
    <row r="50" spans="1:38" ht="16.5" customHeight="1">
      <c r="A50" s="338" t="s">
        <v>640</v>
      </c>
      <c r="B50" s="214" t="s">
        <v>641</v>
      </c>
      <c r="C50" s="215"/>
      <c r="D50" s="397">
        <f ca="1">'Cost Summary'!D50*($D$85+1)</f>
        <v>289576.88169085415</v>
      </c>
      <c r="E50" s="216"/>
      <c r="F50" s="484"/>
      <c r="G50" s="336"/>
      <c r="H50" s="397">
        <f ca="1">'Cost Summary'!H50*(1+$H$85)</f>
        <v>173204.39360197194</v>
      </c>
      <c r="I50" s="216"/>
      <c r="J50" s="395"/>
      <c r="K50" s="336"/>
      <c r="L50" s="397">
        <f ca="1">'Cost Summary'!L50*(1+$L$85)</f>
        <v>67702.551480805181</v>
      </c>
      <c r="M50" s="216">
        <f t="shared" ca="1" si="3"/>
        <v>5.7974440384316823</v>
      </c>
      <c r="N50" s="395">
        <f t="shared" ca="1" si="4"/>
        <v>7.1860028997804901E-3</v>
      </c>
      <c r="O50" s="336"/>
      <c r="P50" s="397">
        <f ca="1">'Cost Summary'!P50*(1+$P$85)</f>
        <v>48669.936608077012</v>
      </c>
      <c r="Q50" s="216">
        <f t="shared" ca="1" si="5"/>
        <v>4.3358518136371504</v>
      </c>
      <c r="R50" s="395">
        <f t="shared" ca="1" si="6"/>
        <v>7.4080156268563728E-3</v>
      </c>
      <c r="S50" s="336"/>
      <c r="T50" s="357">
        <f t="shared" ca="1" si="0"/>
        <v>289576.88169085415</v>
      </c>
      <c r="U50" s="357">
        <f t="shared" ca="1" si="1"/>
        <v>0</v>
      </c>
      <c r="V50" s="336"/>
      <c r="W50" s="357"/>
      <c r="X50" s="336"/>
      <c r="Y50" s="357"/>
      <c r="Z50" s="336"/>
      <c r="AA50" s="357"/>
      <c r="AB50" s="336"/>
      <c r="AC50" s="357"/>
      <c r="AD50" s="336"/>
      <c r="AE50" s="357"/>
      <c r="AF50" s="336"/>
      <c r="AG50" s="365"/>
      <c r="AH50" s="336"/>
      <c r="AI50" s="370">
        <f t="shared" ca="1" si="9"/>
        <v>289576.88169085415</v>
      </c>
      <c r="AJ50" s="336"/>
      <c r="AK50" s="383"/>
      <c r="AL50"/>
    </row>
    <row r="51" spans="1:38" ht="16.5" customHeight="1">
      <c r="A51" s="338" t="s">
        <v>642</v>
      </c>
      <c r="B51" s="214" t="s">
        <v>643</v>
      </c>
      <c r="C51" s="215" t="s">
        <v>609</v>
      </c>
      <c r="D51" s="397"/>
      <c r="E51" s="216"/>
      <c r="F51" s="484"/>
      <c r="G51" s="336"/>
      <c r="H51" s="397"/>
      <c r="I51" s="216"/>
      <c r="J51" s="395"/>
      <c r="K51" s="336"/>
      <c r="L51" s="397"/>
      <c r="M51" s="216"/>
      <c r="N51" s="395"/>
      <c r="O51" s="336"/>
      <c r="P51" s="397"/>
      <c r="Q51" s="216"/>
      <c r="R51" s="395"/>
      <c r="S51" s="336"/>
      <c r="T51" s="357"/>
      <c r="U51" s="357"/>
      <c r="V51" s="336"/>
      <c r="W51" s="357"/>
      <c r="X51" s="336"/>
      <c r="Y51" s="357"/>
      <c r="Z51" s="336"/>
      <c r="AA51" s="357"/>
      <c r="AB51" s="336"/>
      <c r="AC51" s="357"/>
      <c r="AD51" s="336"/>
      <c r="AE51" s="357"/>
      <c r="AF51" s="336"/>
      <c r="AG51" s="365"/>
      <c r="AH51" s="336"/>
      <c r="AI51" s="370">
        <f t="shared" si="9"/>
        <v>0</v>
      </c>
      <c r="AJ51" s="336"/>
      <c r="AK51" s="383"/>
      <c r="AL51"/>
    </row>
    <row r="52" spans="1:38" ht="16.5" customHeight="1">
      <c r="A52" s="338" t="s">
        <v>644</v>
      </c>
      <c r="B52" s="214" t="s">
        <v>645</v>
      </c>
      <c r="C52" s="215"/>
      <c r="D52" s="397">
        <f ca="1">'Cost Summary'!D52*($D$85+1)</f>
        <v>502614.6407099936</v>
      </c>
      <c r="E52" s="216"/>
      <c r="F52" s="484"/>
      <c r="G52" s="336"/>
      <c r="H52" s="397">
        <f ca="1">'Cost Summary'!H52*(1+$H$85)</f>
        <v>189443.10768333773</v>
      </c>
      <c r="I52" s="216"/>
      <c r="J52" s="395"/>
      <c r="K52" s="336"/>
      <c r="L52" s="397">
        <f ca="1">'Cost Summary'!L52*(1+$L$85)</f>
        <v>164800.10180583037</v>
      </c>
      <c r="M52" s="216">
        <f t="shared" ca="1" si="3"/>
        <v>14.112014198135842</v>
      </c>
      <c r="N52" s="395">
        <f t="shared" ca="1" si="4"/>
        <v>1.7492014459699837E-2</v>
      </c>
      <c r="O52" s="336"/>
      <c r="P52" s="397">
        <f ca="1">'Cost Summary'!P52*(1+$P$85)</f>
        <v>148371.4312208255</v>
      </c>
      <c r="Q52" s="216">
        <f t="shared" ca="1" si="5"/>
        <v>13.217944874906504</v>
      </c>
      <c r="R52" s="395">
        <f t="shared" ca="1" si="6"/>
        <v>2.2583507554446117E-2</v>
      </c>
      <c r="S52" s="336"/>
      <c r="T52" s="357">
        <f t="shared" ref="T52:T61" ca="1" si="10">H52+L52+P52+W52+Y52+AA52+AC52+AE52</f>
        <v>502614.64070999366</v>
      </c>
      <c r="U52" s="357">
        <f t="shared" ca="1" si="1"/>
        <v>0</v>
      </c>
      <c r="V52" s="336"/>
      <c r="W52" s="357"/>
      <c r="X52" s="336"/>
      <c r="Y52" s="357"/>
      <c r="Z52" s="336"/>
      <c r="AA52" s="357"/>
      <c r="AB52" s="336"/>
      <c r="AC52" s="357"/>
      <c r="AD52" s="336"/>
      <c r="AE52" s="357"/>
      <c r="AF52" s="336"/>
      <c r="AG52" s="365"/>
      <c r="AH52" s="336"/>
      <c r="AI52" s="370">
        <f t="shared" ca="1" si="9"/>
        <v>502614.6407099936</v>
      </c>
      <c r="AJ52" s="336"/>
      <c r="AK52" s="383"/>
      <c r="AL52"/>
    </row>
    <row r="53" spans="1:38" ht="16.5" customHeight="1">
      <c r="A53" s="338" t="s">
        <v>646</v>
      </c>
      <c r="B53" s="214" t="s">
        <v>647</v>
      </c>
      <c r="C53" s="215"/>
      <c r="D53" s="397">
        <f ca="1">'Cost Summary'!D53*($D$85+1)</f>
        <v>74006.027025889256</v>
      </c>
      <c r="E53" s="216"/>
      <c r="F53" s="484"/>
      <c r="G53" s="336"/>
      <c r="H53" s="397">
        <f ca="1">'Cost Summary'!H53*(1+$H$85)</f>
        <v>74006.027025889256</v>
      </c>
      <c r="I53" s="216"/>
      <c r="J53" s="395"/>
      <c r="K53" s="336"/>
      <c r="L53" s="397">
        <f ca="1">'Cost Summary'!L53*(1+$L$85)</f>
        <v>0</v>
      </c>
      <c r="M53" s="216">
        <f t="shared" ca="1" si="3"/>
        <v>0</v>
      </c>
      <c r="N53" s="395">
        <f t="shared" ca="1" si="4"/>
        <v>0</v>
      </c>
      <c r="O53" s="336"/>
      <c r="P53" s="397">
        <f ca="1">'Cost Summary'!P53*(1+$P$85)</f>
        <v>0</v>
      </c>
      <c r="Q53" s="216">
        <f t="shared" ca="1" si="5"/>
        <v>0</v>
      </c>
      <c r="R53" s="395">
        <f t="shared" ca="1" si="6"/>
        <v>0</v>
      </c>
      <c r="S53" s="336"/>
      <c r="T53" s="357">
        <f t="shared" ca="1" si="10"/>
        <v>74006.027025889256</v>
      </c>
      <c r="U53" s="357">
        <f t="shared" ca="1" si="1"/>
        <v>0</v>
      </c>
      <c r="V53" s="336"/>
      <c r="W53" s="357"/>
      <c r="X53" s="336"/>
      <c r="Y53" s="357"/>
      <c r="Z53" s="336"/>
      <c r="AA53" s="357"/>
      <c r="AB53" s="336"/>
      <c r="AC53" s="357"/>
      <c r="AD53" s="336"/>
      <c r="AE53" s="357"/>
      <c r="AF53" s="336"/>
      <c r="AG53" s="365"/>
      <c r="AH53" s="336"/>
      <c r="AI53" s="370">
        <f t="shared" ca="1" si="9"/>
        <v>74006.027025889256</v>
      </c>
      <c r="AJ53" s="336"/>
      <c r="AK53" s="383"/>
      <c r="AL53"/>
    </row>
    <row r="54" spans="1:38" ht="16.5" customHeight="1">
      <c r="A54" s="338" t="s">
        <v>229</v>
      </c>
      <c r="B54" s="214" t="s">
        <v>230</v>
      </c>
      <c r="C54" s="215"/>
      <c r="D54" s="397">
        <f ca="1">'Cost Summary'!D54*($D$85+1)</f>
        <v>3029036.1391102779</v>
      </c>
      <c r="E54" s="216"/>
      <c r="F54" s="484"/>
      <c r="G54" s="336"/>
      <c r="H54" s="397">
        <f ca="1">'Cost Summary'!H54*(1+$H$85)</f>
        <v>3029036.1391102779</v>
      </c>
      <c r="I54" s="216"/>
      <c r="J54" s="395"/>
      <c r="K54" s="336"/>
      <c r="L54" s="397">
        <f ca="1">'Cost Summary'!L54*(1+$L$85)</f>
        <v>0</v>
      </c>
      <c r="M54" s="216">
        <f t="shared" ca="1" si="3"/>
        <v>0</v>
      </c>
      <c r="N54" s="395">
        <f t="shared" ca="1" si="4"/>
        <v>0</v>
      </c>
      <c r="O54" s="336"/>
      <c r="P54" s="397">
        <f ca="1">'Cost Summary'!P54*(1+$P$85)</f>
        <v>0</v>
      </c>
      <c r="Q54" s="216">
        <f ca="1">P54/$R$7</f>
        <v>0</v>
      </c>
      <c r="R54" s="395">
        <f t="shared" ca="1" si="6"/>
        <v>0</v>
      </c>
      <c r="S54" s="336"/>
      <c r="T54" s="357">
        <f t="shared" ca="1" si="10"/>
        <v>3029036.1391102779</v>
      </c>
      <c r="U54" s="357">
        <f ca="1">D54-T54</f>
        <v>0</v>
      </c>
      <c r="V54" s="336"/>
      <c r="W54" s="357"/>
      <c r="X54" s="336"/>
      <c r="Y54" s="357"/>
      <c r="Z54" s="336"/>
      <c r="AA54" s="357"/>
      <c r="AB54" s="336"/>
      <c r="AC54" s="357"/>
      <c r="AD54" s="336"/>
      <c r="AE54" s="357"/>
      <c r="AF54" s="336"/>
      <c r="AG54" s="366"/>
      <c r="AH54" s="336"/>
      <c r="AI54" s="370">
        <f t="shared" ca="1" si="9"/>
        <v>3029036.1391102779</v>
      </c>
      <c r="AJ54" s="336"/>
      <c r="AK54" s="383"/>
      <c r="AL54"/>
    </row>
    <row r="55" spans="1:38" ht="16.5" customHeight="1">
      <c r="A55" s="469"/>
      <c r="B55" s="214" t="s">
        <v>648</v>
      </c>
      <c r="C55" s="215"/>
      <c r="D55" s="397">
        <f ca="1">'Cost Summary'!D55*($D$85+1)</f>
        <v>157481.429347375</v>
      </c>
      <c r="E55" s="216"/>
      <c r="F55" s="484"/>
      <c r="G55" s="336"/>
      <c r="H55" s="397"/>
      <c r="I55" s="216"/>
      <c r="J55" s="395"/>
      <c r="K55" s="336"/>
      <c r="L55" s="397"/>
      <c r="M55" s="216"/>
      <c r="N55" s="395"/>
      <c r="O55" s="336"/>
      <c r="P55" s="397"/>
      <c r="Q55" s="216"/>
      <c r="R55" s="395"/>
      <c r="S55" s="336"/>
      <c r="T55" s="357">
        <f t="shared" ca="1" si="10"/>
        <v>157481.429347375</v>
      </c>
      <c r="U55" s="357">
        <f t="shared" ref="U55:U59" ca="1" si="11">D55-T55</f>
        <v>0</v>
      </c>
      <c r="V55" s="336"/>
      <c r="W55" s="357">
        <f ca="1">'Cost Summary'!W55*(1+$W$85)</f>
        <v>157481.429347375</v>
      </c>
      <c r="X55" s="336"/>
      <c r="Y55" s="357"/>
      <c r="Z55" s="336"/>
      <c r="AA55" s="357"/>
      <c r="AB55" s="336"/>
      <c r="AC55" s="357"/>
      <c r="AD55" s="336"/>
      <c r="AE55" s="357"/>
      <c r="AF55" s="336"/>
      <c r="AG55" s="366"/>
      <c r="AH55" s="336"/>
      <c r="AI55" s="370"/>
      <c r="AJ55" s="336"/>
      <c r="AK55" s="383"/>
      <c r="AL55"/>
    </row>
    <row r="56" spans="1:38" ht="16.5" customHeight="1">
      <c r="A56" s="469"/>
      <c r="B56" s="214" t="s">
        <v>649</v>
      </c>
      <c r="C56" s="215"/>
      <c r="D56" s="397">
        <f ca="1">'Cost Summary'!D56*($D$85+1)</f>
        <v>1653555.0081474376</v>
      </c>
      <c r="E56" s="216"/>
      <c r="F56" s="484"/>
      <c r="G56" s="336"/>
      <c r="H56" s="397"/>
      <c r="I56" s="216"/>
      <c r="J56" s="395"/>
      <c r="K56" s="336"/>
      <c r="L56" s="397"/>
      <c r="M56" s="216"/>
      <c r="N56" s="395"/>
      <c r="O56" s="336"/>
      <c r="P56" s="397"/>
      <c r="Q56" s="216"/>
      <c r="R56" s="395"/>
      <c r="S56" s="336"/>
      <c r="T56" s="357">
        <f t="shared" ca="1" si="10"/>
        <v>1653555.0081474376</v>
      </c>
      <c r="U56" s="357">
        <f t="shared" ca="1" si="11"/>
        <v>0</v>
      </c>
      <c r="V56" s="336"/>
      <c r="W56" s="357"/>
      <c r="X56" s="336">
        <v>14901.05</v>
      </c>
      <c r="Y56" s="357">
        <f ca="1">'Cost Summary'!Y56*(1+$Y$85)</f>
        <v>1653555.0081474376</v>
      </c>
      <c r="Z56" s="336"/>
      <c r="AA56" s="357"/>
      <c r="AB56" s="336"/>
      <c r="AC56" s="357"/>
      <c r="AD56" s="336"/>
      <c r="AE56" s="357"/>
      <c r="AF56" s="336"/>
      <c r="AG56" s="366"/>
      <c r="AH56" s="336"/>
      <c r="AI56" s="370"/>
      <c r="AJ56" s="336"/>
      <c r="AK56" s="383"/>
      <c r="AL56"/>
    </row>
    <row r="57" spans="1:38" ht="16.5" customHeight="1">
      <c r="A57" s="469"/>
      <c r="B57" s="214" t="s">
        <v>650</v>
      </c>
      <c r="C57" s="215"/>
      <c r="D57" s="397">
        <f ca="1">'Cost Summary'!D57*($D$85+1)</f>
        <v>1968517.8668421877</v>
      </c>
      <c r="E57" s="216"/>
      <c r="F57" s="484"/>
      <c r="G57" s="336"/>
      <c r="H57" s="397"/>
      <c r="I57" s="216"/>
      <c r="J57" s="395"/>
      <c r="K57" s="336"/>
      <c r="L57" s="397"/>
      <c r="M57" s="216"/>
      <c r="N57" s="395"/>
      <c r="O57" s="336"/>
      <c r="P57" s="397"/>
      <c r="Q57" s="216"/>
      <c r="R57" s="395"/>
      <c r="S57" s="336"/>
      <c r="T57" s="357">
        <f t="shared" ca="1" si="10"/>
        <v>1968517.8668421877</v>
      </c>
      <c r="U57" s="357">
        <f t="shared" ca="1" si="11"/>
        <v>0</v>
      </c>
      <c r="V57" s="336"/>
      <c r="W57" s="357"/>
      <c r="X57" s="336"/>
      <c r="Y57" s="357"/>
      <c r="Z57" s="336"/>
      <c r="AA57" s="357">
        <f ca="1">'Cost Summary'!AA57*(1+$AA$85)</f>
        <v>1968517.8668421877</v>
      </c>
      <c r="AB57" s="336"/>
      <c r="AC57" s="357"/>
      <c r="AD57" s="336"/>
      <c r="AE57" s="357"/>
      <c r="AF57" s="336"/>
      <c r="AG57" s="366"/>
      <c r="AH57" s="336"/>
      <c r="AI57" s="370"/>
      <c r="AJ57" s="336"/>
      <c r="AK57" s="383"/>
      <c r="AL57"/>
    </row>
    <row r="58" spans="1:38" ht="16.5" customHeight="1">
      <c r="A58" s="469"/>
      <c r="B58" s="214" t="s">
        <v>651</v>
      </c>
      <c r="C58" s="215"/>
      <c r="D58" s="397">
        <f ca="1">'Cost Summary'!D58*($D$85+1)</f>
        <v>1968517.8668421877</v>
      </c>
      <c r="E58" s="216"/>
      <c r="F58" s="484"/>
      <c r="G58" s="336"/>
      <c r="H58" s="397"/>
      <c r="I58" s="216"/>
      <c r="J58" s="395"/>
      <c r="K58" s="336"/>
      <c r="L58" s="397"/>
      <c r="M58" s="216"/>
      <c r="N58" s="395"/>
      <c r="O58" s="336"/>
      <c r="P58" s="397"/>
      <c r="Q58" s="216"/>
      <c r="R58" s="395"/>
      <c r="S58" s="336"/>
      <c r="T58" s="357">
        <f t="shared" ca="1" si="10"/>
        <v>1968517.8668421877</v>
      </c>
      <c r="U58" s="357">
        <f ca="1">D58-T58</f>
        <v>0</v>
      </c>
      <c r="V58" s="336"/>
      <c r="W58" s="357"/>
      <c r="X58" s="336"/>
      <c r="Y58" s="357"/>
      <c r="Z58" s="336"/>
      <c r="AA58" s="357"/>
      <c r="AB58" s="336"/>
      <c r="AC58" s="357">
        <f ca="1">'Cost Summary'!AC58*(1+$AC$85)</f>
        <v>1968517.8668421877</v>
      </c>
      <c r="AD58" s="336"/>
      <c r="AE58" s="357"/>
      <c r="AF58" s="336"/>
      <c r="AG58" s="366"/>
      <c r="AH58" s="336"/>
      <c r="AI58" s="370"/>
      <c r="AJ58" s="336"/>
      <c r="AK58" s="383"/>
      <c r="AL58"/>
    </row>
    <row r="59" spans="1:38" ht="16.5" customHeight="1">
      <c r="A59" s="469"/>
      <c r="B59" s="214" t="s">
        <v>652</v>
      </c>
      <c r="C59" s="215"/>
      <c r="D59" s="397">
        <f ca="1">'Cost Summary'!D59*($D$85+1)</f>
        <v>1811036.4374948125</v>
      </c>
      <c r="E59" s="216"/>
      <c r="F59" s="484"/>
      <c r="G59" s="336"/>
      <c r="H59" s="397"/>
      <c r="I59" s="216"/>
      <c r="J59" s="395"/>
      <c r="K59" s="336"/>
      <c r="L59" s="397"/>
      <c r="M59" s="216"/>
      <c r="N59" s="395"/>
      <c r="O59" s="336"/>
      <c r="P59" s="397"/>
      <c r="Q59" s="216"/>
      <c r="R59" s="395"/>
      <c r="S59" s="336"/>
      <c r="T59" s="357">
        <f t="shared" ca="1" si="10"/>
        <v>1811036.4374948125</v>
      </c>
      <c r="U59" s="357">
        <f t="shared" ca="1" si="11"/>
        <v>0</v>
      </c>
      <c r="V59" s="336"/>
      <c r="W59" s="357"/>
      <c r="X59" s="336"/>
      <c r="Y59" s="357"/>
      <c r="Z59" s="336"/>
      <c r="AA59" s="357"/>
      <c r="AB59" s="336"/>
      <c r="AC59" s="357"/>
      <c r="AD59" s="336"/>
      <c r="AE59" s="357">
        <f ca="1">'Cost Summary'!AE59*(1+$AE$85)</f>
        <v>1811036.4374948125</v>
      </c>
      <c r="AF59" s="336"/>
      <c r="AG59" s="366"/>
      <c r="AH59" s="336"/>
      <c r="AI59" s="370"/>
      <c r="AJ59" s="336"/>
      <c r="AK59" s="383"/>
      <c r="AL59"/>
    </row>
    <row r="60" spans="1:38" ht="16.5" customHeight="1">
      <c r="A60" s="340"/>
      <c r="B60" s="735" t="s">
        <v>653</v>
      </c>
      <c r="C60" s="736"/>
      <c r="D60" s="485">
        <f ca="1">SUM(D13:D59)</f>
        <v>26101551.579806596</v>
      </c>
      <c r="E60" s="228">
        <f ca="1">D60/F7</f>
        <v>174.08810321814809</v>
      </c>
      <c r="F60" s="486">
        <f ca="1">D60/$D$76</f>
        <v>0.78740721132298142</v>
      </c>
      <c r="G60" s="231"/>
      <c r="H60" s="493">
        <f ca="1">SUM(H13:H54)</f>
        <v>5950738.7982073426</v>
      </c>
      <c r="I60" s="471"/>
      <c r="J60" s="494"/>
      <c r="K60" s="231"/>
      <c r="L60" s="493">
        <f ca="1">SUM(L13:L54)</f>
        <v>7418515.9683945924</v>
      </c>
      <c r="M60" s="471">
        <f ca="1">SUM(M13:M59)</f>
        <v>635.25569176182478</v>
      </c>
      <c r="N60" s="494">
        <f ca="1">SUM(N13:N54)</f>
        <v>0.78740721132298153</v>
      </c>
      <c r="O60" s="231"/>
      <c r="P60" s="493">
        <f ca="1">SUM(P13:P54)</f>
        <v>5173188.2045306619</v>
      </c>
      <c r="Q60" s="471">
        <f ca="1">SUM(Q13:Q54)</f>
        <v>460.8630917176535</v>
      </c>
      <c r="R60" s="494">
        <f ca="1">SUM(R13:R54)</f>
        <v>0.7874072113229813</v>
      </c>
      <c r="S60" s="231"/>
      <c r="T60" s="468">
        <f t="shared" ca="1" si="10"/>
        <v>26101551.579806596</v>
      </c>
      <c r="U60" s="358">
        <f ca="1">D60-T60</f>
        <v>0</v>
      </c>
      <c r="V60" s="231"/>
      <c r="W60" s="468">
        <f ca="1">SUM(W13:W59)</f>
        <v>157481.429347375</v>
      </c>
      <c r="X60" s="231"/>
      <c r="Y60" s="468">
        <f ca="1">SUM(Y13:Y59)</f>
        <v>1653555.0081474376</v>
      </c>
      <c r="Z60" s="231"/>
      <c r="AA60" s="468">
        <f ca="1">SUM(AA13:AA59)</f>
        <v>1968517.8668421877</v>
      </c>
      <c r="AB60" s="231"/>
      <c r="AC60" s="358">
        <f ca="1">SUM(AC13:AC59)</f>
        <v>1968517.8668421877</v>
      </c>
      <c r="AD60" s="231"/>
      <c r="AE60" s="358">
        <f ca="1">SUM(AE13:AE59)</f>
        <v>1811036.4374948125</v>
      </c>
      <c r="AF60" s="231"/>
      <c r="AG60" s="358">
        <f>SUM(AG13:AG54)</f>
        <v>0</v>
      </c>
      <c r="AH60" s="231"/>
      <c r="AI60" s="358">
        <f ca="1">D60-AG60</f>
        <v>26101551.579806596</v>
      </c>
      <c r="AJ60" s="380"/>
      <c r="AK60" s="358"/>
      <c r="AL60" s="231"/>
    </row>
    <row r="61" spans="1:38" ht="16.5" customHeight="1">
      <c r="A61" s="341"/>
      <c r="B61" s="219"/>
      <c r="C61" s="220" t="s">
        <v>654</v>
      </c>
      <c r="D61" s="552">
        <f ca="1">$D$60*AL61</f>
        <v>652538.78949516499</v>
      </c>
      <c r="E61" s="322">
        <f ca="1">D61/$F$7</f>
        <v>4.352202580453703</v>
      </c>
      <c r="F61" s="484">
        <f ca="1">D61/$D$76</f>
        <v>1.968518028307454E-2</v>
      </c>
      <c r="G61" s="336"/>
      <c r="H61" s="398">
        <f ca="1">$H$60*$AL$61</f>
        <v>148768.46995518357</v>
      </c>
      <c r="I61" s="322"/>
      <c r="J61" s="484"/>
      <c r="K61" s="336"/>
      <c r="L61" s="398">
        <f ca="1">$L$60*$AL$61</f>
        <v>185462.89920986482</v>
      </c>
      <c r="M61" s="322">
        <f ca="1">L61/$N$7</f>
        <v>15.881392294045625</v>
      </c>
      <c r="N61" s="484">
        <f ca="1">L61/$L$76</f>
        <v>1.9685180283074543E-2</v>
      </c>
      <c r="O61" s="336"/>
      <c r="P61" s="398">
        <f ca="1">$P$60*$AL$61</f>
        <v>129329.70511326655</v>
      </c>
      <c r="Q61" s="322">
        <f ca="1">P61/$R$7</f>
        <v>11.521577292941341</v>
      </c>
      <c r="R61" s="484">
        <f ca="1">P61/$P$76</f>
        <v>1.9685180283074536E-2</v>
      </c>
      <c r="S61" s="336"/>
      <c r="T61" s="365">
        <f t="shared" ca="1" si="10"/>
        <v>652538.78949516488</v>
      </c>
      <c r="U61" s="357">
        <f t="shared" ref="U61" ca="1" si="12">D61-T61</f>
        <v>0</v>
      </c>
      <c r="V61" s="336"/>
      <c r="W61" s="359">
        <f ca="1">W60*$AL$61</f>
        <v>3937.0357336843754</v>
      </c>
      <c r="X61" s="336"/>
      <c r="Y61" s="359">
        <f ca="1">Y60*$AL$61</f>
        <v>41338.875203685944</v>
      </c>
      <c r="Z61" s="336"/>
      <c r="AA61" s="359">
        <f ca="1">AA60*$AL$61</f>
        <v>49212.946671054699</v>
      </c>
      <c r="AB61" s="336"/>
      <c r="AC61" s="359">
        <f ca="1">AC60*$AL$61</f>
        <v>49212.946671054699</v>
      </c>
      <c r="AD61" s="336"/>
      <c r="AE61" s="359">
        <f ca="1">AE60*$AL$61</f>
        <v>45275.910937370318</v>
      </c>
      <c r="AF61" s="336"/>
      <c r="AG61" s="359"/>
      <c r="AH61" s="336"/>
      <c r="AI61" s="370">
        <f ca="1">D61-AG61</f>
        <v>652538.78949516499</v>
      </c>
      <c r="AJ61" s="336"/>
      <c r="AK61" s="383"/>
      <c r="AL61" s="232">
        <f>'Cost Summary'!AL61</f>
        <v>2.5000000000000001E-2</v>
      </c>
    </row>
    <row r="62" spans="1:38" ht="16.5" customHeight="1">
      <c r="A62" s="342"/>
      <c r="B62" s="217"/>
      <c r="C62" s="218" t="s">
        <v>655</v>
      </c>
      <c r="D62" s="399" t="s">
        <v>656</v>
      </c>
      <c r="E62" s="213"/>
      <c r="F62" s="487"/>
      <c r="G62" s="336"/>
      <c r="H62" s="399"/>
      <c r="I62" s="213"/>
      <c r="J62" s="487"/>
      <c r="K62" s="336"/>
      <c r="L62" s="399"/>
      <c r="M62" s="213"/>
      <c r="N62" s="487"/>
      <c r="O62" s="336"/>
      <c r="P62" s="399"/>
      <c r="Q62" s="213"/>
      <c r="R62" s="487"/>
      <c r="S62" s="336"/>
      <c r="T62" s="360"/>
      <c r="U62" s="360"/>
      <c r="V62" s="336"/>
      <c r="W62" s="360"/>
      <c r="X62" s="336"/>
      <c r="Y62" s="360"/>
      <c r="Z62" s="336"/>
      <c r="AA62" s="360"/>
      <c r="AB62" s="336"/>
      <c r="AC62" s="360"/>
      <c r="AD62" s="336"/>
      <c r="AE62" s="360"/>
      <c r="AF62" s="336"/>
      <c r="AG62" s="367"/>
      <c r="AH62" s="336"/>
      <c r="AI62" s="367"/>
      <c r="AJ62" s="336"/>
      <c r="AK62" s="367"/>
      <c r="AL62" s="232">
        <f>'Cost Summary'!AL62</f>
        <v>0</v>
      </c>
    </row>
    <row r="63" spans="1:38" ht="16.5" customHeight="1">
      <c r="A63" s="341"/>
      <c r="B63" s="219"/>
      <c r="C63" s="220" t="s">
        <v>657</v>
      </c>
      <c r="D63" s="552">
        <f ca="1">$D$60*AL63</f>
        <v>652538.78949516499</v>
      </c>
      <c r="E63" s="322">
        <f ca="1">D63/$F$7</f>
        <v>4.352202580453703</v>
      </c>
      <c r="F63" s="484">
        <f ca="1">D63/$D$76</f>
        <v>1.968518028307454E-2</v>
      </c>
      <c r="G63" s="336"/>
      <c r="H63" s="398">
        <f ca="1">$H$60*$AL$63</f>
        <v>148768.46995518357</v>
      </c>
      <c r="I63" s="322"/>
      <c r="J63" s="484"/>
      <c r="K63" s="336"/>
      <c r="L63" s="398">
        <f ca="1">$L$60*$AL$63</f>
        <v>185462.89920986482</v>
      </c>
      <c r="M63" s="322">
        <f ca="1">L63/$N$7</f>
        <v>15.881392294045625</v>
      </c>
      <c r="N63" s="484">
        <f ca="1">L63/$L$76</f>
        <v>1.9685180283074543E-2</v>
      </c>
      <c r="O63" s="336"/>
      <c r="P63" s="398">
        <f ca="1">$P$60*$AL$63</f>
        <v>129329.70511326655</v>
      </c>
      <c r="Q63" s="322">
        <f ca="1">P63/$R$7</f>
        <v>11.521577292941341</v>
      </c>
      <c r="R63" s="484">
        <f ca="1">P63/$P$76</f>
        <v>1.9685180283074536E-2</v>
      </c>
      <c r="S63" s="336"/>
      <c r="T63" s="365">
        <f ca="1">H63+L63+P63+W63+Y63+AA63+AC63+AE63</f>
        <v>652538.78949516488</v>
      </c>
      <c r="U63" s="365">
        <f ca="1">D63-T63</f>
        <v>0</v>
      </c>
      <c r="V63" s="336"/>
      <c r="W63" s="359">
        <f ca="1">W60*$AL$63</f>
        <v>3937.0357336843754</v>
      </c>
      <c r="X63" s="336"/>
      <c r="Y63" s="359">
        <f ca="1">Y60*$AL$63</f>
        <v>41338.875203685944</v>
      </c>
      <c r="Z63" s="336"/>
      <c r="AA63" s="359">
        <f ca="1">AA60*$AL$63</f>
        <v>49212.946671054699</v>
      </c>
      <c r="AB63" s="336"/>
      <c r="AC63" s="359">
        <f ca="1">AC60*$AL$63</f>
        <v>49212.946671054699</v>
      </c>
      <c r="AD63" s="336"/>
      <c r="AE63" s="359">
        <f ca="1">AE60*$AL$63</f>
        <v>45275.910937370318</v>
      </c>
      <c r="AF63" s="336"/>
      <c r="AG63" s="354"/>
      <c r="AH63" s="336"/>
      <c r="AI63" s="370">
        <f ca="1">D63-AG63</f>
        <v>652538.78949516499</v>
      </c>
      <c r="AJ63" s="336"/>
      <c r="AK63" s="383"/>
      <c r="AL63" s="232">
        <f>'Cost Summary'!AL63</f>
        <v>2.5000000000000001E-2</v>
      </c>
    </row>
    <row r="64" spans="1:38" ht="16.5" customHeight="1">
      <c r="A64" s="340"/>
      <c r="B64" s="735" t="s">
        <v>658</v>
      </c>
      <c r="C64" s="736"/>
      <c r="D64" s="488">
        <f ca="1">SUM(D60:D63)</f>
        <v>27406629.158796929</v>
      </c>
      <c r="E64" s="228">
        <f ca="1">SUM(E60:E63)</f>
        <v>182.7925083790555</v>
      </c>
      <c r="F64" s="486">
        <f ca="1">SUM(F60:F63)</f>
        <v>0.82677757188913048</v>
      </c>
      <c r="G64" s="231"/>
      <c r="H64" s="495">
        <f ca="1">SUM(H60:H63)</f>
        <v>6248275.7381177098</v>
      </c>
      <c r="I64" s="471"/>
      <c r="J64" s="494"/>
      <c r="K64" s="231"/>
      <c r="L64" s="495">
        <f ca="1">SUM(L60:L63)</f>
        <v>7789441.7668143213</v>
      </c>
      <c r="M64" s="471">
        <f ca="1">SUM(M60:M63)</f>
        <v>667.01847634991611</v>
      </c>
      <c r="N64" s="494">
        <f ca="1">SUM(N60:N63)</f>
        <v>0.82677757188913059</v>
      </c>
      <c r="O64" s="231"/>
      <c r="P64" s="495">
        <f ca="1">SUM(P60:P63)</f>
        <v>5431847.6147571951</v>
      </c>
      <c r="Q64" s="471">
        <f ca="1">SUM(Q60:Q63)</f>
        <v>483.90624630353619</v>
      </c>
      <c r="R64" s="494">
        <f ca="1">SUM(R60:R63)</f>
        <v>0.82677757188913037</v>
      </c>
      <c r="S64" s="231"/>
      <c r="T64" s="468">
        <f ca="1">H64+L64+P64+W64+Y64+AA64+AC64+AE64</f>
        <v>27406629.158796921</v>
      </c>
      <c r="U64" s="358">
        <f ca="1">D64-T64</f>
        <v>0</v>
      </c>
      <c r="V64" s="231"/>
      <c r="W64" s="358">
        <f ca="1">SUM(W60:W63)</f>
        <v>165355.50081474375</v>
      </c>
      <c r="X64" s="231"/>
      <c r="Y64" s="358">
        <f ca="1">SUM(Y60:Y63)</f>
        <v>1736232.7585548093</v>
      </c>
      <c r="Z64" s="231"/>
      <c r="AA64" s="358">
        <f ca="1">SUM(AA60:AA63)</f>
        <v>2066943.7601842971</v>
      </c>
      <c r="AB64" s="231"/>
      <c r="AC64" s="358">
        <f ca="1">SUM(AC60:AC63)</f>
        <v>2066943.7601842971</v>
      </c>
      <c r="AD64" s="231"/>
      <c r="AE64" s="358">
        <f ca="1">SUM(AE60:AE63)</f>
        <v>1901588.2593695531</v>
      </c>
      <c r="AF64" s="231"/>
      <c r="AG64" s="358">
        <f t="shared" ref="AG64:AI64" si="13">SUM(AG60:AG63)</f>
        <v>0</v>
      </c>
      <c r="AH64" s="231"/>
      <c r="AI64" s="371">
        <f t="shared" ca="1" si="13"/>
        <v>27406629.158796929</v>
      </c>
      <c r="AJ64" s="380"/>
      <c r="AK64" s="358"/>
      <c r="AL64" s="232"/>
    </row>
    <row r="65" spans="1:39" ht="16.5" customHeight="1">
      <c r="A65" s="343"/>
      <c r="B65" s="219"/>
      <c r="C65" s="220" t="s">
        <v>303</v>
      </c>
      <c r="D65" s="398">
        <f>'GCs &amp; GRs'!L160</f>
        <v>2991138.4497758439</v>
      </c>
      <c r="E65" s="322">
        <f>D65/$F$7</f>
        <v>19.949833924325159</v>
      </c>
      <c r="F65" s="484">
        <f ca="1">D65/$D$76</f>
        <v>9.0233868979692072E-2</v>
      </c>
      <c r="G65" s="336"/>
      <c r="H65" s="398">
        <f ca="1">H64/$D$64*$D$65</f>
        <v>681932.0134846468</v>
      </c>
      <c r="I65" s="322"/>
      <c r="J65" s="484"/>
      <c r="K65" s="336"/>
      <c r="L65" s="398">
        <f ca="1">L64/$D$64*$D$65</f>
        <v>850133.68977299542</v>
      </c>
      <c r="M65" s="322">
        <f ca="1">L65/$N$7</f>
        <v>72.797884036050306</v>
      </c>
      <c r="N65" s="484">
        <f ca="1">L65/$L$76</f>
        <v>9.0233868979692072E-2</v>
      </c>
      <c r="O65" s="336"/>
      <c r="P65" s="398">
        <f ca="1">P64/$D$64*$D$65</f>
        <v>592827.67536584812</v>
      </c>
      <c r="Q65" s="322">
        <f ca="1">P65/$R$7</f>
        <v>52.813155934596715</v>
      </c>
      <c r="R65" s="484">
        <f ca="1">P65/$P$76</f>
        <v>9.0233868979692072E-2</v>
      </c>
      <c r="S65" s="336"/>
      <c r="T65" s="365">
        <f ca="1">H65+L65+P65+W65+Y65+AA65+AC65+AE65</f>
        <v>2991138.4497758429</v>
      </c>
      <c r="U65" s="365">
        <f ca="1">D65-T65</f>
        <v>0</v>
      </c>
      <c r="V65" s="336"/>
      <c r="W65" s="359">
        <f ca="1">W64/$D$64*$D$65</f>
        <v>18046.772315674025</v>
      </c>
      <c r="X65" s="336"/>
      <c r="Y65" s="359">
        <f ca="1">Y64/$D$64*$D$65</f>
        <v>189491.10931457725</v>
      </c>
      <c r="Z65" s="336"/>
      <c r="AA65" s="359">
        <f ca="1">AA64/$D$64*$D$65</f>
        <v>225584.65394592535</v>
      </c>
      <c r="AB65" s="336"/>
      <c r="AC65" s="359">
        <f ca="1">AC64/$D$64*$D$65</f>
        <v>225584.65394592535</v>
      </c>
      <c r="AD65" s="336"/>
      <c r="AE65" s="359">
        <f ca="1">AE64/$D$64*$D$65</f>
        <v>207537.8816302513</v>
      </c>
      <c r="AF65" s="336"/>
      <c r="AG65" s="365"/>
      <c r="AH65" s="336"/>
      <c r="AI65" s="370">
        <f>D65-AG65</f>
        <v>2991138.4497758439</v>
      </c>
      <c r="AJ65" s="336"/>
      <c r="AK65" s="383"/>
      <c r="AL65" s="232">
        <f ca="1">'Cost Summary'!AL65</f>
        <v>9.0233868658414221E-2</v>
      </c>
    </row>
    <row r="66" spans="1:39" ht="16.5" customHeight="1">
      <c r="A66" s="344"/>
      <c r="B66" s="212"/>
      <c r="C66" s="218" t="s">
        <v>659</v>
      </c>
      <c r="D66" s="400">
        <f>'GCs &amp; GRs'!L161</f>
        <v>705899.49285714305</v>
      </c>
      <c r="E66" s="213">
        <f>D66/$F$7</f>
        <v>4.7080995701889714</v>
      </c>
      <c r="F66" s="487">
        <f ca="1">D66/$D$76</f>
        <v>2.129491610663355E-2</v>
      </c>
      <c r="G66" s="336"/>
      <c r="H66" s="400">
        <f ca="1">H64/$D$64*$D$66</f>
        <v>160933.86199423065</v>
      </c>
      <c r="I66" s="213"/>
      <c r="J66" s="487"/>
      <c r="K66" s="336"/>
      <c r="L66" s="400">
        <f ca="1">L64/$D$64*$D$66</f>
        <v>200628.94130377061</v>
      </c>
      <c r="M66" s="213">
        <f ca="1">L66/$N$7</f>
        <v>17.180077179634406</v>
      </c>
      <c r="N66" s="487">
        <f ca="1">L66/$L$76</f>
        <v>2.129491610663355E-2</v>
      </c>
      <c r="O66" s="336"/>
      <c r="P66" s="400">
        <f ca="1">P64/$D$64*$D$66</f>
        <v>139905.51170367654</v>
      </c>
      <c r="Q66" s="213">
        <f ca="1">P66/$R$7</f>
        <v>12.463742690750694</v>
      </c>
      <c r="R66" s="487">
        <f ca="1">P66/$P$76</f>
        <v>2.129491610663355E-2</v>
      </c>
      <c r="S66" s="336"/>
      <c r="T66" s="361">
        <f ca="1">H66+L66+P66+W66+Y66+AA66+AC66+AE66</f>
        <v>705899.49285714317</v>
      </c>
      <c r="U66" s="361">
        <f ca="1">D66-T66</f>
        <v>0</v>
      </c>
      <c r="V66" s="336"/>
      <c r="W66" s="361">
        <f ca="1">W64/$D$64*$D$66</f>
        <v>4258.9828719888574</v>
      </c>
      <c r="X66" s="336"/>
      <c r="Y66" s="361">
        <f ca="1">Y64/$D$64*$D$66</f>
        <v>44719.320155883004</v>
      </c>
      <c r="Z66" s="336"/>
      <c r="AA66" s="361">
        <f ca="1">AA64/$D$64*$D$66</f>
        <v>53237.285899860726</v>
      </c>
      <c r="AB66" s="336"/>
      <c r="AC66" s="361">
        <f ca="1">AC64/$D$64*$D$66</f>
        <v>53237.285899860726</v>
      </c>
      <c r="AD66" s="336"/>
      <c r="AE66" s="361">
        <f ca="1">AE64/$D$64*$D$66</f>
        <v>48978.303027871865</v>
      </c>
      <c r="AF66" s="336"/>
      <c r="AG66" s="361"/>
      <c r="AH66" s="336"/>
      <c r="AI66" s="372">
        <f>D66-AG66</f>
        <v>705899.49285714305</v>
      </c>
      <c r="AJ66" s="336"/>
      <c r="AK66" s="384"/>
      <c r="AL66" s="232">
        <f ca="1">'Cost Summary'!AL66</f>
        <v>2.1294916030812964E-2</v>
      </c>
    </row>
    <row r="67" spans="1:39" ht="16.5" hidden="1" customHeight="1">
      <c r="A67" s="345"/>
      <c r="B67" s="320"/>
      <c r="C67" s="321" t="s">
        <v>660</v>
      </c>
      <c r="D67" s="398"/>
      <c r="E67" s="322"/>
      <c r="F67" s="489"/>
      <c r="G67" s="336"/>
      <c r="H67" s="398"/>
      <c r="I67" s="322"/>
      <c r="J67" s="489"/>
      <c r="K67" s="336"/>
      <c r="L67" s="398"/>
      <c r="M67" s="322"/>
      <c r="N67" s="489"/>
      <c r="O67" s="336"/>
      <c r="P67" s="398"/>
      <c r="Q67" s="322"/>
      <c r="R67" s="489"/>
      <c r="S67" s="336"/>
      <c r="T67" s="365"/>
      <c r="U67" s="365"/>
      <c r="V67" s="336"/>
      <c r="W67" s="359"/>
      <c r="X67" s="336"/>
      <c r="Y67" s="359"/>
      <c r="Z67" s="336"/>
      <c r="AA67" s="359"/>
      <c r="AB67" s="336"/>
      <c r="AC67" s="359"/>
      <c r="AD67" s="336"/>
      <c r="AE67" s="359"/>
      <c r="AF67" s="336"/>
      <c r="AG67" s="368"/>
      <c r="AH67" s="336"/>
      <c r="AI67" s="368"/>
      <c r="AJ67" s="336"/>
      <c r="AK67" s="385"/>
      <c r="AL67" s="232"/>
    </row>
    <row r="68" spans="1:39" ht="16.5" customHeight="1">
      <c r="A68" s="346"/>
      <c r="B68" s="324"/>
      <c r="C68" s="323" t="s">
        <v>661</v>
      </c>
      <c r="D68" s="539" t="s">
        <v>656</v>
      </c>
      <c r="E68" s="322"/>
      <c r="F68" s="489"/>
      <c r="G68" s="540"/>
      <c r="H68" s="539"/>
      <c r="I68" s="322"/>
      <c r="J68" s="489"/>
      <c r="K68" s="540"/>
      <c r="L68" s="539"/>
      <c r="M68" s="322"/>
      <c r="N68" s="489"/>
      <c r="O68" s="540"/>
      <c r="P68" s="539"/>
      <c r="Q68" s="322"/>
      <c r="R68" s="489"/>
      <c r="S68" s="540"/>
      <c r="T68" s="541"/>
      <c r="U68" s="541"/>
      <c r="V68" s="540"/>
      <c r="W68" s="359"/>
      <c r="X68" s="540"/>
      <c r="Y68" s="359"/>
      <c r="Z68" s="540"/>
      <c r="AA68" s="359"/>
      <c r="AB68" s="540"/>
      <c r="AC68" s="359"/>
      <c r="AD68" s="540"/>
      <c r="AE68" s="359"/>
      <c r="AF68" s="336"/>
      <c r="AG68" s="361"/>
      <c r="AH68" s="336"/>
      <c r="AI68" s="372"/>
      <c r="AJ68" s="336"/>
      <c r="AK68" s="384"/>
      <c r="AL68" s="232"/>
    </row>
    <row r="69" spans="1:39" ht="16.5" hidden="1" customHeight="1">
      <c r="A69" s="346"/>
      <c r="B69" s="324"/>
      <c r="C69" s="323" t="s">
        <v>662</v>
      </c>
      <c r="D69" s="398"/>
      <c r="E69" s="322"/>
      <c r="F69" s="489"/>
      <c r="G69" s="336"/>
      <c r="H69" s="398"/>
      <c r="I69" s="322"/>
      <c r="J69" s="489"/>
      <c r="K69" s="336"/>
      <c r="L69" s="398"/>
      <c r="M69" s="322"/>
      <c r="N69" s="489"/>
      <c r="O69" s="336"/>
      <c r="P69" s="398"/>
      <c r="Q69" s="322"/>
      <c r="R69" s="489"/>
      <c r="S69" s="336"/>
      <c r="T69" s="365"/>
      <c r="U69" s="365"/>
      <c r="V69" s="336"/>
      <c r="W69" s="359"/>
      <c r="X69" s="336"/>
      <c r="Y69" s="359"/>
      <c r="Z69" s="336"/>
      <c r="AA69" s="359"/>
      <c r="AB69" s="336"/>
      <c r="AC69" s="359"/>
      <c r="AD69" s="336"/>
      <c r="AE69" s="359"/>
      <c r="AF69" s="336"/>
      <c r="AG69" s="359"/>
      <c r="AH69" s="336"/>
      <c r="AI69" s="373">
        <f>D69-AG69</f>
        <v>0</v>
      </c>
      <c r="AJ69" s="336"/>
      <c r="AK69" s="386"/>
      <c r="AL69" s="232">
        <f>'Cost Summary'!AL69</f>
        <v>1.4999999999999999E-2</v>
      </c>
    </row>
    <row r="70" spans="1:39" ht="16.5" hidden="1" customHeight="1">
      <c r="A70" s="347"/>
      <c r="B70" s="733" t="s">
        <v>663</v>
      </c>
      <c r="C70" s="734"/>
      <c r="D70" s="400"/>
      <c r="E70" s="213"/>
      <c r="F70" s="487"/>
      <c r="G70" s="336"/>
      <c r="H70" s="400"/>
      <c r="I70" s="213"/>
      <c r="J70" s="487"/>
      <c r="K70" s="336"/>
      <c r="L70" s="400"/>
      <c r="M70" s="213"/>
      <c r="N70" s="487"/>
      <c r="O70" s="336"/>
      <c r="P70" s="400"/>
      <c r="Q70" s="213"/>
      <c r="R70" s="487"/>
      <c r="S70" s="336"/>
      <c r="T70" s="361"/>
      <c r="U70" s="361"/>
      <c r="V70" s="336"/>
      <c r="W70" s="361"/>
      <c r="X70" s="336"/>
      <c r="Y70" s="361"/>
      <c r="Z70" s="336"/>
      <c r="AA70" s="361"/>
      <c r="AB70" s="336"/>
      <c r="AC70" s="361"/>
      <c r="AD70" s="336"/>
      <c r="AE70" s="361"/>
      <c r="AF70" s="336"/>
      <c r="AG70" s="361"/>
      <c r="AH70" s="336"/>
      <c r="AI70" s="372">
        <f>D70-AG70</f>
        <v>0</v>
      </c>
      <c r="AJ70" s="336"/>
      <c r="AK70" s="384"/>
      <c r="AL70" s="232">
        <f>'Cost Summary'!AL70</f>
        <v>2.5000000000000001E-3</v>
      </c>
    </row>
    <row r="71" spans="1:39" ht="16.5" hidden="1" customHeight="1">
      <c r="A71" s="346"/>
      <c r="B71" s="324"/>
      <c r="C71" s="323" t="s">
        <v>664</v>
      </c>
      <c r="D71" s="398"/>
      <c r="E71" s="322"/>
      <c r="F71" s="489"/>
      <c r="G71" s="336"/>
      <c r="H71" s="398"/>
      <c r="I71" s="322"/>
      <c r="J71" s="489"/>
      <c r="K71" s="336"/>
      <c r="L71" s="398"/>
      <c r="M71" s="322"/>
      <c r="N71" s="489"/>
      <c r="O71" s="336"/>
      <c r="P71" s="398"/>
      <c r="Q71" s="322"/>
      <c r="R71" s="489"/>
      <c r="S71" s="336"/>
      <c r="T71" s="365"/>
      <c r="U71" s="365"/>
      <c r="V71" s="336"/>
      <c r="W71" s="359"/>
      <c r="X71" s="336"/>
      <c r="Y71" s="359"/>
      <c r="Z71" s="336"/>
      <c r="AA71" s="359"/>
      <c r="AB71" s="336"/>
      <c r="AC71" s="359"/>
      <c r="AD71" s="336"/>
      <c r="AE71" s="359"/>
      <c r="AF71" s="336"/>
      <c r="AG71" s="359"/>
      <c r="AH71" s="336"/>
      <c r="AI71" s="373"/>
      <c r="AJ71" s="336"/>
      <c r="AK71" s="386"/>
      <c r="AL71" s="232">
        <f>'Cost Summary'!AL71</f>
        <v>6.0000000000000001E-3</v>
      </c>
    </row>
    <row r="72" spans="1:39" ht="16.5" customHeight="1">
      <c r="A72" s="347"/>
      <c r="B72" s="733" t="s">
        <v>665</v>
      </c>
      <c r="C72" s="734" t="s">
        <v>665</v>
      </c>
      <c r="D72" s="400">
        <f ca="1">'Cost Summary'!D72</f>
        <v>466555.00820753619</v>
      </c>
      <c r="E72" s="537">
        <f ca="1">'Cost Summary'!E72</f>
        <v>3.3055951722570778</v>
      </c>
      <c r="F72" s="487">
        <f ca="1">'Cost Summary'!F72</f>
        <v>1.4074595355383532E-2</v>
      </c>
      <c r="G72" s="336"/>
      <c r="H72" s="400">
        <f ca="1">'Cost Summary'!H72</f>
        <v>106367.12458834994</v>
      </c>
      <c r="I72" s="213"/>
      <c r="J72" s="487"/>
      <c r="K72" s="336"/>
      <c r="L72" s="400">
        <f ca="1">'Cost Summary'!L72</f>
        <v>132603.06644758175</v>
      </c>
      <c r="M72" s="213">
        <f ca="1">'Cost Summary'!M72</f>
        <v>11.354946604519759</v>
      </c>
      <c r="N72" s="487">
        <f ca="1">'Cost Summary'!N72</f>
        <v>1.407459535538353E-2</v>
      </c>
      <c r="O72" s="336"/>
      <c r="P72" s="400">
        <f ca="1">'Cost Summary'!P72</f>
        <v>92468.712361574304</v>
      </c>
      <c r="Q72" s="213">
        <f ca="1">'Cost Summary'!Q72</f>
        <v>8.2377472037037247</v>
      </c>
      <c r="R72" s="487">
        <f ca="1">'Cost Summary'!R72</f>
        <v>1.4074595355383534E-2</v>
      </c>
      <c r="S72" s="336"/>
      <c r="T72" s="361"/>
      <c r="U72" s="361"/>
      <c r="V72" s="336"/>
      <c r="W72" s="361">
        <f ca="1">'Cost Summary'!W72</f>
        <v>2814.918850208961</v>
      </c>
      <c r="X72" s="336"/>
      <c r="Y72" s="361">
        <f ca="1">'Cost Summary'!Y72</f>
        <v>29556.647927194092</v>
      </c>
      <c r="Z72" s="336"/>
      <c r="AA72" s="361">
        <f ca="1">'Cost Summary'!AA72</f>
        <v>35186.485627612019</v>
      </c>
      <c r="AB72" s="336"/>
      <c r="AC72" s="361">
        <f ca="1">'Cost Summary'!AC72</f>
        <v>35186.485627612019</v>
      </c>
      <c r="AD72" s="336"/>
      <c r="AE72" s="361">
        <f ca="1">'Cost Summary'!AE72</f>
        <v>32371.566777403055</v>
      </c>
      <c r="AF72" s="336"/>
      <c r="AG72" s="361"/>
      <c r="AH72" s="336"/>
      <c r="AI72" s="372">
        <f ca="1">D72-AG72</f>
        <v>466555.00820753619</v>
      </c>
      <c r="AJ72" s="336"/>
      <c r="AK72" s="384"/>
      <c r="AL72" s="232">
        <f>'Cost Summary'!AL72</f>
        <v>1.4999999999999999E-2</v>
      </c>
    </row>
    <row r="73" spans="1:39" ht="16.5" customHeight="1">
      <c r="A73" s="340"/>
      <c r="B73" s="735" t="s">
        <v>666</v>
      </c>
      <c r="C73" s="736"/>
      <c r="D73" s="488">
        <f ca="1">SUM(D64:D72)</f>
        <v>31570222.109637454</v>
      </c>
      <c r="E73" s="228">
        <f ca="1">SUM(E64:E72)</f>
        <v>210.75603704582673</v>
      </c>
      <c r="F73" s="486">
        <f ca="1">SUM(F64:F72)</f>
        <v>0.95238095233083975</v>
      </c>
      <c r="G73" s="231"/>
      <c r="H73" s="495">
        <f ca="1">SUM(H64:H72)</f>
        <v>7197508.7381849363</v>
      </c>
      <c r="I73" s="471"/>
      <c r="J73" s="494"/>
      <c r="K73" s="231"/>
      <c r="L73" s="495">
        <f ca="1">SUM(L64:L72)</f>
        <v>8972807.4643386696</v>
      </c>
      <c r="M73" s="471">
        <f ca="1">SUM(M64:M72)</f>
        <v>768.35138417012058</v>
      </c>
      <c r="N73" s="494">
        <f ca="1">SUM(N64:N72)</f>
        <v>0.95238095233083986</v>
      </c>
      <c r="O73" s="231"/>
      <c r="P73" s="495">
        <f ca="1">SUM(P64:P72)</f>
        <v>6257049.5141882943</v>
      </c>
      <c r="Q73" s="471">
        <f ca="1">SUM(Q64:Q72)</f>
        <v>557.42089213258737</v>
      </c>
      <c r="R73" s="494">
        <f ca="1">SUM(R64:R72)</f>
        <v>0.95238095233083964</v>
      </c>
      <c r="S73" s="231"/>
      <c r="T73" s="358">
        <f ca="1">H73+L73+P73+W73+Y73+AA73+AC73+AE73</f>
        <v>31570222.10963745</v>
      </c>
      <c r="U73" s="358">
        <f t="shared" ref="U73:U76" ca="1" si="14">D73-T73</f>
        <v>0</v>
      </c>
      <c r="V73" s="231"/>
      <c r="W73" s="358">
        <f ca="1">SUM(W64:W72)</f>
        <v>190476.17485261557</v>
      </c>
      <c r="X73" s="231"/>
      <c r="Y73" s="358">
        <f ca="1">SUM(Y64:Y72)</f>
        <v>1999999.8359524636</v>
      </c>
      <c r="Z73" s="231"/>
      <c r="AA73" s="358">
        <f ca="1">SUM(AA64:AA72)</f>
        <v>2380952.1856576954</v>
      </c>
      <c r="AB73" s="231"/>
      <c r="AC73" s="358">
        <f ca="1">SUM(AC64:AC72)</f>
        <v>2380952.1856576954</v>
      </c>
      <c r="AD73" s="231"/>
      <c r="AE73" s="358">
        <f ca="1">SUM(AE64:AE72)</f>
        <v>2190476.0108050792</v>
      </c>
      <c r="AF73" s="231"/>
      <c r="AG73" s="369">
        <f>SUM(AG64:AG72)</f>
        <v>0</v>
      </c>
      <c r="AH73" s="231"/>
      <c r="AI73" s="371">
        <f ca="1">SUM(AI64:AI72)</f>
        <v>31570222.109637454</v>
      </c>
      <c r="AJ73" s="380"/>
      <c r="AK73" s="358"/>
      <c r="AL73" s="232"/>
    </row>
    <row r="74" spans="1:39" ht="16.5" customHeight="1">
      <c r="A74" s="343"/>
      <c r="B74" s="220"/>
      <c r="C74" s="220" t="s">
        <v>667</v>
      </c>
      <c r="D74" s="398">
        <f ca="1">D73*$AL$74</f>
        <v>947106.66328912356</v>
      </c>
      <c r="E74" s="322">
        <f ca="1">D74/$F$7</f>
        <v>6.3168659553875637</v>
      </c>
      <c r="F74" s="489">
        <f ca="1">D74/$D$76</f>
        <v>2.8571428571428571E-2</v>
      </c>
      <c r="G74" s="336"/>
      <c r="H74" s="398">
        <f ca="1">H73*$AL$74</f>
        <v>215925.26214554807</v>
      </c>
      <c r="I74" s="322"/>
      <c r="J74" s="489"/>
      <c r="K74" s="336"/>
      <c r="L74" s="398">
        <f ca="1">L73*$AL$74</f>
        <v>269184.22393016005</v>
      </c>
      <c r="M74" s="322">
        <f ca="1">L74/$N$7</f>
        <v>23.050541525103618</v>
      </c>
      <c r="N74" s="489">
        <f ca="1">L74/$L$76</f>
        <v>2.8571428571428571E-2</v>
      </c>
      <c r="O74" s="336"/>
      <c r="P74" s="398">
        <f ca="1">P73*$AL$74</f>
        <v>187711.48542564883</v>
      </c>
      <c r="Q74" s="322">
        <f ca="1">P74/$R$7</f>
        <v>16.722626763977626</v>
      </c>
      <c r="R74" s="489">
        <f ca="1">P74/$P$76</f>
        <v>2.8571428571428571E-2</v>
      </c>
      <c r="S74" s="336"/>
      <c r="T74" s="365">
        <f ca="1">H74+L74+P74+W74+Y74+AA74+AC74+AE74</f>
        <v>947106.66328912345</v>
      </c>
      <c r="U74" s="365">
        <f t="shared" ca="1" si="14"/>
        <v>0</v>
      </c>
      <c r="V74" s="336"/>
      <c r="W74" s="359">
        <f ca="1">W73*$AL$74</f>
        <v>5714.2852455784669</v>
      </c>
      <c r="X74" s="336"/>
      <c r="Y74" s="359">
        <f ca="1">Y73*$AL$74</f>
        <v>59999.995078573906</v>
      </c>
      <c r="Z74" s="336"/>
      <c r="AA74" s="359">
        <f ca="1">AA73*$AL$74</f>
        <v>71428.565569730854</v>
      </c>
      <c r="AB74" s="336"/>
      <c r="AC74" s="359">
        <f ca="1">AC73*$AL$74</f>
        <v>71428.565569730854</v>
      </c>
      <c r="AD74" s="336"/>
      <c r="AE74" s="359">
        <f ca="1">AE73*$AL$74</f>
        <v>65714.28032415238</v>
      </c>
      <c r="AF74" s="336"/>
      <c r="AG74" s="365"/>
      <c r="AH74" s="336"/>
      <c r="AI74" s="370">
        <f ca="1">D74-AG74</f>
        <v>947106.66328912356</v>
      </c>
      <c r="AJ74" s="336"/>
      <c r="AK74" s="383"/>
      <c r="AL74" s="232">
        <f>'Cost Summary'!$AL$74</f>
        <v>0.03</v>
      </c>
    </row>
    <row r="75" spans="1:39" ht="16.5" customHeight="1">
      <c r="A75" s="343"/>
      <c r="B75" s="220"/>
      <c r="C75" s="220" t="s">
        <v>668</v>
      </c>
      <c r="D75" s="398">
        <f ca="1">D73*$AL$75</f>
        <v>631404.44219274912</v>
      </c>
      <c r="E75" s="322">
        <f ca="1">D75/$F$7</f>
        <v>4.2112439702583764</v>
      </c>
      <c r="F75" s="489">
        <f ca="1">D75/$D$76</f>
        <v>1.9047619047619049E-2</v>
      </c>
      <c r="G75" s="336"/>
      <c r="H75" s="398">
        <f ca="1">H73*$AL$75</f>
        <v>143950.17476369874</v>
      </c>
      <c r="I75" s="322"/>
      <c r="J75" s="489"/>
      <c r="K75" s="336"/>
      <c r="L75" s="398">
        <f ca="1">L73*$AL$75</f>
        <v>179456.14928677341</v>
      </c>
      <c r="M75" s="322">
        <f ca="1">L75/$N$7</f>
        <v>15.367027683402416</v>
      </c>
      <c r="N75" s="489">
        <f ca="1">L75/$L$76</f>
        <v>1.9047619047619049E-2</v>
      </c>
      <c r="O75" s="336"/>
      <c r="P75" s="398">
        <f ca="1">P73*$AL$75</f>
        <v>125140.99028376589</v>
      </c>
      <c r="Q75" s="322">
        <f ca="1">P75/$R$7</f>
        <v>11.14841784265175</v>
      </c>
      <c r="R75" s="489">
        <f ca="1">P75/$P$76</f>
        <v>1.9047619047619046E-2</v>
      </c>
      <c r="S75" s="336"/>
      <c r="T75" s="365">
        <f ca="1">H75+L75+P75+W75+Y75+AA75+AC75+AE75</f>
        <v>631404.442192749</v>
      </c>
      <c r="U75" s="365">
        <f t="shared" ca="1" si="14"/>
        <v>0</v>
      </c>
      <c r="V75" s="336"/>
      <c r="W75" s="359">
        <f ca="1">W73*$AL$75</f>
        <v>3809.5234970523115</v>
      </c>
      <c r="X75" s="336"/>
      <c r="Y75" s="359">
        <f ca="1">Y73*$AL$75</f>
        <v>39999.996719049275</v>
      </c>
      <c r="Z75" s="336"/>
      <c r="AA75" s="359">
        <f ca="1">AA73*$AL$75</f>
        <v>47619.043713153907</v>
      </c>
      <c r="AB75" s="336"/>
      <c r="AC75" s="359">
        <f ca="1">AC73*$AL$75</f>
        <v>47619.043713153907</v>
      </c>
      <c r="AD75" s="336"/>
      <c r="AE75" s="359">
        <f ca="1">AE73*$AL$75</f>
        <v>43809.520216101584</v>
      </c>
      <c r="AF75" s="336"/>
      <c r="AG75" s="365"/>
      <c r="AH75" s="336"/>
      <c r="AI75" s="370">
        <f ca="1">D75-AG75</f>
        <v>631404.44219274912</v>
      </c>
      <c r="AJ75" s="336"/>
      <c r="AK75" s="383"/>
      <c r="AL75" s="232">
        <f>'Cost Summary'!$AL$75</f>
        <v>0.02</v>
      </c>
    </row>
    <row r="76" spans="1:39" s="221" customFormat="1" ht="16.5" customHeight="1">
      <c r="A76" s="340"/>
      <c r="B76" s="735" t="s">
        <v>669</v>
      </c>
      <c r="C76" s="736"/>
      <c r="D76" s="488">
        <f ca="1">SUM(D73:D75)</f>
        <v>33148733.215119325</v>
      </c>
      <c r="E76" s="228">
        <f ca="1">SUM(E73:E74)</f>
        <v>217.07290300121429</v>
      </c>
      <c r="F76" s="486">
        <f ca="1">SUM(F73:F75)</f>
        <v>0.99999999994988742</v>
      </c>
      <c r="G76" s="231"/>
      <c r="H76" s="495">
        <f ca="1">SUM(H73:H75)</f>
        <v>7557384.1750941835</v>
      </c>
      <c r="I76" s="471"/>
      <c r="J76" s="494"/>
      <c r="K76" s="231"/>
      <c r="L76" s="495">
        <f ca="1">SUM(L73:L75)</f>
        <v>9421447.8375556022</v>
      </c>
      <c r="M76" s="471">
        <f ca="1">SUM(M73:M74)</f>
        <v>791.40192569522424</v>
      </c>
      <c r="N76" s="494">
        <f ca="1">SUM(N73:N75)</f>
        <v>0.99999999994988753</v>
      </c>
      <c r="O76" s="231"/>
      <c r="P76" s="495">
        <f ca="1">SUM(P73:P75)</f>
        <v>6569901.9898977093</v>
      </c>
      <c r="Q76" s="471">
        <f ca="1">SUM(Q73:Q74)</f>
        <v>574.14351889656496</v>
      </c>
      <c r="R76" s="494">
        <f ca="1">SUM(R73:R75)</f>
        <v>0.99999999994988731</v>
      </c>
      <c r="S76" s="231"/>
      <c r="T76" s="468">
        <f ca="1">H76+L76+P76+W76+Y76+AA76+AC76+AE76</f>
        <v>33148733.215119317</v>
      </c>
      <c r="U76" s="358">
        <f t="shared" ca="1" si="14"/>
        <v>0</v>
      </c>
      <c r="V76" s="231"/>
      <c r="W76" s="358">
        <f ca="1">SUM(W73:W75)</f>
        <v>199999.98359524636</v>
      </c>
      <c r="X76" s="231"/>
      <c r="Y76" s="358">
        <f ca="1">SUM(Y73:Y75)</f>
        <v>2099999.8277500868</v>
      </c>
      <c r="Z76" s="231"/>
      <c r="AA76" s="358">
        <f ca="1">SUM(AA73:AA75)</f>
        <v>2499999.7949405801</v>
      </c>
      <c r="AB76" s="231"/>
      <c r="AC76" s="358">
        <f ca="1">SUM(AC73:AC75)</f>
        <v>2499999.7949405801</v>
      </c>
      <c r="AD76" s="231"/>
      <c r="AE76" s="358">
        <f ca="1">SUM(AE73:AE75)</f>
        <v>2299999.8113453332</v>
      </c>
      <c r="AF76" s="231"/>
      <c r="AG76" s="369">
        <f>SUM(AG73:AG74)</f>
        <v>0</v>
      </c>
      <c r="AH76" s="231"/>
      <c r="AI76" s="371">
        <f ca="1">SUM(AI73:AI74)</f>
        <v>32517328.772926576</v>
      </c>
      <c r="AJ76" s="380"/>
      <c r="AK76" s="358"/>
      <c r="AL76" s="232"/>
    </row>
    <row r="77" spans="1:39">
      <c r="A77" s="348"/>
      <c r="B77" s="222"/>
      <c r="C77" s="524"/>
      <c r="D77" s="525"/>
      <c r="E77" s="500"/>
      <c r="F77" s="489"/>
      <c r="H77" s="398"/>
      <c r="I77" s="500"/>
      <c r="J77" s="489"/>
      <c r="L77" s="398"/>
      <c r="M77" s="500"/>
      <c r="N77" s="489"/>
      <c r="P77" s="398"/>
      <c r="Q77" s="500"/>
      <c r="R77" s="489"/>
      <c r="T77" s="363"/>
      <c r="U77" s="363"/>
      <c r="W77" s="363"/>
      <c r="Y77" s="363"/>
      <c r="AA77" s="363"/>
      <c r="AC77" s="363"/>
      <c r="AE77" s="363"/>
      <c r="AG77" s="354"/>
      <c r="AI77" s="354"/>
      <c r="AK77" s="383"/>
      <c r="AL77" s="232"/>
    </row>
    <row r="78" spans="1:39">
      <c r="A78" s="544"/>
      <c r="B78" s="739" t="s">
        <v>670</v>
      </c>
      <c r="C78" s="740" t="s">
        <v>670</v>
      </c>
      <c r="D78" s="653" t="s">
        <v>671</v>
      </c>
      <c r="E78" s="545"/>
      <c r="F78" s="546"/>
      <c r="G78" s="380"/>
      <c r="H78" s="547"/>
      <c r="I78" s="548"/>
      <c r="J78" s="549"/>
      <c r="K78" s="380"/>
      <c r="L78" s="547"/>
      <c r="M78" s="548"/>
      <c r="N78" s="549"/>
      <c r="O78" s="380"/>
      <c r="P78" s="547"/>
      <c r="Q78" s="548"/>
      <c r="R78" s="549"/>
      <c r="S78" s="380"/>
      <c r="T78" s="550"/>
      <c r="U78" s="551"/>
      <c r="V78" s="380"/>
      <c r="W78" s="551"/>
      <c r="X78" s="380"/>
      <c r="Y78" s="551"/>
      <c r="Z78" s="380"/>
      <c r="AA78" s="551"/>
      <c r="AB78" s="380"/>
      <c r="AC78" s="551"/>
      <c r="AD78" s="380"/>
      <c r="AE78" s="551"/>
      <c r="AG78" s="354"/>
      <c r="AI78" s="354"/>
      <c r="AK78" s="383"/>
      <c r="AL78" s="232"/>
    </row>
    <row r="79" spans="1:39" s="235" customFormat="1" ht="16.5" customHeight="1">
      <c r="A79" s="556"/>
      <c r="B79" s="737" t="s">
        <v>672</v>
      </c>
      <c r="C79" s="738"/>
      <c r="D79" s="558">
        <f ca="1">'Cost Summary'!$D$76</f>
        <v>33148733.333145447</v>
      </c>
      <c r="E79" s="553"/>
      <c r="F79" s="489"/>
      <c r="G79" s="336"/>
      <c r="H79" s="558">
        <f ca="1">'Cost Summary'!$H$76</f>
        <v>7557384.2020022636</v>
      </c>
      <c r="I79" s="553"/>
      <c r="J79" s="489"/>
      <c r="K79" s="336"/>
      <c r="L79" s="558">
        <f ca="1">'Cost Summary'!$L$76</f>
        <v>9421447.8711006846</v>
      </c>
      <c r="M79" s="553"/>
      <c r="N79" s="489"/>
      <c r="O79" s="336"/>
      <c r="P79" s="558">
        <f ca="1">'Cost Summary'!$P$76</f>
        <v>6569902.0132898539</v>
      </c>
      <c r="Q79" s="553"/>
      <c r="R79" s="489"/>
      <c r="S79" s="336"/>
      <c r="T79" s="557">
        <f ca="1">H79+L79+P79+W79+Y79+AA79+AC79+AE79</f>
        <v>33148733.33314544</v>
      </c>
      <c r="U79" s="557">
        <f t="shared" ref="U79" ca="1" si="15">D79-T79</f>
        <v>0</v>
      </c>
      <c r="V79" s="336"/>
      <c r="W79" s="555">
        <f ca="1">'Cost Summary'!$W$76</f>
        <v>199999.98430734663</v>
      </c>
      <c r="X79" s="336"/>
      <c r="Y79" s="555">
        <f ca="1">'Cost Summary'!$Y$76</f>
        <v>2099999.8352271402</v>
      </c>
      <c r="Z79" s="336"/>
      <c r="AA79" s="555">
        <f ca="1">'Cost Summary'!$AA$76</f>
        <v>2499999.803841834</v>
      </c>
      <c r="AB79" s="336"/>
      <c r="AC79" s="555">
        <f ca="1">'Cost Summary'!$AC$76</f>
        <v>2499999.803841834</v>
      </c>
      <c r="AD79" s="336"/>
      <c r="AE79" s="555">
        <f ca="1">'Cost Summary'!$AE$76</f>
        <v>2299999.8195344866</v>
      </c>
      <c r="AF79" s="336"/>
      <c r="AG79" s="557"/>
      <c r="AH79" s="336"/>
      <c r="AI79" s="370"/>
      <c r="AJ79" s="336"/>
      <c r="AK79" s="383"/>
      <c r="AL79" s="232"/>
      <c r="AM79"/>
    </row>
    <row r="80" spans="1:39" s="95" customFormat="1">
      <c r="A80" s="556"/>
      <c r="B80" s="737" t="s">
        <v>597</v>
      </c>
      <c r="C80" s="738"/>
      <c r="D80" s="558">
        <f ca="1">D76-D79</f>
        <v>-0.11802612245082855</v>
      </c>
      <c r="E80" s="553"/>
      <c r="F80" s="489"/>
      <c r="G80" s="336"/>
      <c r="H80" s="558">
        <f ca="1">H76-H79</f>
        <v>-2.6908080093562603E-2</v>
      </c>
      <c r="I80" s="553"/>
      <c r="J80" s="489"/>
      <c r="K80" s="336"/>
      <c r="L80" s="558">
        <f ca="1">L76-L79</f>
        <v>-3.3545082435011864E-2</v>
      </c>
      <c r="M80" s="553"/>
      <c r="N80" s="489"/>
      <c r="O80" s="336"/>
      <c r="P80" s="558">
        <f ca="1">P76-P79</f>
        <v>-2.3392144590616226E-2</v>
      </c>
      <c r="Q80" s="553"/>
      <c r="R80" s="489"/>
      <c r="S80" s="336"/>
      <c r="T80" s="557"/>
      <c r="U80" s="557"/>
      <c r="V80" s="336"/>
      <c r="W80" s="555">
        <f ca="1">W76-W79</f>
        <v>-7.1210027090273798E-4</v>
      </c>
      <c r="X80" s="336"/>
      <c r="Y80" s="555">
        <f ca="1">Y76-Y79</f>
        <v>-7.4770534411072731E-3</v>
      </c>
      <c r="Z80" s="336"/>
      <c r="AA80" s="555">
        <f ca="1">AA76-AA79</f>
        <v>-8.9012538082897663E-3</v>
      </c>
      <c r="AB80" s="336"/>
      <c r="AC80" s="555">
        <f ca="1">AC76-AC79</f>
        <v>-8.9012538082897663E-3</v>
      </c>
      <c r="AD80" s="336"/>
      <c r="AE80" s="555">
        <f ca="1">AE76-AE79</f>
        <v>-8.1891533918678761E-3</v>
      </c>
      <c r="AF80" s="336"/>
      <c r="AG80" s="557"/>
      <c r="AH80" s="336"/>
      <c r="AI80" s="370"/>
      <c r="AJ80" s="336"/>
      <c r="AK80" s="383"/>
      <c r="AL80" s="232"/>
      <c r="AM80"/>
    </row>
    <row r="81" spans="1:39" s="95" customFormat="1">
      <c r="A81" s="556"/>
      <c r="B81" s="220"/>
      <c r="C81" s="220"/>
      <c r="D81" s="552"/>
      <c r="E81" s="553"/>
      <c r="F81" s="489"/>
      <c r="G81" s="336"/>
      <c r="H81" s="552"/>
      <c r="I81" s="553"/>
      <c r="J81" s="489"/>
      <c r="K81" s="336"/>
      <c r="L81" s="552"/>
      <c r="M81" s="553"/>
      <c r="N81" s="489"/>
      <c r="O81" s="336"/>
      <c r="P81" s="552"/>
      <c r="Q81" s="553"/>
      <c r="R81" s="489"/>
      <c r="S81" s="336"/>
      <c r="T81" s="557"/>
      <c r="U81" s="557"/>
      <c r="V81" s="336"/>
      <c r="W81" s="554"/>
      <c r="X81" s="336"/>
      <c r="Y81" s="554"/>
      <c r="Z81" s="336"/>
      <c r="AA81" s="554"/>
      <c r="AB81" s="336"/>
      <c r="AC81" s="554"/>
      <c r="AD81" s="336"/>
      <c r="AE81" s="554"/>
      <c r="AF81" s="336"/>
      <c r="AG81" s="557"/>
      <c r="AH81" s="336"/>
      <c r="AI81" s="370"/>
      <c r="AJ81" s="336"/>
      <c r="AK81" s="383"/>
      <c r="AL81" s="232"/>
      <c r="AM81"/>
    </row>
    <row r="82" spans="1:39" ht="16.5" customHeight="1">
      <c r="A82" s="349"/>
      <c r="B82" s="350"/>
      <c r="C82" s="351" t="s">
        <v>673</v>
      </c>
      <c r="D82" s="490">
        <f ca="1">D76*$AL$82</f>
        <v>331487.33215119323</v>
      </c>
      <c r="E82" s="491">
        <f ca="1">D82/$F$7</f>
        <v>2.210903084385647</v>
      </c>
      <c r="F82" s="492">
        <f ca="1">D82/$D$76</f>
        <v>0.01</v>
      </c>
      <c r="G82" s="336"/>
      <c r="H82" s="490">
        <f ca="1">H76*$AL$82</f>
        <v>75573.841750941836</v>
      </c>
      <c r="I82" s="491"/>
      <c r="J82" s="492"/>
      <c r="K82" s="336"/>
      <c r="L82" s="490">
        <f ca="1">L76*$AL$82</f>
        <v>94214.47837555602</v>
      </c>
      <c r="M82" s="491">
        <f ca="1">L82/$F$7</f>
        <v>0.6283771976519914</v>
      </c>
      <c r="N82" s="492">
        <f ca="1">L82/$H$76</f>
        <v>1.246654612134785E-2</v>
      </c>
      <c r="O82" s="336"/>
      <c r="P82" s="490">
        <f ca="1">P76*$AL$82</f>
        <v>65699.019898977102</v>
      </c>
      <c r="Q82" s="491">
        <f ca="1">P82/$R$7</f>
        <v>5.8529193673921691</v>
      </c>
      <c r="R82" s="492">
        <f ca="1">P82/$H$76</f>
        <v>8.6933545227847742E-3</v>
      </c>
      <c r="S82" s="336"/>
      <c r="T82" s="364"/>
      <c r="U82" s="364"/>
      <c r="V82" s="336"/>
      <c r="W82" s="364"/>
      <c r="X82" s="336"/>
      <c r="Y82" s="364"/>
      <c r="Z82" s="336"/>
      <c r="AA82" s="364"/>
      <c r="AB82" s="336"/>
      <c r="AC82" s="364"/>
      <c r="AD82" s="336"/>
      <c r="AE82" s="364"/>
      <c r="AF82" s="336"/>
      <c r="AG82" s="355"/>
      <c r="AH82" s="336"/>
      <c r="AI82" s="355"/>
      <c r="AJ82" s="336"/>
      <c r="AK82" s="355"/>
      <c r="AL82" s="232">
        <f>'Cost Summary'!AL80</f>
        <v>0.01</v>
      </c>
    </row>
    <row r="83" spans="1:39">
      <c r="A83" s="224"/>
      <c r="B83" s="225"/>
    </row>
    <row r="84" spans="1:39">
      <c r="D84" s="200">
        <f ca="1">'Cost Summary'!$D$82</f>
        <v>715116.75521179428</v>
      </c>
      <c r="H84" s="200">
        <f ca="1">'Cost Summary'!$H$82</f>
        <v>163035.25127522321</v>
      </c>
      <c r="L84" s="200">
        <f ca="1">'Cost Summary'!$L$82</f>
        <v>203248.64794281061</v>
      </c>
      <c r="P84" s="200">
        <f ca="1">'Cost Summary'!$P$82</f>
        <v>141732.32390468128</v>
      </c>
      <c r="W84" s="200">
        <f ca="1">'Cost Summary'!$W$82</f>
        <v>4314.5944185224835</v>
      </c>
      <c r="Y84" s="200">
        <f ca="1">'Cost Summary'!$Y$82</f>
        <v>45303.241394486082</v>
      </c>
      <c r="AA84" s="200">
        <f ca="1">'Cost Summary'!$AA$82</f>
        <v>53932.430231531049</v>
      </c>
      <c r="AC84" s="200">
        <f ca="1">'Cost Summary'!$AC$82</f>
        <v>53932.430231531049</v>
      </c>
      <c r="AE84" s="200">
        <f ca="1">'Cost Summary'!$AE$82</f>
        <v>49617.835813008562</v>
      </c>
    </row>
    <row r="85" spans="1:39">
      <c r="D85" s="526">
        <f ca="1">'Cost Summary'!$D$83+$D$86</f>
        <v>2.6791911562806119E-2</v>
      </c>
      <c r="H85" s="526">
        <f ca="1">$D$85</f>
        <v>2.6791911562806119E-2</v>
      </c>
      <c r="L85" s="526">
        <f ca="1">$D$85</f>
        <v>2.6791911562806119E-2</v>
      </c>
      <c r="P85" s="526">
        <f ca="1">$D$85</f>
        <v>2.6791911562806119E-2</v>
      </c>
      <c r="W85" s="526">
        <f ca="1">'Cost Summary'!$W$83+W86</f>
        <v>2.6791911562806119E-2</v>
      </c>
      <c r="Y85" s="526">
        <f ca="1">'Cost Summary'!$Y$83+Y86</f>
        <v>2.6791911562806123E-2</v>
      </c>
      <c r="AA85" s="526">
        <f ca="1">'Cost Summary'!$AA$83+AA86</f>
        <v>2.6791911562806119E-2</v>
      </c>
      <c r="AC85" s="526">
        <f ca="1">'Cost Summary'!$AC$83+AC86</f>
        <v>2.6791911562806119E-2</v>
      </c>
      <c r="AE85" s="526">
        <f ca="1">'Cost Summary'!$AE$83+AE86</f>
        <v>2.6791911562806119E-2</v>
      </c>
    </row>
    <row r="86" spans="1:39">
      <c r="D86" s="527">
        <v>-1.3396E-3</v>
      </c>
      <c r="H86" s="526"/>
      <c r="L86" s="526"/>
      <c r="P86" s="526"/>
      <c r="W86" s="526">
        <f>$D$86</f>
        <v>-1.3396E-3</v>
      </c>
      <c r="Y86" s="526">
        <f>$D$86</f>
        <v>-1.3396E-3</v>
      </c>
      <c r="AA86" s="526">
        <f>$D$86</f>
        <v>-1.3396E-3</v>
      </c>
      <c r="AC86" s="526">
        <f>$D$86</f>
        <v>-1.3396E-3</v>
      </c>
      <c r="AE86" s="526">
        <f>$D$86</f>
        <v>-1.3396E-3</v>
      </c>
    </row>
    <row r="91" spans="1:39">
      <c r="A91" s="85"/>
      <c r="B91" s="85"/>
      <c r="C91" s="85"/>
      <c r="D91" s="226">
        <v>2220594</v>
      </c>
      <c r="E91" s="85"/>
      <c r="H91" s="478">
        <v>5300000</v>
      </c>
      <c r="L91" s="478">
        <v>10200000</v>
      </c>
      <c r="P91" s="478">
        <v>7600000</v>
      </c>
      <c r="W91" s="523">
        <v>200000</v>
      </c>
      <c r="Y91" s="522">
        <v>2100000</v>
      </c>
      <c r="AA91" s="522">
        <v>2500000</v>
      </c>
      <c r="AC91" s="522">
        <v>2500000</v>
      </c>
      <c r="AE91" s="522">
        <v>2300000</v>
      </c>
    </row>
    <row r="92" spans="1:39">
      <c r="A92" s="85"/>
      <c r="B92" s="85"/>
      <c r="C92" s="1182" t="s">
        <v>674</v>
      </c>
      <c r="D92" s="1183"/>
      <c r="E92" s="1183"/>
      <c r="F92" s="1184"/>
      <c r="M92">
        <f>L91/N7</f>
        <v>873.43723240280872</v>
      </c>
      <c r="W92" s="505">
        <v>1.39571</v>
      </c>
    </row>
    <row r="93" spans="1:39">
      <c r="A93" s="85"/>
      <c r="B93" s="85"/>
      <c r="C93" s="1185" t="s">
        <v>675</v>
      </c>
      <c r="D93" s="1186" t="s">
        <v>676</v>
      </c>
      <c r="E93" s="1187" t="s">
        <v>677</v>
      </c>
      <c r="F93" s="1188" t="s">
        <v>678</v>
      </c>
      <c r="G93" s="257"/>
      <c r="H93" s="257"/>
      <c r="I93" s="257"/>
      <c r="J93" s="257"/>
      <c r="K93" s="257"/>
      <c r="L93" s="257"/>
      <c r="N93" s="257"/>
      <c r="O93" s="257"/>
      <c r="P93" s="257"/>
      <c r="Q93" s="257"/>
      <c r="R93" s="257"/>
      <c r="S93" s="257"/>
      <c r="T93" s="257"/>
      <c r="U93" s="257"/>
      <c r="V93" s="257"/>
      <c r="W93" s="257"/>
      <c r="X93" s="257"/>
      <c r="Y93" s="257"/>
      <c r="Z93" s="257"/>
      <c r="AA93" s="257"/>
      <c r="AB93" s="257"/>
      <c r="AC93" s="257"/>
      <c r="AD93" s="257"/>
      <c r="AE93" s="257"/>
      <c r="AF93" s="257"/>
      <c r="AH93" s="257"/>
      <c r="AJ93" s="257"/>
    </row>
    <row r="94" spans="1:39">
      <c r="A94" s="85"/>
      <c r="B94" s="325" t="s">
        <v>679</v>
      </c>
      <c r="C94" s="580"/>
      <c r="D94" s="1189"/>
      <c r="E94" s="1190"/>
      <c r="F94" s="581"/>
      <c r="G94" s="261" t="s">
        <v>680</v>
      </c>
      <c r="K94" s="261"/>
      <c r="N94" s="261"/>
      <c r="O94" s="261"/>
      <c r="S94" s="261"/>
      <c r="V94" s="261"/>
      <c r="X94" s="261"/>
      <c r="Z94" s="261"/>
      <c r="AB94" s="261"/>
      <c r="AD94" s="261"/>
    </row>
    <row r="95" spans="1:39">
      <c r="A95" s="85"/>
      <c r="B95" s="325" t="s">
        <v>681</v>
      </c>
      <c r="C95" s="1191"/>
      <c r="D95" s="1192">
        <f>D65*'Labor Rates Calculator'!I42</f>
        <v>2534863.0930303768</v>
      </c>
      <c r="E95" s="1192">
        <f>D65</f>
        <v>2991138.4497758439</v>
      </c>
      <c r="F95" s="1193">
        <f>E95-D95</f>
        <v>456275.35674546706</v>
      </c>
      <c r="G95" s="200"/>
      <c r="H95" s="200"/>
      <c r="I95" s="200"/>
      <c r="J95" s="200"/>
      <c r="K95" s="200"/>
      <c r="L95" s="200"/>
      <c r="N95" s="200"/>
      <c r="O95" s="200"/>
      <c r="P95" s="200"/>
      <c r="Q95" s="200"/>
      <c r="R95" s="200"/>
      <c r="S95" s="200"/>
      <c r="T95" s="200"/>
      <c r="U95" s="200"/>
      <c r="V95" s="200"/>
      <c r="W95" s="200"/>
      <c r="X95" s="200"/>
      <c r="Y95" s="200"/>
      <c r="Z95" s="200"/>
      <c r="AA95" s="200"/>
      <c r="AB95" s="200"/>
      <c r="AC95" s="200"/>
      <c r="AD95" s="200"/>
      <c r="AE95" s="200"/>
      <c r="AF95" s="200"/>
      <c r="AH95" s="200"/>
      <c r="AJ95" s="200"/>
    </row>
    <row r="96" spans="1:39">
      <c r="A96" s="85"/>
      <c r="B96" s="325" t="s">
        <v>682</v>
      </c>
      <c r="C96" s="1194">
        <v>1.0999999999999999E-2</v>
      </c>
      <c r="D96" s="1192">
        <f ca="1">C96*D64</f>
        <v>301472.92074676621</v>
      </c>
      <c r="E96" s="1192">
        <f ca="1">D60*1.5%</f>
        <v>391523.27369709895</v>
      </c>
      <c r="F96" s="1193">
        <f ca="1">E96-D96</f>
        <v>90050.352950332745</v>
      </c>
      <c r="G96" s="200"/>
      <c r="H96" s="200"/>
      <c r="I96" s="200"/>
      <c r="J96" s="200"/>
      <c r="K96" s="200"/>
      <c r="L96" s="200"/>
      <c r="N96" s="200"/>
      <c r="O96" s="200"/>
      <c r="P96" s="200"/>
      <c r="Q96" s="200"/>
      <c r="R96" s="200"/>
      <c r="S96" s="200"/>
      <c r="T96" s="200"/>
      <c r="U96" s="200"/>
      <c r="V96" s="200"/>
      <c r="W96" s="200"/>
      <c r="X96" s="200"/>
      <c r="Y96" s="200"/>
      <c r="Z96" s="200"/>
      <c r="AA96" s="200"/>
      <c r="AB96" s="200"/>
      <c r="AC96" s="200"/>
      <c r="AD96" s="200"/>
      <c r="AE96" s="200"/>
      <c r="AF96" s="200"/>
      <c r="AH96" s="200"/>
      <c r="AJ96" s="200"/>
    </row>
    <row r="97" spans="1:36">
      <c r="A97" s="85"/>
      <c r="B97" s="325" t="s">
        <v>683</v>
      </c>
      <c r="C97" s="1194">
        <v>1.0999999999999999E-2</v>
      </c>
      <c r="D97" s="1192">
        <f ca="1">C97*D76</f>
        <v>364636.06536631257</v>
      </c>
      <c r="E97" s="1192">
        <f ca="1">D72</f>
        <v>466555.00820753619</v>
      </c>
      <c r="F97" s="1193">
        <f ca="1">E97-D97</f>
        <v>101918.94284122362</v>
      </c>
      <c r="G97" s="200"/>
      <c r="H97" s="200"/>
      <c r="I97" s="200"/>
      <c r="J97" s="200"/>
      <c r="K97" s="200"/>
      <c r="L97" s="200"/>
      <c r="N97" s="200"/>
      <c r="O97" s="200"/>
      <c r="P97" s="200"/>
      <c r="Q97" s="200"/>
      <c r="R97" s="200"/>
      <c r="S97" s="200"/>
      <c r="T97" s="200"/>
      <c r="U97" s="200"/>
      <c r="V97" s="200"/>
      <c r="W97" s="200"/>
      <c r="X97" s="200"/>
      <c r="Y97" s="200"/>
      <c r="Z97" s="200"/>
      <c r="AA97" s="200"/>
      <c r="AB97" s="200"/>
      <c r="AC97" s="200"/>
      <c r="AD97" s="200"/>
      <c r="AE97" s="200"/>
      <c r="AF97" s="200"/>
      <c r="AH97" s="200"/>
      <c r="AJ97" s="200"/>
    </row>
    <row r="98" spans="1:36">
      <c r="A98" s="85"/>
      <c r="B98" s="325" t="s">
        <v>684</v>
      </c>
      <c r="C98" s="1195"/>
      <c r="D98" s="1196"/>
      <c r="E98" s="1197"/>
      <c r="F98" s="1198">
        <f ca="1">D74+D75</f>
        <v>1578511.1054818728</v>
      </c>
      <c r="G98" s="200"/>
      <c r="H98" s="200"/>
      <c r="I98" s="200"/>
      <c r="J98" s="200"/>
      <c r="K98" s="200"/>
      <c r="L98" s="200"/>
      <c r="N98" s="200"/>
      <c r="O98" s="200"/>
      <c r="P98" s="200"/>
      <c r="Q98" s="200"/>
      <c r="R98" s="200"/>
      <c r="S98" s="200"/>
      <c r="T98" s="200"/>
      <c r="U98" s="200"/>
      <c r="V98" s="200"/>
      <c r="W98" s="200"/>
      <c r="X98" s="200"/>
      <c r="Y98" s="200"/>
      <c r="Z98" s="200"/>
      <c r="AA98" s="200"/>
      <c r="AB98" s="200"/>
      <c r="AC98" s="200"/>
      <c r="AD98" s="200"/>
      <c r="AE98" s="200"/>
      <c r="AF98" s="200"/>
      <c r="AH98" s="200"/>
      <c r="AJ98" s="200"/>
    </row>
    <row r="99" spans="1:36">
      <c r="A99" s="224"/>
      <c r="B99" s="225"/>
      <c r="E99" s="325" t="s">
        <v>69</v>
      </c>
      <c r="F99" s="331">
        <f ca="1">SUM(F94:F98)</f>
        <v>2226755.758018896</v>
      </c>
      <c r="H99" s="330">
        <f ca="1">F99/D76</f>
        <v>6.7174686392035637E-2</v>
      </c>
      <c r="I99" s="333"/>
      <c r="J99" s="333"/>
      <c r="K99" s="330"/>
      <c r="L99" s="333"/>
      <c r="M99" s="330"/>
      <c r="N99" s="330"/>
      <c r="O99" s="330"/>
      <c r="P99" s="333"/>
      <c r="Q99" s="333"/>
      <c r="R99" s="333"/>
      <c r="S99" s="330"/>
      <c r="T99" s="330"/>
      <c r="U99" s="330"/>
      <c r="V99" s="330"/>
      <c r="X99" s="330"/>
      <c r="Y99" s="333"/>
      <c r="Z99" s="330"/>
      <c r="AA99" s="333"/>
      <c r="AB99" s="330"/>
      <c r="AC99" s="333"/>
      <c r="AD99" s="330"/>
      <c r="AE99" s="333"/>
      <c r="AF99" s="333"/>
      <c r="AH99" s="333"/>
      <c r="AJ99" s="91"/>
    </row>
    <row r="100" spans="1:36">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H100" s="43"/>
      <c r="AJ100" s="43"/>
    </row>
    <row r="101" spans="1:36" ht="45.75" customHeight="1">
      <c r="B101" s="197" t="s">
        <v>685</v>
      </c>
      <c r="C101" s="95"/>
      <c r="D101" s="227"/>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c r="AF101" s="95"/>
      <c r="AG101" s="95"/>
      <c r="AH101" s="95"/>
      <c r="AJ101" s="95"/>
    </row>
  </sheetData>
  <mergeCells count="13">
    <mergeCell ref="B70:C70"/>
    <mergeCell ref="A1:B1"/>
    <mergeCell ref="A4:F4"/>
    <mergeCell ref="B11:C11"/>
    <mergeCell ref="B60:C60"/>
    <mergeCell ref="B64:C64"/>
    <mergeCell ref="B72:C72"/>
    <mergeCell ref="B73:C73"/>
    <mergeCell ref="B76:C76"/>
    <mergeCell ref="B79:C79"/>
    <mergeCell ref="C92:F92"/>
    <mergeCell ref="B78:C78"/>
    <mergeCell ref="B80:C80"/>
  </mergeCells>
  <hyperlinks>
    <hyperlink ref="A13" location="'01A Surveying'!A1" display="01A" xr:uid="{5E50CDE8-1349-4BF0-858F-F74A48527B47}"/>
    <hyperlink ref="A16" location="'03A Concrete'!A1" display="03A" xr:uid="{65B187B8-0BFA-4886-808E-4C4814CD1A4A}"/>
    <hyperlink ref="A18" location="'05C Misc. Metals'!A1" display="05C" xr:uid="{BFCB38BD-1005-4DD8-8E51-78B5E47A9BC6}"/>
    <hyperlink ref="A19" location="'06A Rough Carpentry'!A1" display="06A" xr:uid="{1895634C-DED2-4D8B-8251-3ACC4E901F61}"/>
    <hyperlink ref="A21" location="'06F Millwork'!A1" display="06F" xr:uid="{D8A9295C-AFEE-4BB3-99FD-7F9C9FF233F9}"/>
    <hyperlink ref="A23" location="'07E Caulking &amp; Waterproofing'!A1" display="07E" xr:uid="{412B719C-4427-4ACD-865B-6FBCF70BF727}"/>
    <hyperlink ref="A22" location="'07D Roofing'!A1" display="07D" xr:uid="{92870CCC-E20D-43F1-AFA5-5C091F913814}"/>
    <hyperlink ref="A26" location="'08C Glass and Glazing'!A1" display="08C" xr:uid="{596BD166-6FD4-4A66-928C-477AE863CB5A}"/>
    <hyperlink ref="A27" location="'09A Stucco'!A1" display="09A" xr:uid="{B477F516-10C4-4A6A-A35B-92A1CFA90F5A}"/>
    <hyperlink ref="A25" location="'08A Doors, Frames, &amp; Hardware'!A1" display="08A" xr:uid="{D7B4CAB9-64E5-4E72-95B9-247767ED1813}"/>
    <hyperlink ref="A28" location="'09B Drywall&amp;Framing'!A1" display="09B" xr:uid="{7FC4E820-446F-4283-A669-DCAFBA0CF415}"/>
    <hyperlink ref="A31" location="'09E Tile &amp; Stone'!A1" display="09E" xr:uid="{5CF924AF-C542-4E37-9660-9D730965728C}"/>
    <hyperlink ref="A32" location="'09F Carpet &amp; Resilient'!A1" display="09F" xr:uid="{49224E17-926D-4EF8-8EBE-333616C3EEE0}"/>
    <hyperlink ref="A35" location="'10A Signage'!A1" display="10A" xr:uid="{4561F599-991A-4D04-BAC7-C1CF1BDD903E}"/>
    <hyperlink ref="A37" location="'10C Toilet Partitions &amp; Bath'!A1" display="10C" xr:uid="{AE136280-AEED-4DDF-9EA3-3495EE8C112C}"/>
    <hyperlink ref="A39" location="'10I Fire Extinguishers&amp;Cabinet'!A1" display="10I" xr:uid="{0181D6D7-D3EA-4CE6-AF85-0925B50C3AFE}"/>
    <hyperlink ref="A40" location="'12A Window Treatment'!A1" display="12A" xr:uid="{2CC64A83-79A8-493E-904F-112BC8E29FD7}"/>
    <hyperlink ref="A44" location="'21A Fire Sprinkler'!A1" display="21A" xr:uid="{8B06E949-DB43-42C5-B1D0-FE7B7D87C21A}"/>
    <hyperlink ref="A45" location="'22A Plumbing '!A1" display="22A" xr:uid="{3E6EBBB8-92BE-42BE-859B-2A620370548C}"/>
    <hyperlink ref="A46" location="'23A HVAC'!A1" display="23A" xr:uid="{C204A5A8-57A4-4E10-8B3F-2DF6AF8433A4}"/>
    <hyperlink ref="A47" location="'26A Electrical'!A1" display="26A" xr:uid="{2A79F0DD-D435-4FC3-A04B-93BAC9CE731C}"/>
    <hyperlink ref="A49" location="'31A Sitework'!A1" display="31A" xr:uid="{4FC80F63-D422-4DD6-AE72-A1298242FB53}"/>
    <hyperlink ref="A52" location="'32C Landscape and Irrigation'!A1" display="32C" xr:uid="{CC274F87-D5D3-4B68-B91E-02A0E99E0C41}"/>
    <hyperlink ref="A54" location="'32E Synthetic Fields'!A1" display="32E" xr:uid="{CA6E16C6-0866-48FF-93DC-97DE4A4CD2E1}"/>
    <hyperlink ref="A48" location="'28A Low Voltage'!A1" display="28A" xr:uid="{A5C1A12F-8133-42C9-9207-9D9422BDCFE1}"/>
    <hyperlink ref="A51" location="'32B Site Furnishings'!A1" display="32B" xr:uid="{AEE9EFE4-D72B-40D1-8588-79B0BEA4095A}"/>
    <hyperlink ref="A50" location="'32A Pavers'!A1" display="32A" xr:uid="{ADAC1379-8C15-4BAB-8CA7-39C922A07271}"/>
    <hyperlink ref="A53" location="'32D Fencing'!A1" display="32D" xr:uid="{EDBAEA0D-4A94-4372-A124-18ABEBD69BFD}"/>
    <hyperlink ref="A14" location="'01B Material Testing'!A1" display="01B" xr:uid="{2B14BC4B-9BA6-4A8E-8C5A-7D313ED836FC}"/>
    <hyperlink ref="A15" location="'02A Demolition'!A1" display="02A" xr:uid="{E723FDA2-6C29-456B-B6A3-6879DAE20F53}"/>
    <hyperlink ref="A29" location="'09C Acoustical Ceilings'!A1" display="09C" xr:uid="{1F826FB5-E7DB-40D7-8D53-F97A36793902}"/>
    <hyperlink ref="A34" location="'09I Painting'!A1" display="09I" xr:uid="{FD40E6BC-E6E3-43DB-9499-835C9E9A6120}"/>
    <hyperlink ref="A38" location="'10F Lockers'!A1" display="10F" xr:uid="{8C0C7443-C005-4380-8A71-88AE5AB472AF}"/>
    <hyperlink ref="A42" location="'13C Awnings,Canopies,Shutters'!A1" display="13C" xr:uid="{E831F428-56AC-4ABC-9802-1E85D486E6C1}"/>
    <hyperlink ref="A20" location="'06C Wood Trusses'!A1" display="06C" xr:uid="{35DF2917-8897-4CA7-B673-0241B14134EE}"/>
    <hyperlink ref="A41" location="'13B Swimming Pools'!A1" display="13B" xr:uid="{8577A063-64C1-4E0F-BAC8-376AE2295F20}"/>
    <hyperlink ref="A17" location="'05A Structural Steel'!A1" display="05A" xr:uid="{BEF6AA49-9CCB-4A29-A069-8B34F8263205}"/>
    <hyperlink ref="A33" location="'09G Sports Flooring'!A1" display="09G" xr:uid="{68213308-AC64-47BD-A70C-0B24E44F73A3}"/>
    <hyperlink ref="A30" location="'09D Acoustical Treatment'!A1" display="09D" xr:uid="{7D23354B-AD17-4682-A9DF-8929685B4396}"/>
    <hyperlink ref="A43" location="'14A Elevators'!A1" display="14A" xr:uid="{DCAD183B-5D67-448B-AAA2-E08F27F047C1}"/>
    <hyperlink ref="A24" location="'07E Caulking &amp; Waterproofing'!A1" display="07E" xr:uid="{AFD0DA84-D643-43F5-808A-00BF111496AE}"/>
    <hyperlink ref="A36" location="'10B Operable Partitions'!A1" display="10B" xr:uid="{D89BD885-6F0E-4AC5-9740-9D27F0153967}"/>
  </hyperlinks>
  <pageMargins left="0.9" right="0.2" top="0.75" bottom="0.75" header="0.3" footer="0.3"/>
  <pageSetup scale="39" orientation="landscape" horizontalDpi="300" verticalDpi="300" r:id="rId1"/>
  <headerFooter>
    <oddFooter>&amp;L&amp;Z&amp;F</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8DF-E7FE-442F-9167-A1F7A33310A0}">
  <sheetPr>
    <tabColor theme="4" tint="-0.249977111117893"/>
    <pageSetUpPr fitToPage="1"/>
  </sheetPr>
  <dimension ref="A1:AM97"/>
  <sheetViews>
    <sheetView topLeftCell="A2" zoomScale="85" zoomScaleNormal="85" workbookViewId="0">
      <pane ySplit="10" topLeftCell="A71" activePane="bottomLeft" state="frozen"/>
      <selection pane="bottomLeft" activeCell="W87" sqref="W87"/>
      <selection activeCell="A2" sqref="A2"/>
    </sheetView>
  </sheetViews>
  <sheetFormatPr defaultColWidth="9.140625" defaultRowHeight="15"/>
  <cols>
    <col min="1" max="1" width="12.7109375" bestFit="1" customWidth="1"/>
    <col min="2" max="2" width="43.42578125" customWidth="1"/>
    <col min="3" max="3" width="9.5703125" customWidth="1"/>
    <col min="4" max="4" width="17.28515625" style="200" customWidth="1"/>
    <col min="5" max="5" width="12.42578125" customWidth="1"/>
    <col min="6" max="6" width="14.28515625" customWidth="1"/>
    <col min="7" max="7" width="1" customWidth="1"/>
    <col min="8" max="8" width="14.28515625" customWidth="1"/>
    <col min="9" max="9" width="10.5703125" customWidth="1"/>
    <col min="10" max="10" width="14.28515625" customWidth="1"/>
    <col min="11" max="11" width="1" customWidth="1"/>
    <col min="12" max="12" width="14.28515625" customWidth="1"/>
    <col min="13" max="13" width="10.5703125" customWidth="1"/>
    <col min="14" max="14" width="14.28515625" customWidth="1"/>
    <col min="15" max="15" width="1" customWidth="1"/>
    <col min="16" max="16" width="14.28515625" customWidth="1"/>
    <col min="17" max="17" width="10.5703125" customWidth="1"/>
    <col min="18" max="18" width="14.28515625" customWidth="1"/>
    <col min="19" max="19" width="1" hidden="1" customWidth="1"/>
    <col min="20" max="21" width="14.28515625" hidden="1" customWidth="1"/>
    <col min="22" max="22" width="1" customWidth="1"/>
    <col min="23" max="23" width="14.28515625" customWidth="1"/>
    <col min="24" max="24" width="1" customWidth="1"/>
    <col min="25" max="25" width="14.28515625" customWidth="1"/>
    <col min="26" max="26" width="1" customWidth="1"/>
    <col min="27" max="27" width="14.28515625" customWidth="1"/>
    <col min="28" max="28" width="1" customWidth="1"/>
    <col min="29" max="29" width="14.28515625" customWidth="1"/>
    <col min="30" max="30" width="1" customWidth="1"/>
    <col min="31" max="31" width="14.28515625" customWidth="1"/>
    <col min="32" max="32" width="1" hidden="1" customWidth="1"/>
    <col min="33" max="33" width="13.140625" hidden="1" customWidth="1"/>
    <col min="34" max="34" width="1" hidden="1" customWidth="1"/>
    <col min="35" max="35" width="14.28515625" hidden="1" customWidth="1"/>
    <col min="36" max="36" width="1" hidden="1" customWidth="1"/>
    <col min="37" max="37" width="38.42578125" hidden="1" customWidth="1"/>
    <col min="38" max="38" width="7.140625" style="1" customWidth="1"/>
    <col min="39" max="39" width="12.7109375" customWidth="1"/>
  </cols>
  <sheetData>
    <row r="1" spans="1:39" ht="26.25" customHeight="1">
      <c r="A1" s="741" t="s">
        <v>590</v>
      </c>
      <c r="B1" s="742"/>
    </row>
    <row r="2" spans="1:39" ht="26.25" customHeight="1">
      <c r="A2" s="201"/>
      <c r="B2" s="201"/>
    </row>
    <row r="3" spans="1:39" ht="51.75" customHeight="1">
      <c r="A3" s="201"/>
      <c r="B3" s="201"/>
    </row>
    <row r="4" spans="1:39" ht="6" customHeight="1">
      <c r="A4" s="663"/>
      <c r="B4" s="663"/>
      <c r="C4" s="663"/>
      <c r="D4" s="663"/>
      <c r="E4" s="663"/>
      <c r="F4" s="664"/>
      <c r="G4" s="332"/>
      <c r="H4" s="332"/>
      <c r="I4" s="332"/>
      <c r="J4" s="332"/>
      <c r="K4" s="332"/>
      <c r="L4" s="332"/>
      <c r="M4" s="332"/>
      <c r="N4" s="332"/>
      <c r="O4" s="332"/>
      <c r="P4" s="332"/>
      <c r="Q4" s="332"/>
      <c r="R4" s="332"/>
      <c r="S4" s="332"/>
      <c r="T4" s="332"/>
      <c r="U4" s="332"/>
      <c r="V4" s="332"/>
      <c r="W4" s="332"/>
      <c r="X4" s="332"/>
      <c r="Y4" s="332"/>
      <c r="Z4" s="332"/>
      <c r="AA4" s="332"/>
      <c r="AB4" s="332"/>
      <c r="AC4" s="332"/>
      <c r="AD4" s="332"/>
      <c r="AE4" s="332"/>
      <c r="AF4" s="332"/>
      <c r="AG4" s="332"/>
      <c r="AH4" s="332"/>
      <c r="AI4" s="332"/>
      <c r="AJ4" s="332"/>
      <c r="AK4" s="332"/>
      <c r="AL4" s="332"/>
      <c r="AM4" s="229"/>
    </row>
    <row r="5" spans="1:39" ht="8.25" customHeight="1">
      <c r="AG5" s="202"/>
      <c r="AH5" s="202"/>
      <c r="AI5" s="202"/>
      <c r="AJ5" s="202"/>
      <c r="AK5" s="202"/>
      <c r="AL5" s="202"/>
    </row>
    <row r="6" spans="1:39" ht="18" customHeight="1">
      <c r="A6" s="247" t="str">
        <f>'Area Calculations'!B4</f>
        <v>The Club at Ibis Conceptual Estimate</v>
      </c>
      <c r="B6" s="242"/>
      <c r="C6" s="242"/>
      <c r="D6" s="242"/>
      <c r="E6" s="242"/>
      <c r="F6" s="242"/>
      <c r="G6" s="242"/>
      <c r="H6" s="242"/>
      <c r="I6" s="242"/>
      <c r="J6" s="242"/>
      <c r="K6" s="242"/>
      <c r="L6" s="242"/>
      <c r="M6" s="242"/>
      <c r="N6" s="242"/>
      <c r="O6" s="242"/>
      <c r="P6" s="242"/>
      <c r="Q6" s="242"/>
      <c r="R6" s="242"/>
      <c r="S6" s="242"/>
      <c r="T6" s="242"/>
      <c r="U6" s="242"/>
      <c r="V6" s="242"/>
      <c r="W6" s="242"/>
      <c r="X6" s="242"/>
      <c r="Y6" s="242"/>
      <c r="Z6" s="242"/>
      <c r="AA6" s="242"/>
      <c r="AB6" s="242"/>
      <c r="AC6" s="242"/>
      <c r="AD6" s="242"/>
      <c r="AE6" s="242"/>
      <c r="AF6" s="242"/>
      <c r="AG6" s="242"/>
      <c r="AH6" s="243"/>
      <c r="AJ6" s="375"/>
      <c r="AM6" s="196"/>
    </row>
    <row r="7" spans="1:39" ht="15" customHeight="1">
      <c r="A7" s="246" t="str">
        <f>'Area Calculations'!B5</f>
        <v>West Palm Beach, FL</v>
      </c>
      <c r="B7" s="248"/>
      <c r="C7" s="248"/>
      <c r="D7" s="248"/>
      <c r="E7" s="206" t="s">
        <v>72</v>
      </c>
      <c r="F7" s="841">
        <f>J7+N7+R7+W7+Y7+AA7+AE7+AC7</f>
        <v>141141</v>
      </c>
      <c r="G7" s="310"/>
      <c r="H7" s="310"/>
      <c r="I7" s="206" t="s">
        <v>72</v>
      </c>
      <c r="J7" s="841">
        <v>663</v>
      </c>
      <c r="K7" s="310"/>
      <c r="L7" s="310"/>
      <c r="M7" s="206" t="s">
        <v>72</v>
      </c>
      <c r="N7" s="841">
        <v>11678</v>
      </c>
      <c r="O7" s="310"/>
      <c r="P7" s="310"/>
      <c r="Q7" s="206" t="s">
        <v>72</v>
      </c>
      <c r="R7" s="1179">
        <f>5262+1663+4300</f>
        <v>11225</v>
      </c>
      <c r="S7" s="310"/>
      <c r="T7" s="310"/>
      <c r="U7" s="310"/>
      <c r="V7" s="310"/>
      <c r="W7" s="1179">
        <v>91377</v>
      </c>
      <c r="X7" s="310"/>
      <c r="Y7" s="1179">
        <v>0</v>
      </c>
      <c r="Z7" s="310"/>
      <c r="AA7" s="1179">
        <v>6201</v>
      </c>
      <c r="AB7" s="310"/>
      <c r="AC7" s="1179">
        <f>3436+1206</f>
        <v>4642</v>
      </c>
      <c r="AD7" s="310"/>
      <c r="AE7" s="1179">
        <f>8101+7254</f>
        <v>15355</v>
      </c>
      <c r="AF7" s="310"/>
      <c r="AH7" s="310"/>
      <c r="AJ7" s="376"/>
      <c r="AM7" s="196"/>
    </row>
    <row r="8" spans="1:39" ht="15" customHeight="1">
      <c r="A8" s="203"/>
      <c r="B8" s="204"/>
      <c r="D8" s="205"/>
      <c r="E8" s="206" t="s">
        <v>79</v>
      </c>
      <c r="F8" s="1179">
        <f>'GCs &amp; GRs'!$L$4+'GCs &amp; GRs'!$L$5</f>
        <v>29.4</v>
      </c>
      <c r="G8" s="310"/>
      <c r="H8" s="310"/>
      <c r="I8" s="206" t="s">
        <v>79</v>
      </c>
      <c r="J8" s="841">
        <v>10</v>
      </c>
      <c r="K8" s="310"/>
      <c r="L8" s="310"/>
      <c r="M8" s="206" t="s">
        <v>79</v>
      </c>
      <c r="N8" s="841">
        <v>14</v>
      </c>
      <c r="O8" s="310"/>
      <c r="P8" s="310"/>
      <c r="Q8" s="206" t="s">
        <v>79</v>
      </c>
      <c r="R8" s="841">
        <v>12</v>
      </c>
      <c r="S8" s="310"/>
      <c r="T8" s="310"/>
      <c r="U8" s="310"/>
      <c r="V8" s="310"/>
      <c r="W8" s="841">
        <v>7</v>
      </c>
      <c r="X8" s="310"/>
      <c r="Y8" s="841">
        <v>5</v>
      </c>
      <c r="Z8" s="310"/>
      <c r="AA8" s="841">
        <v>5</v>
      </c>
      <c r="AB8" s="310"/>
      <c r="AC8" s="841">
        <v>7</v>
      </c>
      <c r="AD8" s="310"/>
      <c r="AE8" s="841">
        <v>7</v>
      </c>
      <c r="AF8" s="310"/>
      <c r="AH8" s="310"/>
      <c r="AJ8" s="376"/>
      <c r="AM8" s="196"/>
    </row>
    <row r="9" spans="1:39" ht="15" customHeight="1">
      <c r="A9" s="207">
        <f ca="1">NOW()</f>
        <v>46146.221987847224</v>
      </c>
      <c r="B9" s="208"/>
      <c r="D9" s="205"/>
      <c r="E9" s="206" t="s">
        <v>87</v>
      </c>
      <c r="F9" s="1180">
        <f>J9+N9+R9+W9+Y9+AA9+AE9+AC9</f>
        <v>9.7700000000000014</v>
      </c>
      <c r="G9" s="206"/>
      <c r="H9" s="206"/>
      <c r="I9" s="206" t="s">
        <v>87</v>
      </c>
      <c r="J9" s="1180">
        <v>3.49</v>
      </c>
      <c r="K9" s="206"/>
      <c r="L9" s="206"/>
      <c r="M9" s="206" t="s">
        <v>87</v>
      </c>
      <c r="N9" s="1180">
        <v>2.14</v>
      </c>
      <c r="O9" s="206"/>
      <c r="P9" s="206"/>
      <c r="Q9" s="206" t="s">
        <v>87</v>
      </c>
      <c r="R9" s="1180">
        <v>0.96</v>
      </c>
      <c r="S9" s="206"/>
      <c r="T9" s="206"/>
      <c r="U9" s="206"/>
      <c r="V9" s="206"/>
      <c r="W9" s="1180">
        <v>1.57</v>
      </c>
      <c r="X9" s="206"/>
      <c r="Y9" s="1180">
        <v>0.25</v>
      </c>
      <c r="Z9" s="206"/>
      <c r="AA9" s="1180">
        <v>0.17</v>
      </c>
      <c r="AB9" s="206"/>
      <c r="AC9" s="1180">
        <v>0.88</v>
      </c>
      <c r="AD9" s="206"/>
      <c r="AE9" s="1180">
        <v>0.31</v>
      </c>
      <c r="AF9" s="206"/>
      <c r="AG9" s="310"/>
      <c r="AH9" s="206"/>
      <c r="AJ9" s="377"/>
      <c r="AM9" s="196"/>
    </row>
    <row r="10" spans="1:39">
      <c r="A10" s="209"/>
      <c r="D10" s="205"/>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310"/>
      <c r="AH10" s="206"/>
      <c r="AJ10" s="377"/>
      <c r="AM10" s="196"/>
    </row>
    <row r="11" spans="1:39" s="210" customFormat="1" ht="63" customHeight="1">
      <c r="A11" s="387" t="s">
        <v>130</v>
      </c>
      <c r="B11" s="743" t="s">
        <v>131</v>
      </c>
      <c r="C11" s="744"/>
      <c r="D11" s="479" t="s">
        <v>591</v>
      </c>
      <c r="E11" s="480" t="s">
        <v>592</v>
      </c>
      <c r="F11" s="481" t="s">
        <v>98</v>
      </c>
      <c r="G11" s="335"/>
      <c r="H11" s="470" t="s">
        <v>593</v>
      </c>
      <c r="I11" s="1181" t="s">
        <v>592</v>
      </c>
      <c r="J11" s="579" t="s">
        <v>98</v>
      </c>
      <c r="K11" s="335"/>
      <c r="L11" s="470" t="s">
        <v>594</v>
      </c>
      <c r="M11" s="1181" t="s">
        <v>592</v>
      </c>
      <c r="N11" s="579" t="s">
        <v>98</v>
      </c>
      <c r="O11" s="335"/>
      <c r="P11" s="470" t="s">
        <v>595</v>
      </c>
      <c r="Q11" s="1181" t="s">
        <v>592</v>
      </c>
      <c r="R11" s="579" t="s">
        <v>98</v>
      </c>
      <c r="S11" s="335"/>
      <c r="T11" s="356" t="s">
        <v>596</v>
      </c>
      <c r="U11" s="356" t="s">
        <v>597</v>
      </c>
      <c r="V11" s="335"/>
      <c r="W11" s="356" t="s">
        <v>598</v>
      </c>
      <c r="X11" s="335"/>
      <c r="Y11" s="356" t="s">
        <v>599</v>
      </c>
      <c r="Z11" s="335"/>
      <c r="AA11" s="356" t="s">
        <v>600</v>
      </c>
      <c r="AB11" s="335"/>
      <c r="AC11" s="356" t="s">
        <v>601</v>
      </c>
      <c r="AD11" s="335"/>
      <c r="AE11" s="356" t="s">
        <v>602</v>
      </c>
      <c r="AF11" s="335"/>
      <c r="AG11" s="352" t="s">
        <v>603</v>
      </c>
      <c r="AH11" s="335"/>
      <c r="AI11" s="352" t="s">
        <v>597</v>
      </c>
      <c r="AJ11" s="378"/>
      <c r="AK11" s="381" t="s">
        <v>604</v>
      </c>
      <c r="AL11" s="230"/>
    </row>
    <row r="12" spans="1:39" s="173" customFormat="1" ht="6.75" customHeight="1">
      <c r="A12" s="337"/>
      <c r="B12" s="211"/>
      <c r="C12" s="211"/>
      <c r="D12" s="482"/>
      <c r="E12" s="211"/>
      <c r="F12" s="483"/>
      <c r="G12" s="334"/>
      <c r="H12" s="396"/>
      <c r="I12" s="402"/>
      <c r="J12" s="394"/>
      <c r="K12" s="334"/>
      <c r="L12" s="396"/>
      <c r="M12" s="402"/>
      <c r="N12" s="394"/>
      <c r="O12" s="334"/>
      <c r="P12" s="396"/>
      <c r="Q12" s="402"/>
      <c r="R12" s="394"/>
      <c r="S12" s="334"/>
      <c r="T12" s="353"/>
      <c r="U12" s="353"/>
      <c r="V12" s="334"/>
      <c r="W12" s="353"/>
      <c r="X12" s="334"/>
      <c r="Y12" s="353"/>
      <c r="Z12" s="334"/>
      <c r="AA12" s="353"/>
      <c r="AB12" s="334"/>
      <c r="AC12" s="353"/>
      <c r="AD12" s="334"/>
      <c r="AE12" s="353"/>
      <c r="AF12" s="334"/>
      <c r="AG12" s="353"/>
      <c r="AH12" s="334"/>
      <c r="AI12" s="353"/>
      <c r="AJ12" s="379"/>
      <c r="AK12" s="382"/>
      <c r="AL12"/>
    </row>
    <row r="13" spans="1:39" ht="16.5" customHeight="1">
      <c r="A13" s="338" t="s">
        <v>605</v>
      </c>
      <c r="B13" s="214" t="s">
        <v>606</v>
      </c>
      <c r="C13" s="215"/>
      <c r="D13" s="397">
        <f>'01A Surveying'!B98</f>
        <v>59815</v>
      </c>
      <c r="E13" s="216"/>
      <c r="F13" s="484"/>
      <c r="G13" s="336"/>
      <c r="H13" s="397">
        <f>SUM('01A Surveying'!$I$36:$I$39)</f>
        <v>15715</v>
      </c>
      <c r="I13" s="216"/>
      <c r="J13" s="395"/>
      <c r="K13" s="336"/>
      <c r="L13" s="397">
        <f>SUM('01A Surveying'!$I$42:$I$44)</f>
        <v>32100.000000000004</v>
      </c>
      <c r="M13" s="216">
        <f>L13/$N$7</f>
        <v>2.7487583490323688</v>
      </c>
      <c r="N13" s="395">
        <f ca="1">L13/$L$76</f>
        <v>3.4071196316293835E-3</v>
      </c>
      <c r="O13" s="336"/>
      <c r="P13" s="397">
        <f>SUM('01A Surveying'!$I$47:$I$49)</f>
        <v>12000</v>
      </c>
      <c r="Q13" s="216">
        <f>P13/$R$7</f>
        <v>1.069042316258352</v>
      </c>
      <c r="R13" s="395">
        <f ca="1">P13/$P$76</f>
        <v>1.826511259334756E-3</v>
      </c>
      <c r="S13" s="336"/>
      <c r="T13" s="357">
        <f>H13+L13+P13+W13+Y13+AA13+AC13+AE13</f>
        <v>59815</v>
      </c>
      <c r="U13" s="357">
        <f>D13-T13</f>
        <v>0</v>
      </c>
      <c r="V13" s="336"/>
      <c r="W13" s="357"/>
      <c r="X13" s="336"/>
      <c r="Y13" s="357"/>
      <c r="Z13" s="336"/>
      <c r="AA13" s="357"/>
      <c r="AB13" s="336"/>
      <c r="AC13" s="357"/>
      <c r="AD13" s="336"/>
      <c r="AE13" s="357"/>
      <c r="AF13" s="336"/>
      <c r="AG13" s="365"/>
      <c r="AH13" s="336"/>
      <c r="AI13" s="370">
        <f>D13-AG13</f>
        <v>59815</v>
      </c>
      <c r="AJ13" s="336"/>
      <c r="AK13" s="383"/>
      <c r="AL13"/>
    </row>
    <row r="14" spans="1:39" ht="16.5" customHeight="1">
      <c r="A14" s="338" t="s">
        <v>607</v>
      </c>
      <c r="B14" s="214" t="s">
        <v>608</v>
      </c>
      <c r="C14" s="215" t="s">
        <v>609</v>
      </c>
      <c r="D14" s="397"/>
      <c r="E14" s="216"/>
      <c r="F14" s="484"/>
      <c r="G14" s="336"/>
      <c r="H14" s="397"/>
      <c r="I14" s="216"/>
      <c r="J14" s="395"/>
      <c r="K14" s="336"/>
      <c r="L14" s="397"/>
      <c r="M14" s="216"/>
      <c r="N14" s="395"/>
      <c r="O14" s="336"/>
      <c r="P14" s="397"/>
      <c r="Q14" s="216"/>
      <c r="R14" s="395"/>
      <c r="S14" s="336"/>
      <c r="T14" s="357"/>
      <c r="U14" s="357"/>
      <c r="V14" s="336"/>
      <c r="W14" s="357"/>
      <c r="X14" s="336"/>
      <c r="Y14" s="357"/>
      <c r="Z14" s="336"/>
      <c r="AA14" s="357"/>
      <c r="AB14" s="336"/>
      <c r="AC14" s="357"/>
      <c r="AD14" s="336"/>
      <c r="AE14" s="357"/>
      <c r="AF14" s="336"/>
      <c r="AG14" s="365"/>
      <c r="AH14" s="336"/>
      <c r="AI14" s="370"/>
      <c r="AJ14" s="336"/>
      <c r="AK14" s="383"/>
      <c r="AL14"/>
    </row>
    <row r="15" spans="1:39" ht="16.5" customHeight="1">
      <c r="A15" s="338" t="s">
        <v>135</v>
      </c>
      <c r="B15" s="214" t="s">
        <v>136</v>
      </c>
      <c r="C15" s="215"/>
      <c r="D15" s="397">
        <f>'02A Demolition'!B100</f>
        <v>39250</v>
      </c>
      <c r="E15" s="216"/>
      <c r="F15" s="484"/>
      <c r="G15" s="336"/>
      <c r="H15" s="397">
        <f>SUM('02A Demolition'!$I$36:$I$41)</f>
        <v>10000</v>
      </c>
      <c r="I15" s="216"/>
      <c r="J15" s="395"/>
      <c r="K15" s="336"/>
      <c r="L15" s="397">
        <f>SUM('02A Demolition'!$I$44:$I$45)</f>
        <v>0</v>
      </c>
      <c r="M15" s="216">
        <f>L15/$N$7</f>
        <v>0</v>
      </c>
      <c r="N15" s="395">
        <f ca="1">L15/$L$76</f>
        <v>0</v>
      </c>
      <c r="O15" s="336"/>
      <c r="P15" s="397">
        <f>SUM('02A Demolition'!$I$48:$I$52)</f>
        <v>29250</v>
      </c>
      <c r="Q15" s="216">
        <f>P15/$R$7</f>
        <v>2.6057906458797326</v>
      </c>
      <c r="R15" s="395">
        <f ca="1">P15/$P$76</f>
        <v>4.4521211946284677E-3</v>
      </c>
      <c r="S15" s="336"/>
      <c r="T15" s="357">
        <f t="shared" ref="T15:T50" si="0">H15+L15+P15+W15+Y15+AA15+AC15+AE15</f>
        <v>39250</v>
      </c>
      <c r="U15" s="357">
        <f t="shared" ref="U15:U53" si="1">D15-T15</f>
        <v>0</v>
      </c>
      <c r="V15" s="336"/>
      <c r="W15" s="357"/>
      <c r="X15" s="336"/>
      <c r="Y15" s="357"/>
      <c r="Z15" s="336"/>
      <c r="AA15" s="357"/>
      <c r="AB15" s="336"/>
      <c r="AC15" s="357"/>
      <c r="AD15" s="336"/>
      <c r="AE15" s="357"/>
      <c r="AF15" s="336"/>
      <c r="AG15" s="365"/>
      <c r="AH15" s="336"/>
      <c r="AI15" s="370">
        <f t="shared" ref="AI15:AI41" si="2">D15-AG15</f>
        <v>39250</v>
      </c>
      <c r="AJ15" s="336"/>
      <c r="AK15" s="383"/>
      <c r="AL15"/>
    </row>
    <row r="16" spans="1:39" ht="16.5" customHeight="1">
      <c r="A16" s="338" t="s">
        <v>140</v>
      </c>
      <c r="B16" s="214" t="s">
        <v>141</v>
      </c>
      <c r="C16" s="215"/>
      <c r="D16" s="397">
        <f>'03A Concrete'!B110</f>
        <v>1749421</v>
      </c>
      <c r="E16" s="216"/>
      <c r="F16" s="484"/>
      <c r="G16" s="336"/>
      <c r="H16" s="397">
        <f>SUM('03A Concrete'!$I$36:$I$45)</f>
        <v>149120</v>
      </c>
      <c r="I16" s="216"/>
      <c r="J16" s="395"/>
      <c r="K16" s="336"/>
      <c r="L16" s="397">
        <f>SUM('03A Concrete'!$I$48:$I$50)</f>
        <v>782426</v>
      </c>
      <c r="M16" s="543">
        <f t="shared" ref="M16:M54" si="3">L16/$N$7</f>
        <v>67</v>
      </c>
      <c r="N16" s="395">
        <f t="shared" ref="N16:N54" ca="1" si="4">L16/$L$76</f>
        <v>8.3047320401783545E-2</v>
      </c>
      <c r="O16" s="336"/>
      <c r="P16" s="397">
        <f>SUM('03A Concrete'!$I$53:$I$57)</f>
        <v>817875</v>
      </c>
      <c r="Q16" s="543">
        <f t="shared" ref="Q16:Q53" si="5">P16/$R$7</f>
        <v>72.861915367483292</v>
      </c>
      <c r="R16" s="395">
        <f t="shared" ref="R16:R54" ca="1" si="6">P16/$P$76</f>
        <v>0.12448815801903447</v>
      </c>
      <c r="S16" s="336"/>
      <c r="T16" s="357">
        <f t="shared" si="0"/>
        <v>1749421</v>
      </c>
      <c r="U16" s="357">
        <f t="shared" si="1"/>
        <v>0</v>
      </c>
      <c r="V16" s="336"/>
      <c r="W16" s="357"/>
      <c r="X16" s="336"/>
      <c r="Y16" s="357"/>
      <c r="Z16" s="336"/>
      <c r="AA16" s="357"/>
      <c r="AB16" s="336"/>
      <c r="AC16" s="357"/>
      <c r="AD16" s="336"/>
      <c r="AE16" s="357"/>
      <c r="AF16" s="336"/>
      <c r="AG16" s="365"/>
      <c r="AH16" s="336"/>
      <c r="AI16" s="370">
        <f t="shared" si="2"/>
        <v>1749421</v>
      </c>
      <c r="AJ16" s="336"/>
      <c r="AK16" s="383"/>
      <c r="AL16"/>
    </row>
    <row r="17" spans="1:38" ht="16.5" customHeight="1">
      <c r="A17" s="338" t="s">
        <v>145</v>
      </c>
      <c r="B17" s="214" t="s">
        <v>146</v>
      </c>
      <c r="C17" s="215"/>
      <c r="D17" s="397">
        <f>'05A Structural Steel'!$B$96</f>
        <v>624269.9</v>
      </c>
      <c r="E17" s="216"/>
      <c r="F17" s="484"/>
      <c r="G17" s="336"/>
      <c r="H17" s="397">
        <f>SUM('05A Structural Steel'!$I$36:$I$37)</f>
        <v>296700</v>
      </c>
      <c r="I17" s="216"/>
      <c r="J17" s="395"/>
      <c r="K17" s="336"/>
      <c r="L17" s="397">
        <f>SUM('05A Structural Steel'!$I$41:$I$44)</f>
        <v>288282.40000000002</v>
      </c>
      <c r="M17" s="216">
        <f t="shared" si="3"/>
        <v>24.685939373180339</v>
      </c>
      <c r="N17" s="395">
        <f t="shared" ca="1" si="4"/>
        <v>3.0598524127515094E-2</v>
      </c>
      <c r="O17" s="336"/>
      <c r="P17" s="397">
        <f>SUM('05A Structural Steel'!$I$47:$I$48)</f>
        <v>39287.5</v>
      </c>
      <c r="Q17" s="216">
        <f t="shared" si="5"/>
        <v>3.5</v>
      </c>
      <c r="R17" s="395">
        <f t="shared" ca="1" si="6"/>
        <v>5.9799217584261856E-3</v>
      </c>
      <c r="S17" s="336"/>
      <c r="T17" s="357">
        <f t="shared" si="0"/>
        <v>624269.9</v>
      </c>
      <c r="U17" s="357">
        <f t="shared" ref="U17" si="7">D17-T17</f>
        <v>0</v>
      </c>
      <c r="V17" s="336"/>
      <c r="W17" s="357"/>
      <c r="X17" s="336"/>
      <c r="Y17" s="357"/>
      <c r="Z17" s="336"/>
      <c r="AA17" s="357"/>
      <c r="AB17" s="336"/>
      <c r="AC17" s="357"/>
      <c r="AD17" s="336"/>
      <c r="AE17" s="357"/>
      <c r="AF17" s="336"/>
      <c r="AG17" s="365"/>
      <c r="AH17" s="336"/>
      <c r="AI17" s="370">
        <f t="shared" si="2"/>
        <v>624269.9</v>
      </c>
      <c r="AJ17" s="336"/>
      <c r="AK17" s="383"/>
      <c r="AL17"/>
    </row>
    <row r="18" spans="1:38" ht="16.5" customHeight="1">
      <c r="A18" s="338" t="s">
        <v>610</v>
      </c>
      <c r="B18" s="214" t="s">
        <v>611</v>
      </c>
      <c r="C18" s="215"/>
      <c r="D18" s="397">
        <f>'05C Misc. Metals'!B99</f>
        <v>105897.5</v>
      </c>
      <c r="E18" s="216"/>
      <c r="F18" s="484"/>
      <c r="G18" s="336"/>
      <c r="H18" s="397">
        <f>SUM('05C Misc. Metals'!$I$36:$I$37)</f>
        <v>1326</v>
      </c>
      <c r="I18" s="216"/>
      <c r="J18" s="395"/>
      <c r="K18" s="336"/>
      <c r="L18" s="397">
        <f>SUM('05C Misc. Metals'!$I$41:$I$44)</f>
        <v>91039</v>
      </c>
      <c r="M18" s="216">
        <f t="shared" si="3"/>
        <v>7.7957698235999313</v>
      </c>
      <c r="N18" s="395">
        <f t="shared" ca="1" si="4"/>
        <v>9.6629521540158077E-3</v>
      </c>
      <c r="O18" s="336"/>
      <c r="P18" s="397">
        <f>SUM('05C Misc. Metals'!$I$47:$I$51)</f>
        <v>13532.5</v>
      </c>
      <c r="Q18" s="216">
        <f t="shared" si="5"/>
        <v>1.2055679287305123</v>
      </c>
      <c r="R18" s="395">
        <f t="shared" ca="1" si="6"/>
        <v>2.0597719680789657E-3</v>
      </c>
      <c r="S18" s="336"/>
      <c r="T18" s="357">
        <f t="shared" si="0"/>
        <v>105897.5</v>
      </c>
      <c r="U18" s="357">
        <f t="shared" si="1"/>
        <v>0</v>
      </c>
      <c r="V18" s="336"/>
      <c r="W18" s="357"/>
      <c r="X18" s="336"/>
      <c r="Y18" s="357"/>
      <c r="Z18" s="336"/>
      <c r="AA18" s="357"/>
      <c r="AB18" s="336"/>
      <c r="AC18" s="357"/>
      <c r="AD18" s="336"/>
      <c r="AE18" s="357"/>
      <c r="AF18" s="336"/>
      <c r="AG18" s="365"/>
      <c r="AH18" s="336"/>
      <c r="AI18" s="370">
        <f t="shared" si="2"/>
        <v>105897.5</v>
      </c>
      <c r="AJ18" s="336"/>
      <c r="AK18" s="383"/>
      <c r="AL18"/>
    </row>
    <row r="19" spans="1:38" ht="16.5" customHeight="1">
      <c r="A19" s="338" t="s">
        <v>612</v>
      </c>
      <c r="B19" s="214" t="s">
        <v>613</v>
      </c>
      <c r="C19" s="215"/>
      <c r="D19" s="397">
        <f>'06A Rough Carpentry'!B103</f>
        <v>348565.00778017635</v>
      </c>
      <c r="E19" s="216"/>
      <c r="F19" s="484"/>
      <c r="G19" s="336"/>
      <c r="H19" s="397">
        <f>SUM('06A Rough Carpentry'!$I$36:$I$40)</f>
        <v>7219.9447325991241</v>
      </c>
      <c r="I19" s="216"/>
      <c r="J19" s="395"/>
      <c r="K19" s="336"/>
      <c r="L19" s="397">
        <f>SUM('06A Rough Carpentry'!$I$43:$I$47)</f>
        <v>174892.22625638772</v>
      </c>
      <c r="M19" s="216">
        <f t="shared" si="3"/>
        <v>14.976213928445599</v>
      </c>
      <c r="N19" s="395">
        <f t="shared" ca="1" si="4"/>
        <v>1.856320054509366E-2</v>
      </c>
      <c r="O19" s="336"/>
      <c r="P19" s="397">
        <f>SUM('06A Rough Carpentry'!$I$50:$I$55)</f>
        <v>166452.83679118947</v>
      </c>
      <c r="Q19" s="216">
        <f t="shared" si="5"/>
        <v>14.828760515918884</v>
      </c>
      <c r="R19" s="395">
        <f t="shared" ca="1" si="6"/>
        <v>2.5335665045609843E-2</v>
      </c>
      <c r="S19" s="336"/>
      <c r="T19" s="357">
        <f t="shared" si="0"/>
        <v>348565.00778017635</v>
      </c>
      <c r="U19" s="357">
        <f t="shared" si="1"/>
        <v>0</v>
      </c>
      <c r="V19" s="336"/>
      <c r="W19" s="357"/>
      <c r="X19" s="336"/>
      <c r="Y19" s="357"/>
      <c r="Z19" s="336"/>
      <c r="AA19" s="357"/>
      <c r="AB19" s="336"/>
      <c r="AC19" s="357"/>
      <c r="AD19" s="336"/>
      <c r="AE19" s="357"/>
      <c r="AF19" s="336"/>
      <c r="AG19" s="365"/>
      <c r="AH19" s="336"/>
      <c r="AI19" s="370">
        <f t="shared" si="2"/>
        <v>348565.00778017635</v>
      </c>
      <c r="AJ19" s="336"/>
      <c r="AK19" s="383"/>
      <c r="AL19"/>
    </row>
    <row r="20" spans="1:38" ht="16.5" customHeight="1">
      <c r="A20" s="338" t="s">
        <v>614</v>
      </c>
      <c r="B20" s="214" t="s">
        <v>615</v>
      </c>
      <c r="C20" s="215"/>
      <c r="D20" s="397">
        <f>'06C Wood Trusses'!$B$94</f>
        <v>41580</v>
      </c>
      <c r="E20" s="216"/>
      <c r="F20" s="484"/>
      <c r="G20" s="336"/>
      <c r="H20" s="397">
        <f>SUM('06C Wood Trusses'!$I$36:$I$38)</f>
        <v>7168</v>
      </c>
      <c r="I20" s="216"/>
      <c r="J20" s="395"/>
      <c r="K20" s="336"/>
      <c r="L20" s="397">
        <f>SUM('06C Wood Trusses'!$I$41:$I$42)</f>
        <v>0</v>
      </c>
      <c r="M20" s="216">
        <f t="shared" si="3"/>
        <v>0</v>
      </c>
      <c r="N20" s="395">
        <f t="shared" ca="1" si="4"/>
        <v>0</v>
      </c>
      <c r="O20" s="336"/>
      <c r="P20" s="397">
        <f>SUM('06C Wood Trusses'!$I$45:$I$47)</f>
        <v>34412</v>
      </c>
      <c r="Q20" s="216">
        <f t="shared" si="5"/>
        <v>3.0656570155902005</v>
      </c>
      <c r="R20" s="395">
        <f t="shared" ca="1" si="6"/>
        <v>5.2378254546856353E-3</v>
      </c>
      <c r="S20" s="336"/>
      <c r="T20" s="357">
        <f t="shared" si="0"/>
        <v>41580</v>
      </c>
      <c r="U20" s="357">
        <f t="shared" si="1"/>
        <v>0</v>
      </c>
      <c r="V20" s="336"/>
      <c r="W20" s="357"/>
      <c r="X20" s="336"/>
      <c r="Y20" s="357"/>
      <c r="Z20" s="336"/>
      <c r="AA20" s="357"/>
      <c r="AB20" s="336"/>
      <c r="AC20" s="357"/>
      <c r="AD20" s="336"/>
      <c r="AE20" s="357"/>
      <c r="AF20" s="336"/>
      <c r="AG20" s="365"/>
      <c r="AH20" s="336"/>
      <c r="AI20" s="370">
        <f t="shared" si="2"/>
        <v>41580</v>
      </c>
      <c r="AJ20" s="336"/>
      <c r="AK20" s="383"/>
      <c r="AL20"/>
    </row>
    <row r="21" spans="1:38" ht="16.5" customHeight="1">
      <c r="A21" s="338" t="s">
        <v>150</v>
      </c>
      <c r="B21" s="214" t="s">
        <v>151</v>
      </c>
      <c r="C21" s="215"/>
      <c r="D21" s="397">
        <f>'06F Millwork'!B118</f>
        <v>504620</v>
      </c>
      <c r="E21" s="216"/>
      <c r="F21" s="484"/>
      <c r="G21" s="336"/>
      <c r="H21" s="397">
        <f>SUM('06F Millwork'!$I$36:$I$39)</f>
        <v>14652</v>
      </c>
      <c r="I21" s="216"/>
      <c r="J21" s="395"/>
      <c r="K21" s="336"/>
      <c r="L21" s="397">
        <f>SUM('06F Millwork'!$I$42:$I$63)</f>
        <v>426068</v>
      </c>
      <c r="M21" s="216">
        <f t="shared" si="3"/>
        <v>36.484672032882344</v>
      </c>
      <c r="N21" s="395">
        <f t="shared" ca="1" si="4"/>
        <v>4.522319773236972E-2</v>
      </c>
      <c r="O21" s="336"/>
      <c r="P21" s="397">
        <f>SUM('06F Millwork'!$I$66:$I$71)</f>
        <v>63900</v>
      </c>
      <c r="Q21" s="216">
        <f t="shared" si="5"/>
        <v>5.692650334075724</v>
      </c>
      <c r="R21" s="395">
        <f t="shared" ca="1" si="6"/>
        <v>9.7261724559575755E-3</v>
      </c>
      <c r="S21" s="336"/>
      <c r="T21" s="357">
        <f t="shared" si="0"/>
        <v>504620</v>
      </c>
      <c r="U21" s="357">
        <f t="shared" si="1"/>
        <v>0</v>
      </c>
      <c r="V21" s="336"/>
      <c r="W21" s="357"/>
      <c r="X21" s="336"/>
      <c r="Y21" s="357"/>
      <c r="Z21" s="336"/>
      <c r="AA21" s="357"/>
      <c r="AB21" s="336"/>
      <c r="AC21" s="357"/>
      <c r="AD21" s="336"/>
      <c r="AE21" s="357"/>
      <c r="AF21" s="336"/>
      <c r="AG21" s="365"/>
      <c r="AH21" s="336"/>
      <c r="AI21" s="370">
        <f t="shared" si="2"/>
        <v>504620</v>
      </c>
      <c r="AJ21" s="336"/>
      <c r="AK21" s="383"/>
      <c r="AL21"/>
    </row>
    <row r="22" spans="1:38" ht="16.5" customHeight="1">
      <c r="A22" s="338" t="s">
        <v>155</v>
      </c>
      <c r="B22" s="214" t="s">
        <v>156</v>
      </c>
      <c r="C22" s="215"/>
      <c r="D22" s="397">
        <f>'07D Roofing'!B98</f>
        <v>514038</v>
      </c>
      <c r="E22" s="216"/>
      <c r="F22" s="484"/>
      <c r="G22" s="336"/>
      <c r="H22" s="397">
        <f>SUM('07D Roofing'!$I$36:$I$38)</f>
        <v>22528</v>
      </c>
      <c r="I22" s="216"/>
      <c r="J22" s="395"/>
      <c r="K22" s="336"/>
      <c r="L22" s="397">
        <f>SUM('07D Roofing'!$I$41:$I$44)</f>
        <v>348040</v>
      </c>
      <c r="M22" s="216">
        <f t="shared" si="3"/>
        <v>29.80304846720329</v>
      </c>
      <c r="N22" s="395">
        <f t="shared" ca="1" si="4"/>
        <v>3.6941243507547988E-2</v>
      </c>
      <c r="O22" s="336"/>
      <c r="P22" s="397">
        <f>SUM('07D Roofing'!$I$47:$I$51)</f>
        <v>143470</v>
      </c>
      <c r="Q22" s="216">
        <f t="shared" si="5"/>
        <v>12.781291759465478</v>
      </c>
      <c r="R22" s="395">
        <f t="shared" ca="1" si="6"/>
        <v>2.1837464198063119E-2</v>
      </c>
      <c r="S22" s="336"/>
      <c r="T22" s="357">
        <f t="shared" si="0"/>
        <v>514038</v>
      </c>
      <c r="U22" s="357">
        <f t="shared" si="1"/>
        <v>0</v>
      </c>
      <c r="V22" s="336"/>
      <c r="W22" s="357"/>
      <c r="X22" s="336"/>
      <c r="Y22" s="357"/>
      <c r="Z22" s="336"/>
      <c r="AA22" s="357"/>
      <c r="AB22" s="336"/>
      <c r="AC22" s="357"/>
      <c r="AD22" s="336"/>
      <c r="AE22" s="357"/>
      <c r="AF22" s="336"/>
      <c r="AG22" s="365"/>
      <c r="AH22" s="336"/>
      <c r="AI22" s="370">
        <f t="shared" si="2"/>
        <v>514038</v>
      </c>
      <c r="AJ22" s="336"/>
      <c r="AK22" s="383"/>
      <c r="AL22"/>
    </row>
    <row r="23" spans="1:38">
      <c r="A23" s="338" t="s">
        <v>616</v>
      </c>
      <c r="B23" s="214" t="s">
        <v>617</v>
      </c>
      <c r="C23" s="215"/>
      <c r="D23" s="397">
        <f>'07E Caulking &amp; Waterproofing'!B118</f>
        <v>88695.705000000002</v>
      </c>
      <c r="E23" s="216"/>
      <c r="F23" s="484"/>
      <c r="G23" s="336"/>
      <c r="H23" s="397">
        <f>SUM('07E Caulking &amp; Waterproofing'!$I$36:$I$38)</f>
        <v>1657.5</v>
      </c>
      <c r="I23" s="216"/>
      <c r="J23" s="395"/>
      <c r="K23" s="336"/>
      <c r="L23" s="397">
        <f>SUM('07E Caulking &amp; Waterproofing'!$I$41:$I$44)</f>
        <v>47750.705000000002</v>
      </c>
      <c r="M23" s="216">
        <f t="shared" si="3"/>
        <v>4.0889454529885256</v>
      </c>
      <c r="N23" s="395">
        <f t="shared" ca="1" si="4"/>
        <v>5.0682979573097612E-3</v>
      </c>
      <c r="O23" s="336"/>
      <c r="P23" s="397">
        <f>SUM('07E Caulking &amp; Waterproofing'!$I$47:$I$49)</f>
        <v>39287.5</v>
      </c>
      <c r="Q23" s="216">
        <f t="shared" si="5"/>
        <v>3.5</v>
      </c>
      <c r="R23" s="395">
        <f t="shared" ca="1" si="6"/>
        <v>5.9799217584261856E-3</v>
      </c>
      <c r="S23" s="336"/>
      <c r="T23" s="357">
        <f t="shared" si="0"/>
        <v>88695.705000000002</v>
      </c>
      <c r="U23" s="357">
        <f t="shared" si="1"/>
        <v>0</v>
      </c>
      <c r="V23" s="336"/>
      <c r="W23" s="357"/>
      <c r="X23" s="336"/>
      <c r="Y23" s="357"/>
      <c r="Z23" s="336"/>
      <c r="AA23" s="357"/>
      <c r="AB23" s="336"/>
      <c r="AC23" s="357"/>
      <c r="AD23" s="336"/>
      <c r="AE23" s="357"/>
      <c r="AF23" s="336"/>
      <c r="AG23" s="365"/>
      <c r="AH23" s="336"/>
      <c r="AI23" s="370">
        <f t="shared" si="2"/>
        <v>88695.705000000002</v>
      </c>
      <c r="AJ23" s="336"/>
      <c r="AK23" s="383"/>
      <c r="AL23"/>
    </row>
    <row r="24" spans="1:38">
      <c r="A24" s="338" t="s">
        <v>618</v>
      </c>
      <c r="B24" s="214" t="s">
        <v>619</v>
      </c>
      <c r="C24" s="215"/>
      <c r="D24" s="397">
        <f>'07H Panelized Exterior Skin'!$B$93</f>
        <v>226791.94999999998</v>
      </c>
      <c r="E24" s="216"/>
      <c r="F24" s="484"/>
      <c r="G24" s="336"/>
      <c r="H24" s="397">
        <f>SUM('07H Panelized Exterior Skin'!$I$36:$I$37)</f>
        <v>0</v>
      </c>
      <c r="I24" s="216"/>
      <c r="J24" s="395"/>
      <c r="K24" s="336"/>
      <c r="L24" s="397">
        <f>SUM('07H Panelized Exterior Skin'!$I$40:$I$42)</f>
        <v>226791.94999999998</v>
      </c>
      <c r="M24" s="216">
        <f t="shared" si="3"/>
        <v>19.420444425415308</v>
      </c>
      <c r="N24" s="395">
        <f t="shared" ca="1" si="4"/>
        <v>2.4071878664813376E-2</v>
      </c>
      <c r="O24" s="336"/>
      <c r="P24" s="397">
        <f>SUM('07H Panelized Exterior Skin'!$I$45:$I$46)</f>
        <v>0</v>
      </c>
      <c r="Q24" s="216">
        <f t="shared" ref="Q24" si="8">P24/$R$7</f>
        <v>0</v>
      </c>
      <c r="R24" s="395">
        <f t="shared" ca="1" si="6"/>
        <v>0</v>
      </c>
      <c r="S24" s="336"/>
      <c r="T24" s="357">
        <f t="shared" si="0"/>
        <v>226791.94999999998</v>
      </c>
      <c r="U24" s="357">
        <f t="shared" ref="U24" si="9">D24-T24</f>
        <v>0</v>
      </c>
      <c r="V24" s="336"/>
      <c r="W24" s="357"/>
      <c r="X24" s="336"/>
      <c r="Y24" s="357"/>
      <c r="Z24" s="336"/>
      <c r="AA24" s="357"/>
      <c r="AB24" s="336"/>
      <c r="AC24" s="357"/>
      <c r="AD24" s="336"/>
      <c r="AE24" s="357"/>
      <c r="AF24" s="336"/>
      <c r="AG24" s="365"/>
      <c r="AH24" s="336"/>
      <c r="AI24" s="370">
        <f t="shared" si="2"/>
        <v>226791.94999999998</v>
      </c>
      <c r="AJ24" s="336"/>
      <c r="AK24" s="383"/>
      <c r="AL24"/>
    </row>
    <row r="25" spans="1:38" ht="16.5" customHeight="1">
      <c r="A25" s="338" t="s">
        <v>620</v>
      </c>
      <c r="B25" s="214" t="s">
        <v>621</v>
      </c>
      <c r="C25" s="215"/>
      <c r="D25" s="397">
        <f>'08A Doors, Frames, &amp; Hardware'!B95</f>
        <v>165750</v>
      </c>
      <c r="E25" s="216"/>
      <c r="F25" s="484"/>
      <c r="G25" s="336"/>
      <c r="H25" s="397">
        <f>SUM('08A Doors, Frames, &amp; Hardware'!$I$36:$I$38)</f>
        <v>3500</v>
      </c>
      <c r="I25" s="216"/>
      <c r="J25" s="395"/>
      <c r="K25" s="336"/>
      <c r="L25" s="397">
        <f>SUM('08A Doors, Frames, &amp; Hardware'!$I$41:$I$43)</f>
        <v>122000</v>
      </c>
      <c r="M25" s="216">
        <f t="shared" si="3"/>
        <v>10.446994348347319</v>
      </c>
      <c r="N25" s="395">
        <f t="shared" ca="1" si="4"/>
        <v>1.2949177416161518E-2</v>
      </c>
      <c r="O25" s="336"/>
      <c r="P25" s="397">
        <f>SUM('08A Doors, Frames, &amp; Hardware'!$I$46:$I$48)</f>
        <v>40250</v>
      </c>
      <c r="Q25" s="216">
        <f t="shared" si="5"/>
        <v>3.5857461024498885</v>
      </c>
      <c r="R25" s="395">
        <f t="shared" ca="1" si="6"/>
        <v>6.1264231823519944E-3</v>
      </c>
      <c r="S25" s="336"/>
      <c r="T25" s="357">
        <f t="shared" si="0"/>
        <v>165750</v>
      </c>
      <c r="U25" s="357">
        <f t="shared" si="1"/>
        <v>0</v>
      </c>
      <c r="V25" s="336"/>
      <c r="W25" s="357"/>
      <c r="X25" s="336"/>
      <c r="Y25" s="357"/>
      <c r="Z25" s="336"/>
      <c r="AA25" s="357"/>
      <c r="AB25" s="336"/>
      <c r="AC25" s="357"/>
      <c r="AD25" s="336"/>
      <c r="AE25" s="357"/>
      <c r="AF25" s="336"/>
      <c r="AG25" s="365"/>
      <c r="AH25" s="336"/>
      <c r="AI25" s="370">
        <f t="shared" si="2"/>
        <v>165750</v>
      </c>
      <c r="AJ25" s="336"/>
      <c r="AK25" s="383"/>
      <c r="AL25"/>
    </row>
    <row r="26" spans="1:38" ht="16.5" customHeight="1">
      <c r="A26" s="338" t="s">
        <v>160</v>
      </c>
      <c r="B26" s="214" t="s">
        <v>161</v>
      </c>
      <c r="C26" s="215"/>
      <c r="D26" s="397">
        <f>'08C Glass and Glazing'!B95</f>
        <v>509130</v>
      </c>
      <c r="E26" s="216"/>
      <c r="F26" s="484"/>
      <c r="G26" s="336"/>
      <c r="H26" s="397">
        <f>SUM('08C Glass and Glazing'!$I$36:$I$37)</f>
        <v>0</v>
      </c>
      <c r="I26" s="216"/>
      <c r="J26" s="395"/>
      <c r="K26" s="336"/>
      <c r="L26" s="397">
        <f>SUM('08C Glass and Glazing'!$I$40:$I$42)</f>
        <v>143640</v>
      </c>
      <c r="M26" s="216">
        <f t="shared" si="3"/>
        <v>12.300051378660729</v>
      </c>
      <c r="N26" s="395">
        <f t="shared" ca="1" si="4"/>
        <v>1.5246064295552791E-2</v>
      </c>
      <c r="O26" s="336"/>
      <c r="P26" s="397">
        <f>SUM('08C Glass and Glazing'!$I$45:$I$48)</f>
        <v>365490</v>
      </c>
      <c r="Q26" s="216">
        <f t="shared" si="5"/>
        <v>32.560356347438756</v>
      </c>
      <c r="R26" s="395">
        <f t="shared" ca="1" si="6"/>
        <v>5.5630966681188332E-2</v>
      </c>
      <c r="S26" s="336"/>
      <c r="T26" s="357">
        <f t="shared" si="0"/>
        <v>509130</v>
      </c>
      <c r="U26" s="357">
        <f t="shared" si="1"/>
        <v>0</v>
      </c>
      <c r="V26" s="336"/>
      <c r="W26" s="357"/>
      <c r="X26" s="336"/>
      <c r="Y26" s="357"/>
      <c r="Z26" s="336"/>
      <c r="AA26" s="357"/>
      <c r="AB26" s="336"/>
      <c r="AC26" s="357"/>
      <c r="AD26" s="336"/>
      <c r="AE26" s="357"/>
      <c r="AF26" s="336"/>
      <c r="AG26" s="365"/>
      <c r="AH26" s="336"/>
      <c r="AI26" s="370">
        <f t="shared" si="2"/>
        <v>509130</v>
      </c>
      <c r="AJ26" s="336"/>
      <c r="AK26" s="383"/>
      <c r="AL26"/>
    </row>
    <row r="27" spans="1:38">
      <c r="A27" s="338" t="s">
        <v>165</v>
      </c>
      <c r="B27" s="214" t="s">
        <v>166</v>
      </c>
      <c r="C27" s="215"/>
      <c r="D27" s="397">
        <f>'09A Stucco'!B97</f>
        <v>123408</v>
      </c>
      <c r="E27" s="216"/>
      <c r="F27" s="484"/>
      <c r="G27" s="336"/>
      <c r="H27" s="397">
        <f>SUM('09A Stucco'!$I$36:$I$38)</f>
        <v>9570</v>
      </c>
      <c r="I27" s="216"/>
      <c r="J27" s="395"/>
      <c r="K27" s="336"/>
      <c r="L27" s="397">
        <f>SUM('09A Stucco'!$I$41:$I$43)</f>
        <v>55848</v>
      </c>
      <c r="M27" s="216">
        <f t="shared" si="3"/>
        <v>4.7823257407090258</v>
      </c>
      <c r="N27" s="395">
        <f t="shared" ca="1" si="4"/>
        <v>5.9277513142441682E-3</v>
      </c>
      <c r="O27" s="336"/>
      <c r="P27" s="397">
        <f>SUM('09A Stucco'!$I$46:$I$50)</f>
        <v>57990</v>
      </c>
      <c r="Q27" s="216">
        <f t="shared" si="5"/>
        <v>5.1661469933184856</v>
      </c>
      <c r="R27" s="395">
        <f t="shared" ca="1" si="6"/>
        <v>8.8266156607352091E-3</v>
      </c>
      <c r="S27" s="336"/>
      <c r="T27" s="357">
        <f t="shared" si="0"/>
        <v>123408</v>
      </c>
      <c r="U27" s="357">
        <f t="shared" si="1"/>
        <v>0</v>
      </c>
      <c r="V27" s="336"/>
      <c r="W27" s="357"/>
      <c r="X27" s="336"/>
      <c r="Y27" s="357"/>
      <c r="Z27" s="336"/>
      <c r="AA27" s="357"/>
      <c r="AB27" s="336"/>
      <c r="AC27" s="357"/>
      <c r="AD27" s="336"/>
      <c r="AE27" s="357"/>
      <c r="AF27" s="336"/>
      <c r="AG27" s="365"/>
      <c r="AH27" s="336"/>
      <c r="AI27" s="370">
        <f t="shared" si="2"/>
        <v>123408</v>
      </c>
      <c r="AJ27" s="336"/>
      <c r="AK27" s="383"/>
      <c r="AL27"/>
    </row>
    <row r="28" spans="1:38" ht="16.5" customHeight="1">
      <c r="A28" s="338" t="s">
        <v>170</v>
      </c>
      <c r="B28" s="214" t="s">
        <v>171</v>
      </c>
      <c r="C28" s="215"/>
      <c r="D28" s="397">
        <f>'09B Drywall&amp;Framing'!B95</f>
        <v>819230</v>
      </c>
      <c r="E28" s="216"/>
      <c r="F28" s="484"/>
      <c r="G28" s="336"/>
      <c r="H28" s="397">
        <f>SUM('09B Drywall&amp;Framing'!$I$36:$I$38)</f>
        <v>19890</v>
      </c>
      <c r="I28" s="216"/>
      <c r="J28" s="395"/>
      <c r="K28" s="336"/>
      <c r="L28" s="397">
        <f>SUM('09B Drywall&amp;Framing'!$I$41:$I$43)</f>
        <v>350340</v>
      </c>
      <c r="M28" s="216">
        <f t="shared" si="3"/>
        <v>30</v>
      </c>
      <c r="N28" s="395">
        <f t="shared" ca="1" si="4"/>
        <v>3.7185367344082183E-2</v>
      </c>
      <c r="O28" s="336"/>
      <c r="P28" s="397">
        <f>SUM('09B Drywall&amp;Framing'!$I$46:$I$48)</f>
        <v>449000</v>
      </c>
      <c r="Q28" s="216">
        <f t="shared" si="5"/>
        <v>40</v>
      </c>
      <c r="R28" s="395">
        <f t="shared" ca="1" si="6"/>
        <v>6.8341962953442123E-2</v>
      </c>
      <c r="S28" s="336"/>
      <c r="T28" s="357">
        <f t="shared" si="0"/>
        <v>819230</v>
      </c>
      <c r="U28" s="357">
        <f t="shared" si="1"/>
        <v>0</v>
      </c>
      <c r="V28" s="336"/>
      <c r="W28" s="357"/>
      <c r="X28" s="336"/>
      <c r="Y28" s="357"/>
      <c r="Z28" s="336"/>
      <c r="AA28" s="357"/>
      <c r="AB28" s="336"/>
      <c r="AC28" s="357"/>
      <c r="AD28" s="336"/>
      <c r="AE28" s="357"/>
      <c r="AF28" s="336"/>
      <c r="AG28" s="365"/>
      <c r="AH28" s="336"/>
      <c r="AI28" s="370">
        <f t="shared" si="2"/>
        <v>819230</v>
      </c>
      <c r="AJ28" s="336"/>
      <c r="AK28" s="383"/>
      <c r="AL28"/>
    </row>
    <row r="29" spans="1:38" ht="16.5" customHeight="1">
      <c r="A29" s="339" t="s">
        <v>622</v>
      </c>
      <c r="B29" s="214" t="s">
        <v>623</v>
      </c>
      <c r="C29" s="215"/>
      <c r="D29" s="397">
        <f>'09C Acoustical Ceilings'!B100</f>
        <v>32632</v>
      </c>
      <c r="E29" s="216"/>
      <c r="F29" s="484"/>
      <c r="G29" s="336"/>
      <c r="H29" s="397">
        <f>SUM('09C Acoustical Ceilings'!$I$36:$I$37)</f>
        <v>0</v>
      </c>
      <c r="I29" s="216"/>
      <c r="J29" s="395"/>
      <c r="K29" s="336"/>
      <c r="L29" s="397">
        <f>SUM('09C Acoustical Ceilings'!$I$40:$I$48)</f>
        <v>6376</v>
      </c>
      <c r="M29" s="216">
        <f t="shared" si="3"/>
        <v>0.54598390135297137</v>
      </c>
      <c r="N29" s="395">
        <f t="shared" ca="1" si="4"/>
        <v>6.7675373119217906E-4</v>
      </c>
      <c r="O29" s="336"/>
      <c r="P29" s="397">
        <f>SUM('09C Acoustical Ceilings'!$I$51:$I$53)</f>
        <v>26256</v>
      </c>
      <c r="Q29" s="216">
        <f t="shared" si="5"/>
        <v>2.3390645879732741</v>
      </c>
      <c r="R29" s="395">
        <f t="shared" ca="1" si="6"/>
        <v>3.9964066354244458E-3</v>
      </c>
      <c r="S29" s="336"/>
      <c r="T29" s="357">
        <f t="shared" si="0"/>
        <v>32632</v>
      </c>
      <c r="U29" s="357">
        <f t="shared" si="1"/>
        <v>0</v>
      </c>
      <c r="V29" s="336"/>
      <c r="W29" s="357"/>
      <c r="X29" s="336"/>
      <c r="Y29" s="357"/>
      <c r="Z29" s="336"/>
      <c r="AA29" s="357"/>
      <c r="AB29" s="336"/>
      <c r="AC29" s="357"/>
      <c r="AD29" s="336"/>
      <c r="AE29" s="357"/>
      <c r="AF29" s="336"/>
      <c r="AG29" s="365"/>
      <c r="AH29" s="336"/>
      <c r="AI29" s="370">
        <f t="shared" si="2"/>
        <v>32632</v>
      </c>
      <c r="AJ29" s="336"/>
      <c r="AK29" s="383"/>
      <c r="AL29"/>
    </row>
    <row r="30" spans="1:38" ht="16.5" customHeight="1">
      <c r="A30" s="339" t="s">
        <v>624</v>
      </c>
      <c r="B30" s="214" t="s">
        <v>625</v>
      </c>
      <c r="C30" s="215"/>
      <c r="D30" s="397">
        <f>'09D Acoustical Treatment'!$B$93</f>
        <v>25350</v>
      </c>
      <c r="E30" s="216"/>
      <c r="F30" s="484"/>
      <c r="G30" s="336"/>
      <c r="H30" s="397">
        <f>SUM('09D Acoustical Treatment'!$I$35:$I$36)</f>
        <v>0</v>
      </c>
      <c r="I30" s="216"/>
      <c r="J30" s="395"/>
      <c r="K30" s="336"/>
      <c r="L30" s="397">
        <f>SUM('09D Acoustical Treatment'!$I$39:$I$40)</f>
        <v>0</v>
      </c>
      <c r="M30" s="216">
        <f t="shared" si="3"/>
        <v>0</v>
      </c>
      <c r="N30" s="395">
        <f t="shared" ca="1" si="4"/>
        <v>0</v>
      </c>
      <c r="O30" s="336"/>
      <c r="P30" s="397">
        <f>SUM('09D Acoustical Treatment'!$I$43:$I$46)</f>
        <v>25350</v>
      </c>
      <c r="Q30" s="216">
        <f t="shared" ref="Q30" si="10">P30/$R$7</f>
        <v>2.2583518930957682</v>
      </c>
      <c r="R30" s="395">
        <f t="shared" ca="1" si="6"/>
        <v>3.858505035344672E-3</v>
      </c>
      <c r="S30" s="336"/>
      <c r="T30" s="357">
        <f t="shared" si="0"/>
        <v>25350</v>
      </c>
      <c r="U30" s="357">
        <f t="shared" ref="U30" si="11">D30-T30</f>
        <v>0</v>
      </c>
      <c r="V30" s="336"/>
      <c r="W30" s="357"/>
      <c r="X30" s="336"/>
      <c r="Y30" s="357"/>
      <c r="Z30" s="336"/>
      <c r="AA30" s="357"/>
      <c r="AB30" s="336"/>
      <c r="AC30" s="357"/>
      <c r="AD30" s="336"/>
      <c r="AE30" s="357"/>
      <c r="AF30" s="336"/>
      <c r="AG30" s="365"/>
      <c r="AH30" s="336"/>
      <c r="AI30" s="370">
        <f t="shared" si="2"/>
        <v>25350</v>
      </c>
      <c r="AJ30" s="336"/>
      <c r="AK30" s="383"/>
      <c r="AL30"/>
    </row>
    <row r="31" spans="1:38" ht="16.5" customHeight="1">
      <c r="A31" s="338" t="s">
        <v>174</v>
      </c>
      <c r="B31" s="214" t="s">
        <v>175</v>
      </c>
      <c r="C31" s="215"/>
      <c r="D31" s="397">
        <f>'09E Tile &amp; Stone'!B171</f>
        <v>449937.24</v>
      </c>
      <c r="E31" s="216"/>
      <c r="F31" s="484"/>
      <c r="G31" s="336"/>
      <c r="H31" s="397">
        <f>SUM('09E Tile &amp; Stone'!$I$41:$I$45)</f>
        <v>34990.339999999997</v>
      </c>
      <c r="I31" s="216"/>
      <c r="J31" s="395"/>
      <c r="K31" s="336"/>
      <c r="L31" s="397">
        <f>SUM('09E Tile &amp; Stone'!$I$48:$I$97)</f>
        <v>316959.88</v>
      </c>
      <c r="M31" s="216">
        <f t="shared" si="3"/>
        <v>27.141623565679055</v>
      </c>
      <c r="N31" s="395">
        <f t="shared" ca="1" si="4"/>
        <v>3.3642374753485776E-2</v>
      </c>
      <c r="O31" s="336"/>
      <c r="P31" s="397">
        <f>SUM('09E Tile &amp; Stone'!$I$100:$I$124)</f>
        <v>97987.02</v>
      </c>
      <c r="Q31" s="216">
        <f t="shared" si="5"/>
        <v>8.7293559020044551</v>
      </c>
      <c r="R31" s="395">
        <f t="shared" ca="1" si="6"/>
        <v>1.4914532941554995E-2</v>
      </c>
      <c r="S31" s="336"/>
      <c r="T31" s="357">
        <f t="shared" si="0"/>
        <v>449937.24</v>
      </c>
      <c r="U31" s="357">
        <f t="shared" si="1"/>
        <v>0</v>
      </c>
      <c r="V31" s="336"/>
      <c r="W31" s="357"/>
      <c r="X31" s="336"/>
      <c r="Y31" s="357"/>
      <c r="Z31" s="336"/>
      <c r="AA31" s="357"/>
      <c r="AB31" s="336"/>
      <c r="AC31" s="357"/>
      <c r="AD31" s="336"/>
      <c r="AE31" s="357"/>
      <c r="AF31" s="336"/>
      <c r="AG31" s="365"/>
      <c r="AH31" s="336"/>
      <c r="AI31" s="370">
        <f t="shared" si="2"/>
        <v>449937.24</v>
      </c>
      <c r="AJ31" s="336"/>
      <c r="AK31" s="383"/>
      <c r="AL31"/>
    </row>
    <row r="32" spans="1:38" ht="16.5" customHeight="1">
      <c r="A32" s="338" t="s">
        <v>179</v>
      </c>
      <c r="B32" s="214" t="s">
        <v>180</v>
      </c>
      <c r="C32" s="215"/>
      <c r="D32" s="397">
        <f>'09F Carpet &amp; Resilient'!B154</f>
        <v>53846.200000000004</v>
      </c>
      <c r="E32" s="216"/>
      <c r="F32" s="484"/>
      <c r="G32" s="336"/>
      <c r="H32" s="397">
        <f>SUM('09F Carpet &amp; Resilient'!$I$40:$I$41)</f>
        <v>0</v>
      </c>
      <c r="I32" s="216"/>
      <c r="J32" s="395"/>
      <c r="K32" s="336"/>
      <c r="L32" s="397">
        <f>SUM('09F Carpet &amp; Resilient'!$I$44:$I$65)</f>
        <v>47876.58</v>
      </c>
      <c r="M32" s="216">
        <f t="shared" si="3"/>
        <v>4.0997242678540848</v>
      </c>
      <c r="N32" s="395">
        <f t="shared" ca="1" si="4"/>
        <v>5.0816584303200836E-3</v>
      </c>
      <c r="O32" s="336"/>
      <c r="P32" s="397">
        <f>SUM('09F Carpet &amp; Resilient'!$I$68:$I$78)</f>
        <v>5969.62</v>
      </c>
      <c r="Q32" s="216">
        <f t="shared" si="5"/>
        <v>0.53181469933184855</v>
      </c>
      <c r="R32" s="395">
        <f t="shared" ca="1" si="6"/>
        <v>9.0863151199582879E-4</v>
      </c>
      <c r="S32" s="336"/>
      <c r="T32" s="357">
        <f t="shared" si="0"/>
        <v>53846.200000000004</v>
      </c>
      <c r="U32" s="357">
        <f t="shared" si="1"/>
        <v>0</v>
      </c>
      <c r="V32" s="336"/>
      <c r="W32" s="357"/>
      <c r="X32" s="336"/>
      <c r="Y32" s="357"/>
      <c r="Z32" s="336"/>
      <c r="AA32" s="357"/>
      <c r="AB32" s="336"/>
      <c r="AC32" s="357"/>
      <c r="AD32" s="336"/>
      <c r="AE32" s="357"/>
      <c r="AF32" s="336"/>
      <c r="AG32" s="365"/>
      <c r="AH32" s="336"/>
      <c r="AI32" s="370">
        <f t="shared" si="2"/>
        <v>53846.200000000004</v>
      </c>
      <c r="AJ32" s="336"/>
      <c r="AK32" s="383"/>
      <c r="AL32"/>
    </row>
    <row r="33" spans="1:38" ht="16.5" customHeight="1">
      <c r="A33" s="338" t="s">
        <v>626</v>
      </c>
      <c r="B33" s="214" t="s">
        <v>627</v>
      </c>
      <c r="C33" s="215"/>
      <c r="D33" s="397">
        <f>'09G Sports Flooring'!$B$103</f>
        <v>121912.25</v>
      </c>
      <c r="E33" s="216"/>
      <c r="F33" s="484"/>
      <c r="G33" s="336"/>
      <c r="H33" s="397">
        <f>SUM('09G Sports Flooring'!$I$35:$I$36)</f>
        <v>0</v>
      </c>
      <c r="I33" s="216"/>
      <c r="J33" s="395"/>
      <c r="K33" s="336"/>
      <c r="L33" s="397">
        <f>SUM('09G Sports Flooring'!$I$39:$I$40)</f>
        <v>0</v>
      </c>
      <c r="M33" s="216">
        <f t="shared" si="3"/>
        <v>0</v>
      </c>
      <c r="N33" s="395">
        <f t="shared" ca="1" si="4"/>
        <v>0</v>
      </c>
      <c r="O33" s="336"/>
      <c r="P33" s="397">
        <f>SUM('09G Sports Flooring'!$I$43:$I$47)</f>
        <v>121912.25</v>
      </c>
      <c r="Q33" s="216">
        <f t="shared" ref="Q33" si="12">P33/$R$7</f>
        <v>10.860779510022272</v>
      </c>
      <c r="R33" s="395">
        <f t="shared" ca="1" si="6"/>
        <v>1.8556174772986135E-2</v>
      </c>
      <c r="S33" s="336"/>
      <c r="T33" s="357">
        <f t="shared" si="0"/>
        <v>121912.25</v>
      </c>
      <c r="U33" s="357">
        <f t="shared" ref="U33" si="13">D33-T33</f>
        <v>0</v>
      </c>
      <c r="V33" s="336"/>
      <c r="W33" s="357"/>
      <c r="X33" s="336"/>
      <c r="Y33" s="357"/>
      <c r="Z33" s="336"/>
      <c r="AA33" s="357"/>
      <c r="AB33" s="336"/>
      <c r="AC33" s="357"/>
      <c r="AD33" s="336"/>
      <c r="AE33" s="357"/>
      <c r="AF33" s="336"/>
      <c r="AG33" s="365"/>
      <c r="AH33" s="336"/>
      <c r="AI33" s="370">
        <f t="shared" si="2"/>
        <v>121912.25</v>
      </c>
      <c r="AJ33" s="336"/>
      <c r="AK33" s="383"/>
      <c r="AL33"/>
    </row>
    <row r="34" spans="1:38" ht="16.5" customHeight="1">
      <c r="A34" s="338" t="s">
        <v>181</v>
      </c>
      <c r="B34" s="214" t="s">
        <v>182</v>
      </c>
      <c r="C34" s="215"/>
      <c r="D34" s="397">
        <f>'09I Painting'!B126</f>
        <v>227808.6</v>
      </c>
      <c r="E34" s="216"/>
      <c r="F34" s="484"/>
      <c r="G34" s="336"/>
      <c r="H34" s="397">
        <f>SUM('09I Painting'!$I$41:$I$44)</f>
        <v>2270.5</v>
      </c>
      <c r="I34" s="216"/>
      <c r="J34" s="395"/>
      <c r="K34" s="336"/>
      <c r="L34" s="397">
        <f>SUM('09I Painting'!$I$47:$I$69)</f>
        <v>121879.76666666668</v>
      </c>
      <c r="M34" s="216">
        <f t="shared" si="3"/>
        <v>10.436698635611121</v>
      </c>
      <c r="N34" s="395">
        <f t="shared" ca="1" si="4"/>
        <v>1.2936415754156029E-2</v>
      </c>
      <c r="O34" s="336"/>
      <c r="P34" s="397">
        <f>SUM('09I Painting'!$I$72:$I$78)</f>
        <v>103658.33333333333</v>
      </c>
      <c r="Q34" s="216">
        <f t="shared" si="5"/>
        <v>9.2345953971789161</v>
      </c>
      <c r="R34" s="395">
        <f t="shared" ca="1" si="6"/>
        <v>1.5777759413100716E-2</v>
      </c>
      <c r="S34" s="336"/>
      <c r="T34" s="357">
        <f t="shared" si="0"/>
        <v>227808.6</v>
      </c>
      <c r="U34" s="357">
        <f t="shared" si="1"/>
        <v>0</v>
      </c>
      <c r="V34" s="336"/>
      <c r="W34" s="357"/>
      <c r="X34" s="336"/>
      <c r="Y34" s="357"/>
      <c r="Z34" s="336"/>
      <c r="AA34" s="357"/>
      <c r="AB34" s="336"/>
      <c r="AC34" s="357"/>
      <c r="AD34" s="336"/>
      <c r="AE34" s="357"/>
      <c r="AF34" s="336"/>
      <c r="AG34" s="365"/>
      <c r="AH34" s="336"/>
      <c r="AI34" s="370">
        <f t="shared" si="2"/>
        <v>227808.6</v>
      </c>
      <c r="AJ34" s="336"/>
      <c r="AK34" s="383"/>
      <c r="AL34"/>
    </row>
    <row r="35" spans="1:38" ht="16.5" customHeight="1">
      <c r="A35" s="338" t="s">
        <v>628</v>
      </c>
      <c r="B35" s="214" t="s">
        <v>629</v>
      </c>
      <c r="C35" s="215"/>
      <c r="D35" s="397">
        <f>'10A Signage'!B95</f>
        <v>23403</v>
      </c>
      <c r="E35" s="216"/>
      <c r="F35" s="484"/>
      <c r="G35" s="336"/>
      <c r="H35" s="397">
        <f>SUM('10A Signage'!$I$36:$I$38)</f>
        <v>500</v>
      </c>
      <c r="I35" s="216"/>
      <c r="J35" s="395"/>
      <c r="K35" s="336"/>
      <c r="L35" s="397">
        <f>SUM('10A Signage'!$I$41:$I$43)</f>
        <v>11678</v>
      </c>
      <c r="M35" s="216">
        <f t="shared" si="3"/>
        <v>1</v>
      </c>
      <c r="N35" s="395">
        <f t="shared" ca="1" si="4"/>
        <v>1.2395122448027394E-3</v>
      </c>
      <c r="O35" s="336"/>
      <c r="P35" s="397">
        <f>SUM('10A Signage'!$I$46:$I$48)</f>
        <v>11225</v>
      </c>
      <c r="Q35" s="216">
        <f t="shared" si="5"/>
        <v>1</v>
      </c>
      <c r="R35" s="395">
        <f t="shared" ca="1" si="6"/>
        <v>1.7085490738360531E-3</v>
      </c>
      <c r="S35" s="336"/>
      <c r="T35" s="357">
        <f t="shared" si="0"/>
        <v>23403</v>
      </c>
      <c r="U35" s="357">
        <f t="shared" si="1"/>
        <v>0</v>
      </c>
      <c r="V35" s="336"/>
      <c r="W35" s="357"/>
      <c r="X35" s="336"/>
      <c r="Y35" s="357"/>
      <c r="Z35" s="336"/>
      <c r="AA35" s="357"/>
      <c r="AB35" s="336"/>
      <c r="AC35" s="357"/>
      <c r="AD35" s="336"/>
      <c r="AE35" s="357"/>
      <c r="AF35" s="336"/>
      <c r="AG35" s="365"/>
      <c r="AH35" s="336"/>
      <c r="AI35" s="370">
        <f t="shared" si="2"/>
        <v>23403</v>
      </c>
      <c r="AJ35" s="336"/>
      <c r="AK35" s="383"/>
      <c r="AL35"/>
    </row>
    <row r="36" spans="1:38" ht="16.5" customHeight="1">
      <c r="A36" s="338" t="s">
        <v>185</v>
      </c>
      <c r="B36" s="214" t="s">
        <v>186</v>
      </c>
      <c r="C36" s="215"/>
      <c r="D36" s="397">
        <f>'10B Operable Partitions'!$B$94</f>
        <v>190000</v>
      </c>
      <c r="E36" s="216"/>
      <c r="F36" s="484"/>
      <c r="G36" s="336"/>
      <c r="H36" s="397">
        <f>SUM('10B Operable Partitions'!$I$36:$I$37)</f>
        <v>0</v>
      </c>
      <c r="I36" s="216"/>
      <c r="J36" s="395"/>
      <c r="K36" s="336"/>
      <c r="L36" s="397">
        <f>SUM('10B Operable Partitions'!$I$40:$I$41)</f>
        <v>0</v>
      </c>
      <c r="M36" s="216">
        <f t="shared" si="3"/>
        <v>0</v>
      </c>
      <c r="N36" s="395">
        <f t="shared" ca="1" si="4"/>
        <v>0</v>
      </c>
      <c r="O36" s="336"/>
      <c r="P36" s="397">
        <f>SUM('10B Operable Partitions'!$I$44:$I$47)</f>
        <v>190000</v>
      </c>
      <c r="Q36" s="216">
        <f t="shared" ref="Q36" si="14">P36/$R$7</f>
        <v>16.92650334075724</v>
      </c>
      <c r="R36" s="395">
        <f t="shared" ca="1" si="6"/>
        <v>2.8919761606133638E-2</v>
      </c>
      <c r="S36" s="336"/>
      <c r="T36" s="357">
        <f t="shared" si="0"/>
        <v>190000</v>
      </c>
      <c r="U36" s="357">
        <f t="shared" ref="U36" si="15">D36-T36</f>
        <v>0</v>
      </c>
      <c r="V36" s="336"/>
      <c r="W36" s="357"/>
      <c r="X36" s="336"/>
      <c r="Y36" s="357"/>
      <c r="Z36" s="336"/>
      <c r="AA36" s="357"/>
      <c r="AB36" s="336"/>
      <c r="AC36" s="357"/>
      <c r="AD36" s="336"/>
      <c r="AE36" s="357"/>
      <c r="AF36" s="336"/>
      <c r="AG36" s="365"/>
      <c r="AH36" s="336"/>
      <c r="AI36" s="370">
        <f t="shared" si="2"/>
        <v>190000</v>
      </c>
      <c r="AJ36" s="336"/>
      <c r="AK36" s="383"/>
      <c r="AL36"/>
    </row>
    <row r="37" spans="1:38" ht="16.5" customHeight="1">
      <c r="A37" s="338" t="s">
        <v>630</v>
      </c>
      <c r="B37" s="214" t="s">
        <v>631</v>
      </c>
      <c r="C37" s="215"/>
      <c r="D37" s="397">
        <f>'10C Toilet Partitions &amp; Bath'!B102</f>
        <v>28590</v>
      </c>
      <c r="E37" s="216"/>
      <c r="F37" s="484"/>
      <c r="G37" s="336"/>
      <c r="H37" s="397">
        <f>SUM('10C Toilet Partitions &amp; Bath'!$I$36:$I$41)</f>
        <v>12730</v>
      </c>
      <c r="I37" s="216"/>
      <c r="J37" s="395"/>
      <c r="K37" s="336"/>
      <c r="L37" s="397">
        <f>SUM('10C Toilet Partitions &amp; Bath'!$I$44:$I$48)</f>
        <v>10820</v>
      </c>
      <c r="M37" s="216">
        <f t="shared" si="3"/>
        <v>0.92652851515670487</v>
      </c>
      <c r="N37" s="395">
        <f t="shared" ca="1" si="4"/>
        <v>1.1484434396956363E-3</v>
      </c>
      <c r="O37" s="336"/>
      <c r="P37" s="397">
        <f>SUM('10C Toilet Partitions &amp; Bath'!$I$51:$I$55)</f>
        <v>5040</v>
      </c>
      <c r="Q37" s="216">
        <f t="shared" si="5"/>
        <v>0.44899777282850778</v>
      </c>
      <c r="R37" s="395">
        <f t="shared" ca="1" si="6"/>
        <v>7.6713472892059754E-4</v>
      </c>
      <c r="S37" s="336"/>
      <c r="T37" s="357">
        <f t="shared" si="0"/>
        <v>28590</v>
      </c>
      <c r="U37" s="357">
        <f t="shared" si="1"/>
        <v>0</v>
      </c>
      <c r="V37" s="336"/>
      <c r="W37" s="357"/>
      <c r="X37" s="336"/>
      <c r="Y37" s="357"/>
      <c r="Z37" s="336"/>
      <c r="AA37" s="357"/>
      <c r="AB37" s="336"/>
      <c r="AC37" s="357"/>
      <c r="AD37" s="336"/>
      <c r="AE37" s="357"/>
      <c r="AF37" s="336"/>
      <c r="AG37" s="365"/>
      <c r="AH37" s="336"/>
      <c r="AI37" s="370">
        <f t="shared" si="2"/>
        <v>28590</v>
      </c>
      <c r="AJ37" s="336"/>
      <c r="AK37" s="383"/>
      <c r="AL37"/>
    </row>
    <row r="38" spans="1:38" ht="16.5" customHeight="1">
      <c r="A38" s="338" t="s">
        <v>632</v>
      </c>
      <c r="B38" s="214" t="s">
        <v>633</v>
      </c>
      <c r="C38" s="215"/>
      <c r="D38" s="397">
        <f>'10F Lockers'!B95</f>
        <v>104000</v>
      </c>
      <c r="E38" s="216"/>
      <c r="F38" s="484"/>
      <c r="G38" s="336"/>
      <c r="H38" s="397">
        <f>SUM('10F Lockers'!$I$36:$I$37)</f>
        <v>0</v>
      </c>
      <c r="I38" s="216"/>
      <c r="J38" s="395"/>
      <c r="K38" s="336"/>
      <c r="L38" s="397">
        <f>SUM('10F Lockers'!$I$40:$I$43)</f>
        <v>104000</v>
      </c>
      <c r="M38" s="216">
        <f t="shared" si="3"/>
        <v>8.9056345264600107</v>
      </c>
      <c r="N38" s="395">
        <f t="shared" ca="1" si="4"/>
        <v>1.1038643043285229E-2</v>
      </c>
      <c r="O38" s="336"/>
      <c r="P38" s="397">
        <f>SUM('10F Lockers'!$I$46:$I$47)</f>
        <v>0</v>
      </c>
      <c r="Q38" s="216">
        <f t="shared" si="5"/>
        <v>0</v>
      </c>
      <c r="R38" s="395">
        <f t="shared" ca="1" si="6"/>
        <v>0</v>
      </c>
      <c r="S38" s="336"/>
      <c r="T38" s="357">
        <f t="shared" si="0"/>
        <v>104000</v>
      </c>
      <c r="U38" s="357">
        <f t="shared" si="1"/>
        <v>0</v>
      </c>
      <c r="V38" s="336"/>
      <c r="W38" s="357"/>
      <c r="X38" s="336"/>
      <c r="Y38" s="357"/>
      <c r="Z38" s="336"/>
      <c r="AA38" s="357"/>
      <c r="AB38" s="336"/>
      <c r="AC38" s="357"/>
      <c r="AD38" s="336"/>
      <c r="AE38" s="357"/>
      <c r="AF38" s="336"/>
      <c r="AG38" s="365"/>
      <c r="AH38" s="336"/>
      <c r="AI38" s="370">
        <f t="shared" si="2"/>
        <v>104000</v>
      </c>
      <c r="AJ38" s="336"/>
      <c r="AK38" s="383"/>
      <c r="AL38"/>
    </row>
    <row r="39" spans="1:38" ht="16.5" customHeight="1">
      <c r="A39" s="338" t="s">
        <v>634</v>
      </c>
      <c r="B39" s="214" t="s">
        <v>635</v>
      </c>
      <c r="C39" s="215"/>
      <c r="D39" s="397">
        <f>'10I Fire Extinguishers&amp;Cabinet'!B95</f>
        <v>5180.6000000000004</v>
      </c>
      <c r="E39" s="216"/>
      <c r="F39" s="484"/>
      <c r="G39" s="336"/>
      <c r="H39" s="397">
        <f>SUM('10I Fire Extinguishers&amp;Cabinet'!$I$36:$I$38)</f>
        <v>600</v>
      </c>
      <c r="I39" s="216"/>
      <c r="J39" s="395"/>
      <c r="K39" s="336"/>
      <c r="L39" s="397">
        <f>SUM('10I Fire Extinguishers&amp;Cabinet'!$I$41:$I$43)</f>
        <v>2335.6</v>
      </c>
      <c r="M39" s="216">
        <f t="shared" si="3"/>
        <v>0.19999999999999998</v>
      </c>
      <c r="N39" s="395">
        <f t="shared" ca="1" si="4"/>
        <v>2.4790244896054787E-4</v>
      </c>
      <c r="O39" s="336"/>
      <c r="P39" s="397">
        <f>SUM('10I Fire Extinguishers&amp;Cabinet'!$I$46:$I$48)</f>
        <v>2245</v>
      </c>
      <c r="Q39" s="216">
        <f t="shared" si="5"/>
        <v>0.2</v>
      </c>
      <c r="R39" s="395">
        <f t="shared" ca="1" si="6"/>
        <v>3.4170981476721061E-4</v>
      </c>
      <c r="S39" s="336"/>
      <c r="T39" s="357">
        <f t="shared" si="0"/>
        <v>5180.6000000000004</v>
      </c>
      <c r="U39" s="357">
        <f t="shared" si="1"/>
        <v>0</v>
      </c>
      <c r="V39" s="336"/>
      <c r="W39" s="357"/>
      <c r="X39" s="336"/>
      <c r="Y39" s="357"/>
      <c r="Z39" s="336"/>
      <c r="AA39" s="357"/>
      <c r="AB39" s="336"/>
      <c r="AC39" s="357"/>
      <c r="AD39" s="336"/>
      <c r="AE39" s="357"/>
      <c r="AF39" s="336"/>
      <c r="AG39" s="365"/>
      <c r="AH39" s="336"/>
      <c r="AI39" s="370">
        <f t="shared" si="2"/>
        <v>5180.6000000000004</v>
      </c>
      <c r="AJ39" s="336"/>
      <c r="AK39" s="383"/>
      <c r="AL39"/>
    </row>
    <row r="40" spans="1:38" ht="16.5" customHeight="1">
      <c r="A40" s="338" t="s">
        <v>636</v>
      </c>
      <c r="B40" s="214" t="s">
        <v>637</v>
      </c>
      <c r="C40" s="215"/>
      <c r="D40" s="397">
        <f>'12A Window Treatment'!B94</f>
        <v>34354.5</v>
      </c>
      <c r="E40" s="216"/>
      <c r="F40" s="484"/>
      <c r="G40" s="336"/>
      <c r="H40" s="397">
        <f>SUM('12A Window Treatment'!$I$36:$I$37)</f>
        <v>0</v>
      </c>
      <c r="I40" s="216"/>
      <c r="J40" s="395"/>
      <c r="K40" s="336"/>
      <c r="L40" s="397">
        <f>SUM('12A Window Treatment'!$I$40:$I$42)</f>
        <v>17517</v>
      </c>
      <c r="M40" s="216">
        <f t="shared" si="3"/>
        <v>1.5</v>
      </c>
      <c r="N40" s="395">
        <f t="shared" ca="1" si="4"/>
        <v>1.8592683672041092E-3</v>
      </c>
      <c r="O40" s="336"/>
      <c r="P40" s="397">
        <f>SUM('12A Window Treatment'!$I$45:$I$47)</f>
        <v>16837.5</v>
      </c>
      <c r="Q40" s="216">
        <f t="shared" si="5"/>
        <v>1.5</v>
      </c>
      <c r="R40" s="395">
        <f t="shared" ca="1" si="6"/>
        <v>2.5628236107540794E-3</v>
      </c>
      <c r="S40" s="336"/>
      <c r="T40" s="357">
        <f t="shared" si="0"/>
        <v>34354.5</v>
      </c>
      <c r="U40" s="357">
        <f>D40-T40</f>
        <v>0</v>
      </c>
      <c r="V40" s="336"/>
      <c r="W40" s="357"/>
      <c r="X40" s="336"/>
      <c r="Y40" s="357"/>
      <c r="Z40" s="336"/>
      <c r="AA40" s="357"/>
      <c r="AB40" s="336"/>
      <c r="AC40" s="357"/>
      <c r="AD40" s="336"/>
      <c r="AE40" s="357"/>
      <c r="AF40" s="336"/>
      <c r="AG40" s="365"/>
      <c r="AH40" s="336"/>
      <c r="AI40" s="370">
        <f t="shared" si="2"/>
        <v>34354.5</v>
      </c>
      <c r="AJ40" s="336"/>
      <c r="AK40" s="383"/>
      <c r="AL40"/>
    </row>
    <row r="41" spans="1:38" ht="16.5" customHeight="1">
      <c r="A41" s="338" t="s">
        <v>190</v>
      </c>
      <c r="B41" s="309" t="s">
        <v>191</v>
      </c>
      <c r="C41" s="215"/>
      <c r="D41" s="397">
        <f>'13B Swimming Pools'!$B$112</f>
        <v>441150</v>
      </c>
      <c r="E41" s="216"/>
      <c r="F41" s="484"/>
      <c r="G41" s="336"/>
      <c r="H41" s="397">
        <v>0</v>
      </c>
      <c r="I41" s="216"/>
      <c r="J41" s="395"/>
      <c r="K41" s="336"/>
      <c r="L41" s="397">
        <f>SUM('13B Swimming Pools'!$I$37:$I$42)</f>
        <v>441150</v>
      </c>
      <c r="M41" s="216">
        <f t="shared" si="3"/>
        <v>37.776160301421477</v>
      </c>
      <c r="N41" s="395">
        <f t="shared" ca="1" si="4"/>
        <v>4.682401325524306E-2</v>
      </c>
      <c r="O41" s="336"/>
      <c r="P41" s="397">
        <f>SUM('13B Swimming Pools'!$I$45:$I$46)</f>
        <v>0</v>
      </c>
      <c r="Q41" s="216">
        <f t="shared" si="5"/>
        <v>0</v>
      </c>
      <c r="R41" s="395">
        <f t="shared" ca="1" si="6"/>
        <v>0</v>
      </c>
      <c r="S41" s="336"/>
      <c r="T41" s="357">
        <f t="shared" si="0"/>
        <v>441150</v>
      </c>
      <c r="U41" s="357">
        <f t="shared" ref="U41" si="16">D41-T41</f>
        <v>0</v>
      </c>
      <c r="V41" s="336"/>
      <c r="W41" s="357"/>
      <c r="X41" s="336"/>
      <c r="Y41" s="357"/>
      <c r="Z41" s="336"/>
      <c r="AA41" s="357"/>
      <c r="AB41" s="336"/>
      <c r="AC41" s="357"/>
      <c r="AD41" s="336"/>
      <c r="AE41" s="357"/>
      <c r="AF41" s="336"/>
      <c r="AG41" s="365"/>
      <c r="AH41" s="336"/>
      <c r="AI41" s="370">
        <f t="shared" si="2"/>
        <v>441150</v>
      </c>
      <c r="AJ41" s="336"/>
      <c r="AK41" s="383"/>
      <c r="AL41"/>
    </row>
    <row r="42" spans="1:38" ht="16.5" customHeight="1">
      <c r="A42" s="338" t="s">
        <v>195</v>
      </c>
      <c r="B42" s="309" t="s">
        <v>196</v>
      </c>
      <c r="C42" s="509" t="s">
        <v>609</v>
      </c>
      <c r="D42" s="397">
        <f>'13C Awnings,Canopies,Shutters'!$B$97</f>
        <v>295165</v>
      </c>
      <c r="E42" s="216"/>
      <c r="F42" s="484"/>
      <c r="G42" s="336"/>
      <c r="H42" s="397">
        <f>SUM('13C Awnings,Canopies,Shutters'!$I$36:$I$42)</f>
        <v>295165</v>
      </c>
      <c r="I42" s="216"/>
      <c r="J42" s="395"/>
      <c r="K42" s="336"/>
      <c r="L42" s="397">
        <f>SUM('13C Awnings,Canopies,Shutters'!$I$45:$I$46)</f>
        <v>0</v>
      </c>
      <c r="M42" s="216">
        <f t="shared" si="3"/>
        <v>0</v>
      </c>
      <c r="N42" s="395">
        <f t="shared" ca="1" si="4"/>
        <v>0</v>
      </c>
      <c r="O42" s="336"/>
      <c r="P42" s="397">
        <f>SUM('13C Awnings,Canopies,Shutters'!$I$49:$I$50)</f>
        <v>0</v>
      </c>
      <c r="Q42" s="216"/>
      <c r="R42" s="395"/>
      <c r="S42" s="336"/>
      <c r="T42" s="357">
        <f t="shared" si="0"/>
        <v>295165</v>
      </c>
      <c r="U42" s="357">
        <f t="shared" ref="U42" si="17">D42-T42</f>
        <v>0</v>
      </c>
      <c r="V42" s="336"/>
      <c r="W42" s="357"/>
      <c r="X42" s="336"/>
      <c r="Y42" s="357"/>
      <c r="Z42" s="336"/>
      <c r="AA42" s="357"/>
      <c r="AB42" s="336"/>
      <c r="AC42" s="357"/>
      <c r="AD42" s="336"/>
      <c r="AE42" s="357"/>
      <c r="AF42" s="336"/>
      <c r="AG42" s="365"/>
      <c r="AH42" s="336"/>
      <c r="AI42" s="370"/>
      <c r="AJ42" s="336"/>
      <c r="AK42" s="383"/>
      <c r="AL42"/>
    </row>
    <row r="43" spans="1:38" ht="16.5" customHeight="1">
      <c r="A43" s="338" t="s">
        <v>200</v>
      </c>
      <c r="B43" s="214" t="s">
        <v>201</v>
      </c>
      <c r="C43" s="215"/>
      <c r="D43" s="397">
        <f>'14A Elevators'!$B$92</f>
        <v>130000</v>
      </c>
      <c r="E43" s="216"/>
      <c r="F43" s="484"/>
      <c r="G43" s="336"/>
      <c r="H43" s="397">
        <f>SUM('14A Elevators'!$I$35:$I$36)</f>
        <v>0</v>
      </c>
      <c r="I43" s="216"/>
      <c r="J43" s="395"/>
      <c r="K43" s="336"/>
      <c r="L43" s="397">
        <f>SUM('14A Elevators'!$I$39:$I$40)</f>
        <v>0</v>
      </c>
      <c r="M43" s="216">
        <f t="shared" si="3"/>
        <v>0</v>
      </c>
      <c r="N43" s="395">
        <f t="shared" ca="1" si="4"/>
        <v>0</v>
      </c>
      <c r="O43" s="336"/>
      <c r="P43" s="397">
        <f>SUM('14A Elevators'!$I$43:$I$45)</f>
        <v>130000</v>
      </c>
      <c r="Q43" s="216">
        <f t="shared" ref="Q43" si="18">P43/$R$7</f>
        <v>11.581291759465479</v>
      </c>
      <c r="R43" s="395">
        <f t="shared" ca="1" si="6"/>
        <v>1.9787205309459856E-2</v>
      </c>
      <c r="S43" s="336"/>
      <c r="T43" s="357">
        <f t="shared" si="0"/>
        <v>130000</v>
      </c>
      <c r="U43" s="357">
        <f t="shared" ref="U43" si="19">D43-T43</f>
        <v>0</v>
      </c>
      <c r="V43" s="336"/>
      <c r="W43" s="357"/>
      <c r="X43" s="336"/>
      <c r="Y43" s="357"/>
      <c r="Z43" s="336"/>
      <c r="AA43" s="357"/>
      <c r="AB43" s="336"/>
      <c r="AC43" s="357"/>
      <c r="AD43" s="336"/>
      <c r="AE43" s="357"/>
      <c r="AF43" s="336"/>
      <c r="AG43" s="365"/>
      <c r="AH43" s="336"/>
      <c r="AI43" s="370">
        <f t="shared" ref="AI43:AI54" si="20">D43-AG43</f>
        <v>130000</v>
      </c>
      <c r="AJ43" s="336"/>
      <c r="AK43" s="383"/>
      <c r="AL43"/>
    </row>
    <row r="44" spans="1:38" ht="16.5" customHeight="1">
      <c r="A44" s="338" t="s">
        <v>205</v>
      </c>
      <c r="B44" s="214" t="s">
        <v>206</v>
      </c>
      <c r="C44" s="215"/>
      <c r="D44" s="397">
        <f>'21A Fire Sprinkler'!B95</f>
        <v>83475.5</v>
      </c>
      <c r="E44" s="216"/>
      <c r="F44" s="484"/>
      <c r="G44" s="336"/>
      <c r="H44" s="397">
        <f>SUM('21A Fire Sprinkler'!$I$36:$I$38)</f>
        <v>3315</v>
      </c>
      <c r="I44" s="216"/>
      <c r="J44" s="395"/>
      <c r="K44" s="336"/>
      <c r="L44" s="397">
        <f>SUM('21A Fire Sprinkler'!$I$41:$I$43)</f>
        <v>40873</v>
      </c>
      <c r="M44" s="216">
        <f t="shared" si="3"/>
        <v>3.5</v>
      </c>
      <c r="N44" s="395">
        <f t="shared" ca="1" si="4"/>
        <v>4.3382928568095882E-3</v>
      </c>
      <c r="O44" s="336"/>
      <c r="P44" s="397">
        <f>SUM('21A Fire Sprinkler'!$I$46:$I$48)</f>
        <v>39287.5</v>
      </c>
      <c r="Q44" s="216">
        <f t="shared" si="5"/>
        <v>3.5</v>
      </c>
      <c r="R44" s="395">
        <f t="shared" ca="1" si="6"/>
        <v>5.9799217584261856E-3</v>
      </c>
      <c r="S44" s="336"/>
      <c r="T44" s="357">
        <f t="shared" si="0"/>
        <v>83475.5</v>
      </c>
      <c r="U44" s="357">
        <f t="shared" si="1"/>
        <v>0</v>
      </c>
      <c r="V44" s="336"/>
      <c r="W44" s="357"/>
      <c r="X44" s="336"/>
      <c r="Y44" s="357"/>
      <c r="Z44" s="336"/>
      <c r="AA44" s="357"/>
      <c r="AB44" s="336"/>
      <c r="AC44" s="357"/>
      <c r="AD44" s="336"/>
      <c r="AE44" s="357"/>
      <c r="AF44" s="336"/>
      <c r="AG44" s="365"/>
      <c r="AH44" s="336"/>
      <c r="AI44" s="370">
        <f t="shared" si="20"/>
        <v>83475.5</v>
      </c>
      <c r="AJ44" s="336"/>
      <c r="AK44" s="383"/>
      <c r="AL44"/>
    </row>
    <row r="45" spans="1:38" ht="16.5" customHeight="1">
      <c r="A45" s="338" t="s">
        <v>210</v>
      </c>
      <c r="B45" s="214" t="s">
        <v>211</v>
      </c>
      <c r="C45" s="215"/>
      <c r="D45" s="397">
        <f>'22A Plumbing '!B109</f>
        <v>531000</v>
      </c>
      <c r="E45" s="216"/>
      <c r="F45" s="484"/>
      <c r="G45" s="336"/>
      <c r="H45" s="397">
        <f>SUM('22A Plumbing '!$I$46:$I$50)</f>
        <v>35000</v>
      </c>
      <c r="I45" s="216"/>
      <c r="J45" s="395"/>
      <c r="K45" s="336"/>
      <c r="L45" s="397">
        <f>SUM('22A Plumbing '!$I$53:$I$55)</f>
        <v>330000</v>
      </c>
      <c r="M45" s="216">
        <f t="shared" si="3"/>
        <v>28.258263401267339</v>
      </c>
      <c r="N45" s="395">
        <f t="shared" ca="1" si="4"/>
        <v>3.5026463502731975E-2</v>
      </c>
      <c r="O45" s="336"/>
      <c r="P45" s="397">
        <f>SUM('22A Plumbing '!$I$58:$I$61)</f>
        <v>166000</v>
      </c>
      <c r="Q45" s="216">
        <f t="shared" si="5"/>
        <v>14.788418708240535</v>
      </c>
      <c r="R45" s="395">
        <f t="shared" ca="1" si="6"/>
        <v>2.5266739087464126E-2</v>
      </c>
      <c r="S45" s="336"/>
      <c r="T45" s="357">
        <f t="shared" si="0"/>
        <v>531000</v>
      </c>
      <c r="U45" s="357">
        <f t="shared" si="1"/>
        <v>0</v>
      </c>
      <c r="V45" s="336"/>
      <c r="W45" s="357"/>
      <c r="X45" s="336"/>
      <c r="Y45" s="357"/>
      <c r="Z45" s="336"/>
      <c r="AA45" s="357"/>
      <c r="AB45" s="336"/>
      <c r="AC45" s="357"/>
      <c r="AD45" s="336"/>
      <c r="AE45" s="357"/>
      <c r="AF45" s="336"/>
      <c r="AG45" s="365"/>
      <c r="AH45" s="336"/>
      <c r="AI45" s="370">
        <f t="shared" si="20"/>
        <v>531000</v>
      </c>
      <c r="AJ45" s="336"/>
      <c r="AK45" s="383"/>
      <c r="AL45"/>
    </row>
    <row r="46" spans="1:38" ht="16.5" customHeight="1">
      <c r="A46" s="338" t="s">
        <v>215</v>
      </c>
      <c r="B46" s="214" t="s">
        <v>216</v>
      </c>
      <c r="C46" s="215"/>
      <c r="D46" s="397">
        <f>'23A HVAC'!B114</f>
        <v>1559000</v>
      </c>
      <c r="E46" s="216"/>
      <c r="F46" s="484"/>
      <c r="G46" s="336"/>
      <c r="H46" s="397">
        <f>SUM('23A HVAC'!$I$45:$I$47)</f>
        <v>42000</v>
      </c>
      <c r="I46" s="216"/>
      <c r="J46" s="395"/>
      <c r="K46" s="336"/>
      <c r="L46" s="397">
        <f>SUM('23A HVAC'!$I$50:$I$57)</f>
        <v>1088000</v>
      </c>
      <c r="M46" s="216">
        <f t="shared" si="3"/>
        <v>93.166638122966262</v>
      </c>
      <c r="N46" s="395">
        <f t="shared" ca="1" si="4"/>
        <v>0.11548118876052239</v>
      </c>
      <c r="O46" s="336"/>
      <c r="P46" s="397">
        <f>SUM('23A HVAC'!$I$60:$I$67)</f>
        <v>429000</v>
      </c>
      <c r="Q46" s="216">
        <f t="shared" si="5"/>
        <v>38.218262806236083</v>
      </c>
      <c r="R46" s="395">
        <f t="shared" ca="1" si="6"/>
        <v>6.5297777521217529E-2</v>
      </c>
      <c r="S46" s="336"/>
      <c r="T46" s="357">
        <f t="shared" si="0"/>
        <v>1559000</v>
      </c>
      <c r="U46" s="357">
        <f t="shared" si="1"/>
        <v>0</v>
      </c>
      <c r="V46" s="336"/>
      <c r="W46" s="357"/>
      <c r="X46" s="336"/>
      <c r="Y46" s="357"/>
      <c r="Z46" s="336"/>
      <c r="AA46" s="357"/>
      <c r="AB46" s="336"/>
      <c r="AC46" s="357"/>
      <c r="AD46" s="336"/>
      <c r="AE46" s="357"/>
      <c r="AF46" s="336"/>
      <c r="AG46" s="365"/>
      <c r="AH46" s="336"/>
      <c r="AI46" s="370">
        <f t="shared" si="20"/>
        <v>1559000</v>
      </c>
      <c r="AJ46" s="336"/>
      <c r="AK46" s="383"/>
      <c r="AL46"/>
    </row>
    <row r="47" spans="1:38" ht="16.5" customHeight="1">
      <c r="A47" s="338" t="s">
        <v>219</v>
      </c>
      <c r="B47" s="214" t="s">
        <v>220</v>
      </c>
      <c r="C47" s="215"/>
      <c r="D47" s="397">
        <f>'26A Electrical'!B126</f>
        <v>1685779.62</v>
      </c>
      <c r="E47" s="216"/>
      <c r="F47" s="484"/>
      <c r="G47" s="336"/>
      <c r="H47" s="397">
        <f>SUM('26A Electrical'!$I$54:$I$63)</f>
        <v>277616.87</v>
      </c>
      <c r="I47" s="216"/>
      <c r="J47" s="395"/>
      <c r="K47" s="336"/>
      <c r="L47" s="397">
        <f>SUM('26A Electrical'!$I$66:$I$71)</f>
        <v>723630.75</v>
      </c>
      <c r="M47" s="216">
        <f t="shared" si="3"/>
        <v>61.965297996232231</v>
      </c>
      <c r="N47" s="395">
        <f t="shared" ca="1" si="4"/>
        <v>7.6806745619180508E-2</v>
      </c>
      <c r="O47" s="336"/>
      <c r="P47" s="397">
        <f>SUM('26A Electrical'!$I$74:$I$79)</f>
        <v>684532</v>
      </c>
      <c r="Q47" s="216">
        <f t="shared" si="5"/>
        <v>60.982806236080179</v>
      </c>
      <c r="R47" s="395">
        <f t="shared" ca="1" si="6"/>
        <v>0.10419211711457826</v>
      </c>
      <c r="S47" s="336"/>
      <c r="T47" s="357">
        <f t="shared" si="0"/>
        <v>1685779.62</v>
      </c>
      <c r="U47" s="357">
        <f t="shared" si="1"/>
        <v>0</v>
      </c>
      <c r="V47" s="336"/>
      <c r="W47" s="357"/>
      <c r="X47" s="336"/>
      <c r="Y47" s="357"/>
      <c r="Z47" s="336"/>
      <c r="AA47" s="357"/>
      <c r="AB47" s="336"/>
      <c r="AC47" s="357"/>
      <c r="AD47" s="336"/>
      <c r="AE47" s="357"/>
      <c r="AF47" s="336"/>
      <c r="AG47" s="365"/>
      <c r="AH47" s="336"/>
      <c r="AI47" s="370">
        <f t="shared" si="20"/>
        <v>1685779.62</v>
      </c>
      <c r="AJ47" s="336"/>
      <c r="AK47" s="383"/>
      <c r="AL47"/>
    </row>
    <row r="48" spans="1:38" ht="16.5" customHeight="1">
      <c r="A48" s="338" t="s">
        <v>638</v>
      </c>
      <c r="B48" s="476" t="s">
        <v>639</v>
      </c>
      <c r="C48" s="215"/>
      <c r="D48" s="397">
        <f>'28A Low Voltage'!$B$117</f>
        <v>239371.5</v>
      </c>
      <c r="E48" s="216"/>
      <c r="F48" s="484"/>
      <c r="G48" s="336"/>
      <c r="H48" s="397">
        <f>SUM('28A Low Voltage'!$I$43:$I$50)</f>
        <v>18689</v>
      </c>
      <c r="I48" s="216"/>
      <c r="J48" s="395"/>
      <c r="K48" s="336"/>
      <c r="L48" s="397">
        <f>SUM('28A Low Voltage'!$I$53:$I$60)</f>
        <v>96195</v>
      </c>
      <c r="M48" s="216">
        <f t="shared" si="3"/>
        <v>8.2372837814694293</v>
      </c>
      <c r="N48" s="395">
        <f t="shared" ca="1" si="4"/>
        <v>1.021021411104637E-2</v>
      </c>
      <c r="O48" s="336"/>
      <c r="P48" s="397">
        <f>SUM('28A Low Voltage'!$I$63:$I$70)</f>
        <v>124487.5</v>
      </c>
      <c r="Q48" s="216">
        <f t="shared" si="5"/>
        <v>11.090200445434299</v>
      </c>
      <c r="R48" s="395">
        <f t="shared" ca="1" si="6"/>
        <v>1.8948151699702952E-2</v>
      </c>
      <c r="S48" s="336"/>
      <c r="T48" s="357">
        <f t="shared" si="0"/>
        <v>239371.5</v>
      </c>
      <c r="U48" s="357">
        <f t="shared" ref="U48" si="21">D48-T48</f>
        <v>0</v>
      </c>
      <c r="V48" s="336"/>
      <c r="W48" s="357"/>
      <c r="X48" s="336"/>
      <c r="Y48" s="357"/>
      <c r="Z48" s="336"/>
      <c r="AA48" s="357"/>
      <c r="AB48" s="336"/>
      <c r="AC48" s="357"/>
      <c r="AD48" s="336"/>
      <c r="AE48" s="357"/>
      <c r="AF48" s="336"/>
      <c r="AG48" s="365"/>
      <c r="AH48" s="336"/>
      <c r="AI48" s="370">
        <f t="shared" si="20"/>
        <v>239371.5</v>
      </c>
      <c r="AJ48" s="336"/>
      <c r="AK48" s="383"/>
      <c r="AL48"/>
    </row>
    <row r="49" spans="1:38" ht="16.5" customHeight="1">
      <c r="A49" s="338" t="s">
        <v>224</v>
      </c>
      <c r="B49" s="214" t="s">
        <v>225</v>
      </c>
      <c r="C49" s="215"/>
      <c r="D49" s="397">
        <f>'31A Sitework'!B241</f>
        <v>2082604</v>
      </c>
      <c r="E49" s="216"/>
      <c r="F49" s="484"/>
      <c r="G49" s="336"/>
      <c r="H49" s="397">
        <f>SUM('31A Sitework'!$I$43:$I$67)</f>
        <v>1138284</v>
      </c>
      <c r="I49" s="504"/>
      <c r="J49" s="395"/>
      <c r="K49" s="336"/>
      <c r="L49" s="397">
        <f>SUM('31A Sitework'!$I$70:$I$72)</f>
        <v>550000</v>
      </c>
      <c r="M49" s="216">
        <f t="shared" si="3"/>
        <v>47.097105668778902</v>
      </c>
      <c r="N49" s="395">
        <f t="shared" ca="1" si="4"/>
        <v>5.8377439171219958E-2</v>
      </c>
      <c r="O49" s="336"/>
      <c r="P49" s="397">
        <f>SUM('31A Sitework'!$I$75:$I$77)</f>
        <v>394320</v>
      </c>
      <c r="Q49" s="216">
        <f t="shared" si="5"/>
        <v>35.12873051224944</v>
      </c>
      <c r="R49" s="395">
        <f t="shared" ca="1" si="6"/>
        <v>6.0019159981740081E-2</v>
      </c>
      <c r="S49" s="336"/>
      <c r="T49" s="357">
        <f t="shared" si="0"/>
        <v>2082604</v>
      </c>
      <c r="U49" s="357">
        <f t="shared" si="1"/>
        <v>0</v>
      </c>
      <c r="V49" s="336"/>
      <c r="W49" s="357"/>
      <c r="X49" s="336"/>
      <c r="Y49" s="357"/>
      <c r="Z49" s="336"/>
      <c r="AA49" s="357"/>
      <c r="AB49" s="336"/>
      <c r="AC49" s="357"/>
      <c r="AD49" s="336"/>
      <c r="AE49" s="357"/>
      <c r="AF49" s="336"/>
      <c r="AG49" s="365"/>
      <c r="AH49" s="336"/>
      <c r="AI49" s="370">
        <f t="shared" si="20"/>
        <v>2082604</v>
      </c>
      <c r="AJ49" s="336"/>
      <c r="AK49" s="383"/>
      <c r="AL49"/>
    </row>
    <row r="50" spans="1:38" ht="16.5" customHeight="1">
      <c r="A50" s="338" t="s">
        <v>640</v>
      </c>
      <c r="B50" s="214" t="s">
        <v>641</v>
      </c>
      <c r="C50" s="215"/>
      <c r="D50" s="397">
        <f>'32A Pavers'!B98</f>
        <v>282021</v>
      </c>
      <c r="E50" s="216"/>
      <c r="F50" s="484"/>
      <c r="G50" s="336"/>
      <c r="H50" s="397">
        <f>SUM('32A Pavers'!$I$36:$I$41)</f>
        <v>168685</v>
      </c>
      <c r="I50" s="216"/>
      <c r="J50" s="395"/>
      <c r="K50" s="336"/>
      <c r="L50" s="397">
        <f>SUM('32A Pavers'!$I$44:$I$46)</f>
        <v>65936</v>
      </c>
      <c r="M50" s="216">
        <f t="shared" si="3"/>
        <v>5.6461722897756461</v>
      </c>
      <c r="N50" s="395">
        <f t="shared" ca="1" si="4"/>
        <v>6.9984996894428353E-3</v>
      </c>
      <c r="O50" s="336"/>
      <c r="P50" s="397">
        <f>SUM('32A Pavers'!$I$49:$I$51)</f>
        <v>47400</v>
      </c>
      <c r="Q50" s="216">
        <f t="shared" si="5"/>
        <v>4.2227171492204896</v>
      </c>
      <c r="R50" s="395">
        <f t="shared" ca="1" si="6"/>
        <v>7.2147194743722859E-3</v>
      </c>
      <c r="S50" s="336"/>
      <c r="T50" s="357">
        <f t="shared" si="0"/>
        <v>282021</v>
      </c>
      <c r="U50" s="357">
        <f t="shared" si="1"/>
        <v>0</v>
      </c>
      <c r="V50" s="336"/>
      <c r="W50" s="357"/>
      <c r="X50" s="336"/>
      <c r="Y50" s="357"/>
      <c r="Z50" s="336"/>
      <c r="AA50" s="357"/>
      <c r="AB50" s="336"/>
      <c r="AC50" s="357"/>
      <c r="AD50" s="336"/>
      <c r="AE50" s="357"/>
      <c r="AF50" s="336"/>
      <c r="AG50" s="365"/>
      <c r="AH50" s="336"/>
      <c r="AI50" s="370">
        <f t="shared" si="20"/>
        <v>282021</v>
      </c>
      <c r="AJ50" s="336"/>
      <c r="AK50" s="383"/>
      <c r="AL50"/>
    </row>
    <row r="51" spans="1:38" ht="16.5" customHeight="1">
      <c r="A51" s="338" t="s">
        <v>642</v>
      </c>
      <c r="B51" s="214" t="s">
        <v>643</v>
      </c>
      <c r="C51" s="215" t="s">
        <v>609</v>
      </c>
      <c r="D51" s="397"/>
      <c r="E51" s="216"/>
      <c r="F51" s="484"/>
      <c r="G51" s="336"/>
      <c r="H51" s="397"/>
      <c r="I51" s="216"/>
      <c r="J51" s="395"/>
      <c r="K51" s="336"/>
      <c r="L51" s="397"/>
      <c r="M51" s="216"/>
      <c r="N51" s="395"/>
      <c r="O51" s="336"/>
      <c r="P51" s="397"/>
      <c r="Q51" s="216"/>
      <c r="R51" s="395" t="s">
        <v>686</v>
      </c>
      <c r="S51" s="336"/>
      <c r="T51" s="357"/>
      <c r="U51" s="357"/>
      <c r="V51" s="336"/>
      <c r="W51" s="357"/>
      <c r="X51" s="336"/>
      <c r="Y51" s="357"/>
      <c r="Z51" s="336"/>
      <c r="AA51" s="357"/>
      <c r="AB51" s="336"/>
      <c r="AC51" s="357"/>
      <c r="AD51" s="336"/>
      <c r="AE51" s="357"/>
      <c r="AF51" s="336"/>
      <c r="AG51" s="365"/>
      <c r="AH51" s="336"/>
      <c r="AI51" s="370">
        <f t="shared" si="20"/>
        <v>0</v>
      </c>
      <c r="AJ51" s="336"/>
      <c r="AK51" s="383"/>
      <c r="AL51"/>
    </row>
    <row r="52" spans="1:38" ht="16.5" customHeight="1">
      <c r="A52" s="338" t="s">
        <v>644</v>
      </c>
      <c r="B52" s="214" t="s">
        <v>645</v>
      </c>
      <c r="C52" s="215"/>
      <c r="D52" s="397">
        <f>'32C Landscape and Irrigation'!B98</f>
        <v>489500</v>
      </c>
      <c r="E52" s="216"/>
      <c r="F52" s="484"/>
      <c r="G52" s="336"/>
      <c r="H52" s="397">
        <f>SUM('32C Landscape and Irrigation'!$I$36:$I$39)</f>
        <v>184500</v>
      </c>
      <c r="I52" s="216"/>
      <c r="J52" s="395"/>
      <c r="K52" s="336"/>
      <c r="L52" s="397">
        <f>SUM('32C Landscape and Irrigation'!$I$42:$I$44)</f>
        <v>160500</v>
      </c>
      <c r="M52" s="216">
        <f t="shared" si="3"/>
        <v>13.743791745161843</v>
      </c>
      <c r="N52" s="395">
        <f t="shared" ca="1" si="4"/>
        <v>1.7035598158146915E-2</v>
      </c>
      <c r="O52" s="336"/>
      <c r="P52" s="397">
        <f>SUM('32C Landscape and Irrigation'!$I$47:$I$51)</f>
        <v>144500</v>
      </c>
      <c r="Q52" s="216">
        <f t="shared" si="5"/>
        <v>12.873051224944321</v>
      </c>
      <c r="R52" s="395">
        <f t="shared" ca="1" si="6"/>
        <v>2.1994239747822688E-2</v>
      </c>
      <c r="S52" s="336"/>
      <c r="T52" s="357">
        <f t="shared" ref="T52:T61" si="22">H52+L52+P52+W52+Y52+AA52+AC52+AE52</f>
        <v>489500</v>
      </c>
      <c r="U52" s="357">
        <f t="shared" si="1"/>
        <v>0</v>
      </c>
      <c r="V52" s="336"/>
      <c r="W52" s="357"/>
      <c r="X52" s="336"/>
      <c r="Y52" s="357"/>
      <c r="Z52" s="336"/>
      <c r="AA52" s="357"/>
      <c r="AB52" s="336"/>
      <c r="AC52" s="357"/>
      <c r="AD52" s="336"/>
      <c r="AE52" s="357"/>
      <c r="AF52" s="336"/>
      <c r="AG52" s="365"/>
      <c r="AH52" s="336"/>
      <c r="AI52" s="370">
        <f t="shared" si="20"/>
        <v>489500</v>
      </c>
      <c r="AJ52" s="336"/>
      <c r="AK52" s="383"/>
      <c r="AL52"/>
    </row>
    <row r="53" spans="1:38" ht="16.5" customHeight="1">
      <c r="A53" s="338" t="s">
        <v>646</v>
      </c>
      <c r="B53" s="214" t="s">
        <v>647</v>
      </c>
      <c r="C53" s="215"/>
      <c r="D53" s="397">
        <f>'32D Fencing'!B96</f>
        <v>72075</v>
      </c>
      <c r="E53" s="216"/>
      <c r="F53" s="484"/>
      <c r="G53" s="336"/>
      <c r="H53" s="397">
        <f>SUM('32D Fencing'!$I$36:$I$40)</f>
        <v>72075</v>
      </c>
      <c r="I53" s="216"/>
      <c r="J53" s="395"/>
      <c r="K53" s="336"/>
      <c r="L53" s="397">
        <f>SUM('32D Fencing'!$I$43:$I$44)</f>
        <v>0</v>
      </c>
      <c r="M53" s="216">
        <f t="shared" si="3"/>
        <v>0</v>
      </c>
      <c r="N53" s="395">
        <f t="shared" ca="1" si="4"/>
        <v>0</v>
      </c>
      <c r="O53" s="336"/>
      <c r="P53" s="397">
        <f>SUM('32D Fencing'!$I$47:$I$48)</f>
        <v>0</v>
      </c>
      <c r="Q53" s="216">
        <f t="shared" si="5"/>
        <v>0</v>
      </c>
      <c r="R53" s="395">
        <f t="shared" ca="1" si="6"/>
        <v>0</v>
      </c>
      <c r="S53" s="336"/>
      <c r="T53" s="357">
        <f t="shared" si="22"/>
        <v>72075</v>
      </c>
      <c r="U53" s="357">
        <f t="shared" si="1"/>
        <v>0</v>
      </c>
      <c r="V53" s="336"/>
      <c r="W53" s="357"/>
      <c r="X53" s="336"/>
      <c r="Y53" s="357"/>
      <c r="Z53" s="336"/>
      <c r="AA53" s="357"/>
      <c r="AB53" s="336"/>
      <c r="AC53" s="357"/>
      <c r="AD53" s="336"/>
      <c r="AE53" s="357"/>
      <c r="AF53" s="336"/>
      <c r="AG53" s="365"/>
      <c r="AH53" s="336"/>
      <c r="AI53" s="370">
        <f t="shared" si="20"/>
        <v>72075</v>
      </c>
      <c r="AJ53" s="336"/>
      <c r="AK53" s="383"/>
      <c r="AL53"/>
    </row>
    <row r="54" spans="1:38" ht="16.5" customHeight="1">
      <c r="A54" s="338" t="s">
        <v>229</v>
      </c>
      <c r="B54" s="214" t="s">
        <v>230</v>
      </c>
      <c r="C54" s="508" t="s">
        <v>609</v>
      </c>
      <c r="D54" s="397">
        <f>'32E Synthetic Fields'!$B$95</f>
        <v>2950000</v>
      </c>
      <c r="E54" s="216"/>
      <c r="F54" s="484"/>
      <c r="G54" s="336"/>
      <c r="H54" s="397">
        <f>SUM('32E Synthetic Fields'!$I$36:$I$40)</f>
        <v>2950000</v>
      </c>
      <c r="I54" s="216"/>
      <c r="J54" s="395"/>
      <c r="K54" s="336"/>
      <c r="L54" s="397">
        <f>SUM('32E Synthetic Fields'!$I$43:$I$44)</f>
        <v>0</v>
      </c>
      <c r="M54" s="216">
        <f t="shared" si="3"/>
        <v>0</v>
      </c>
      <c r="N54" s="395">
        <f t="shared" ca="1" si="4"/>
        <v>0</v>
      </c>
      <c r="O54" s="336"/>
      <c r="P54" s="397">
        <f>SUM('32E Synthetic Fields'!$I$47:$I$48)</f>
        <v>0</v>
      </c>
      <c r="Q54" s="216">
        <f>P54/$R$7</f>
        <v>0</v>
      </c>
      <c r="R54" s="395">
        <f t="shared" ca="1" si="6"/>
        <v>0</v>
      </c>
      <c r="S54" s="336"/>
      <c r="T54" s="357">
        <f t="shared" si="22"/>
        <v>2950000</v>
      </c>
      <c r="U54" s="357">
        <f>D54-T54</f>
        <v>0</v>
      </c>
      <c r="V54" s="336"/>
      <c r="W54" s="357"/>
      <c r="X54" s="336"/>
      <c r="Y54" s="357"/>
      <c r="Z54" s="336"/>
      <c r="AA54" s="357"/>
      <c r="AB54" s="336"/>
      <c r="AC54" s="357"/>
      <c r="AD54" s="336"/>
      <c r="AE54" s="357"/>
      <c r="AF54" s="336"/>
      <c r="AG54" s="366"/>
      <c r="AH54" s="336"/>
      <c r="AI54" s="370">
        <f t="shared" si="20"/>
        <v>2950000</v>
      </c>
      <c r="AJ54" s="336"/>
      <c r="AK54" s="383"/>
      <c r="AL54"/>
    </row>
    <row r="55" spans="1:38" ht="16.5" customHeight="1">
      <c r="A55" s="469"/>
      <c r="B55" s="214" t="s">
        <v>648</v>
      </c>
      <c r="C55" s="215"/>
      <c r="D55" s="397">
        <f>W55</f>
        <v>153372.29245182098</v>
      </c>
      <c r="E55" s="216"/>
      <c r="F55" s="484"/>
      <c r="G55" s="336"/>
      <c r="H55" s="397"/>
      <c r="I55" s="216"/>
      <c r="J55" s="395"/>
      <c r="K55" s="336"/>
      <c r="L55" s="397"/>
      <c r="M55" s="216"/>
      <c r="N55" s="395"/>
      <c r="O55" s="336"/>
      <c r="P55" s="397"/>
      <c r="Q55" s="216"/>
      <c r="R55" s="395"/>
      <c r="S55" s="336"/>
      <c r="T55" s="357">
        <f t="shared" si="22"/>
        <v>153372.29245182098</v>
      </c>
      <c r="U55" s="357">
        <f t="shared" ref="U55:U59" si="23">D55-T55</f>
        <v>0</v>
      </c>
      <c r="V55" s="336"/>
      <c r="W55" s="357">
        <f>W85/$W$86</f>
        <v>153372.29245182098</v>
      </c>
      <c r="X55" s="336"/>
      <c r="Y55" s="357"/>
      <c r="Z55" s="336"/>
      <c r="AA55" s="357"/>
      <c r="AB55" s="336"/>
      <c r="AC55" s="357"/>
      <c r="AD55" s="336"/>
      <c r="AE55" s="357"/>
      <c r="AF55" s="336"/>
      <c r="AG55" s="366"/>
      <c r="AH55" s="336"/>
      <c r="AI55" s="370"/>
      <c r="AJ55" s="336"/>
      <c r="AK55" s="383"/>
      <c r="AL55"/>
    </row>
    <row r="56" spans="1:38" ht="16.5" customHeight="1">
      <c r="A56" s="469"/>
      <c r="B56" s="214" t="s">
        <v>649</v>
      </c>
      <c r="C56" s="215"/>
      <c r="D56" s="397">
        <f>Y56</f>
        <v>1610409.0707441203</v>
      </c>
      <c r="E56" s="216"/>
      <c r="F56" s="484"/>
      <c r="G56" s="336"/>
      <c r="H56" s="397"/>
      <c r="I56" s="216"/>
      <c r="J56" s="395"/>
      <c r="K56" s="336"/>
      <c r="L56" s="397"/>
      <c r="M56" s="216"/>
      <c r="N56" s="395"/>
      <c r="O56" s="336"/>
      <c r="P56" s="397"/>
      <c r="Q56" s="216"/>
      <c r="R56" s="395"/>
      <c r="S56" s="336"/>
      <c r="T56" s="357">
        <f t="shared" si="22"/>
        <v>1610409.0707441203</v>
      </c>
      <c r="U56" s="357">
        <f t="shared" si="23"/>
        <v>0</v>
      </c>
      <c r="V56" s="336"/>
      <c r="W56" s="357"/>
      <c r="X56" s="336">
        <v>14901.05</v>
      </c>
      <c r="Y56" s="357">
        <f>Y85/$W$86</f>
        <v>1610409.0707441203</v>
      </c>
      <c r="Z56" s="336"/>
      <c r="AA56" s="357"/>
      <c r="AB56" s="336"/>
      <c r="AC56" s="357"/>
      <c r="AD56" s="336"/>
      <c r="AE56" s="357"/>
      <c r="AF56" s="336"/>
      <c r="AG56" s="366"/>
      <c r="AH56" s="336"/>
      <c r="AI56" s="370"/>
      <c r="AJ56" s="336"/>
      <c r="AK56" s="383"/>
      <c r="AL56"/>
    </row>
    <row r="57" spans="1:38" ht="16.5" customHeight="1">
      <c r="A57" s="469"/>
      <c r="B57" s="214" t="s">
        <v>650</v>
      </c>
      <c r="C57" s="215"/>
      <c r="D57" s="397">
        <f>AA57</f>
        <v>1917153.6556477624</v>
      </c>
      <c r="E57" s="216"/>
      <c r="F57" s="484"/>
      <c r="G57" s="336"/>
      <c r="H57" s="397"/>
      <c r="I57" s="216"/>
      <c r="J57" s="395"/>
      <c r="K57" s="336"/>
      <c r="L57" s="397"/>
      <c r="M57" s="216"/>
      <c r="N57" s="395"/>
      <c r="O57" s="336"/>
      <c r="P57" s="397"/>
      <c r="Q57" s="216"/>
      <c r="R57" s="395"/>
      <c r="S57" s="336"/>
      <c r="T57" s="357">
        <f t="shared" si="22"/>
        <v>1917153.6556477624</v>
      </c>
      <c r="U57" s="357">
        <f t="shared" si="23"/>
        <v>0</v>
      </c>
      <c r="V57" s="336"/>
      <c r="W57" s="357"/>
      <c r="X57" s="336"/>
      <c r="Y57" s="357"/>
      <c r="Z57" s="336"/>
      <c r="AA57" s="357">
        <f>AA85/$W$86</f>
        <v>1917153.6556477624</v>
      </c>
      <c r="AB57" s="336"/>
      <c r="AC57" s="357"/>
      <c r="AD57" s="336"/>
      <c r="AE57" s="357"/>
      <c r="AF57" s="336"/>
      <c r="AG57" s="366"/>
      <c r="AH57" s="336"/>
      <c r="AI57" s="370"/>
      <c r="AJ57" s="336"/>
      <c r="AK57" s="383"/>
      <c r="AL57"/>
    </row>
    <row r="58" spans="1:38" ht="16.5" customHeight="1">
      <c r="A58" s="469"/>
      <c r="B58" s="214" t="s">
        <v>651</v>
      </c>
      <c r="C58" s="215"/>
      <c r="D58" s="397">
        <f>AC58</f>
        <v>1917153.6556477624</v>
      </c>
      <c r="E58" s="216"/>
      <c r="F58" s="484"/>
      <c r="G58" s="336"/>
      <c r="H58" s="397"/>
      <c r="I58" s="216"/>
      <c r="J58" s="395"/>
      <c r="K58" s="336"/>
      <c r="L58" s="397"/>
      <c r="M58" s="216"/>
      <c r="N58" s="395"/>
      <c r="O58" s="336"/>
      <c r="P58" s="397"/>
      <c r="Q58" s="216"/>
      <c r="R58" s="395"/>
      <c r="S58" s="336"/>
      <c r="T58" s="357">
        <f t="shared" si="22"/>
        <v>1917153.6556477624</v>
      </c>
      <c r="U58" s="357">
        <f>D58-T58</f>
        <v>0</v>
      </c>
      <c r="V58" s="336"/>
      <c r="W58" s="357"/>
      <c r="X58" s="336"/>
      <c r="Y58" s="357"/>
      <c r="Z58" s="336"/>
      <c r="AA58" s="357"/>
      <c r="AB58" s="336"/>
      <c r="AC58" s="357">
        <f>AC85/$W$86</f>
        <v>1917153.6556477624</v>
      </c>
      <c r="AD58" s="336"/>
      <c r="AE58" s="357"/>
      <c r="AF58" s="336"/>
      <c r="AG58" s="366"/>
      <c r="AH58" s="336"/>
      <c r="AI58" s="370"/>
      <c r="AJ58" s="336"/>
      <c r="AK58" s="383"/>
      <c r="AL58"/>
    </row>
    <row r="59" spans="1:38" ht="16.5" customHeight="1">
      <c r="A59" s="469"/>
      <c r="B59" s="214" t="s">
        <v>652</v>
      </c>
      <c r="C59" s="215"/>
      <c r="D59" s="397">
        <f>AE59</f>
        <v>1763781.3631959413</v>
      </c>
      <c r="E59" s="216"/>
      <c r="F59" s="484"/>
      <c r="G59" s="336"/>
      <c r="H59" s="397"/>
      <c r="I59" s="216"/>
      <c r="J59" s="395"/>
      <c r="K59" s="336"/>
      <c r="L59" s="397"/>
      <c r="M59" s="216"/>
      <c r="N59" s="395"/>
      <c r="O59" s="336"/>
      <c r="P59" s="397"/>
      <c r="Q59" s="216"/>
      <c r="R59" s="395"/>
      <c r="S59" s="336"/>
      <c r="T59" s="357">
        <f t="shared" si="22"/>
        <v>1763781.3631959413</v>
      </c>
      <c r="U59" s="357">
        <f t="shared" si="23"/>
        <v>0</v>
      </c>
      <c r="V59" s="336"/>
      <c r="W59" s="357"/>
      <c r="X59" s="336"/>
      <c r="Y59" s="357"/>
      <c r="Z59" s="336"/>
      <c r="AA59" s="357"/>
      <c r="AB59" s="336"/>
      <c r="AC59" s="357"/>
      <c r="AD59" s="336"/>
      <c r="AE59" s="357">
        <f>AE85/W86</f>
        <v>1763781.3631959413</v>
      </c>
      <c r="AF59" s="336"/>
      <c r="AG59" s="366"/>
      <c r="AH59" s="336"/>
      <c r="AI59" s="370"/>
      <c r="AJ59" s="336"/>
      <c r="AK59" s="383"/>
      <c r="AL59"/>
    </row>
    <row r="60" spans="1:38" ht="16.5" customHeight="1">
      <c r="A60" s="340"/>
      <c r="B60" s="735" t="s">
        <v>653</v>
      </c>
      <c r="C60" s="736"/>
      <c r="D60" s="485">
        <f>SUM(D13:D59)</f>
        <v>25420488.110467583</v>
      </c>
      <c r="E60" s="228">
        <f>D60/F7</f>
        <v>180.10704267695129</v>
      </c>
      <c r="F60" s="486">
        <f ca="1">D60/$D$76</f>
        <v>0.76686152242956485</v>
      </c>
      <c r="G60" s="231"/>
      <c r="H60" s="493">
        <f>SUM(H13:H54)</f>
        <v>5795467.1547325989</v>
      </c>
      <c r="I60" s="471"/>
      <c r="J60" s="494"/>
      <c r="K60" s="231"/>
      <c r="L60" s="493">
        <f>SUM(L13:L54)</f>
        <v>7224945.8579230551</v>
      </c>
      <c r="M60" s="471">
        <f>SUM(M13:M59)</f>
        <v>618.68007003965181</v>
      </c>
      <c r="N60" s="494">
        <f ca="1">SUM(N13:N54)</f>
        <v>0.76686152242956518</v>
      </c>
      <c r="O60" s="231"/>
      <c r="P60" s="493">
        <f>SUM(P13:P54)</f>
        <v>5038205.060124523</v>
      </c>
      <c r="Q60" s="471">
        <f>SUM(Q13:Q54)</f>
        <v>448.83786727167239</v>
      </c>
      <c r="R60" s="494">
        <f ca="1">SUM(R13:R54)</f>
        <v>0.7668615224295654</v>
      </c>
      <c r="S60" s="231"/>
      <c r="T60" s="468">
        <f t="shared" si="22"/>
        <v>25420488.110467583</v>
      </c>
      <c r="U60" s="358">
        <f>D60-T60</f>
        <v>0</v>
      </c>
      <c r="V60" s="231"/>
      <c r="W60" s="468">
        <f>SUM(W13:W59)</f>
        <v>153372.29245182098</v>
      </c>
      <c r="X60" s="231"/>
      <c r="Y60" s="468">
        <f>SUM(Y13:Y59)</f>
        <v>1610409.0707441203</v>
      </c>
      <c r="Z60" s="231"/>
      <c r="AA60" s="468">
        <f>SUM(AA13:AA59)</f>
        <v>1917153.6556477624</v>
      </c>
      <c r="AB60" s="231"/>
      <c r="AC60" s="358">
        <f>SUM(AC13:AC59)</f>
        <v>1917153.6556477624</v>
      </c>
      <c r="AD60" s="231"/>
      <c r="AE60" s="358">
        <f>SUM(AE13:AE59)</f>
        <v>1763781.3631959413</v>
      </c>
      <c r="AF60" s="231"/>
      <c r="AG60" s="358">
        <f>SUM(AG13:AG54)</f>
        <v>0</v>
      </c>
      <c r="AH60" s="231"/>
      <c r="AI60" s="358">
        <f>D60-AG60</f>
        <v>25420488.110467583</v>
      </c>
      <c r="AJ60" s="380"/>
      <c r="AK60" s="358"/>
      <c r="AL60" s="231"/>
    </row>
    <row r="61" spans="1:38" ht="16.5" customHeight="1">
      <c r="A61" s="341"/>
      <c r="B61" s="219"/>
      <c r="C61" s="220" t="s">
        <v>654</v>
      </c>
      <c r="D61" s="538">
        <f>$D$60*AL61</f>
        <v>635512.20276168967</v>
      </c>
      <c r="E61" s="322">
        <f>D61/$F$7</f>
        <v>4.5026760669237831</v>
      </c>
      <c r="F61" s="484">
        <f ca="1">D61/$D$76</f>
        <v>1.9171538060739124E-2</v>
      </c>
      <c r="G61" s="336"/>
      <c r="H61" s="398">
        <f>$H$60*$AL$61</f>
        <v>144886.67886831498</v>
      </c>
      <c r="I61" s="322"/>
      <c r="J61" s="484"/>
      <c r="K61" s="336"/>
      <c r="L61" s="398">
        <f>$L$60*$AL$61</f>
        <v>180623.64644807638</v>
      </c>
      <c r="M61" s="322">
        <f>L61/$N$7</f>
        <v>15.467001750991299</v>
      </c>
      <c r="N61" s="484">
        <f ca="1">L61/$L$76</f>
        <v>1.9171538060739124E-2</v>
      </c>
      <c r="O61" s="336"/>
      <c r="P61" s="398">
        <f>$P$60*$AL$61</f>
        <v>125955.12650311308</v>
      </c>
      <c r="Q61" s="322">
        <f>P61/$R$7</f>
        <v>11.22094668179181</v>
      </c>
      <c r="R61" s="484">
        <f ca="1">P61/$P$76</f>
        <v>1.9171538060739131E-2</v>
      </c>
      <c r="S61" s="336"/>
      <c r="T61" s="365">
        <f t="shared" si="22"/>
        <v>635512.20276168955</v>
      </c>
      <c r="U61" s="357">
        <f t="shared" ref="U61" si="24">D61-T61</f>
        <v>0</v>
      </c>
      <c r="V61" s="336"/>
      <c r="W61" s="359">
        <f>W60*$AL$61</f>
        <v>3834.3073112955244</v>
      </c>
      <c r="X61" s="336"/>
      <c r="Y61" s="359">
        <f>Y60*$AL$61</f>
        <v>40260.22676860301</v>
      </c>
      <c r="Z61" s="336"/>
      <c r="AA61" s="359">
        <f>AA60*$AL$61</f>
        <v>47928.841391194059</v>
      </c>
      <c r="AB61" s="336"/>
      <c r="AC61" s="359">
        <f>AC60*$AL$61</f>
        <v>47928.841391194059</v>
      </c>
      <c r="AD61" s="336"/>
      <c r="AE61" s="359">
        <f>AE60*$AL$61</f>
        <v>44094.534079898534</v>
      </c>
      <c r="AF61" s="336"/>
      <c r="AG61" s="359"/>
      <c r="AH61" s="336"/>
      <c r="AI61" s="370">
        <f>D61-AG61</f>
        <v>635512.20276168967</v>
      </c>
      <c r="AJ61" s="336"/>
      <c r="AK61" s="383"/>
      <c r="AL61" s="232">
        <v>2.5000000000000001E-2</v>
      </c>
    </row>
    <row r="62" spans="1:38" ht="16.5" customHeight="1">
      <c r="A62" s="342"/>
      <c r="B62" s="217"/>
      <c r="C62" s="218" t="s">
        <v>655</v>
      </c>
      <c r="D62" s="399" t="s">
        <v>656</v>
      </c>
      <c r="E62" s="213"/>
      <c r="F62" s="487"/>
      <c r="G62" s="336"/>
      <c r="H62" s="399"/>
      <c r="I62" s="213"/>
      <c r="J62" s="487"/>
      <c r="K62" s="336"/>
      <c r="L62" s="399"/>
      <c r="M62" s="213"/>
      <c r="N62" s="487"/>
      <c r="O62" s="336"/>
      <c r="P62" s="399"/>
      <c r="Q62" s="213"/>
      <c r="R62" s="487"/>
      <c r="S62" s="336"/>
      <c r="T62" s="360"/>
      <c r="U62" s="360"/>
      <c r="V62" s="336"/>
      <c r="W62" s="360"/>
      <c r="X62" s="336"/>
      <c r="Y62" s="360"/>
      <c r="Z62" s="336"/>
      <c r="AA62" s="360"/>
      <c r="AB62" s="336"/>
      <c r="AC62" s="360"/>
      <c r="AD62" s="336"/>
      <c r="AE62" s="360"/>
      <c r="AF62" s="336"/>
      <c r="AG62" s="367"/>
      <c r="AH62" s="336"/>
      <c r="AI62" s="367"/>
      <c r="AJ62" s="336"/>
      <c r="AK62" s="367"/>
      <c r="AL62" s="232">
        <v>0</v>
      </c>
    </row>
    <row r="63" spans="1:38" ht="16.5" customHeight="1">
      <c r="A63" s="341"/>
      <c r="B63" s="219"/>
      <c r="C63" s="220" t="s">
        <v>657</v>
      </c>
      <c r="D63" s="538">
        <f>$D$60*AL63</f>
        <v>635512.20276168967</v>
      </c>
      <c r="E63" s="322">
        <f>D63/$F$7</f>
        <v>4.5026760669237831</v>
      </c>
      <c r="F63" s="484">
        <f ca="1">D63/$D$76</f>
        <v>1.9171538060739124E-2</v>
      </c>
      <c r="G63" s="336"/>
      <c r="H63" s="398">
        <f>$H$60*$AL$63</f>
        <v>144886.67886831498</v>
      </c>
      <c r="I63" s="322"/>
      <c r="J63" s="484"/>
      <c r="K63" s="336"/>
      <c r="L63" s="398">
        <f>$L$60*$AL$63</f>
        <v>180623.64644807638</v>
      </c>
      <c r="M63" s="322">
        <f>L63/$N$7</f>
        <v>15.467001750991299</v>
      </c>
      <c r="N63" s="484">
        <f ca="1">L63/$L$76</f>
        <v>1.9171538060739124E-2</v>
      </c>
      <c r="O63" s="336"/>
      <c r="P63" s="398">
        <f>$P$60*$AL$63</f>
        <v>125955.12650311308</v>
      </c>
      <c r="Q63" s="322">
        <f>P63/$R$7</f>
        <v>11.22094668179181</v>
      </c>
      <c r="R63" s="484">
        <f ca="1">P63/$P$76</f>
        <v>1.9171538060739131E-2</v>
      </c>
      <c r="S63" s="336"/>
      <c r="T63" s="365">
        <f>H63+L63+P63+W63+Y63+AA63+AC63+AE63</f>
        <v>635512.20276168955</v>
      </c>
      <c r="U63" s="365">
        <f>D63-T63</f>
        <v>0</v>
      </c>
      <c r="V63" s="336"/>
      <c r="W63" s="359">
        <f>W60*$AL$63</f>
        <v>3834.3073112955244</v>
      </c>
      <c r="X63" s="336"/>
      <c r="Y63" s="359">
        <f>Y60*$AL$63</f>
        <v>40260.22676860301</v>
      </c>
      <c r="Z63" s="336"/>
      <c r="AA63" s="359">
        <f>AA60*$AL$63</f>
        <v>47928.841391194059</v>
      </c>
      <c r="AB63" s="336"/>
      <c r="AC63" s="359">
        <f>AC60*$AL$63</f>
        <v>47928.841391194059</v>
      </c>
      <c r="AD63" s="336"/>
      <c r="AE63" s="359">
        <f>AE60*$AL$63</f>
        <v>44094.534079898534</v>
      </c>
      <c r="AF63" s="336"/>
      <c r="AG63" s="354"/>
      <c r="AH63" s="336"/>
      <c r="AI63" s="370">
        <f>D63-AG63</f>
        <v>635512.20276168967</v>
      </c>
      <c r="AJ63" s="336"/>
      <c r="AK63" s="383"/>
      <c r="AL63" s="232">
        <v>2.5000000000000001E-2</v>
      </c>
    </row>
    <row r="64" spans="1:38" ht="16.5" customHeight="1">
      <c r="A64" s="340"/>
      <c r="B64" s="735" t="s">
        <v>658</v>
      </c>
      <c r="C64" s="736"/>
      <c r="D64" s="488">
        <f>SUM(D60:D63)</f>
        <v>26691512.515990965</v>
      </c>
      <c r="E64" s="228">
        <f>SUM(E60:E63)</f>
        <v>189.11239481079886</v>
      </c>
      <c r="F64" s="486">
        <f ca="1">SUM(F60:F63)</f>
        <v>0.80520459855104309</v>
      </c>
      <c r="G64" s="231"/>
      <c r="H64" s="495">
        <f>SUM(H60:H63)</f>
        <v>6085240.5124692293</v>
      </c>
      <c r="I64" s="471"/>
      <c r="J64" s="494"/>
      <c r="K64" s="231"/>
      <c r="L64" s="495">
        <f>SUM(L60:L63)</f>
        <v>7586193.1508192085</v>
      </c>
      <c r="M64" s="471">
        <f>SUM(M60:M63)</f>
        <v>649.6140735416343</v>
      </c>
      <c r="N64" s="494">
        <f ca="1">SUM(N60:N63)</f>
        <v>0.80520459855104343</v>
      </c>
      <c r="O64" s="231"/>
      <c r="P64" s="495">
        <f>SUM(P60:P63)</f>
        <v>5290115.3131307485</v>
      </c>
      <c r="Q64" s="471">
        <f>SUM(Q60:Q63)</f>
        <v>471.27976063525603</v>
      </c>
      <c r="R64" s="494">
        <f ca="1">SUM(R60:R63)</f>
        <v>0.80520459855104365</v>
      </c>
      <c r="S64" s="231"/>
      <c r="T64" s="468">
        <f>H64+L64+P64+W64+Y64+AA64+AC64+AE64</f>
        <v>26691512.515990961</v>
      </c>
      <c r="U64" s="358">
        <f>D64-T64</f>
        <v>0</v>
      </c>
      <c r="V64" s="231"/>
      <c r="W64" s="358">
        <f>SUM(W60:W63)</f>
        <v>161040.90707441204</v>
      </c>
      <c r="X64" s="231"/>
      <c r="Y64" s="358">
        <f>SUM(Y60:Y63)</f>
        <v>1690929.5242813264</v>
      </c>
      <c r="Z64" s="231"/>
      <c r="AA64" s="358">
        <f>SUM(AA60:AA63)</f>
        <v>2013011.3384301506</v>
      </c>
      <c r="AB64" s="231"/>
      <c r="AC64" s="358">
        <f>SUM(AC60:AC63)</f>
        <v>2013011.3384301506</v>
      </c>
      <c r="AD64" s="231"/>
      <c r="AE64" s="358">
        <f>SUM(AE60:AE63)</f>
        <v>1851970.4313557385</v>
      </c>
      <c r="AF64" s="231"/>
      <c r="AG64" s="358">
        <f t="shared" ref="AG64:AI64" si="25">SUM(AG60:AG63)</f>
        <v>0</v>
      </c>
      <c r="AH64" s="231"/>
      <c r="AI64" s="371">
        <f t="shared" si="25"/>
        <v>26691512.515990965</v>
      </c>
      <c r="AJ64" s="380"/>
      <c r="AK64" s="358"/>
      <c r="AL64" s="233"/>
    </row>
    <row r="65" spans="1:38" ht="16.5" customHeight="1">
      <c r="A65" s="343"/>
      <c r="B65" s="219"/>
      <c r="C65" s="220" t="s">
        <v>303</v>
      </c>
      <c r="D65" s="398">
        <f>'GCs &amp; GRs'!L160</f>
        <v>2991138.4497758439</v>
      </c>
      <c r="E65" s="322">
        <f>D65/$F$7</f>
        <v>21.192555315435232</v>
      </c>
      <c r="F65" s="484">
        <f ca="1">D65/$D$76</f>
        <v>9.0233868658414221E-2</v>
      </c>
      <c r="G65" s="336"/>
      <c r="H65" s="398">
        <f>H64/$D$64*$D$65</f>
        <v>681932.01348464692</v>
      </c>
      <c r="I65" s="322"/>
      <c r="J65" s="484"/>
      <c r="K65" s="336"/>
      <c r="L65" s="398">
        <f>L64/$D$64*$D$65</f>
        <v>850133.68977299554</v>
      </c>
      <c r="M65" s="322">
        <f>L65/$N$7</f>
        <v>72.797884036050306</v>
      </c>
      <c r="N65" s="484">
        <f ca="1">L65/$L$76</f>
        <v>9.0233868658414235E-2</v>
      </c>
      <c r="O65" s="336"/>
      <c r="P65" s="398">
        <f>P64/$D$64*$D$65</f>
        <v>592827.67536584788</v>
      </c>
      <c r="Q65" s="322">
        <f>P65/$R$7</f>
        <v>52.813155934596693</v>
      </c>
      <c r="R65" s="484">
        <f ca="1">P65/$P$76</f>
        <v>9.0233868658414221E-2</v>
      </c>
      <c r="S65" s="336"/>
      <c r="T65" s="365">
        <f>H65+L65+P65+W65+Y65+AA65+AC65+AE65</f>
        <v>2991138.4497758429</v>
      </c>
      <c r="U65" s="365">
        <f>D65-T65</f>
        <v>0</v>
      </c>
      <c r="V65" s="336"/>
      <c r="W65" s="359">
        <f>W64/$D$64*$D$65</f>
        <v>18046.772315674029</v>
      </c>
      <c r="X65" s="336"/>
      <c r="Y65" s="359">
        <f>Y64/$D$64*$D$65</f>
        <v>189491.10931457728</v>
      </c>
      <c r="Z65" s="336"/>
      <c r="AA65" s="359">
        <f>AA64/$D$64*$D$65</f>
        <v>225584.65394592535</v>
      </c>
      <c r="AB65" s="336"/>
      <c r="AC65" s="359">
        <f>AC64/$D$64*$D$65</f>
        <v>225584.65394592535</v>
      </c>
      <c r="AD65" s="336"/>
      <c r="AE65" s="359">
        <f>AE64/$D$64*$D$65</f>
        <v>207537.88163025133</v>
      </c>
      <c r="AF65" s="336"/>
      <c r="AG65" s="365"/>
      <c r="AH65" s="336"/>
      <c r="AI65" s="370">
        <f>D65-AG65</f>
        <v>2991138.4497758439</v>
      </c>
      <c r="AJ65" s="336"/>
      <c r="AK65" s="383"/>
      <c r="AL65" s="232">
        <f ca="1">D65/D76</f>
        <v>9.0233868658414221E-2</v>
      </c>
    </row>
    <row r="66" spans="1:38" ht="16.5" customHeight="1">
      <c r="A66" s="344"/>
      <c r="B66" s="212"/>
      <c r="C66" s="218" t="s">
        <v>659</v>
      </c>
      <c r="D66" s="400">
        <f>'GCs &amp; GRs'!L161</f>
        <v>705899.49285714305</v>
      </c>
      <c r="E66" s="213">
        <f>D66/$F$7</f>
        <v>5.0013780039615918</v>
      </c>
      <c r="F66" s="487">
        <f ca="1">D66/$D$76</f>
        <v>2.1294916030812964E-2</v>
      </c>
      <c r="G66" s="336"/>
      <c r="H66" s="400">
        <f>H64/$D$64*$D$66</f>
        <v>160933.86199423065</v>
      </c>
      <c r="I66" s="213"/>
      <c r="J66" s="487"/>
      <c r="K66" s="336"/>
      <c r="L66" s="400">
        <f>L64/$D$64*$D$66</f>
        <v>200628.94130377067</v>
      </c>
      <c r="M66" s="213">
        <f>L66/$N$7</f>
        <v>17.180077179634413</v>
      </c>
      <c r="N66" s="487">
        <f ca="1">L66/$L$76</f>
        <v>2.1294916030812967E-2</v>
      </c>
      <c r="O66" s="336"/>
      <c r="P66" s="400">
        <f>P64/$D$64*$D$66</f>
        <v>139905.51170367649</v>
      </c>
      <c r="Q66" s="213">
        <f>P66/$R$7</f>
        <v>12.463742690750689</v>
      </c>
      <c r="R66" s="487">
        <f ca="1">P66/$P$76</f>
        <v>2.1294916030812964E-2</v>
      </c>
      <c r="S66" s="336"/>
      <c r="T66" s="361">
        <f>H66+L66+P66+W66+Y66+AA66+AC66+AE66</f>
        <v>705899.49285714293</v>
      </c>
      <c r="U66" s="361">
        <f>D66-T66</f>
        <v>0</v>
      </c>
      <c r="V66" s="336"/>
      <c r="W66" s="361">
        <f>W64/$D$64*$D$66</f>
        <v>4258.9828719888583</v>
      </c>
      <c r="X66" s="336"/>
      <c r="Y66" s="361">
        <f>Y64/$D$64*$D$66</f>
        <v>44719.320155883011</v>
      </c>
      <c r="Z66" s="336"/>
      <c r="AA66" s="361">
        <f>AA64/$D$64*$D$66</f>
        <v>53237.285899860726</v>
      </c>
      <c r="AB66" s="336"/>
      <c r="AC66" s="361">
        <f>AC64/$D$64*$D$66</f>
        <v>53237.285899860726</v>
      </c>
      <c r="AD66" s="336"/>
      <c r="AE66" s="361">
        <f>AE64/$D$64*$D$66</f>
        <v>48978.303027871872</v>
      </c>
      <c r="AF66" s="336"/>
      <c r="AG66" s="361"/>
      <c r="AH66" s="336"/>
      <c r="AI66" s="372">
        <f>D66-AG66</f>
        <v>705899.49285714305</v>
      </c>
      <c r="AJ66" s="336"/>
      <c r="AK66" s="384"/>
      <c r="AL66" s="232">
        <f ca="1">D66/D76</f>
        <v>2.1294916030812964E-2</v>
      </c>
    </row>
    <row r="67" spans="1:38" ht="16.5" customHeight="1">
      <c r="A67" s="345"/>
      <c r="B67" s="320"/>
      <c r="C67" s="321" t="s">
        <v>660</v>
      </c>
      <c r="D67" s="542">
        <f>IDS!$B$135</f>
        <v>50969</v>
      </c>
      <c r="E67" s="322">
        <f>D67/$F$7</f>
        <v>0.36112114835519094</v>
      </c>
      <c r="F67" s="489">
        <f ca="1">D67/$D$76</f>
        <v>1.5375851465502621E-3</v>
      </c>
      <c r="G67" s="336"/>
      <c r="H67" s="398">
        <f>H64/$D$64*$D$67</f>
        <v>11620.121695772286</v>
      </c>
      <c r="I67" s="322"/>
      <c r="J67" s="489"/>
      <c r="K67" s="336"/>
      <c r="L67" s="398">
        <f>L64/$D$64*$D$67</f>
        <v>14486.278305602002</v>
      </c>
      <c r="M67" s="322">
        <f>L67/$N$7</f>
        <v>1.2404759638295944</v>
      </c>
      <c r="N67" s="489">
        <f ca="1">L67/$L$76</f>
        <v>1.5375851465502621E-3</v>
      </c>
      <c r="O67" s="336"/>
      <c r="P67" s="398">
        <f>P64/$D$64*$D$67</f>
        <v>10101.783749925144</v>
      </c>
      <c r="Q67" s="322">
        <f>P67/$R$7</f>
        <v>0.89993619153007964</v>
      </c>
      <c r="R67" s="489">
        <f ca="1">P67/$P$76</f>
        <v>1.5375851465502623E-3</v>
      </c>
      <c r="S67" s="336"/>
      <c r="T67" s="365">
        <f>H67+L67+P67+W67+Y67+AA67+AC67+AE67</f>
        <v>50969</v>
      </c>
      <c r="U67" s="365">
        <f>D67-T67</f>
        <v>0</v>
      </c>
      <c r="V67" s="336"/>
      <c r="W67" s="359">
        <f>W64/$D$64*$D$67</f>
        <v>307.51700518126177</v>
      </c>
      <c r="X67" s="336"/>
      <c r="Y67" s="359">
        <f>Y64/$D$64*$D$67</f>
        <v>3228.9285544032487</v>
      </c>
      <c r="Z67" s="336"/>
      <c r="AA67" s="359">
        <f>AA64/$D$64*$D$67</f>
        <v>3843.9625647657722</v>
      </c>
      <c r="AB67" s="336"/>
      <c r="AC67" s="359">
        <f>AC64/$D$64*$D$67</f>
        <v>3843.9625647657722</v>
      </c>
      <c r="AD67" s="336"/>
      <c r="AE67" s="359">
        <f>AE64/$D$64*$D$67</f>
        <v>3536.4455595845106</v>
      </c>
      <c r="AF67" s="336"/>
      <c r="AG67" s="368"/>
      <c r="AH67" s="336"/>
      <c r="AI67" s="368"/>
      <c r="AJ67" s="336"/>
      <c r="AK67" s="385"/>
      <c r="AL67" s="317"/>
    </row>
    <row r="68" spans="1:38" ht="16.5" customHeight="1">
      <c r="A68" s="344"/>
      <c r="B68" s="212"/>
      <c r="C68" s="218" t="s">
        <v>661</v>
      </c>
      <c r="D68" s="401" t="s">
        <v>656</v>
      </c>
      <c r="E68" s="213"/>
      <c r="F68" s="487"/>
      <c r="G68" s="336"/>
      <c r="H68" s="401"/>
      <c r="I68" s="213"/>
      <c r="J68" s="487"/>
      <c r="K68" s="336"/>
      <c r="L68" s="401"/>
      <c r="M68" s="213"/>
      <c r="N68" s="487"/>
      <c r="O68" s="336"/>
      <c r="P68" s="401"/>
      <c r="Q68" s="213"/>
      <c r="R68" s="487"/>
      <c r="S68" s="336"/>
      <c r="T68" s="362"/>
      <c r="U68" s="362"/>
      <c r="V68" s="336"/>
      <c r="W68" s="361"/>
      <c r="X68" s="336"/>
      <c r="Y68" s="361"/>
      <c r="Z68" s="336"/>
      <c r="AA68" s="361"/>
      <c r="AB68" s="336"/>
      <c r="AC68" s="361"/>
      <c r="AD68" s="336"/>
      <c r="AE68" s="361"/>
      <c r="AF68" s="336"/>
      <c r="AG68" s="361"/>
      <c r="AH68" s="336"/>
      <c r="AI68" s="372"/>
      <c r="AJ68" s="336"/>
      <c r="AK68" s="384"/>
      <c r="AL68" s="232"/>
    </row>
    <row r="69" spans="1:38" ht="16.5" customHeight="1">
      <c r="A69" s="346"/>
      <c r="B69" s="324"/>
      <c r="C69" s="323" t="s">
        <v>662</v>
      </c>
      <c r="D69" s="398">
        <f>D64*AL69</f>
        <v>400372.68773986446</v>
      </c>
      <c r="E69" s="322">
        <f>D69/$F$7</f>
        <v>2.8366859221619829</v>
      </c>
      <c r="F69" s="489">
        <f ca="1">D69/$D$76</f>
        <v>1.2078068978265648E-2</v>
      </c>
      <c r="G69" s="336"/>
      <c r="H69" s="398">
        <f>H64*$AL$69</f>
        <v>91278.607687038442</v>
      </c>
      <c r="I69" s="322"/>
      <c r="J69" s="489"/>
      <c r="K69" s="336"/>
      <c r="L69" s="398">
        <f>L64*$AL$69</f>
        <v>113792.89726228813</v>
      </c>
      <c r="M69" s="322">
        <f>L69/$N$7</f>
        <v>9.7442111031245187</v>
      </c>
      <c r="N69" s="489">
        <f ca="1">L69/$L$76</f>
        <v>1.207806897826565E-2</v>
      </c>
      <c r="O69" s="336"/>
      <c r="P69" s="398">
        <f>P64*$AL$69</f>
        <v>79351.729696961222</v>
      </c>
      <c r="Q69" s="322">
        <f>P69/$R$7</f>
        <v>7.0691964095288391</v>
      </c>
      <c r="R69" s="489">
        <f ca="1">P69/$P$76</f>
        <v>1.207806897826565E-2</v>
      </c>
      <c r="S69" s="336"/>
      <c r="T69" s="365">
        <f t="shared" ref="T69:T76" si="26">H69+L69+P69+W69+Y69+AA69+AC69+AE69</f>
        <v>400372.68773986446</v>
      </c>
      <c r="U69" s="365">
        <f t="shared" ref="U69:U76" si="27">D69-T69</f>
        <v>0</v>
      </c>
      <c r="V69" s="336"/>
      <c r="W69" s="359">
        <f>W64*$AL$69</f>
        <v>2415.6136061161806</v>
      </c>
      <c r="X69" s="336"/>
      <c r="Y69" s="359">
        <f>Y64*$AL$69</f>
        <v>25363.942864219895</v>
      </c>
      <c r="Z69" s="336"/>
      <c r="AA69" s="359">
        <f>AA64*$AL$69</f>
        <v>30195.170076452257</v>
      </c>
      <c r="AB69" s="336"/>
      <c r="AC69" s="359">
        <f>AC64*$AL$69</f>
        <v>30195.170076452257</v>
      </c>
      <c r="AD69" s="336"/>
      <c r="AE69" s="359">
        <f>AE64*$AL$69</f>
        <v>27779.556470336076</v>
      </c>
      <c r="AF69" s="336"/>
      <c r="AG69" s="359"/>
      <c r="AH69" s="336"/>
      <c r="AI69" s="373">
        <f>D69-AG69</f>
        <v>400372.68773986446</v>
      </c>
      <c r="AJ69" s="336"/>
      <c r="AK69" s="386"/>
      <c r="AL69" s="232">
        <v>1.4999999999999999E-2</v>
      </c>
    </row>
    <row r="70" spans="1:38" ht="16.5" customHeight="1">
      <c r="A70" s="347"/>
      <c r="B70" s="733" t="s">
        <v>663</v>
      </c>
      <c r="C70" s="734"/>
      <c r="D70" s="400">
        <f ca="1">(D72+D69+D66+D65+D64+D67)*$AL$70</f>
        <v>78266.117886428387</v>
      </c>
      <c r="E70" s="213">
        <f ca="1">D70/$F$7</f>
        <v>0.55452432593242496</v>
      </c>
      <c r="F70" s="487">
        <f ca="1">D70/$D$76</f>
        <v>2.3610590818011748E-3</v>
      </c>
      <c r="G70" s="336"/>
      <c r="H70" s="400">
        <f ca="1">(H72+H69+H66+H65+H64+H67)*$AL$70</f>
        <v>17843.43060479817</v>
      </c>
      <c r="I70" s="213"/>
      <c r="J70" s="487"/>
      <c r="K70" s="336"/>
      <c r="L70" s="400">
        <f ca="1">(L72+L69+L66+L65+L64+L67)*$AL$70</f>
        <v>22244.595059778618</v>
      </c>
      <c r="M70" s="213">
        <f ca="1">L70/$N$7</f>
        <v>1.9048291710719831</v>
      </c>
      <c r="N70" s="487">
        <f ca="1">L70/$L$76</f>
        <v>2.3610590818011752E-3</v>
      </c>
      <c r="O70" s="336"/>
      <c r="P70" s="400">
        <f ca="1">(P72+P69+P66+P65+P64+P67)*$AL$70</f>
        <v>15511.926815021834</v>
      </c>
      <c r="Q70" s="213">
        <f ca="1">P70/$R$7</f>
        <v>1.3819088476634152</v>
      </c>
      <c r="R70" s="487">
        <f ca="1">P70/$P$76</f>
        <v>2.3610590818011752E-3</v>
      </c>
      <c r="S70" s="336"/>
      <c r="T70" s="361">
        <f t="shared" ca="1" si="26"/>
        <v>78266.117886428387</v>
      </c>
      <c r="U70" s="361">
        <f t="shared" ca="1" si="27"/>
        <v>0</v>
      </c>
      <c r="V70" s="336"/>
      <c r="W70" s="361">
        <f ca="1">(W72+W69+W66+W65+W64+W67)*$AL$70</f>
        <v>472.21177930895334</v>
      </c>
      <c r="X70" s="336"/>
      <c r="Y70" s="361">
        <f ca="1">(Y72+Y69+Y66+Y65+Y64+Y67)*$AL$70</f>
        <v>4958.2236827440101</v>
      </c>
      <c r="Z70" s="336"/>
      <c r="AA70" s="361">
        <f ca="1">(AA72+AA69+AA66+AA65+AA64+AA67)*$AL$70</f>
        <v>5902.6472413619176</v>
      </c>
      <c r="AB70" s="336"/>
      <c r="AC70" s="361">
        <f ca="1">(AC72+AC69+AC66+AC65+AC64+AC67)*$AL$70</f>
        <v>5902.6472413619176</v>
      </c>
      <c r="AD70" s="336"/>
      <c r="AE70" s="361">
        <f ca="1">(AE72+AE69+AE66+AE65+AE64+AE67)*$AL$70</f>
        <v>5430.4354620529639</v>
      </c>
      <c r="AF70" s="336"/>
      <c r="AG70" s="361"/>
      <c r="AH70" s="336"/>
      <c r="AI70" s="372">
        <f ca="1">D70-AG70</f>
        <v>78266.117886428387</v>
      </c>
      <c r="AJ70" s="336"/>
      <c r="AK70" s="384"/>
      <c r="AL70" s="232">
        <v>2.5000000000000001E-3</v>
      </c>
    </row>
    <row r="71" spans="1:38" ht="16.5" customHeight="1">
      <c r="A71" s="346"/>
      <c r="B71" s="324"/>
      <c r="C71" s="323" t="s">
        <v>664</v>
      </c>
      <c r="D71" s="398">
        <f ca="1">$AL$71*(D67+D70+D69+D66+D65+D64)</f>
        <v>185508.94958550148</v>
      </c>
      <c r="E71" s="322">
        <f ca="1">D71/$F$7</f>
        <v>1.3143519571598719</v>
      </c>
      <c r="F71" s="489">
        <f ca="1">D71/$D$76</f>
        <v>5.5962605786813256E-3</v>
      </c>
      <c r="G71" s="336"/>
      <c r="H71" s="398">
        <f ca="1">$AL$71*(H67+H70+H69+H66+H65+H64)</f>
        <v>42293.091287614297</v>
      </c>
      <c r="I71" s="322"/>
      <c r="J71" s="489"/>
      <c r="K71" s="336"/>
      <c r="L71" s="398">
        <f ca="1">$AL$71*(L67+L70+L69+L66+L65+L64)</f>
        <v>52724.877315141857</v>
      </c>
      <c r="M71" s="322">
        <f ca="1">L71/$N$7</f>
        <v>4.5148893059720718</v>
      </c>
      <c r="N71" s="489">
        <f ca="1">L71/$L$76</f>
        <v>5.5962605786813256E-3</v>
      </c>
      <c r="O71" s="336"/>
      <c r="P71" s="398">
        <f ca="1">$AL$71*(P67+P70+P69+P66+P65+P64)</f>
        <v>36766.883642773086</v>
      </c>
      <c r="Q71" s="322">
        <f ca="1">P71/$R$7</f>
        <v>3.275446204255954</v>
      </c>
      <c r="R71" s="489">
        <f ca="1">P71/$P$76</f>
        <v>5.5962605786813256E-3</v>
      </c>
      <c r="S71" s="336"/>
      <c r="T71" s="365">
        <f t="shared" ca="1" si="26"/>
        <v>185508.94958550145</v>
      </c>
      <c r="U71" s="365">
        <f t="shared" ca="1" si="27"/>
        <v>0</v>
      </c>
      <c r="V71" s="336"/>
      <c r="W71" s="359">
        <f ca="1">$AL$71*(W67+W70+W69+W66+W65+W64)</f>
        <v>1119.2520279160879</v>
      </c>
      <c r="X71" s="336"/>
      <c r="Y71" s="359">
        <f ca="1">$AL$71*(Y67+Y70+Y69+Y66+Y65+Y64)</f>
        <v>11752.146293118923</v>
      </c>
      <c r="Z71" s="336"/>
      <c r="AA71" s="359">
        <f ca="1">$AL$71*(AA67+AA70+AA69+AA66+AA65+AA64)</f>
        <v>13990.650348951101</v>
      </c>
      <c r="AB71" s="336"/>
      <c r="AC71" s="359">
        <f ca="1">$AL$71*(AC67+AC70+AC69+AC66+AC65+AC64)</f>
        <v>13990.650348951101</v>
      </c>
      <c r="AD71" s="336"/>
      <c r="AE71" s="359">
        <f ca="1">$AL$71*(AE67+AE70+AE69+AE66+AE65+AE64)</f>
        <v>12871.398321035011</v>
      </c>
      <c r="AF71" s="336"/>
      <c r="AG71" s="359"/>
      <c r="AH71" s="336"/>
      <c r="AI71" s="373"/>
      <c r="AJ71" s="336"/>
      <c r="AK71" s="386"/>
      <c r="AL71" s="232">
        <v>6.0000000000000001E-3</v>
      </c>
    </row>
    <row r="72" spans="1:38" ht="16.5" customHeight="1">
      <c r="A72" s="347"/>
      <c r="B72" s="733" t="s">
        <v>665</v>
      </c>
      <c r="C72" s="734" t="s">
        <v>665</v>
      </c>
      <c r="D72" s="400">
        <f ca="1">(D69+D66+D71+D65+D64+D67+D70)*$AL$72</f>
        <v>466555.00820753619</v>
      </c>
      <c r="E72" s="213">
        <f ca="1">D72/$F$7</f>
        <v>3.3055951722570778</v>
      </c>
      <c r="F72" s="487">
        <f ca="1">D72/$D$76</f>
        <v>1.4074595355383532E-2</v>
      </c>
      <c r="G72" s="336"/>
      <c r="H72" s="400">
        <f ca="1">(H69+H66+H71+H65+H64+H67+H70)*$AL$72</f>
        <v>106367.12458834994</v>
      </c>
      <c r="I72" s="213"/>
      <c r="J72" s="487"/>
      <c r="K72" s="336"/>
      <c r="L72" s="400">
        <f ca="1">(L69+L66+L71+L65+L64+L67+L70)*$AL$72</f>
        <v>132603.06644758175</v>
      </c>
      <c r="M72" s="213">
        <f ca="1">L72/$N$7</f>
        <v>11.354946604519759</v>
      </c>
      <c r="N72" s="487">
        <f ca="1">L72/$L$76</f>
        <v>1.407459535538353E-2</v>
      </c>
      <c r="O72" s="336"/>
      <c r="P72" s="400">
        <f ca="1">(P69+P66+P71+P65+P64+P67+P70)*$AL$72</f>
        <v>92468.712361574304</v>
      </c>
      <c r="Q72" s="213">
        <f ca="1">P72/$R$7</f>
        <v>8.2377472037037247</v>
      </c>
      <c r="R72" s="487">
        <f ca="1">P72/$P$76</f>
        <v>1.4074595355383534E-2</v>
      </c>
      <c r="S72" s="336"/>
      <c r="T72" s="361">
        <f t="shared" ca="1" si="26"/>
        <v>466555.00820753619</v>
      </c>
      <c r="U72" s="361">
        <f ca="1">D72-T72</f>
        <v>0</v>
      </c>
      <c r="V72" s="336"/>
      <c r="W72" s="361">
        <f ca="1">(W69+W66+W71+W65+W64+W67+W70)*$AL$72</f>
        <v>2814.918850208961</v>
      </c>
      <c r="X72" s="336"/>
      <c r="Y72" s="361">
        <f ca="1">(Y69+Y66+Y71+Y65+Y64+Y67+Y70)*$AL$72</f>
        <v>29556.647927194092</v>
      </c>
      <c r="Z72" s="336"/>
      <c r="AA72" s="361">
        <f ca="1">(AA69+AA66+AA71+AA65+AA64+AA67+AA70)*$AL$72</f>
        <v>35186.485627612019</v>
      </c>
      <c r="AB72" s="336"/>
      <c r="AC72" s="361">
        <f ca="1">(AC69+AC66+AC71+AC65+AC64+AC67+AC70)*$AL$72</f>
        <v>35186.485627612019</v>
      </c>
      <c r="AD72" s="336"/>
      <c r="AE72" s="361">
        <f ca="1">(AE69+AE66+AE71+AE65+AE64+AE67+AE70)*$AL$72</f>
        <v>32371.566777403055</v>
      </c>
      <c r="AF72" s="336"/>
      <c r="AG72" s="361"/>
      <c r="AH72" s="336"/>
      <c r="AI72" s="372">
        <f ca="1">D72-AG72</f>
        <v>466555.00820753619</v>
      </c>
      <c r="AJ72" s="336"/>
      <c r="AK72" s="384"/>
      <c r="AL72" s="232">
        <v>1.4999999999999999E-2</v>
      </c>
    </row>
    <row r="73" spans="1:38" ht="16.5" customHeight="1">
      <c r="A73" s="340"/>
      <c r="B73" s="735" t="s">
        <v>666</v>
      </c>
      <c r="C73" s="736"/>
      <c r="D73" s="488">
        <f ca="1">SUM(D64:D72)</f>
        <v>31570222.222043283</v>
      </c>
      <c r="E73" s="228">
        <f ca="1">SUM(E64:E72)</f>
        <v>223.67860665606227</v>
      </c>
      <c r="F73" s="486">
        <f ca="1">SUM(F64:F72)</f>
        <v>0.95238095238095233</v>
      </c>
      <c r="G73" s="231"/>
      <c r="H73" s="495">
        <f ca="1">SUM(H64:H72)</f>
        <v>7197508.7638116796</v>
      </c>
      <c r="I73" s="471"/>
      <c r="J73" s="494"/>
      <c r="K73" s="231"/>
      <c r="L73" s="495">
        <f ca="1">SUM(L64:L72)</f>
        <v>8972807.4962863661</v>
      </c>
      <c r="M73" s="471">
        <f ca="1">SUM(M64:M72)</f>
        <v>768.35138690583688</v>
      </c>
      <c r="N73" s="494">
        <f ca="1">SUM(N64:N72)</f>
        <v>0.95238095238095266</v>
      </c>
      <c r="O73" s="231"/>
      <c r="P73" s="495">
        <f ca="1">SUM(P64:P72)</f>
        <v>6257049.5364665277</v>
      </c>
      <c r="Q73" s="471">
        <f ca="1">SUM(Q64:Q72)</f>
        <v>557.42089411728534</v>
      </c>
      <c r="R73" s="494">
        <f ca="1">SUM(R64:R72)</f>
        <v>0.95238095238095288</v>
      </c>
      <c r="S73" s="231"/>
      <c r="T73" s="358">
        <f t="shared" ca="1" si="26"/>
        <v>31570222.222043276</v>
      </c>
      <c r="U73" s="358">
        <f t="shared" ca="1" si="27"/>
        <v>0</v>
      </c>
      <c r="V73" s="231"/>
      <c r="W73" s="358">
        <f ca="1">SUM(W64:W72)</f>
        <v>190476.17553080633</v>
      </c>
      <c r="X73" s="231"/>
      <c r="Y73" s="358">
        <f ca="1">SUM(Y64:Y72)</f>
        <v>1999999.8430734668</v>
      </c>
      <c r="Z73" s="231"/>
      <c r="AA73" s="358">
        <f ca="1">SUM(AA64:AA72)</f>
        <v>2380952.1941350801</v>
      </c>
      <c r="AB73" s="231"/>
      <c r="AC73" s="358">
        <f ca="1">SUM(AC64:AC72)</f>
        <v>2380952.1941350801</v>
      </c>
      <c r="AD73" s="231"/>
      <c r="AE73" s="358">
        <f ca="1">SUM(AE64:AE72)</f>
        <v>2190476.018604273</v>
      </c>
      <c r="AF73" s="231"/>
      <c r="AG73" s="369">
        <f>SUM(AG64:AG72)</f>
        <v>0</v>
      </c>
      <c r="AH73" s="231"/>
      <c r="AI73" s="371">
        <f ca="1">SUM(AI64:AI72)</f>
        <v>31333744.272457782</v>
      </c>
      <c r="AJ73" s="380"/>
      <c r="AK73" s="358"/>
      <c r="AL73" s="234"/>
    </row>
    <row r="74" spans="1:38" ht="16.5" customHeight="1">
      <c r="A74" s="343"/>
      <c r="B74" s="220"/>
      <c r="C74" s="220" t="s">
        <v>687</v>
      </c>
      <c r="D74" s="398">
        <f ca="1">D73*$AL$74</f>
        <v>947106.66666129848</v>
      </c>
      <c r="E74" s="322">
        <f ca="1">D74/$F$7</f>
        <v>6.7103581996818678</v>
      </c>
      <c r="F74" s="489">
        <f ca="1">D74/$D$76</f>
        <v>2.8571428571428571E-2</v>
      </c>
      <c r="G74" s="336"/>
      <c r="H74" s="398">
        <f ca="1">H73*$AL$74</f>
        <v>215925.26291435037</v>
      </c>
      <c r="I74" s="322"/>
      <c r="J74" s="489"/>
      <c r="K74" s="336"/>
      <c r="L74" s="398">
        <f ca="1">L73*$AL$74</f>
        <v>269184.22488859098</v>
      </c>
      <c r="M74" s="322">
        <f ca="1">L74/$N$7</f>
        <v>23.050541607175113</v>
      </c>
      <c r="N74" s="489">
        <f ca="1">L74/$L$76</f>
        <v>2.8571428571428571E-2</v>
      </c>
      <c r="O74" s="336"/>
      <c r="P74" s="398">
        <f ca="1">P73*$AL$74</f>
        <v>187711.48609399583</v>
      </c>
      <c r="Q74" s="322">
        <f ca="1">P74/$R$7</f>
        <v>16.72262682351856</v>
      </c>
      <c r="R74" s="489">
        <f ca="1">P74/$P$76</f>
        <v>2.8571428571428571E-2</v>
      </c>
      <c r="S74" s="336"/>
      <c r="T74" s="365">
        <f t="shared" ca="1" si="26"/>
        <v>947106.66666129837</v>
      </c>
      <c r="U74" s="365">
        <f t="shared" ca="1" si="27"/>
        <v>0</v>
      </c>
      <c r="V74" s="336"/>
      <c r="W74" s="359">
        <f ca="1">W73*$AL$74</f>
        <v>5714.2852659241898</v>
      </c>
      <c r="X74" s="336"/>
      <c r="Y74" s="359">
        <f ca="1">Y73*$AL$74</f>
        <v>59999.995292204003</v>
      </c>
      <c r="Z74" s="336"/>
      <c r="AA74" s="359">
        <f ca="1">AA73*$AL$74</f>
        <v>71428.565824052406</v>
      </c>
      <c r="AB74" s="336"/>
      <c r="AC74" s="359">
        <f ca="1">AC73*$AL$74</f>
        <v>71428.565824052406</v>
      </c>
      <c r="AD74" s="336"/>
      <c r="AE74" s="359">
        <f ca="1">AE73*$AL$74</f>
        <v>65714.280558128186</v>
      </c>
      <c r="AF74" s="336"/>
      <c r="AG74" s="365"/>
      <c r="AH74" s="336"/>
      <c r="AI74" s="370">
        <f ca="1">D74-AG74</f>
        <v>947106.66666129848</v>
      </c>
      <c r="AJ74" s="336"/>
      <c r="AK74" s="383"/>
      <c r="AL74" s="232">
        <v>0.03</v>
      </c>
    </row>
    <row r="75" spans="1:38" ht="16.5" customHeight="1">
      <c r="A75" s="343"/>
      <c r="B75" s="220"/>
      <c r="C75" s="220" t="s">
        <v>688</v>
      </c>
      <c r="D75" s="398">
        <f ca="1">D73*$AL$75</f>
        <v>631404.44444086566</v>
      </c>
      <c r="E75" s="322">
        <f ca="1">D75/$F$7</f>
        <v>4.4735721331212455</v>
      </c>
      <c r="F75" s="489">
        <f ca="1">D75/$D$76</f>
        <v>1.9047619047619046E-2</v>
      </c>
      <c r="G75" s="336"/>
      <c r="H75" s="398">
        <f ca="1">H73*$AL$75</f>
        <v>143950.17527623358</v>
      </c>
      <c r="I75" s="322"/>
      <c r="J75" s="489"/>
      <c r="K75" s="336"/>
      <c r="L75" s="398">
        <f ca="1">L73*$AL$75</f>
        <v>179456.14992572734</v>
      </c>
      <c r="M75" s="322">
        <f ca="1">L75/$N$7</f>
        <v>15.367027738116745</v>
      </c>
      <c r="N75" s="489">
        <f ca="1">L75/$L$76</f>
        <v>1.9047619047619049E-2</v>
      </c>
      <c r="O75" s="336"/>
      <c r="P75" s="398">
        <f ca="1">P73*$AL$75</f>
        <v>125140.99072933056</v>
      </c>
      <c r="Q75" s="322">
        <f ca="1">P75/$R$7</f>
        <v>11.148417882345706</v>
      </c>
      <c r="R75" s="489">
        <f ca="1">P75/$P$76</f>
        <v>1.9047619047619049E-2</v>
      </c>
      <c r="S75" s="336"/>
      <c r="T75" s="365">
        <f t="shared" ca="1" si="26"/>
        <v>631404.44444086566</v>
      </c>
      <c r="U75" s="365">
        <f t="shared" ref="U75" ca="1" si="28">D75-T75</f>
        <v>0</v>
      </c>
      <c r="V75" s="336"/>
      <c r="W75" s="359">
        <f ca="1">W73*$AL$75</f>
        <v>3809.5235106161267</v>
      </c>
      <c r="X75" s="336"/>
      <c r="Y75" s="359">
        <f ca="1">Y73*$AL$75</f>
        <v>39999.996861469335</v>
      </c>
      <c r="Z75" s="336"/>
      <c r="AA75" s="359">
        <f ca="1">AA73*$AL$75</f>
        <v>47619.043882701604</v>
      </c>
      <c r="AB75" s="336"/>
      <c r="AC75" s="359">
        <f ca="1">AC73*$AL$75</f>
        <v>47619.043882701604</v>
      </c>
      <c r="AD75" s="336"/>
      <c r="AE75" s="359">
        <f ca="1">AE73*$AL$75</f>
        <v>43809.520372085462</v>
      </c>
      <c r="AF75" s="336"/>
      <c r="AG75" s="365"/>
      <c r="AH75" s="336"/>
      <c r="AI75" s="370">
        <f ca="1">D75-AG75</f>
        <v>631404.44444086566</v>
      </c>
      <c r="AJ75" s="336"/>
      <c r="AK75" s="383"/>
      <c r="AL75" s="232">
        <v>0.02</v>
      </c>
    </row>
    <row r="76" spans="1:38" s="221" customFormat="1" ht="16.5" customHeight="1">
      <c r="A76" s="340"/>
      <c r="B76" s="735" t="s">
        <v>669</v>
      </c>
      <c r="C76" s="736"/>
      <c r="D76" s="488">
        <f ca="1">SUM(D73:D75)</f>
        <v>33148733.333145447</v>
      </c>
      <c r="E76" s="228">
        <f ca="1">SUM(E73:E74)</f>
        <v>230.38896485574415</v>
      </c>
      <c r="F76" s="486">
        <f ca="1">SUM(F73:F75)</f>
        <v>1</v>
      </c>
      <c r="G76" s="231"/>
      <c r="H76" s="495">
        <f ca="1">SUM(H73:H75)</f>
        <v>7557384.2020022636</v>
      </c>
      <c r="I76" s="471"/>
      <c r="J76" s="494"/>
      <c r="K76" s="231"/>
      <c r="L76" s="495">
        <f ca="1">SUM(L73:L75)</f>
        <v>9421447.8711006846</v>
      </c>
      <c r="M76" s="471">
        <f ca="1">SUM(M73:M74)</f>
        <v>791.40192851301197</v>
      </c>
      <c r="N76" s="494">
        <f ca="1">SUM(N73:N75)</f>
        <v>1.0000000000000002</v>
      </c>
      <c r="O76" s="231"/>
      <c r="P76" s="495">
        <f ca="1">SUM(P73:P75)</f>
        <v>6569902.0132898539</v>
      </c>
      <c r="Q76" s="471">
        <f ca="1">SUM(Q73:Q74)</f>
        <v>574.14352094080391</v>
      </c>
      <c r="R76" s="494">
        <f ca="1">SUM(R73:R75)</f>
        <v>1.0000000000000004</v>
      </c>
      <c r="S76" s="231"/>
      <c r="T76" s="468">
        <f t="shared" ca="1" si="26"/>
        <v>33148733.33314544</v>
      </c>
      <c r="U76" s="358">
        <f t="shared" ca="1" si="27"/>
        <v>0</v>
      </c>
      <c r="V76" s="231"/>
      <c r="W76" s="358">
        <f ca="1">SUM(W73:W75)</f>
        <v>199999.98430734663</v>
      </c>
      <c r="X76" s="231"/>
      <c r="Y76" s="358">
        <f ca="1">SUM(Y73:Y75)</f>
        <v>2099999.8352271402</v>
      </c>
      <c r="Z76" s="231"/>
      <c r="AA76" s="358">
        <f ca="1">SUM(AA73:AA75)</f>
        <v>2499999.803841834</v>
      </c>
      <c r="AB76" s="231"/>
      <c r="AC76" s="358">
        <f ca="1">SUM(AC73:AC75)</f>
        <v>2499999.803841834</v>
      </c>
      <c r="AD76" s="231"/>
      <c r="AE76" s="358">
        <f ca="1">SUM(AE73:AE75)</f>
        <v>2299999.8195344866</v>
      </c>
      <c r="AF76" s="231"/>
      <c r="AG76" s="369">
        <f>SUM(AG73:AG74)</f>
        <v>0</v>
      </c>
      <c r="AH76" s="231"/>
      <c r="AI76" s="371">
        <f ca="1">SUM(AI73:AI74)</f>
        <v>32280850.939119082</v>
      </c>
      <c r="AJ76" s="380"/>
      <c r="AK76" s="358"/>
      <c r="AL76" s="235"/>
    </row>
    <row r="77" spans="1:38">
      <c r="A77" s="348"/>
      <c r="B77" s="222"/>
      <c r="C77" s="507" t="s">
        <v>689</v>
      </c>
      <c r="D77" s="506">
        <f>H85+L85+P85+W85+Y85+AA85+AC85+AE85</f>
        <v>32700000</v>
      </c>
      <c r="E77" s="500"/>
      <c r="F77" s="489"/>
      <c r="H77" s="398"/>
      <c r="I77" s="500"/>
      <c r="J77" s="489"/>
      <c r="L77" s="398"/>
      <c r="M77" s="500"/>
      <c r="N77" s="489"/>
      <c r="P77" s="398"/>
      <c r="Q77" s="500"/>
      <c r="R77" s="489"/>
      <c r="T77" s="363"/>
      <c r="U77" s="363"/>
      <c r="W77" s="363"/>
      <c r="Y77" s="363"/>
      <c r="AA77" s="363"/>
      <c r="AC77" s="363"/>
      <c r="AE77" s="363"/>
      <c r="AG77" s="354"/>
      <c r="AI77" s="354"/>
      <c r="AK77" s="383"/>
      <c r="AL77" s="95"/>
    </row>
    <row r="78" spans="1:38" s="221" customFormat="1" ht="16.5" customHeight="1">
      <c r="A78" s="340"/>
      <c r="B78" s="745" t="s">
        <v>670</v>
      </c>
      <c r="C78" s="746" t="s">
        <v>670</v>
      </c>
      <c r="D78" s="496" t="s">
        <v>671</v>
      </c>
      <c r="E78" s="502"/>
      <c r="F78" s="498"/>
      <c r="G78" s="231"/>
      <c r="H78" s="497"/>
      <c r="I78" s="503"/>
      <c r="J78" s="499"/>
      <c r="K78" s="231"/>
      <c r="L78" s="497"/>
      <c r="M78" s="503"/>
      <c r="N78" s="499"/>
      <c r="O78" s="231"/>
      <c r="P78" s="497"/>
      <c r="Q78" s="503"/>
      <c r="R78" s="499"/>
      <c r="S78" s="231"/>
      <c r="T78" s="468"/>
      <c r="U78" s="358"/>
      <c r="V78" s="231"/>
      <c r="W78" s="358"/>
      <c r="X78" s="231"/>
      <c r="Y78" s="358"/>
      <c r="Z78" s="231"/>
      <c r="AA78" s="358"/>
      <c r="AB78" s="231"/>
      <c r="AC78" s="358"/>
      <c r="AD78" s="231"/>
      <c r="AE78" s="358"/>
      <c r="AF78" s="231"/>
      <c r="AG78" s="369"/>
      <c r="AH78" s="231"/>
      <c r="AI78" s="371"/>
      <c r="AJ78" s="380"/>
      <c r="AK78" s="358"/>
      <c r="AL78" s="235"/>
    </row>
    <row r="79" spans="1:38">
      <c r="A79" s="348"/>
      <c r="B79" s="222"/>
      <c r="C79" s="223"/>
      <c r="D79" s="398"/>
      <c r="E79" s="501"/>
      <c r="F79" s="489"/>
      <c r="H79" s="398"/>
      <c r="I79" s="501"/>
      <c r="J79" s="489"/>
      <c r="L79" s="398"/>
      <c r="M79" s="501"/>
      <c r="N79" s="489"/>
      <c r="P79" s="398"/>
      <c r="Q79" s="501"/>
      <c r="R79" s="489"/>
      <c r="T79" s="363"/>
      <c r="U79" s="363"/>
      <c r="W79" s="363"/>
      <c r="Y79" s="363"/>
      <c r="AA79" s="363"/>
      <c r="AC79" s="363"/>
      <c r="AE79" s="363"/>
      <c r="AG79" s="354"/>
      <c r="AI79" s="354"/>
      <c r="AK79" s="383"/>
      <c r="AL79" s="95"/>
    </row>
    <row r="80" spans="1:38" ht="16.5" customHeight="1">
      <c r="A80" s="349"/>
      <c r="B80" s="350"/>
      <c r="C80" s="351" t="s">
        <v>673</v>
      </c>
      <c r="D80" s="490">
        <f ca="1">D76*$AL$80</f>
        <v>331487.33333145449</v>
      </c>
      <c r="E80" s="491">
        <f ca="1">D80/$F$7</f>
        <v>2.3486253698886537</v>
      </c>
      <c r="F80" s="492">
        <f ca="1">D80/$D$76</f>
        <v>0.01</v>
      </c>
      <c r="G80" s="336"/>
      <c r="H80" s="490">
        <f ca="1">H76*$AL$80</f>
        <v>75573.842020022639</v>
      </c>
      <c r="I80" s="491"/>
      <c r="J80" s="492"/>
      <c r="K80" s="336"/>
      <c r="L80" s="490">
        <f ca="1">L76*$AL$80</f>
        <v>94214.478711006843</v>
      </c>
      <c r="M80" s="491">
        <f ca="1">L80/$F$7</f>
        <v>0.66752027200463959</v>
      </c>
      <c r="N80" s="492">
        <f ca="1">L80/$H$76</f>
        <v>1.246654612134785E-2</v>
      </c>
      <c r="O80" s="336"/>
      <c r="P80" s="490">
        <f ca="1">P76*$AL$80</f>
        <v>65699.020132898542</v>
      </c>
      <c r="Q80" s="491">
        <f ca="1">P80/$R$7</f>
        <v>5.8529193882314958</v>
      </c>
      <c r="R80" s="492">
        <f ca="1">P80/$H$76</f>
        <v>8.693354522784769E-3</v>
      </c>
      <c r="S80" s="336"/>
      <c r="T80" s="364"/>
      <c r="U80" s="364"/>
      <c r="V80" s="336"/>
      <c r="W80" s="364"/>
      <c r="X80" s="336"/>
      <c r="Y80" s="364"/>
      <c r="Z80" s="336"/>
      <c r="AA80" s="364"/>
      <c r="AB80" s="336"/>
      <c r="AC80" s="364"/>
      <c r="AD80" s="336"/>
      <c r="AE80" s="364"/>
      <c r="AF80" s="336"/>
      <c r="AG80" s="355"/>
      <c r="AH80" s="336"/>
      <c r="AI80" s="355"/>
      <c r="AJ80" s="336"/>
      <c r="AK80" s="355"/>
      <c r="AL80" s="232">
        <v>0.01</v>
      </c>
    </row>
    <row r="81" spans="1:36">
      <c r="A81" s="224"/>
      <c r="B81" s="225"/>
    </row>
    <row r="82" spans="1:36">
      <c r="C82" s="48" t="s">
        <v>690</v>
      </c>
      <c r="D82" s="200">
        <f ca="1">D67+D69+D70+D71</f>
        <v>715116.75521179428</v>
      </c>
      <c r="H82" s="200">
        <f ca="1">H67+H69+H70+H71</f>
        <v>163035.25127522321</v>
      </c>
      <c r="L82" s="200">
        <f ca="1">L67+L69+L70+L71</f>
        <v>203248.64794281061</v>
      </c>
      <c r="P82" s="200">
        <f ca="1">P67+P69+P70+P71</f>
        <v>141732.32390468128</v>
      </c>
      <c r="W82" s="200">
        <f ca="1">W67+W69+W70+W71</f>
        <v>4314.5944185224835</v>
      </c>
      <c r="Y82" s="200">
        <f ca="1">Y67+Y69+Y70+Y71</f>
        <v>45303.241394486082</v>
      </c>
      <c r="AA82" s="200">
        <f ca="1">AA67+AA69+AA70+AA71</f>
        <v>53932.430231531049</v>
      </c>
      <c r="AC82" s="200">
        <f ca="1">AC67+AC69+AC70+AC71</f>
        <v>53932.430231531049</v>
      </c>
      <c r="AE82" s="200">
        <f ca="1">AE67+AE69+AE70+AE71</f>
        <v>49617.835813008562</v>
      </c>
    </row>
    <row r="83" spans="1:36">
      <c r="C83" t="s">
        <v>98</v>
      </c>
      <c r="D83" s="526">
        <f ca="1">D82/$D$60</f>
        <v>2.8131511562806119E-2</v>
      </c>
      <c r="H83" s="526">
        <f ca="1">H82/$H$60</f>
        <v>2.8131511562806123E-2</v>
      </c>
      <c r="L83" s="526">
        <f ca="1">L82/$L$60</f>
        <v>2.8131511562806119E-2</v>
      </c>
      <c r="P83" s="526">
        <f ca="1">P82/$P$60</f>
        <v>2.8131511562806112E-2</v>
      </c>
      <c r="W83" s="526">
        <f ca="1">W82/$W$60</f>
        <v>2.8131511562806119E-2</v>
      </c>
      <c r="Y83" s="526">
        <f ca="1">Y82/$Y$60</f>
        <v>2.8131511562806123E-2</v>
      </c>
      <c r="AA83" s="526">
        <f ca="1">AA82/$AA$60</f>
        <v>2.8131511562806119E-2</v>
      </c>
      <c r="AC83" s="526">
        <f ca="1">AC82/$AC$60</f>
        <v>2.8131511562806119E-2</v>
      </c>
      <c r="AE83" s="526">
        <f ca="1">AE82/$AE$60</f>
        <v>2.8131511562806119E-2</v>
      </c>
    </row>
    <row r="85" spans="1:36">
      <c r="F85" t="s">
        <v>691</v>
      </c>
      <c r="H85" s="478">
        <v>5300000</v>
      </c>
      <c r="L85" s="478">
        <v>10200000</v>
      </c>
      <c r="P85" s="478">
        <v>7600000</v>
      </c>
      <c r="W85" s="523">
        <v>200000</v>
      </c>
      <c r="Y85" s="522">
        <v>2100000</v>
      </c>
      <c r="AA85" s="522">
        <v>2500000</v>
      </c>
      <c r="AC85" s="522">
        <v>2500000</v>
      </c>
      <c r="AE85" s="522">
        <v>2300000</v>
      </c>
    </row>
    <row r="86" spans="1:36">
      <c r="L86" t="s">
        <v>692</v>
      </c>
      <c r="M86">
        <f>L85/N7</f>
        <v>873.43723240280872</v>
      </c>
      <c r="R86" s="95">
        <f ca="1">D76/D60</f>
        <v>1.3040163976826058</v>
      </c>
      <c r="S86" s="95"/>
      <c r="T86" s="95"/>
      <c r="U86" s="95"/>
      <c r="V86" s="95"/>
      <c r="W86" s="649">
        <v>1.3040164999999999</v>
      </c>
    </row>
    <row r="87" spans="1:36">
      <c r="A87" s="85"/>
      <c r="B87" s="85"/>
      <c r="C87" s="85"/>
      <c r="D87" s="226">
        <v>2220594</v>
      </c>
      <c r="E87" s="85"/>
    </row>
    <row r="88" spans="1:36">
      <c r="A88" s="85"/>
      <c r="B88" s="85"/>
      <c r="C88" s="1182" t="s">
        <v>674</v>
      </c>
      <c r="D88" s="1183"/>
      <c r="E88" s="1183"/>
      <c r="F88" s="1184"/>
    </row>
    <row r="89" spans="1:36">
      <c r="A89" s="85"/>
      <c r="B89" s="85"/>
      <c r="C89" s="1185" t="s">
        <v>675</v>
      </c>
      <c r="D89" s="1186" t="s">
        <v>676</v>
      </c>
      <c r="E89" s="1187" t="s">
        <v>677</v>
      </c>
      <c r="F89" s="1188" t="s">
        <v>678</v>
      </c>
      <c r="G89" s="257"/>
      <c r="H89" s="257"/>
      <c r="I89" s="257"/>
      <c r="J89" s="257"/>
      <c r="K89" s="257"/>
      <c r="L89" s="257"/>
      <c r="N89" s="257"/>
      <c r="O89" s="257"/>
      <c r="P89" s="257"/>
      <c r="Q89" s="257"/>
      <c r="R89" s="257"/>
      <c r="S89" s="257"/>
      <c r="T89" s="257"/>
      <c r="U89" s="257"/>
      <c r="V89" s="257"/>
      <c r="W89" s="257"/>
      <c r="X89" s="257"/>
      <c r="Y89" s="257"/>
      <c r="Z89" s="257"/>
      <c r="AA89" s="257"/>
      <c r="AB89" s="257"/>
      <c r="AC89" s="257"/>
      <c r="AD89" s="257"/>
      <c r="AE89" s="257"/>
      <c r="AF89" s="257"/>
      <c r="AH89" s="257"/>
      <c r="AJ89" s="257"/>
    </row>
    <row r="90" spans="1:36">
      <c r="A90" s="85"/>
      <c r="B90" s="325" t="s">
        <v>679</v>
      </c>
      <c r="C90" s="580"/>
      <c r="D90" s="1189"/>
      <c r="E90" s="1190"/>
      <c r="F90" s="581"/>
      <c r="G90" s="261" t="s">
        <v>680</v>
      </c>
      <c r="K90" s="261"/>
      <c r="N90" s="261"/>
      <c r="O90" s="261"/>
      <c r="S90" s="261"/>
      <c r="V90" s="261"/>
      <c r="X90" s="261"/>
      <c r="Z90" s="261"/>
      <c r="AB90" s="261"/>
      <c r="AD90" s="261"/>
    </row>
    <row r="91" spans="1:36">
      <c r="A91" s="85"/>
      <c r="B91" s="325" t="s">
        <v>681</v>
      </c>
      <c r="C91" s="1191"/>
      <c r="D91" s="1192">
        <f>D65*'Labor Rates Calculator'!I42</f>
        <v>2534863.0930303768</v>
      </c>
      <c r="E91" s="1192">
        <f>D65</f>
        <v>2991138.4497758439</v>
      </c>
      <c r="F91" s="1193">
        <f>E91-D91</f>
        <v>456275.35674546706</v>
      </c>
      <c r="G91" s="200"/>
      <c r="H91" s="200"/>
      <c r="I91" s="200"/>
      <c r="J91" s="200"/>
      <c r="K91" s="200"/>
      <c r="L91" s="200"/>
      <c r="N91" s="200"/>
      <c r="O91" s="200"/>
      <c r="P91" s="200"/>
      <c r="Q91" s="200"/>
      <c r="R91" s="200"/>
      <c r="S91" s="200"/>
      <c r="T91" s="200"/>
      <c r="U91" s="200"/>
      <c r="V91" s="200"/>
      <c r="W91" s="200"/>
      <c r="X91" s="200"/>
      <c r="Y91" s="200"/>
      <c r="Z91" s="200"/>
      <c r="AA91" s="200"/>
      <c r="AB91" s="200"/>
      <c r="AC91" s="200"/>
      <c r="AD91" s="200"/>
      <c r="AE91" s="200"/>
      <c r="AF91" s="200"/>
      <c r="AH91" s="200"/>
      <c r="AJ91" s="200"/>
    </row>
    <row r="92" spans="1:36">
      <c r="A92" s="85"/>
      <c r="B92" s="325" t="s">
        <v>682</v>
      </c>
      <c r="C92" s="1194">
        <v>1.0999999999999999E-2</v>
      </c>
      <c r="D92" s="1192">
        <f>C92*D64</f>
        <v>293606.63767590059</v>
      </c>
      <c r="E92" s="1192">
        <f>D69</f>
        <v>400372.68773986446</v>
      </c>
      <c r="F92" s="1193">
        <f>E92-D92</f>
        <v>106766.05006396386</v>
      </c>
      <c r="G92" s="200"/>
      <c r="H92" s="200"/>
      <c r="I92" s="200"/>
      <c r="J92" s="200"/>
      <c r="K92" s="200"/>
      <c r="L92" s="200"/>
      <c r="N92" s="200"/>
      <c r="O92" s="200"/>
      <c r="P92" s="200"/>
      <c r="Q92" s="200"/>
      <c r="R92" s="200"/>
      <c r="S92" s="200"/>
      <c r="T92" s="200"/>
      <c r="U92" s="200"/>
      <c r="V92" s="200"/>
      <c r="W92" s="200"/>
      <c r="X92" s="200"/>
      <c r="Y92" s="200"/>
      <c r="Z92" s="200"/>
      <c r="AA92" s="200"/>
      <c r="AB92" s="200"/>
      <c r="AC92" s="200"/>
      <c r="AD92" s="200"/>
      <c r="AE92" s="200"/>
      <c r="AF92" s="200"/>
      <c r="AH92" s="200"/>
      <c r="AJ92" s="200"/>
    </row>
    <row r="93" spans="1:36">
      <c r="A93" s="85"/>
      <c r="B93" s="325" t="s">
        <v>683</v>
      </c>
      <c r="C93" s="1194">
        <v>1.0999999999999999E-2</v>
      </c>
      <c r="D93" s="1192">
        <f ca="1">C93*D76</f>
        <v>364636.06666459987</v>
      </c>
      <c r="E93" s="1192">
        <f ca="1">D72</f>
        <v>466555.00820753619</v>
      </c>
      <c r="F93" s="1193">
        <f ca="1">E93-D93</f>
        <v>101918.94154293631</v>
      </c>
      <c r="G93" s="200"/>
      <c r="H93" s="200"/>
      <c r="I93" s="200"/>
      <c r="J93" s="200"/>
      <c r="K93" s="200"/>
      <c r="L93" s="200"/>
      <c r="N93" s="200"/>
      <c r="O93" s="200"/>
      <c r="P93" s="200"/>
      <c r="Q93" s="200"/>
      <c r="R93" s="200"/>
      <c r="S93" s="200"/>
      <c r="T93" s="200"/>
      <c r="U93" s="200"/>
      <c r="V93" s="200"/>
      <c r="W93" s="200"/>
      <c r="X93" s="200"/>
      <c r="Y93" s="200"/>
      <c r="Z93" s="200"/>
      <c r="AA93" s="200"/>
      <c r="AB93" s="200"/>
      <c r="AC93" s="200"/>
      <c r="AD93" s="200"/>
      <c r="AE93" s="200"/>
      <c r="AF93" s="200"/>
      <c r="AH93" s="200"/>
      <c r="AJ93" s="200"/>
    </row>
    <row r="94" spans="1:36">
      <c r="A94" s="85"/>
      <c r="B94" s="325" t="s">
        <v>684</v>
      </c>
      <c r="C94" s="1195"/>
      <c r="D94" s="1196"/>
      <c r="E94" s="1197"/>
      <c r="F94" s="1198">
        <f ca="1">D74</f>
        <v>947106.66666129848</v>
      </c>
      <c r="G94" s="200"/>
      <c r="H94" s="200"/>
      <c r="I94" s="200"/>
      <c r="J94" s="200"/>
      <c r="K94" s="200"/>
      <c r="L94" s="200"/>
      <c r="N94" s="200"/>
      <c r="O94" s="200"/>
      <c r="P94" s="200"/>
      <c r="Q94" s="200"/>
      <c r="R94" s="200"/>
      <c r="S94" s="200"/>
      <c r="T94" s="200"/>
      <c r="U94" s="200"/>
      <c r="V94" s="200"/>
      <c r="W94" s="200"/>
      <c r="X94" s="200"/>
      <c r="Y94" s="200"/>
      <c r="Z94" s="200"/>
      <c r="AA94" s="200"/>
      <c r="AB94" s="200"/>
      <c r="AC94" s="200"/>
      <c r="AD94" s="200"/>
      <c r="AE94" s="200"/>
      <c r="AF94" s="200"/>
      <c r="AH94" s="200"/>
      <c r="AJ94" s="200"/>
    </row>
    <row r="95" spans="1:36">
      <c r="A95" s="224"/>
      <c r="B95" s="225"/>
      <c r="E95" s="325" t="s">
        <v>69</v>
      </c>
      <c r="F95" s="331">
        <f ca="1">SUM(F90:F94)</f>
        <v>1612067.0150136659</v>
      </c>
      <c r="H95" s="330">
        <f ca="1">F95/D76</f>
        <v>4.8631330760435382E-2</v>
      </c>
      <c r="I95" s="333"/>
      <c r="J95" s="333"/>
      <c r="K95" s="330"/>
      <c r="L95" s="333"/>
      <c r="M95" s="330"/>
      <c r="N95" s="330"/>
      <c r="O95" s="330"/>
      <c r="P95" s="333"/>
      <c r="Q95" s="333"/>
      <c r="R95" s="333"/>
      <c r="S95" s="330"/>
      <c r="T95" s="330"/>
      <c r="U95" s="330"/>
      <c r="V95" s="330"/>
      <c r="X95" s="330"/>
      <c r="Y95" s="333"/>
      <c r="Z95" s="330"/>
      <c r="AA95" s="333"/>
      <c r="AB95" s="330"/>
      <c r="AC95" s="333"/>
      <c r="AD95" s="330"/>
      <c r="AE95" s="333"/>
      <c r="AF95" s="333"/>
      <c r="AH95" s="333"/>
      <c r="AJ95" s="91"/>
    </row>
    <row r="96" spans="1:36">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H96" s="43"/>
      <c r="AJ96" s="43"/>
    </row>
    <row r="97" spans="2:36" ht="45.75" customHeight="1">
      <c r="B97" s="197" t="s">
        <v>685</v>
      </c>
      <c r="C97" s="95"/>
      <c r="D97" s="227"/>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c r="AF97" s="95"/>
      <c r="AG97" s="95"/>
      <c r="AH97" s="95"/>
      <c r="AJ97" s="95"/>
    </row>
  </sheetData>
  <mergeCells count="11">
    <mergeCell ref="C88:F88"/>
    <mergeCell ref="A1:B1"/>
    <mergeCell ref="A4:F4"/>
    <mergeCell ref="B60:C60"/>
    <mergeCell ref="B64:C64"/>
    <mergeCell ref="B73:C73"/>
    <mergeCell ref="B76:C76"/>
    <mergeCell ref="B70:C70"/>
    <mergeCell ref="B72:C72"/>
    <mergeCell ref="B11:C11"/>
    <mergeCell ref="B78:C78"/>
  </mergeCells>
  <hyperlinks>
    <hyperlink ref="A13" location="'01A Surveying'!A1" display="01A" xr:uid="{8E8C6C1C-02F0-4081-8A53-A88A6D232623}"/>
    <hyperlink ref="A16" location="'03A Concrete'!A1" display="03A" xr:uid="{9756DEC6-0795-497B-9184-1DC00B1C57DE}"/>
    <hyperlink ref="A18" location="'05C Misc. Metals'!A1" display="05C" xr:uid="{18BEF301-1B59-4C05-9911-B74296AFD5E2}"/>
    <hyperlink ref="A19" location="'06A Rough Carpentry'!A1" display="06A" xr:uid="{245256BE-820C-470E-A32C-C75FF08749FD}"/>
    <hyperlink ref="A21" location="'06F Millwork'!A1" display="06F" xr:uid="{14BC477D-D3AC-4480-AD62-4C8FC6303AA8}"/>
    <hyperlink ref="A23" location="'07E Caulking &amp; Waterproofing'!A1" display="07E" xr:uid="{B14A5544-AF99-4DB3-8C77-B6E2701A5C1A}"/>
    <hyperlink ref="A22" location="'07D Roofing'!A1" display="07D" xr:uid="{77261076-E384-4BC4-84A5-D12BDAFE0DCA}"/>
    <hyperlink ref="A26" location="'08C Glass and Glazing'!A1" display="08C" xr:uid="{8725BAF2-6888-4710-8C23-1A61F2912952}"/>
    <hyperlink ref="A27" location="'09A Stucco'!A1" display="09A" xr:uid="{95BB78F4-0BD5-4CE1-B9C5-F5F6C08552FF}"/>
    <hyperlink ref="A25" location="'08A Doors, Frames, &amp; Hardware'!A1" display="08A" xr:uid="{A27C7CF1-5397-4929-B1F5-782515E249DA}"/>
    <hyperlink ref="A28" location="'09B Drywall&amp;Framing'!A1" display="09B" xr:uid="{CF3834EC-F56A-4DEA-AC77-95FE43B83EB7}"/>
    <hyperlink ref="A31" location="'09E Tile &amp; Stone'!A1" display="09E" xr:uid="{EE5EE951-0375-4158-BF58-3BC1F1E90EDB}"/>
    <hyperlink ref="A32" location="'09F Carpet &amp; Resilient'!A1" display="09F" xr:uid="{6C432F32-C356-49A0-A372-74F8E19F8FD4}"/>
    <hyperlink ref="A35" location="'10A Signage'!A1" display="10A" xr:uid="{4C9CBF5A-917E-4E26-8D2C-6F8B9961CB47}"/>
    <hyperlink ref="A37" location="'10C Toilet Partitions &amp; Bath'!A1" display="10C" xr:uid="{FE5C09F1-8F66-4A61-9B02-35B391D89D36}"/>
    <hyperlink ref="A39" location="'10I Fire Extinguishers&amp;Cabinet'!A1" display="10I" xr:uid="{33778AD3-4825-4A35-AEAA-A3578CFC7DE5}"/>
    <hyperlink ref="A40" location="'12A Window Treatment'!A1" display="12A" xr:uid="{F3E83802-D63B-4BBB-9565-D40A664DB1FE}"/>
    <hyperlink ref="A44" location="'21A Fire Sprinkler'!A1" display="21A" xr:uid="{4A8007BD-49A9-47A0-88AC-C31A90572A09}"/>
    <hyperlink ref="A45" location="'22A Plumbing '!A1" display="22A" xr:uid="{A793DFDE-06FD-4F67-B53E-62B5C3B659AA}"/>
    <hyperlink ref="A46" location="'23A HVAC'!A1" display="23A" xr:uid="{65E768D4-C9C3-4345-AFD0-01DC2C9D25B9}"/>
    <hyperlink ref="A47" location="'26A Electrical'!A1" display="26A" xr:uid="{13E3050E-4BE3-4241-9993-5DD20B1B74F5}"/>
    <hyperlink ref="A49" location="'31A Sitework'!A1" display="31A" xr:uid="{AE3A21CF-A649-45F2-8BDB-04241D3A4CBB}"/>
    <hyperlink ref="A52" location="'32C Landscape and Irrigation'!A1" display="32C" xr:uid="{8FEA8996-F06C-4357-BD10-52A793765A39}"/>
    <hyperlink ref="A54" location="'32E Synthetic Fields'!A1" display="32E" xr:uid="{018548FD-01D5-4631-A7F3-8C35B225B6D5}"/>
    <hyperlink ref="A48" location="'28A Low Voltage'!A1" display="28A" xr:uid="{4D231228-6B6F-43DE-9B3A-204B6695B24E}"/>
    <hyperlink ref="A51" location="'32B Site Furnishings'!A1" display="32B" xr:uid="{C56C89C3-1980-4D17-A0CA-5F3370443573}"/>
    <hyperlink ref="A50" location="'32A Pavers'!A1" display="32A" xr:uid="{99FA0C21-CB2A-48B1-854A-C036756A001E}"/>
    <hyperlink ref="A53" location="'32D Fencing'!A1" display="32D" xr:uid="{6F68D803-173D-44E1-A0CD-971461120E13}"/>
    <hyperlink ref="A14" location="'01B Material Testing'!A1" display="01B" xr:uid="{4F7B58FB-ADDC-4B81-8A0F-B348D1E19308}"/>
    <hyperlink ref="A15" location="'02A Demolition'!A1" display="02A" xr:uid="{2E182E81-C245-4C9A-9E69-B2CFC006AC06}"/>
    <hyperlink ref="A29" location="'09C Acoustical Ceilings'!A1" display="09C" xr:uid="{33596AF1-B0FA-4441-B660-1E9DC470964D}"/>
    <hyperlink ref="A34" location="'09I Painting'!A1" display="09I" xr:uid="{EA340A71-30F9-4761-A3A2-39A59071C627}"/>
    <hyperlink ref="A38" location="'10F Lockers'!A1" display="10F" xr:uid="{7F26B042-2549-4641-971D-381F6E1DAFA2}"/>
    <hyperlink ref="A42" location="'13C Awnings,Canopies,Shutters'!A1" display="13C" xr:uid="{DBB834C2-FA84-4158-84B8-0468942BDDD3}"/>
    <hyperlink ref="A20" location="'06C Wood Trusses'!A1" display="06C" xr:uid="{9DBE49AF-EFFF-43C0-B061-7CC9C200CD95}"/>
    <hyperlink ref="A41" location="'13B Swimming Pools'!A1" display="13B" xr:uid="{D3AC0A95-202C-49A2-8DF9-34BF6889D525}"/>
    <hyperlink ref="A17" location="'05A Structural Steel'!A1" display="05A" xr:uid="{4F36EF04-35DA-4FE8-9482-8A1FCEF5DD3D}"/>
    <hyperlink ref="A33" location="'09G Sports Flooring'!A1" display="09G" xr:uid="{ABF68C2B-668B-4CBB-B17A-BF140B8B8B50}"/>
    <hyperlink ref="A30" location="'09D Acoustical Treatment'!A1" display="09D" xr:uid="{3A94D8E0-400A-46EA-A754-4AC40B8BD8A7}"/>
    <hyperlink ref="A43" location="'14A Elevators'!A1" display="14A" xr:uid="{6C8990DD-2779-427E-9522-3D3A5CF49ED2}"/>
    <hyperlink ref="A24" location="'07E Caulking &amp; Waterproofing'!A1" display="07E" xr:uid="{AFC53017-B795-4D05-8912-01045006BA5C}"/>
    <hyperlink ref="A36" location="'10B Operable Partitions'!A1" display="10B" xr:uid="{00793EF6-5E60-403F-BA3F-67E983F6CA26}"/>
  </hyperlinks>
  <pageMargins left="0.7" right="0.7" top="0.75" bottom="0.75" header="0.3" footer="0.3"/>
  <pageSetup paperSize="119" scale="34" orientation="portrait" horizontalDpi="300" verticalDpi="300" r:id="rId1"/>
  <headerFooter>
    <oddFooter>&amp;L&amp;Z&amp;F</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938A-0F35-4FB8-B76F-60EF09595100}">
  <sheetPr>
    <tabColor rgb="FF92D050"/>
  </sheetPr>
  <dimension ref="A1:AH101"/>
  <sheetViews>
    <sheetView zoomScale="89" zoomScaleNormal="89" workbookViewId="0">
      <pane xSplit="2" ySplit="9" topLeftCell="C29" activePane="bottomRight" state="frozen"/>
      <selection pane="bottomRight" activeCell="F44" sqref="F44"/>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5" width="7.5703125" style="2" customWidth="1"/>
    <col min="6" max="6" width="12.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ht="15.75" thickBot="1">
      <c r="E2" s="110"/>
      <c r="F2" s="146" t="s">
        <v>475</v>
      </c>
      <c r="G2" s="147" t="s">
        <v>476</v>
      </c>
      <c r="H2" s="732"/>
      <c r="I2" s="732"/>
      <c r="J2" s="732"/>
      <c r="K2" s="732"/>
      <c r="L2" s="732"/>
      <c r="M2" s="732"/>
      <c r="N2" s="732"/>
      <c r="O2" s="732"/>
      <c r="P2" s="732"/>
      <c r="Q2" s="732"/>
      <c r="R2" s="732"/>
      <c r="S2" s="732"/>
    </row>
    <row r="3" spans="1:19" ht="21" thickBot="1">
      <c r="B3" s="161" t="s">
        <v>477</v>
      </c>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606</v>
      </c>
      <c r="C5" s="1124"/>
      <c r="D5" s="1124"/>
      <c r="E5" s="1124"/>
      <c r="F5" s="1124"/>
      <c r="G5" s="1125" t="s">
        <v>491</v>
      </c>
      <c r="H5" s="778"/>
      <c r="I5" s="1126"/>
      <c r="J5" s="778"/>
      <c r="K5" s="1126"/>
      <c r="L5" s="778"/>
      <c r="M5" s="1126"/>
      <c r="N5" s="778"/>
      <c r="O5" s="1126"/>
      <c r="P5" s="778"/>
      <c r="Q5" s="1126"/>
      <c r="R5" s="778"/>
      <c r="S5" s="1126"/>
    </row>
    <row r="6" spans="1:19">
      <c r="A6" s="627" t="s">
        <v>493</v>
      </c>
      <c r="B6" s="1127" t="s">
        <v>605</v>
      </c>
      <c r="C6" s="1124"/>
      <c r="D6" s="1124"/>
      <c r="E6" s="1124"/>
      <c r="F6" s="1124"/>
      <c r="G6" s="1128" t="s">
        <v>494</v>
      </c>
      <c r="H6" s="776"/>
      <c r="I6" s="1129"/>
      <c r="J6" s="776"/>
      <c r="K6" s="1129"/>
      <c r="L6" s="776"/>
      <c r="M6" s="1129"/>
      <c r="N6" s="776"/>
      <c r="O6" s="1129"/>
      <c r="P6" s="776"/>
      <c r="Q6" s="1129"/>
      <c r="R6" s="776"/>
      <c r="S6" s="1129"/>
    </row>
    <row r="7" spans="1:19">
      <c r="A7" s="627" t="s">
        <v>496</v>
      </c>
      <c r="B7" s="1130"/>
      <c r="C7" s="1124"/>
      <c r="D7" s="1124"/>
      <c r="E7" s="1124"/>
      <c r="F7" s="1124"/>
      <c r="G7" s="1128" t="s">
        <v>497</v>
      </c>
      <c r="H7" s="777"/>
      <c r="I7" s="1131"/>
      <c r="J7" s="777"/>
      <c r="K7" s="1131"/>
      <c r="L7" s="777"/>
      <c r="M7" s="1131"/>
      <c r="N7" s="777"/>
      <c r="O7" s="1131"/>
      <c r="P7" s="777"/>
      <c r="Q7" s="1131"/>
      <c r="R7" s="777"/>
      <c r="S7" s="1131"/>
    </row>
    <row r="8" spans="1:19" ht="15.75" thickBot="1">
      <c r="A8" s="414" t="s">
        <v>499</v>
      </c>
      <c r="B8" s="295"/>
      <c r="C8" s="184"/>
      <c r="D8" s="184"/>
      <c r="E8" s="184"/>
      <c r="F8" s="184"/>
      <c r="G8" s="414" t="s">
        <v>499</v>
      </c>
      <c r="H8" s="774">
        <f>I62</f>
        <v>59815</v>
      </c>
      <c r="I8" s="775"/>
      <c r="J8" s="774">
        <f>K62</f>
        <v>0</v>
      </c>
      <c r="K8" s="775"/>
      <c r="L8" s="774">
        <f>M62</f>
        <v>0</v>
      </c>
      <c r="M8" s="775"/>
      <c r="N8" s="774">
        <f>O62</f>
        <v>0</v>
      </c>
      <c r="O8" s="775"/>
      <c r="P8" s="774">
        <f>Q62</f>
        <v>0</v>
      </c>
      <c r="Q8" s="775"/>
      <c r="R8" s="774">
        <f>S62</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199"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200"/>
      <c r="B21" s="1136" t="s">
        <v>606</v>
      </c>
      <c r="C21" s="1134"/>
      <c r="D21" s="1124"/>
      <c r="E21" s="1124"/>
      <c r="F21" s="1124"/>
      <c r="G21" s="1133"/>
      <c r="H21" s="590"/>
      <c r="I21" s="1201"/>
      <c r="J21" s="590"/>
      <c r="K21" s="1202"/>
      <c r="L21" s="590"/>
      <c r="M21" s="1202"/>
      <c r="N21" s="590"/>
      <c r="O21" s="1202"/>
      <c r="P21" s="590"/>
      <c r="Q21" s="1202"/>
      <c r="R21" s="590"/>
      <c r="S21" s="1202"/>
    </row>
    <row r="22" spans="1:19" ht="16.5" hidden="1" thickBot="1">
      <c r="A22" s="1200"/>
      <c r="B22" s="1203" t="s">
        <v>511</v>
      </c>
      <c r="C22" s="1134"/>
      <c r="D22" s="1124"/>
      <c r="E22" s="1124"/>
      <c r="F22" s="1124"/>
      <c r="G22" s="1133"/>
      <c r="H22" s="590"/>
      <c r="I22" s="1201"/>
      <c r="J22" s="590"/>
      <c r="K22" s="1202"/>
      <c r="L22" s="590"/>
      <c r="M22" s="1202"/>
      <c r="N22" s="590"/>
      <c r="O22" s="1202"/>
      <c r="P22" s="590"/>
      <c r="Q22" s="1202"/>
      <c r="R22" s="590"/>
      <c r="S22" s="1202"/>
    </row>
    <row r="23" spans="1:19" ht="16.5" thickBot="1">
      <c r="A23" s="1204"/>
      <c r="B23" s="582" t="s">
        <v>512</v>
      </c>
      <c r="C23" s="1138"/>
      <c r="D23" s="1124"/>
      <c r="E23" s="1124"/>
      <c r="F23" s="1124"/>
      <c r="G23" s="1133"/>
      <c r="H23" s="590"/>
      <c r="I23" s="1201"/>
      <c r="J23" s="590"/>
      <c r="K23" s="97"/>
      <c r="L23" s="590"/>
      <c r="M23" s="1202"/>
      <c r="N23" s="590"/>
      <c r="O23" s="1202"/>
      <c r="P23" s="590"/>
      <c r="Q23" s="1202"/>
      <c r="R23" s="590"/>
      <c r="S23" s="1202"/>
    </row>
    <row r="24" spans="1:19">
      <c r="A24" s="1200"/>
      <c r="B24" s="1139" t="s">
        <v>513</v>
      </c>
      <c r="C24" s="1134"/>
      <c r="D24" s="1124"/>
      <c r="E24" s="1124"/>
      <c r="F24" s="1124"/>
      <c r="G24" s="1133"/>
      <c r="H24" s="590"/>
      <c r="I24" s="1201"/>
      <c r="J24" s="590"/>
      <c r="K24" s="1202"/>
      <c r="L24" s="590"/>
      <c r="M24" s="1202"/>
      <c r="N24" s="590"/>
      <c r="O24" s="1202"/>
      <c r="P24" s="590"/>
      <c r="Q24" s="1202"/>
      <c r="R24" s="590"/>
      <c r="S24" s="1202"/>
    </row>
    <row r="25" spans="1:19">
      <c r="A25" s="623"/>
      <c r="B25" s="1205" t="s">
        <v>514</v>
      </c>
      <c r="C25" s="1134"/>
      <c r="D25" s="1124"/>
      <c r="E25" s="1124"/>
      <c r="F25" s="1124"/>
      <c r="G25" s="1133"/>
      <c r="H25" s="590"/>
      <c r="I25" s="1201"/>
      <c r="J25" s="590"/>
      <c r="K25" s="1202"/>
      <c r="L25" s="590"/>
      <c r="M25" s="1202"/>
      <c r="N25" s="590"/>
      <c r="O25" s="1202"/>
      <c r="P25" s="590"/>
      <c r="Q25" s="1202"/>
      <c r="R25" s="590"/>
      <c r="S25" s="1202"/>
    </row>
    <row r="26" spans="1:19">
      <c r="A26" s="623"/>
      <c r="B26" s="1206" t="s">
        <v>515</v>
      </c>
      <c r="C26" s="1134"/>
      <c r="D26" s="1124"/>
      <c r="E26" s="1124"/>
      <c r="F26" s="1124"/>
      <c r="G26" s="1133"/>
      <c r="H26" s="590"/>
      <c r="I26" s="1201"/>
      <c r="J26" s="590"/>
      <c r="K26" s="1202"/>
      <c r="L26" s="590"/>
      <c r="M26" s="1202"/>
      <c r="N26" s="590"/>
      <c r="O26" s="1202"/>
      <c r="P26" s="590"/>
      <c r="Q26" s="1202"/>
      <c r="R26" s="590"/>
      <c r="S26" s="1202"/>
    </row>
    <row r="27" spans="1:19">
      <c r="A27" s="623"/>
      <c r="B27" s="1206" t="s">
        <v>516</v>
      </c>
      <c r="C27" s="1134"/>
      <c r="D27" s="1124"/>
      <c r="E27" s="1124"/>
      <c r="F27" s="1124"/>
      <c r="G27" s="1133"/>
      <c r="H27" s="590"/>
      <c r="I27" s="1201"/>
      <c r="J27" s="590"/>
      <c r="K27" s="1201"/>
      <c r="L27" s="590"/>
      <c r="M27" s="1201"/>
      <c r="N27" s="590"/>
      <c r="O27" s="1201"/>
      <c r="P27" s="590"/>
      <c r="Q27" s="1201"/>
      <c r="R27" s="590"/>
      <c r="S27" s="1201"/>
    </row>
    <row r="28" spans="1:19">
      <c r="A28" s="623"/>
      <c r="B28" s="1206" t="s">
        <v>517</v>
      </c>
      <c r="C28" s="1134"/>
      <c r="D28" s="1124"/>
      <c r="E28" s="1124"/>
      <c r="F28" s="1124"/>
      <c r="G28" s="1133"/>
      <c r="H28" s="590"/>
      <c r="I28" s="1201"/>
      <c r="J28" s="590"/>
      <c r="K28" s="1202"/>
      <c r="L28" s="590"/>
      <c r="M28" s="1202"/>
      <c r="N28" s="590"/>
      <c r="O28" s="1202"/>
      <c r="P28" s="590"/>
      <c r="Q28" s="1202"/>
      <c r="R28" s="590"/>
      <c r="S28" s="1202"/>
    </row>
    <row r="29" spans="1:19">
      <c r="A29" s="623"/>
      <c r="B29" s="1206" t="s">
        <v>518</v>
      </c>
      <c r="C29" s="1134"/>
      <c r="D29" s="1124"/>
      <c r="E29" s="1124"/>
      <c r="F29" s="1124"/>
      <c r="G29" s="1133"/>
      <c r="H29" s="590"/>
      <c r="I29" s="1201"/>
      <c r="J29" s="590"/>
      <c r="K29" s="1202"/>
      <c r="L29" s="590"/>
      <c r="M29" s="1202"/>
      <c r="N29" s="590"/>
      <c r="O29" s="1202"/>
      <c r="P29" s="590"/>
      <c r="Q29" s="1202"/>
      <c r="R29" s="590"/>
      <c r="S29" s="1202"/>
    </row>
    <row r="30" spans="1:19">
      <c r="A30" s="623"/>
      <c r="B30" s="1206" t="s">
        <v>693</v>
      </c>
      <c r="C30" s="1134"/>
      <c r="D30" s="1124"/>
      <c r="E30" s="1124"/>
      <c r="F30" s="1124"/>
      <c r="G30" s="1133"/>
      <c r="H30" s="590"/>
      <c r="I30" s="1207"/>
      <c r="J30" s="590"/>
      <c r="K30" s="1208"/>
      <c r="L30" s="590"/>
      <c r="M30" s="1208"/>
      <c r="N30" s="590"/>
      <c r="O30" s="1208"/>
      <c r="P30" s="590"/>
      <c r="Q30" s="1208"/>
      <c r="R30" s="590"/>
      <c r="S30" s="1208"/>
    </row>
    <row r="31" spans="1:19">
      <c r="A31" s="623"/>
      <c r="B31" s="1209" t="s">
        <v>519</v>
      </c>
      <c r="C31" s="1134"/>
      <c r="D31" s="1124"/>
      <c r="E31" s="1124"/>
      <c r="F31" s="1124"/>
      <c r="G31" s="1133"/>
      <c r="H31" s="590"/>
      <c r="I31" s="1201"/>
      <c r="J31" s="590"/>
      <c r="K31" s="1202"/>
      <c r="L31" s="590"/>
      <c r="M31" s="1202"/>
      <c r="N31" s="590"/>
      <c r="O31" s="1202"/>
      <c r="P31" s="590"/>
      <c r="Q31" s="1202"/>
      <c r="R31" s="590"/>
      <c r="S31" s="1202"/>
    </row>
    <row r="32" spans="1:19">
      <c r="A32" s="623"/>
      <c r="B32" s="1210" t="s">
        <v>520</v>
      </c>
      <c r="C32" s="1144"/>
      <c r="D32" s="1145"/>
      <c r="E32" s="1145"/>
      <c r="F32" s="1146"/>
      <c r="G32" s="1147"/>
      <c r="H32" s="619"/>
      <c r="I32" s="1211"/>
      <c r="J32" s="619"/>
      <c r="K32" s="1212"/>
      <c r="L32" s="619"/>
      <c r="M32" s="1212"/>
      <c r="N32" s="619"/>
      <c r="O32" s="1212"/>
      <c r="P32" s="619"/>
      <c r="Q32" s="1212"/>
      <c r="R32" s="619"/>
      <c r="S32" s="1212"/>
    </row>
    <row r="33" spans="1:19">
      <c r="A33" s="623"/>
      <c r="B33" s="1213"/>
      <c r="C33" s="1134"/>
      <c r="D33" s="1124"/>
      <c r="E33" s="1124"/>
      <c r="F33" s="1151"/>
      <c r="G33" s="1133"/>
      <c r="H33" s="590"/>
      <c r="I33" s="1207"/>
      <c r="J33" s="590"/>
      <c r="K33" s="1208"/>
      <c r="L33" s="590"/>
      <c r="M33" s="1208"/>
      <c r="N33" s="590"/>
      <c r="O33" s="1208"/>
      <c r="P33" s="590"/>
      <c r="Q33" s="1208"/>
      <c r="R33" s="590"/>
      <c r="S33" s="1208"/>
    </row>
    <row r="34" spans="1:19">
      <c r="A34" s="623"/>
      <c r="B34" s="1214" t="s">
        <v>694</v>
      </c>
      <c r="C34" s="1215"/>
      <c r="D34" s="1216"/>
      <c r="E34" s="1216"/>
      <c r="F34" s="1217"/>
      <c r="G34" s="1218"/>
      <c r="H34" s="620"/>
      <c r="I34" s="1219"/>
      <c r="J34" s="620"/>
      <c r="K34" s="1220"/>
      <c r="L34" s="620"/>
      <c r="M34" s="1220"/>
      <c r="N34" s="620"/>
      <c r="O34" s="1220"/>
      <c r="P34" s="620"/>
      <c r="Q34" s="1220"/>
      <c r="R34" s="620"/>
      <c r="S34" s="1220"/>
    </row>
    <row r="35" spans="1:19">
      <c r="A35" s="623"/>
      <c r="B35" s="1213"/>
      <c r="C35" s="1134"/>
      <c r="D35" s="1124"/>
      <c r="E35" s="1124"/>
      <c r="F35" s="1151"/>
      <c r="G35" s="1133"/>
      <c r="H35" s="590"/>
      <c r="I35" s="1207"/>
      <c r="J35" s="590"/>
      <c r="K35" s="1208"/>
      <c r="L35" s="590"/>
      <c r="M35" s="1208"/>
      <c r="N35" s="590"/>
      <c r="O35" s="1208"/>
      <c r="P35" s="590"/>
      <c r="Q35" s="1208"/>
      <c r="R35" s="590"/>
      <c r="S35" s="1208"/>
    </row>
    <row r="36" spans="1:19">
      <c r="A36" s="623"/>
      <c r="B36" s="1221" t="s">
        <v>695</v>
      </c>
      <c r="C36" s="1222"/>
      <c r="D36" s="1223"/>
      <c r="E36" s="1223"/>
      <c r="F36" s="1224"/>
      <c r="G36" s="1225"/>
      <c r="H36" s="621"/>
      <c r="I36" s="1226"/>
      <c r="J36" s="621"/>
      <c r="K36" s="1227"/>
      <c r="L36" s="621"/>
      <c r="M36" s="1227"/>
      <c r="N36" s="621"/>
      <c r="O36" s="1227"/>
      <c r="P36" s="621"/>
      <c r="Q36" s="1227"/>
      <c r="R36" s="621"/>
      <c r="S36" s="1227"/>
    </row>
    <row r="37" spans="1:19">
      <c r="A37" s="623"/>
      <c r="B37" s="1213" t="s">
        <v>696</v>
      </c>
      <c r="C37" s="1228" t="s">
        <v>697</v>
      </c>
      <c r="D37" s="1124">
        <v>1</v>
      </c>
      <c r="E37" s="1124" t="s">
        <v>698</v>
      </c>
      <c r="F37" s="1151">
        <v>3500</v>
      </c>
      <c r="G37" s="1229">
        <f>D37*F37</f>
        <v>3500</v>
      </c>
      <c r="H37" s="590"/>
      <c r="I37" s="1207">
        <f>G37</f>
        <v>3500</v>
      </c>
      <c r="J37" s="590"/>
      <c r="K37" s="1208"/>
      <c r="L37" s="590"/>
      <c r="M37" s="1208"/>
      <c r="N37" s="590"/>
      <c r="O37" s="1208"/>
      <c r="P37" s="590"/>
      <c r="Q37" s="1208"/>
      <c r="R37" s="590"/>
      <c r="S37" s="1208"/>
    </row>
    <row r="38" spans="1:19">
      <c r="A38" s="623"/>
      <c r="B38" s="1213" t="s">
        <v>225</v>
      </c>
      <c r="C38" s="1228" t="s">
        <v>697</v>
      </c>
      <c r="D38" s="1230">
        <f>'Cost Summary'!J9</f>
        <v>3.49</v>
      </c>
      <c r="E38" s="1124" t="s">
        <v>699</v>
      </c>
      <c r="F38" s="1151">
        <v>3500</v>
      </c>
      <c r="G38" s="1229">
        <f>D38*F38</f>
        <v>12215</v>
      </c>
      <c r="H38" s="590"/>
      <c r="I38" s="1207">
        <f>G38</f>
        <v>12215</v>
      </c>
      <c r="J38" s="590"/>
      <c r="K38" s="1208"/>
      <c r="L38" s="590"/>
      <c r="M38" s="1208"/>
      <c r="N38" s="590"/>
      <c r="O38" s="1208"/>
      <c r="P38" s="590"/>
      <c r="Q38" s="1208"/>
      <c r="R38" s="590"/>
      <c r="S38" s="1208"/>
    </row>
    <row r="39" spans="1:19">
      <c r="A39" s="623"/>
      <c r="B39" s="1213"/>
      <c r="C39" s="1228"/>
      <c r="D39" s="1124"/>
      <c r="E39" s="1124"/>
      <c r="F39" s="1151"/>
      <c r="G39" s="1133"/>
      <c r="H39" s="590"/>
      <c r="I39" s="1207"/>
      <c r="J39" s="590"/>
      <c r="K39" s="1208"/>
      <c r="L39" s="590"/>
      <c r="M39" s="1208"/>
      <c r="N39" s="590"/>
      <c r="O39" s="1208"/>
      <c r="P39" s="590"/>
      <c r="Q39" s="1208"/>
      <c r="R39" s="590"/>
      <c r="S39" s="1208"/>
    </row>
    <row r="40" spans="1:19">
      <c r="A40" s="623"/>
      <c r="B40" s="1214" t="s">
        <v>649</v>
      </c>
      <c r="C40" s="1231"/>
      <c r="D40" s="1216"/>
      <c r="E40" s="1216"/>
      <c r="F40" s="1217"/>
      <c r="G40" s="1218"/>
      <c r="H40" s="620"/>
      <c r="I40" s="1219"/>
      <c r="J40" s="620"/>
      <c r="K40" s="1220"/>
      <c r="L40" s="620"/>
      <c r="M40" s="1220"/>
      <c r="N40" s="620"/>
      <c r="O40" s="1220"/>
      <c r="P40" s="620"/>
      <c r="Q40" s="1220"/>
      <c r="R40" s="620"/>
      <c r="S40" s="1220"/>
    </row>
    <row r="41" spans="1:19">
      <c r="A41" s="623"/>
      <c r="B41" s="1213"/>
      <c r="C41" s="1228"/>
      <c r="D41" s="1124"/>
      <c r="E41" s="1124"/>
      <c r="F41" s="1151"/>
      <c r="G41" s="1133"/>
      <c r="H41" s="590"/>
      <c r="I41" s="1207"/>
      <c r="J41" s="590"/>
      <c r="K41" s="1208"/>
      <c r="L41" s="590"/>
      <c r="M41" s="1208"/>
      <c r="N41" s="590"/>
      <c r="O41" s="1208"/>
      <c r="P41" s="590"/>
      <c r="Q41" s="1208"/>
      <c r="R41" s="590"/>
      <c r="S41" s="1208"/>
    </row>
    <row r="42" spans="1:19">
      <c r="A42" s="623"/>
      <c r="B42" s="1221" t="s">
        <v>700</v>
      </c>
      <c r="C42" s="1232"/>
      <c r="D42" s="1223"/>
      <c r="E42" s="1223"/>
      <c r="F42" s="1224"/>
      <c r="G42" s="1225"/>
      <c r="H42" s="621"/>
      <c r="I42" s="1226"/>
      <c r="J42" s="621"/>
      <c r="K42" s="1227"/>
      <c r="L42" s="621"/>
      <c r="M42" s="1227"/>
      <c r="N42" s="621"/>
      <c r="O42" s="1227"/>
      <c r="P42" s="621"/>
      <c r="Q42" s="1227"/>
      <c r="R42" s="621"/>
      <c r="S42" s="1227"/>
    </row>
    <row r="43" spans="1:19">
      <c r="A43" s="623"/>
      <c r="B43" s="1213" t="s">
        <v>701</v>
      </c>
      <c r="C43" s="1228" t="s">
        <v>702</v>
      </c>
      <c r="D43" s="1230">
        <f>'Cost Summary'!$N$9</f>
        <v>2.14</v>
      </c>
      <c r="E43" s="1124" t="s">
        <v>699</v>
      </c>
      <c r="F43" s="1151">
        <v>15000</v>
      </c>
      <c r="G43" s="1229">
        <f>D43*F43</f>
        <v>32100.000000000004</v>
      </c>
      <c r="H43" s="590"/>
      <c r="I43" s="1207">
        <f>G43</f>
        <v>32100.000000000004</v>
      </c>
      <c r="J43" s="590"/>
      <c r="K43" s="1208"/>
      <c r="L43" s="590"/>
      <c r="M43" s="1208"/>
      <c r="N43" s="590"/>
      <c r="O43" s="1208"/>
      <c r="P43" s="590"/>
      <c r="Q43" s="1208"/>
      <c r="R43" s="590"/>
      <c r="S43" s="1208"/>
    </row>
    <row r="44" spans="1:19">
      <c r="A44" s="623"/>
      <c r="B44" s="1213"/>
      <c r="C44" s="1228"/>
      <c r="D44" s="1124"/>
      <c r="E44" s="1124"/>
      <c r="F44" s="1151"/>
      <c r="G44" s="1133"/>
      <c r="H44" s="590"/>
      <c r="I44" s="1207"/>
      <c r="J44" s="590"/>
      <c r="K44" s="1208"/>
      <c r="L44" s="590"/>
      <c r="M44" s="1208"/>
      <c r="N44" s="590"/>
      <c r="O44" s="1208"/>
      <c r="P44" s="590"/>
      <c r="Q44" s="1208"/>
      <c r="R44" s="590"/>
      <c r="S44" s="1208"/>
    </row>
    <row r="45" spans="1:19">
      <c r="A45" s="623"/>
      <c r="B45" s="1214" t="s">
        <v>703</v>
      </c>
      <c r="C45" s="1231"/>
      <c r="D45" s="1216"/>
      <c r="E45" s="1216"/>
      <c r="F45" s="1217"/>
      <c r="G45" s="1218"/>
      <c r="H45" s="620"/>
      <c r="I45" s="1219"/>
      <c r="J45" s="620"/>
      <c r="K45" s="1220"/>
      <c r="L45" s="620"/>
      <c r="M45" s="1220"/>
      <c r="N45" s="620"/>
      <c r="O45" s="1220"/>
      <c r="P45" s="620"/>
      <c r="Q45" s="1220"/>
      <c r="R45" s="620"/>
      <c r="S45" s="1220"/>
    </row>
    <row r="46" spans="1:19">
      <c r="A46" s="623"/>
      <c r="B46" s="1213"/>
      <c r="C46" s="1228"/>
      <c r="D46" s="1124"/>
      <c r="E46" s="1124"/>
      <c r="F46" s="1151"/>
      <c r="G46" s="1133"/>
      <c r="H46" s="590"/>
      <c r="I46" s="1207"/>
      <c r="J46" s="590"/>
      <c r="K46" s="1208"/>
      <c r="L46" s="590"/>
      <c r="M46" s="1208"/>
      <c r="N46" s="590"/>
      <c r="O46" s="1208"/>
      <c r="P46" s="590"/>
      <c r="Q46" s="1208"/>
      <c r="R46" s="590"/>
      <c r="S46" s="1208"/>
    </row>
    <row r="47" spans="1:19">
      <c r="A47" s="623"/>
      <c r="B47" s="1221" t="s">
        <v>704</v>
      </c>
      <c r="C47" s="1232"/>
      <c r="D47" s="1223"/>
      <c r="E47" s="1223"/>
      <c r="F47" s="1224"/>
      <c r="G47" s="1225"/>
      <c r="H47" s="621"/>
      <c r="I47" s="1226"/>
      <c r="J47" s="621"/>
      <c r="K47" s="1227"/>
      <c r="L47" s="621"/>
      <c r="M47" s="1227"/>
      <c r="N47" s="621"/>
      <c r="O47" s="1227"/>
      <c r="P47" s="621"/>
      <c r="Q47" s="1227"/>
      <c r="R47" s="621"/>
      <c r="S47" s="1227"/>
    </row>
    <row r="48" spans="1:19">
      <c r="A48" s="623"/>
      <c r="B48" s="1213" t="s">
        <v>701</v>
      </c>
      <c r="C48" s="1228" t="s">
        <v>702</v>
      </c>
      <c r="D48" s="1230">
        <f>'Cost Summary'!$R$9</f>
        <v>0.96</v>
      </c>
      <c r="E48" s="1124" t="s">
        <v>699</v>
      </c>
      <c r="F48" s="1151">
        <v>12500</v>
      </c>
      <c r="G48" s="1229">
        <f>D48*F48</f>
        <v>12000</v>
      </c>
      <c r="H48" s="590"/>
      <c r="I48" s="1207">
        <f>G48</f>
        <v>12000</v>
      </c>
      <c r="J48" s="590"/>
      <c r="K48" s="1208"/>
      <c r="L48" s="590"/>
      <c r="M48" s="1208"/>
      <c r="N48" s="590"/>
      <c r="O48" s="1208"/>
      <c r="P48" s="590"/>
      <c r="Q48" s="1208"/>
      <c r="R48" s="590"/>
      <c r="S48" s="1208"/>
    </row>
    <row r="49" spans="1:19">
      <c r="A49" s="623"/>
      <c r="B49" s="1213"/>
      <c r="C49" s="1228"/>
      <c r="D49" s="1124"/>
      <c r="E49" s="1124"/>
      <c r="F49" s="1151"/>
      <c r="G49" s="1133"/>
      <c r="H49" s="590"/>
      <c r="I49" s="1207"/>
      <c r="J49" s="590"/>
      <c r="K49" s="1208"/>
      <c r="L49" s="590"/>
      <c r="M49" s="1208"/>
      <c r="N49" s="590"/>
      <c r="O49" s="1208"/>
      <c r="P49" s="590"/>
      <c r="Q49" s="1208"/>
      <c r="R49" s="590"/>
      <c r="S49" s="1208"/>
    </row>
    <row r="50" spans="1:19">
      <c r="A50" s="623"/>
      <c r="B50" s="1214" t="s">
        <v>705</v>
      </c>
      <c r="C50" s="1231"/>
      <c r="D50" s="1216"/>
      <c r="E50" s="1216"/>
      <c r="F50" s="1217"/>
      <c r="G50" s="1218"/>
      <c r="H50" s="620"/>
      <c r="I50" s="1219"/>
      <c r="J50" s="620"/>
      <c r="K50" s="1220"/>
      <c r="L50" s="620"/>
      <c r="M50" s="1220"/>
      <c r="N50" s="620"/>
      <c r="O50" s="1220"/>
      <c r="P50" s="620"/>
      <c r="Q50" s="1220"/>
      <c r="R50" s="620"/>
      <c r="S50" s="1220"/>
    </row>
    <row r="51" spans="1:19">
      <c r="A51" s="623"/>
      <c r="B51" s="1213"/>
      <c r="C51" s="1228"/>
      <c r="D51" s="1124"/>
      <c r="E51" s="1124"/>
      <c r="F51" s="1151"/>
      <c r="G51" s="1133"/>
      <c r="H51" s="590"/>
      <c r="I51" s="1207"/>
      <c r="J51" s="590"/>
      <c r="K51" s="1208"/>
      <c r="L51" s="590"/>
      <c r="M51" s="1208"/>
      <c r="N51" s="590"/>
      <c r="O51" s="1208"/>
      <c r="P51" s="590"/>
      <c r="Q51" s="1208"/>
      <c r="R51" s="590"/>
      <c r="S51" s="1208"/>
    </row>
    <row r="52" spans="1:19">
      <c r="A52" s="623"/>
      <c r="B52" s="1221" t="s">
        <v>602</v>
      </c>
      <c r="C52" s="1232"/>
      <c r="D52" s="1223"/>
      <c r="E52" s="1223"/>
      <c r="F52" s="1224"/>
      <c r="G52" s="1225"/>
      <c r="H52" s="621"/>
      <c r="I52" s="1226"/>
      <c r="J52" s="621"/>
      <c r="K52" s="1227"/>
      <c r="L52" s="621"/>
      <c r="M52" s="1227"/>
      <c r="N52" s="621"/>
      <c r="O52" s="1227"/>
      <c r="P52" s="621"/>
      <c r="Q52" s="1227"/>
      <c r="R52" s="621"/>
      <c r="S52" s="1227"/>
    </row>
    <row r="53" spans="1:19">
      <c r="A53" s="623"/>
      <c r="B53" s="1213"/>
      <c r="C53" s="1228"/>
      <c r="D53" s="1124"/>
      <c r="E53" s="1124"/>
      <c r="F53" s="1151"/>
      <c r="G53" s="1133"/>
      <c r="H53" s="590"/>
      <c r="I53" s="1207"/>
      <c r="J53" s="590"/>
      <c r="K53" s="1208"/>
      <c r="L53" s="590"/>
      <c r="M53" s="1208"/>
      <c r="N53" s="590"/>
      <c r="O53" s="1208"/>
      <c r="P53" s="590"/>
      <c r="Q53" s="1208"/>
      <c r="R53" s="590"/>
      <c r="S53" s="1208"/>
    </row>
    <row r="54" spans="1:19">
      <c r="A54" s="623"/>
      <c r="B54" s="1213"/>
      <c r="C54" s="1228"/>
      <c r="D54" s="1124"/>
      <c r="E54" s="1124"/>
      <c r="F54" s="1151"/>
      <c r="G54" s="1133"/>
      <c r="H54" s="590"/>
      <c r="I54" s="1207"/>
      <c r="J54" s="590"/>
      <c r="K54" s="1208"/>
      <c r="L54" s="590"/>
      <c r="M54" s="1208"/>
      <c r="N54" s="590"/>
      <c r="O54" s="1208"/>
      <c r="P54" s="590"/>
      <c r="Q54" s="1208"/>
      <c r="R54" s="590"/>
      <c r="S54" s="1208"/>
    </row>
    <row r="55" spans="1:19" ht="15.75" customHeight="1">
      <c r="A55" s="623"/>
      <c r="B55" s="1233"/>
      <c r="C55" s="1154"/>
      <c r="D55" s="1154"/>
      <c r="E55" s="1124"/>
      <c r="F55" s="1124"/>
      <c r="G55" s="1133"/>
      <c r="H55" s="590"/>
      <c r="I55" s="1207"/>
      <c r="J55" s="590"/>
      <c r="K55" s="1208"/>
      <c r="L55" s="590"/>
      <c r="M55" s="1208"/>
      <c r="N55" s="590"/>
      <c r="O55" s="1208"/>
      <c r="P55" s="590"/>
      <c r="Q55" s="1208"/>
      <c r="R55" s="590"/>
      <c r="S55" s="1208"/>
    </row>
    <row r="56" spans="1:19" ht="15.75" customHeight="1">
      <c r="A56" s="623"/>
      <c r="B56" s="1233"/>
      <c r="C56" s="1154"/>
      <c r="D56" s="1154"/>
      <c r="E56" s="1124"/>
      <c r="F56" s="1124"/>
      <c r="G56" s="1133"/>
      <c r="H56" s="590"/>
      <c r="I56" s="1207"/>
      <c r="J56" s="590"/>
      <c r="K56" s="1208"/>
      <c r="L56" s="590"/>
      <c r="M56" s="1208"/>
      <c r="N56" s="590"/>
      <c r="O56" s="1208"/>
      <c r="P56" s="590"/>
      <c r="Q56" s="1208"/>
      <c r="R56" s="590"/>
      <c r="S56" s="1208"/>
    </row>
    <row r="57" spans="1:19" ht="15.75" thickBot="1">
      <c r="A57" s="623"/>
      <c r="B57" s="1234"/>
      <c r="C57" s="1154"/>
      <c r="D57" s="1154"/>
      <c r="E57" s="1124"/>
      <c r="F57" s="1124"/>
      <c r="G57" s="1133"/>
      <c r="H57" s="590"/>
      <c r="I57" s="1207"/>
      <c r="J57" s="590"/>
      <c r="K57" s="1208"/>
      <c r="L57" s="590"/>
      <c r="M57" s="1208"/>
      <c r="N57" s="590"/>
      <c r="O57" s="1208"/>
      <c r="P57" s="590"/>
      <c r="Q57" s="1208"/>
      <c r="R57" s="590"/>
      <c r="S57" s="1208"/>
    </row>
    <row r="58" spans="1:19" ht="15.75" thickTop="1">
      <c r="A58" s="14"/>
      <c r="B58" s="15"/>
      <c r="C58" s="16"/>
      <c r="D58" s="16"/>
      <c r="E58" s="17"/>
      <c r="F58" s="18" t="s">
        <v>567</v>
      </c>
      <c r="G58" s="19"/>
      <c r="H58" s="20"/>
      <c r="I58" s="61">
        <f>SUM(I32:I57)</f>
        <v>59815</v>
      </c>
      <c r="J58" s="20"/>
      <c r="K58" s="61">
        <f>SUM(K32:K57)</f>
        <v>0</v>
      </c>
      <c r="L58" s="20"/>
      <c r="M58" s="61">
        <f>SUM(M32:M57)</f>
        <v>0</v>
      </c>
      <c r="N58" s="20"/>
      <c r="O58" s="61">
        <f>SUM(O32:O57)</f>
        <v>0</v>
      </c>
      <c r="P58" s="20"/>
      <c r="Q58" s="61">
        <f>SUM(Q32:Q57)</f>
        <v>0</v>
      </c>
      <c r="R58" s="20"/>
      <c r="S58" s="61">
        <f>SUM(S32:S57)</f>
        <v>0</v>
      </c>
    </row>
    <row r="59" spans="1:19">
      <c r="A59" s="624"/>
      <c r="B59" s="1156"/>
      <c r="C59" s="1157"/>
      <c r="D59" s="1157"/>
      <c r="E59" s="1158"/>
      <c r="F59" s="1159" t="s">
        <v>568</v>
      </c>
      <c r="G59" s="1160"/>
      <c r="H59" s="593">
        <v>0</v>
      </c>
      <c r="I59" s="415"/>
      <c r="J59" s="593">
        <v>0</v>
      </c>
      <c r="K59" s="415"/>
      <c r="L59" s="593">
        <v>0</v>
      </c>
      <c r="M59" s="415"/>
      <c r="N59" s="593">
        <v>0</v>
      </c>
      <c r="O59" s="415"/>
      <c r="P59" s="593">
        <v>0</v>
      </c>
      <c r="Q59" s="415"/>
      <c r="R59" s="593">
        <v>0</v>
      </c>
      <c r="S59" s="415"/>
    </row>
    <row r="60" spans="1:19">
      <c r="A60" s="624"/>
      <c r="B60" s="1156"/>
      <c r="C60" s="1157"/>
      <c r="D60" s="1157"/>
      <c r="E60" s="1158"/>
      <c r="F60" s="1159" t="s">
        <v>569</v>
      </c>
      <c r="G60" s="1160"/>
      <c r="H60" s="594"/>
      <c r="I60" s="598">
        <f>H59*I58</f>
        <v>0</v>
      </c>
      <c r="J60" s="594"/>
      <c r="K60" s="598">
        <f>J59*K58</f>
        <v>0</v>
      </c>
      <c r="L60" s="594"/>
      <c r="M60" s="598">
        <f>L59*M58</f>
        <v>0</v>
      </c>
      <c r="N60" s="594"/>
      <c r="O60" s="598">
        <f>N59*O58</f>
        <v>0</v>
      </c>
      <c r="P60" s="594"/>
      <c r="Q60" s="598">
        <f>P59*Q58</f>
        <v>0</v>
      </c>
      <c r="R60" s="594"/>
      <c r="S60" s="598">
        <f>R59*S58</f>
        <v>0</v>
      </c>
    </row>
    <row r="61" spans="1:19">
      <c r="A61" s="624"/>
      <c r="B61" s="1156"/>
      <c r="C61" s="1157"/>
      <c r="D61" s="1157"/>
      <c r="E61" s="1158"/>
      <c r="F61" s="1159"/>
      <c r="G61" s="1160"/>
      <c r="H61" s="594"/>
      <c r="I61" s="596"/>
      <c r="J61" s="594"/>
      <c r="K61" s="596"/>
      <c r="L61" s="594"/>
      <c r="M61" s="596"/>
      <c r="N61" s="594"/>
      <c r="O61" s="596"/>
      <c r="P61" s="594"/>
      <c r="Q61" s="596"/>
      <c r="R61" s="594"/>
      <c r="S61" s="596"/>
    </row>
    <row r="62" spans="1:19">
      <c r="A62" s="624"/>
      <c r="B62" s="1156"/>
      <c r="C62" s="1157"/>
      <c r="D62" s="1157"/>
      <c r="E62" s="1158"/>
      <c r="F62" s="1159" t="s">
        <v>570</v>
      </c>
      <c r="G62" s="1160"/>
      <c r="H62" s="597"/>
      <c r="I62" s="598">
        <f>SUM(I58:I60)</f>
        <v>59815</v>
      </c>
      <c r="J62" s="597"/>
      <c r="K62" s="598">
        <f>SUM(K58:K60)</f>
        <v>0</v>
      </c>
      <c r="L62" s="597"/>
      <c r="M62" s="598">
        <f>SUM(M58:M60)</f>
        <v>0</v>
      </c>
      <c r="N62" s="597"/>
      <c r="O62" s="598">
        <f>SUM(O58:O60)</f>
        <v>0</v>
      </c>
      <c r="P62" s="597"/>
      <c r="Q62" s="598">
        <f>SUM(Q58:Q60)</f>
        <v>0</v>
      </c>
      <c r="R62" s="597"/>
      <c r="S62" s="598">
        <f>SUM(S58:S60)</f>
        <v>0</v>
      </c>
    </row>
    <row r="63" spans="1:19">
      <c r="A63" s="624"/>
      <c r="B63" s="1156"/>
      <c r="C63" s="1157"/>
      <c r="D63" s="1157"/>
      <c r="E63" s="1158"/>
      <c r="F63" s="1161" t="s">
        <v>571</v>
      </c>
      <c r="G63" s="1162"/>
      <c r="H63" s="599"/>
      <c r="I63" s="600" t="e">
        <f>I62/'Area Calculations'!$J$4</f>
        <v>#DIV/0!</v>
      </c>
      <c r="J63" s="599"/>
      <c r="K63" s="600" t="e">
        <f>K62/'Area Calculations'!$J$4</f>
        <v>#DIV/0!</v>
      </c>
      <c r="L63" s="599"/>
      <c r="M63" s="600" t="e">
        <f>M62/'Area Calculations'!$J$4</f>
        <v>#DIV/0!</v>
      </c>
      <c r="N63" s="599"/>
      <c r="O63" s="600" t="e">
        <f>O62/'Area Calculations'!$J$4</f>
        <v>#DIV/0!</v>
      </c>
      <c r="P63" s="599"/>
      <c r="Q63" s="600" t="e">
        <f>Q62/'Area Calculations'!$J$4</f>
        <v>#DIV/0!</v>
      </c>
      <c r="R63" s="600" t="e">
        <f>R62/'Area Calculations'!$J$4</f>
        <v>#DIV/0!</v>
      </c>
      <c r="S63" s="600" t="e">
        <f>S62/'Cost Summary'!#REF!</f>
        <v>#REF!</v>
      </c>
    </row>
    <row r="64" spans="1:19">
      <c r="A64" s="624"/>
      <c r="B64" s="1156"/>
      <c r="C64" s="1157"/>
      <c r="D64" s="1157"/>
      <c r="E64" s="1158"/>
      <c r="F64" s="1161" t="s">
        <v>572</v>
      </c>
      <c r="G64" s="1163"/>
      <c r="H64" s="599"/>
      <c r="I64" s="600" t="e">
        <f>I62/'Area Calculations'!#REF!</f>
        <v>#REF!</v>
      </c>
      <c r="J64" s="599"/>
      <c r="K64" s="600" t="e">
        <f>K62/'Area Calculations'!#REF!</f>
        <v>#REF!</v>
      </c>
      <c r="L64" s="599"/>
      <c r="M64" s="600" t="e">
        <f>M62/'Area Calculations'!#REF!</f>
        <v>#REF!</v>
      </c>
      <c r="N64" s="599"/>
      <c r="O64" s="600" t="e">
        <f>O62/'Area Calculations'!#REF!</f>
        <v>#REF!</v>
      </c>
      <c r="P64" s="599"/>
      <c r="Q64" s="600" t="e">
        <f>Q62/'Area Calculations'!#REF!</f>
        <v>#REF!</v>
      </c>
      <c r="R64" s="600" t="e">
        <f>R62/'Area Calculations'!#REF!</f>
        <v>#REF!</v>
      </c>
      <c r="S64" s="600" t="e">
        <f>S62/'Cost Summary'!#REF!</f>
        <v>#REF!</v>
      </c>
    </row>
    <row r="65" spans="1:34" ht="15.75" thickBot="1">
      <c r="A65" s="624"/>
      <c r="B65" s="1156"/>
      <c r="C65" s="1157"/>
      <c r="D65" s="1157"/>
      <c r="E65" s="1158"/>
      <c r="F65" s="1159"/>
      <c r="G65" s="1160"/>
      <c r="H65" s="603"/>
      <c r="I65" s="603"/>
      <c r="J65" s="603"/>
      <c r="K65" s="603"/>
      <c r="L65" s="603"/>
      <c r="M65" s="603"/>
      <c r="N65" s="603"/>
      <c r="O65" s="603"/>
      <c r="P65" s="603"/>
      <c r="Q65" s="603"/>
      <c r="R65" s="603"/>
      <c r="S65" s="603"/>
    </row>
    <row r="66" spans="1:34" ht="16.5" thickTop="1" thickBot="1">
      <c r="A66" s="726" t="s">
        <v>573</v>
      </c>
      <c r="B66" s="727"/>
      <c r="C66" s="12"/>
      <c r="D66" s="12"/>
      <c r="E66" s="12"/>
      <c r="F66" s="12"/>
      <c r="G66" s="54"/>
      <c r="H66" s="52"/>
      <c r="I66" s="21"/>
      <c r="J66" s="21"/>
      <c r="K66" s="21"/>
      <c r="L66" s="21"/>
      <c r="M66" s="21"/>
      <c r="N66" s="21"/>
      <c r="O66" s="21"/>
      <c r="P66" s="21"/>
      <c r="Q66" s="21"/>
      <c r="R66" s="21"/>
      <c r="S66" s="21"/>
    </row>
    <row r="67" spans="1:34" ht="15.75" thickTop="1">
      <c r="A67" s="1235"/>
      <c r="B67" s="862"/>
      <c r="C67" s="1236"/>
      <c r="D67" s="1236"/>
      <c r="E67" s="1236"/>
      <c r="F67" s="1236"/>
      <c r="G67" s="1237"/>
      <c r="H67" s="1238"/>
      <c r="I67" s="1239"/>
      <c r="J67" s="1239"/>
      <c r="K67" s="1239"/>
      <c r="L67" s="1239"/>
      <c r="M67" s="1239"/>
      <c r="N67" s="1239"/>
      <c r="O67" s="1239"/>
      <c r="P67" s="1239"/>
      <c r="Q67" s="1239"/>
      <c r="R67" s="1239"/>
      <c r="S67" s="1239"/>
    </row>
    <row r="68" spans="1:34">
      <c r="A68" s="1235"/>
      <c r="B68" s="862"/>
      <c r="C68" s="1236"/>
      <c r="D68" s="1236"/>
      <c r="E68" s="1236"/>
      <c r="F68" s="1236"/>
      <c r="G68" s="1237"/>
      <c r="H68" s="1238"/>
      <c r="I68" s="1239"/>
      <c r="J68" s="1239"/>
      <c r="K68" s="1239"/>
      <c r="L68" s="1239"/>
      <c r="M68" s="1239"/>
      <c r="N68" s="1239"/>
      <c r="O68" s="1239"/>
      <c r="P68" s="1239"/>
      <c r="Q68" s="1239"/>
      <c r="R68" s="1239"/>
      <c r="S68" s="1239"/>
    </row>
    <row r="69" spans="1:34" ht="15.75" thickBot="1">
      <c r="A69" s="1235"/>
      <c r="B69" s="862"/>
      <c r="C69" s="1236"/>
      <c r="D69" s="1236"/>
      <c r="E69" s="1236"/>
      <c r="F69" s="1236"/>
      <c r="G69" s="1237"/>
      <c r="H69" s="1238"/>
      <c r="I69" s="1239"/>
      <c r="J69" s="1239"/>
      <c r="K69" s="1239"/>
      <c r="L69" s="1239"/>
      <c r="M69" s="1239"/>
      <c r="N69" s="1239"/>
      <c r="O69" s="1239"/>
      <c r="P69" s="1239"/>
      <c r="Q69" s="1239"/>
      <c r="R69" s="1239"/>
      <c r="S69" s="1239"/>
    </row>
    <row r="70" spans="1:34" s="2" customFormat="1" ht="16.5" thickTop="1" thickBot="1">
      <c r="A70" s="726" t="s">
        <v>574</v>
      </c>
      <c r="B70" s="727"/>
      <c r="C70" s="12"/>
      <c r="D70" s="12"/>
      <c r="E70" s="12"/>
      <c r="F70" s="12"/>
      <c r="G70" s="54"/>
      <c r="H70" s="52"/>
      <c r="I70" s="21"/>
      <c r="J70" s="21"/>
      <c r="K70" s="21"/>
      <c r="L70" s="21"/>
      <c r="M70" s="21"/>
      <c r="N70" s="21"/>
      <c r="O70" s="21"/>
      <c r="P70" s="21"/>
      <c r="Q70" s="21"/>
      <c r="R70" s="21"/>
      <c r="S70" s="21"/>
      <c r="T70"/>
      <c r="U70"/>
      <c r="V70"/>
      <c r="W70"/>
      <c r="X70"/>
      <c r="Y70"/>
      <c r="Z70"/>
      <c r="AA70"/>
      <c r="AB70"/>
      <c r="AC70"/>
      <c r="AD70"/>
      <c r="AE70"/>
      <c r="AF70"/>
      <c r="AG70"/>
      <c r="AH70"/>
    </row>
    <row r="71" spans="1:34" s="2" customFormat="1" ht="15.75" thickTop="1">
      <c r="A71" s="1235"/>
      <c r="B71" s="862"/>
      <c r="C71" s="1236"/>
      <c r="D71" s="1236"/>
      <c r="E71" s="1236"/>
      <c r="F71" s="1236"/>
      <c r="G71" s="1237"/>
      <c r="H71" s="1238"/>
      <c r="I71" s="1239"/>
      <c r="J71" s="1239"/>
      <c r="K71" s="1239"/>
      <c r="L71" s="1239"/>
      <c r="M71" s="1239"/>
      <c r="N71" s="1239"/>
      <c r="O71" s="1239"/>
      <c r="P71" s="1239"/>
      <c r="Q71" s="1239"/>
      <c r="R71" s="1239"/>
      <c r="S71" s="1239"/>
      <c r="T71"/>
      <c r="U71"/>
      <c r="V71"/>
      <c r="W71"/>
      <c r="X71"/>
      <c r="Y71"/>
      <c r="Z71"/>
      <c r="AA71"/>
      <c r="AB71"/>
      <c r="AC71"/>
      <c r="AD71"/>
      <c r="AE71"/>
      <c r="AF71"/>
      <c r="AG71"/>
      <c r="AH71"/>
    </row>
    <row r="72" spans="1:34" s="2" customFormat="1">
      <c r="A72" s="1235"/>
      <c r="B72" s="862"/>
      <c r="C72" s="1236"/>
      <c r="D72" s="1236"/>
      <c r="E72" s="1236"/>
      <c r="F72" s="1236"/>
      <c r="G72" s="1237"/>
      <c r="H72" s="1238"/>
      <c r="I72" s="1239"/>
      <c r="J72" s="1239"/>
      <c r="K72" s="1239"/>
      <c r="L72" s="1239"/>
      <c r="M72" s="1239"/>
      <c r="N72" s="1239"/>
      <c r="O72" s="1239"/>
      <c r="P72" s="1239"/>
      <c r="Q72" s="1239"/>
      <c r="R72" s="1239"/>
      <c r="S72" s="1239"/>
      <c r="T72"/>
      <c r="U72"/>
      <c r="V72"/>
      <c r="W72"/>
      <c r="X72"/>
      <c r="Y72"/>
      <c r="Z72"/>
      <c r="AA72"/>
      <c r="AB72"/>
      <c r="AC72"/>
      <c r="AD72"/>
      <c r="AE72"/>
      <c r="AF72"/>
      <c r="AG72"/>
      <c r="AH72"/>
    </row>
    <row r="73" spans="1:34" ht="15.75" thickBot="1">
      <c r="A73" s="1235"/>
      <c r="B73" s="862"/>
      <c r="C73" s="1236"/>
      <c r="D73" s="1236"/>
      <c r="E73" s="1236"/>
      <c r="F73" s="1236"/>
      <c r="G73" s="1237"/>
      <c r="H73" s="1238"/>
      <c r="I73" s="1239"/>
      <c r="J73" s="1239"/>
      <c r="K73" s="1239"/>
      <c r="L73" s="1239"/>
      <c r="M73" s="1239"/>
      <c r="N73" s="1239"/>
      <c r="O73" s="1239"/>
      <c r="P73" s="1239"/>
      <c r="Q73" s="1239"/>
      <c r="R73" s="1239"/>
      <c r="S73" s="1239"/>
    </row>
    <row r="74" spans="1:34" s="2" customFormat="1" ht="16.5" thickTop="1" thickBot="1">
      <c r="A74" s="726" t="s">
        <v>575</v>
      </c>
      <c r="B74" s="727"/>
      <c r="C74" s="12"/>
      <c r="D74" s="12"/>
      <c r="E74" s="12"/>
      <c r="F74" s="12"/>
      <c r="G74" s="54"/>
      <c r="H74" s="52"/>
      <c r="I74" s="21"/>
      <c r="J74" s="21"/>
      <c r="K74" s="21"/>
      <c r="L74" s="21"/>
      <c r="M74" s="21"/>
      <c r="N74" s="21"/>
      <c r="O74" s="21"/>
      <c r="P74" s="21"/>
      <c r="Q74" s="21"/>
      <c r="R74" s="21"/>
      <c r="S74" s="21"/>
      <c r="T74"/>
      <c r="U74"/>
      <c r="V74"/>
      <c r="W74"/>
      <c r="X74"/>
      <c r="Y74"/>
      <c r="Z74"/>
      <c r="AA74"/>
      <c r="AB74"/>
      <c r="AC74"/>
      <c r="AD74"/>
      <c r="AE74"/>
      <c r="AF74"/>
      <c r="AG74"/>
      <c r="AH74"/>
    </row>
    <row r="75" spans="1:34" s="2" customFormat="1" ht="15.75" thickTop="1">
      <c r="A75" s="1235"/>
      <c r="B75" s="862"/>
      <c r="C75" s="1236"/>
      <c r="D75" s="1236"/>
      <c r="E75" s="1236"/>
      <c r="F75" s="1236"/>
      <c r="G75" s="1237"/>
      <c r="H75" s="1238"/>
      <c r="I75" s="1239"/>
      <c r="J75" s="1239"/>
      <c r="K75" s="1239"/>
      <c r="L75" s="1239"/>
      <c r="M75" s="1239"/>
      <c r="N75" s="1239"/>
      <c r="O75" s="1239"/>
      <c r="P75" s="1239"/>
      <c r="Q75" s="1239"/>
      <c r="R75" s="1239"/>
      <c r="S75" s="1239"/>
      <c r="T75"/>
      <c r="U75"/>
      <c r="V75"/>
      <c r="W75"/>
      <c r="X75"/>
      <c r="Y75"/>
      <c r="Z75"/>
      <c r="AA75"/>
      <c r="AB75"/>
      <c r="AC75"/>
      <c r="AD75"/>
      <c r="AE75"/>
      <c r="AF75"/>
      <c r="AG75"/>
      <c r="AH75"/>
    </row>
    <row r="76" spans="1:34" s="2" customFormat="1">
      <c r="A76" s="628"/>
      <c r="B76" s="862"/>
      <c r="C76" s="1124"/>
      <c r="D76" s="1124"/>
      <c r="E76" s="1124"/>
      <c r="F76" s="1124"/>
      <c r="G76" s="1169"/>
      <c r="H76" s="1170"/>
      <c r="I76" s="604"/>
      <c r="J76" s="604"/>
      <c r="K76" s="604"/>
      <c r="L76" s="604"/>
      <c r="M76" s="604"/>
      <c r="N76" s="604"/>
      <c r="O76" s="604"/>
      <c r="P76" s="604"/>
      <c r="Q76" s="604"/>
      <c r="R76" s="604"/>
      <c r="S76" s="604"/>
      <c r="T76"/>
      <c r="U76"/>
      <c r="V76"/>
      <c r="W76"/>
      <c r="X76"/>
      <c r="Y76"/>
      <c r="Z76"/>
      <c r="AA76"/>
      <c r="AB76"/>
      <c r="AC76"/>
      <c r="AD76"/>
      <c r="AE76"/>
      <c r="AF76"/>
      <c r="AG76"/>
      <c r="AH76"/>
    </row>
    <row r="77" spans="1:34" s="2" customFormat="1" ht="15.75" thickBot="1">
      <c r="A77" s="625"/>
      <c r="B77" s="1171"/>
      <c r="C77" s="1124"/>
      <c r="D77" s="1124"/>
      <c r="E77" s="1124"/>
      <c r="F77" s="1124"/>
      <c r="G77" s="1169"/>
      <c r="H77" s="1172"/>
      <c r="I77" s="605"/>
      <c r="J77" s="605"/>
      <c r="K77" s="605"/>
      <c r="L77" s="605"/>
      <c r="M77" s="605"/>
      <c r="N77" s="605"/>
      <c r="O77" s="605"/>
      <c r="P77" s="605"/>
      <c r="Q77" s="605"/>
      <c r="R77" s="605"/>
      <c r="S77" s="605"/>
    </row>
    <row r="78" spans="1:34" s="2" customFormat="1" ht="16.5" thickTop="1" thickBot="1">
      <c r="A78" s="726" t="s">
        <v>576</v>
      </c>
      <c r="B78" s="727"/>
      <c r="C78" s="12"/>
      <c r="D78" s="12"/>
      <c r="E78" s="12"/>
      <c r="F78" s="12"/>
      <c r="G78" s="54"/>
      <c r="H78" s="52"/>
      <c r="I78" s="21"/>
      <c r="J78" s="21"/>
      <c r="K78" s="21"/>
      <c r="L78" s="21"/>
      <c r="M78" s="21"/>
      <c r="N78" s="21"/>
      <c r="O78" s="21"/>
      <c r="P78" s="21"/>
      <c r="Q78" s="21"/>
      <c r="R78" s="21"/>
      <c r="S78" s="21"/>
      <c r="T78"/>
      <c r="U78"/>
      <c r="V78"/>
      <c r="W78"/>
      <c r="X78"/>
      <c r="Y78"/>
      <c r="Z78"/>
      <c r="AA78"/>
      <c r="AB78"/>
      <c r="AC78"/>
      <c r="AD78"/>
      <c r="AE78"/>
      <c r="AF78"/>
      <c r="AG78"/>
      <c r="AH78"/>
    </row>
    <row r="79" spans="1:34" ht="15.75" thickTop="1">
      <c r="A79" s="1240"/>
      <c r="B79" s="1241"/>
      <c r="C79" s="1236"/>
      <c r="D79" s="1236"/>
      <c r="E79" s="1236"/>
      <c r="F79" s="1236"/>
      <c r="G79" s="1237"/>
      <c r="H79" s="1238"/>
      <c r="I79" s="1239"/>
      <c r="J79" s="1239"/>
      <c r="K79" s="1239"/>
      <c r="L79" s="1239"/>
      <c r="M79" s="1239"/>
      <c r="N79" s="1239"/>
      <c r="O79" s="1239"/>
      <c r="P79" s="1239"/>
      <c r="Q79" s="1239"/>
      <c r="R79" s="1239"/>
      <c r="S79" s="1239"/>
      <c r="T79" s="2"/>
      <c r="U79" s="2"/>
      <c r="V79" s="2"/>
      <c r="W79" s="2"/>
      <c r="X79" s="2"/>
      <c r="Y79" s="2"/>
      <c r="Z79" s="2"/>
      <c r="AA79" s="2"/>
      <c r="AB79" s="2"/>
      <c r="AC79" s="2"/>
      <c r="AD79" s="2"/>
      <c r="AE79" s="2"/>
      <c r="AF79" s="2"/>
      <c r="AG79" s="2"/>
      <c r="AH79" s="2"/>
    </row>
    <row r="80" spans="1:34">
      <c r="A80" s="625"/>
      <c r="B80" s="1171"/>
      <c r="C80" s="1124"/>
      <c r="D80" s="1124"/>
      <c r="E80" s="1124"/>
      <c r="F80" s="1124"/>
      <c r="G80" s="1169"/>
      <c r="H80" s="1175"/>
      <c r="I80" s="606"/>
      <c r="J80" s="606"/>
      <c r="K80" s="606"/>
      <c r="L80" s="606"/>
      <c r="M80" s="606"/>
      <c r="N80" s="606"/>
      <c r="O80" s="606"/>
      <c r="P80" s="606"/>
      <c r="Q80" s="606"/>
      <c r="R80" s="606"/>
      <c r="S80" s="606"/>
      <c r="T80" s="2"/>
      <c r="U80" s="2"/>
      <c r="V80" s="2"/>
      <c r="W80" s="2"/>
      <c r="X80" s="2"/>
      <c r="Y80" s="2"/>
      <c r="Z80" s="2"/>
      <c r="AA80" s="2"/>
      <c r="AB80" s="2"/>
      <c r="AC80" s="2"/>
      <c r="AD80" s="2"/>
      <c r="AE80" s="2"/>
      <c r="AF80" s="2"/>
      <c r="AG80" s="2"/>
      <c r="AH80" s="2"/>
    </row>
    <row r="81" spans="1:34" ht="15.75" thickBot="1">
      <c r="A81" s="625"/>
      <c r="B81" s="1171"/>
      <c r="C81" s="1124"/>
      <c r="D81" s="1124"/>
      <c r="E81" s="1124"/>
      <c r="F81" s="1124"/>
      <c r="G81" s="1169"/>
      <c r="H81" s="1175"/>
      <c r="I81" s="606"/>
      <c r="J81" s="606"/>
      <c r="K81" s="606"/>
      <c r="L81" s="606"/>
      <c r="M81" s="606"/>
      <c r="N81" s="606"/>
      <c r="O81" s="606"/>
      <c r="P81" s="606"/>
      <c r="Q81" s="606"/>
      <c r="R81" s="606"/>
      <c r="S81" s="606"/>
      <c r="T81" s="2"/>
      <c r="U81" s="2"/>
      <c r="V81" s="2"/>
      <c r="W81" s="2"/>
      <c r="X81" s="2"/>
      <c r="Y81" s="2"/>
      <c r="Z81" s="2"/>
      <c r="AA81" s="2"/>
      <c r="AB81" s="2"/>
      <c r="AC81" s="2"/>
      <c r="AD81" s="2"/>
      <c r="AE81" s="2"/>
      <c r="AF81" s="2"/>
      <c r="AG81" s="2"/>
      <c r="AH81" s="2"/>
    </row>
    <row r="82" spans="1:34" ht="16.5" thickTop="1" thickBot="1">
      <c r="A82" s="726" t="s">
        <v>577</v>
      </c>
      <c r="B82" s="727"/>
      <c r="C82" s="12"/>
      <c r="D82" s="12"/>
      <c r="E82" s="12"/>
      <c r="F82" s="12"/>
      <c r="G82" s="54"/>
      <c r="H82" s="52"/>
      <c r="I82" s="21"/>
      <c r="J82" s="21"/>
      <c r="K82" s="21"/>
      <c r="L82" s="21"/>
      <c r="M82" s="21"/>
      <c r="N82" s="21"/>
      <c r="O82" s="21"/>
      <c r="P82" s="21"/>
      <c r="Q82" s="21"/>
      <c r="R82" s="21"/>
      <c r="S82" s="21"/>
    </row>
    <row r="83" spans="1:34" ht="15.75" thickTop="1">
      <c r="A83" s="628"/>
      <c r="B83" s="862" t="s">
        <v>578</v>
      </c>
      <c r="C83" s="1124"/>
      <c r="D83" s="1124"/>
      <c r="E83" s="1124"/>
      <c r="F83" s="1124"/>
      <c r="G83" s="1169"/>
      <c r="H83" s="1175"/>
      <c r="I83" s="606"/>
      <c r="J83" s="606"/>
      <c r="K83" s="606"/>
      <c r="L83" s="606"/>
      <c r="M83" s="606"/>
      <c r="N83" s="606"/>
      <c r="O83" s="606"/>
      <c r="P83" s="606"/>
      <c r="Q83" s="606"/>
      <c r="R83" s="606"/>
      <c r="S83" s="606"/>
    </row>
    <row r="84" spans="1:34">
      <c r="A84" s="628"/>
      <c r="B84" s="862" t="s">
        <v>579</v>
      </c>
      <c r="C84" s="1124"/>
      <c r="D84" s="1124"/>
      <c r="E84" s="1124"/>
      <c r="F84" s="1124"/>
      <c r="G84" s="1169"/>
      <c r="H84" s="1175"/>
      <c r="I84" s="606"/>
      <c r="J84" s="606"/>
      <c r="K84" s="606"/>
      <c r="L84" s="606"/>
      <c r="M84" s="606"/>
      <c r="N84" s="606"/>
      <c r="O84" s="606"/>
      <c r="P84" s="606"/>
      <c r="Q84" s="606"/>
      <c r="R84" s="606"/>
      <c r="S84" s="606"/>
    </row>
    <row r="85" spans="1:34">
      <c r="A85" s="628"/>
      <c r="B85" s="862" t="s">
        <v>580</v>
      </c>
      <c r="C85" s="1124"/>
      <c r="D85" s="1124"/>
      <c r="E85" s="1124"/>
      <c r="F85" s="1124"/>
      <c r="G85" s="1169"/>
      <c r="H85" s="1175"/>
      <c r="I85" s="606"/>
      <c r="J85" s="606"/>
      <c r="K85" s="606"/>
      <c r="L85" s="606"/>
      <c r="M85" s="606"/>
      <c r="N85" s="606"/>
      <c r="O85" s="606"/>
      <c r="P85" s="606"/>
      <c r="Q85" s="606"/>
      <c r="R85" s="606"/>
      <c r="S85" s="606"/>
    </row>
    <row r="86" spans="1:34">
      <c r="A86" s="628"/>
      <c r="B86" s="862" t="s">
        <v>581</v>
      </c>
      <c r="C86" s="1124"/>
      <c r="D86" s="1124"/>
      <c r="E86" s="1124"/>
      <c r="F86" s="1124"/>
      <c r="G86" s="1169"/>
      <c r="H86" s="1175"/>
      <c r="I86" s="606"/>
      <c r="J86" s="606"/>
      <c r="K86" s="606"/>
      <c r="L86" s="606"/>
      <c r="M86" s="606"/>
      <c r="N86" s="606"/>
      <c r="O86" s="606"/>
      <c r="P86" s="606"/>
      <c r="Q86" s="606"/>
      <c r="R86" s="606"/>
      <c r="S86" s="606"/>
    </row>
    <row r="87" spans="1:34" ht="15.75" thickBot="1">
      <c r="A87" s="416"/>
      <c r="B87" s="295"/>
      <c r="C87" s="184"/>
      <c r="D87" s="184"/>
      <c r="E87" s="184"/>
      <c r="F87" s="184"/>
      <c r="G87" s="417"/>
      <c r="H87" s="53"/>
      <c r="I87" s="418"/>
      <c r="J87" s="418"/>
      <c r="K87" s="418"/>
      <c r="L87" s="418"/>
      <c r="M87" s="418"/>
      <c r="N87" s="418"/>
      <c r="O87" s="418"/>
      <c r="P87" s="418"/>
      <c r="Q87" s="418"/>
      <c r="R87" s="418"/>
      <c r="S87" s="418"/>
    </row>
    <row r="88" spans="1:34" ht="16.5" thickTop="1" thickBot="1">
      <c r="A88" s="7" t="s">
        <v>582</v>
      </c>
      <c r="B88" s="8"/>
      <c r="C88" s="12"/>
      <c r="D88" s="12"/>
      <c r="E88" s="12"/>
      <c r="F88" s="12"/>
      <c r="G88" s="54"/>
      <c r="H88" s="52"/>
      <c r="I88" s="21"/>
      <c r="J88" s="21"/>
      <c r="K88" s="21"/>
      <c r="L88" s="21"/>
      <c r="M88" s="21"/>
      <c r="N88" s="21"/>
      <c r="O88" s="21"/>
      <c r="P88" s="21"/>
      <c r="Q88" s="21"/>
      <c r="R88" s="21"/>
      <c r="S88" s="21"/>
    </row>
    <row r="89" spans="1:34" ht="15.75" thickTop="1">
      <c r="A89" s="1235"/>
      <c r="B89" s="1242" t="s">
        <v>583</v>
      </c>
      <c r="C89" s="1236"/>
      <c r="D89" s="1236"/>
      <c r="E89" s="1236"/>
      <c r="F89" s="1236"/>
      <c r="G89" s="1237"/>
      <c r="H89" s="1208"/>
      <c r="I89" s="1243"/>
      <c r="J89" s="1243"/>
      <c r="K89" s="1243"/>
      <c r="L89" s="1243"/>
      <c r="M89" s="1243"/>
      <c r="N89" s="1243"/>
      <c r="O89" s="1243"/>
      <c r="P89" s="1243"/>
      <c r="Q89" s="1243"/>
      <c r="R89" s="1243"/>
      <c r="S89" s="1243"/>
    </row>
    <row r="90" spans="1:34">
      <c r="A90" s="628"/>
      <c r="B90" s="862" t="s">
        <v>584</v>
      </c>
      <c r="C90" s="1124"/>
      <c r="D90" s="1124"/>
      <c r="E90" s="1124"/>
      <c r="F90" s="1124"/>
      <c r="G90" s="1169"/>
      <c r="H90" s="1178"/>
      <c r="I90" s="618"/>
      <c r="J90" s="618"/>
      <c r="K90" s="618"/>
      <c r="L90" s="618"/>
      <c r="M90" s="618"/>
      <c r="N90" s="618"/>
      <c r="O90" s="618"/>
      <c r="P90" s="618"/>
      <c r="Q90" s="618"/>
      <c r="R90" s="618"/>
      <c r="S90" s="618"/>
    </row>
    <row r="91" spans="1:34" ht="15.75" thickBot="1">
      <c r="A91" s="607"/>
      <c r="B91" s="608" t="s">
        <v>585</v>
      </c>
      <c r="C91" s="609"/>
      <c r="D91" s="609"/>
      <c r="E91" s="609"/>
      <c r="F91" s="609"/>
      <c r="G91" s="634"/>
      <c r="H91" s="631"/>
      <c r="I91" s="611"/>
      <c r="J91" s="611"/>
      <c r="K91" s="611"/>
      <c r="L91" s="611"/>
      <c r="M91" s="611"/>
      <c r="N91" s="611"/>
      <c r="O91" s="611"/>
      <c r="P91" s="611"/>
      <c r="Q91" s="611"/>
      <c r="R91" s="611"/>
      <c r="S91" s="611"/>
    </row>
    <row r="92" spans="1:34" ht="16.5" thickTop="1" thickBot="1"/>
    <row r="93" spans="1:34" ht="16.5" thickTop="1" thickBot="1">
      <c r="A93" s="92" t="s">
        <v>586</v>
      </c>
      <c r="B93" s="94"/>
    </row>
    <row r="94" spans="1:34" ht="15.75" thickTop="1">
      <c r="A94" s="93" t="s">
        <v>487</v>
      </c>
      <c r="B94" s="612"/>
    </row>
    <row r="95" spans="1:34">
      <c r="A95" s="626" t="s">
        <v>491</v>
      </c>
      <c r="B95" s="612"/>
    </row>
    <row r="96" spans="1:34">
      <c r="A96" s="613" t="s">
        <v>494</v>
      </c>
      <c r="B96" s="614"/>
    </row>
    <row r="97" spans="1:2">
      <c r="A97" s="613" t="s">
        <v>497</v>
      </c>
      <c r="B97" s="622"/>
    </row>
    <row r="98" spans="1:2" ht="15.75" thickBot="1">
      <c r="A98" s="615" t="s">
        <v>587</v>
      </c>
      <c r="B98" s="616">
        <f>H8</f>
        <v>59815</v>
      </c>
    </row>
    <row r="99" spans="1:2" ht="15.75" thickTop="1"/>
    <row r="100" spans="1:2">
      <c r="A100" s="95"/>
      <c r="B100" s="1" t="s">
        <v>588</v>
      </c>
    </row>
    <row r="101" spans="1:2">
      <c r="A101" s="96"/>
      <c r="B101" s="1" t="s">
        <v>589</v>
      </c>
    </row>
  </sheetData>
  <mergeCells count="47">
    <mergeCell ref="R4:S4"/>
    <mergeCell ref="R5:S5"/>
    <mergeCell ref="R6:S6"/>
    <mergeCell ref="R7:S7"/>
    <mergeCell ref="R8:S8"/>
    <mergeCell ref="H2:I2"/>
    <mergeCell ref="J2:K2"/>
    <mergeCell ref="L2:M2"/>
    <mergeCell ref="N2:O2"/>
    <mergeCell ref="P2:Q2"/>
    <mergeCell ref="R2:S2"/>
    <mergeCell ref="R3:S3"/>
    <mergeCell ref="H4:I4"/>
    <mergeCell ref="H5:I5"/>
    <mergeCell ref="H6:I6"/>
    <mergeCell ref="L4:M4"/>
    <mergeCell ref="L5:M5"/>
    <mergeCell ref="L6:M6"/>
    <mergeCell ref="P4:Q4"/>
    <mergeCell ref="P5:Q5"/>
    <mergeCell ref="P6:Q6"/>
    <mergeCell ref="H3:I3"/>
    <mergeCell ref="J3:K3"/>
    <mergeCell ref="L3:M3"/>
    <mergeCell ref="N3:O3"/>
    <mergeCell ref="P3:Q3"/>
    <mergeCell ref="H7:I7"/>
    <mergeCell ref="H8:I8"/>
    <mergeCell ref="J4:K4"/>
    <mergeCell ref="J5:K5"/>
    <mergeCell ref="J6:K6"/>
    <mergeCell ref="J7:K7"/>
    <mergeCell ref="J8:K8"/>
    <mergeCell ref="P7:Q7"/>
    <mergeCell ref="P8:Q8"/>
    <mergeCell ref="L7:M7"/>
    <mergeCell ref="L8:M8"/>
    <mergeCell ref="N4:O4"/>
    <mergeCell ref="N5:O5"/>
    <mergeCell ref="N6:O6"/>
    <mergeCell ref="N7:O7"/>
    <mergeCell ref="N8:O8"/>
    <mergeCell ref="A66:B66"/>
    <mergeCell ref="A70:B70"/>
    <mergeCell ref="A74:B74"/>
    <mergeCell ref="A78:B78"/>
    <mergeCell ref="A82:B82"/>
  </mergeCells>
  <conditionalFormatting sqref="H20:H31 H33:H57 J33:J57 L33:L57 N33:N57 P33:P57 R33:R57">
    <cfRule type="cellIs" dxfId="1813" priority="13" operator="equal">
      <formula>"X"</formula>
    </cfRule>
    <cfRule type="cellIs" dxfId="1812" priority="14" operator="equal">
      <formula>"I"</formula>
    </cfRule>
  </conditionalFormatting>
  <conditionalFormatting sqref="J20:J31">
    <cfRule type="cellIs" dxfId="1811" priority="15" operator="equal">
      <formula>"X"</formula>
    </cfRule>
    <cfRule type="cellIs" dxfId="1810" priority="16" operator="equal">
      <formula>"I"</formula>
    </cfRule>
  </conditionalFormatting>
  <conditionalFormatting sqref="L20:L31">
    <cfRule type="cellIs" dxfId="1809" priority="17" operator="equal">
      <formula>"X"</formula>
    </cfRule>
    <cfRule type="cellIs" dxfId="1808" priority="18" operator="equal">
      <formula>"I"</formula>
    </cfRule>
  </conditionalFormatting>
  <conditionalFormatting sqref="N20:N31">
    <cfRule type="cellIs" dxfId="1807" priority="19" operator="equal">
      <formula>"X"</formula>
    </cfRule>
    <cfRule type="cellIs" dxfId="1806" priority="20" operator="equal">
      <formula>"I"</formula>
    </cfRule>
  </conditionalFormatting>
  <conditionalFormatting sqref="P20:P31">
    <cfRule type="cellIs" dxfId="1805" priority="21" operator="equal">
      <formula>"X"</formula>
    </cfRule>
    <cfRule type="cellIs" dxfId="1804" priority="22" operator="equal">
      <formula>"I"</formula>
    </cfRule>
  </conditionalFormatting>
  <conditionalFormatting sqref="R20:R31">
    <cfRule type="cellIs" dxfId="1803" priority="23" operator="equal">
      <formula>"X"</formula>
    </cfRule>
    <cfRule type="cellIs" dxfId="1802" priority="24" operator="equal">
      <formula>"I"</formula>
    </cfRule>
  </conditionalFormatting>
  <hyperlinks>
    <hyperlink ref="B3" location="'Cost Summary'!A1" display="BACK TO SUMMARY SHEET" xr:uid="{8AE62C27-223F-4544-9636-1AED5CAD37FB}"/>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9C2D-5E47-4C31-8113-6D12DCB661B2}">
  <sheetPr>
    <tabColor rgb="FF92D050"/>
  </sheetPr>
  <dimension ref="A1:S109"/>
  <sheetViews>
    <sheetView zoomScale="89" zoomScaleNormal="89" workbookViewId="0">
      <pane xSplit="2" ySplit="9" topLeftCell="C56" activePane="bottomRight" state="frozen"/>
      <selection pane="bottomRight" activeCell="B56" sqref="B56"/>
      <selection pane="bottomLeft" activeCell="A12" sqref="A12"/>
      <selection pane="topRight" activeCell="C1" sqref="C1"/>
    </sheetView>
  </sheetViews>
  <sheetFormatPr defaultRowHeight="15"/>
  <cols>
    <col min="1" max="1" width="16.7109375" bestFit="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ht="15.75" thickBot="1">
      <c r="E2" s="110"/>
      <c r="F2" s="146" t="s">
        <v>475</v>
      </c>
      <c r="G2" s="147" t="s">
        <v>476</v>
      </c>
      <c r="H2" s="732"/>
      <c r="I2" s="732"/>
      <c r="J2" s="732"/>
      <c r="K2" s="732"/>
      <c r="L2" s="732"/>
      <c r="M2" s="732"/>
      <c r="N2" s="732"/>
      <c r="O2" s="732"/>
      <c r="P2" s="732"/>
      <c r="Q2" s="732"/>
      <c r="R2" s="732"/>
      <c r="S2" s="732"/>
    </row>
    <row r="3" spans="1:19" ht="21" thickBot="1">
      <c r="B3" s="161" t="s">
        <v>477</v>
      </c>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706</v>
      </c>
      <c r="C5" s="1124"/>
      <c r="D5" s="1124"/>
      <c r="E5" s="1124"/>
      <c r="F5" s="1124"/>
      <c r="G5" s="1125" t="s">
        <v>491</v>
      </c>
      <c r="H5" s="778"/>
      <c r="I5" s="1126"/>
      <c r="J5" s="778"/>
      <c r="K5" s="1126"/>
      <c r="L5" s="778"/>
      <c r="M5" s="1126"/>
      <c r="N5" s="778"/>
      <c r="O5" s="1126"/>
      <c r="P5" s="778"/>
      <c r="Q5" s="1126"/>
      <c r="R5" s="778"/>
      <c r="S5" s="1126"/>
    </row>
    <row r="6" spans="1:19">
      <c r="A6" s="627" t="s">
        <v>493</v>
      </c>
      <c r="B6" s="1127" t="s">
        <v>607</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I70</f>
        <v>0</v>
      </c>
      <c r="I8" s="775"/>
      <c r="J8" s="774">
        <f>K70</f>
        <v>0</v>
      </c>
      <c r="K8" s="775"/>
      <c r="L8" s="774">
        <f>M70</f>
        <v>0</v>
      </c>
      <c r="M8" s="775"/>
      <c r="N8" s="774">
        <f>O70</f>
        <v>0</v>
      </c>
      <c r="O8" s="775"/>
      <c r="P8" s="774">
        <f>Q70</f>
        <v>0</v>
      </c>
      <c r="Q8" s="775"/>
      <c r="R8" s="774">
        <f>S70</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244"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245"/>
      <c r="B21" s="1136" t="s">
        <v>706</v>
      </c>
      <c r="C21" s="1134"/>
      <c r="D21" s="1124"/>
      <c r="E21" s="1124"/>
      <c r="F21" s="1124"/>
      <c r="G21" s="1133"/>
      <c r="H21" s="590"/>
      <c r="I21" s="1207"/>
      <c r="J21" s="590"/>
      <c r="K21" s="1208"/>
      <c r="L21" s="590"/>
      <c r="M21" s="1208"/>
      <c r="N21" s="590"/>
      <c r="O21" s="1208"/>
      <c r="P21" s="590"/>
      <c r="Q21" s="1208"/>
      <c r="R21" s="590"/>
      <c r="S21" s="1208"/>
    </row>
    <row r="22" spans="1:19" ht="16.5" thickBot="1">
      <c r="A22" s="1246"/>
      <c r="B22" s="582" t="s">
        <v>512</v>
      </c>
      <c r="C22" s="1138"/>
      <c r="D22" s="1124"/>
      <c r="E22" s="1124"/>
      <c r="F22" s="1124"/>
      <c r="G22" s="1133"/>
      <c r="H22" s="590"/>
      <c r="I22" s="1207"/>
      <c r="J22" s="590"/>
      <c r="K22" s="97"/>
      <c r="L22" s="590"/>
      <c r="M22" s="1208"/>
      <c r="N22" s="590"/>
      <c r="O22" s="1208"/>
      <c r="P22" s="590"/>
      <c r="Q22" s="1208"/>
      <c r="R22" s="590"/>
      <c r="S22" s="1208"/>
    </row>
    <row r="23" spans="1:19">
      <c r="A23" s="1245"/>
      <c r="B23" s="1139" t="s">
        <v>513</v>
      </c>
      <c r="C23" s="1134"/>
      <c r="D23" s="1124"/>
      <c r="E23" s="1124"/>
      <c r="F23" s="1124"/>
      <c r="G23" s="1133"/>
      <c r="H23" s="590"/>
      <c r="I23" s="1207"/>
      <c r="J23" s="590"/>
      <c r="K23" s="1208"/>
      <c r="L23" s="590"/>
      <c r="M23" s="1208"/>
      <c r="N23" s="590"/>
      <c r="O23" s="1208"/>
      <c r="P23" s="590"/>
      <c r="Q23" s="1208"/>
      <c r="R23" s="590"/>
      <c r="S23" s="1208"/>
    </row>
    <row r="24" spans="1:19">
      <c r="A24" s="623"/>
      <c r="B24" s="1247" t="s">
        <v>514</v>
      </c>
      <c r="C24" s="1134"/>
      <c r="D24" s="1124"/>
      <c r="E24" s="1124"/>
      <c r="F24" s="1124"/>
      <c r="G24" s="1133"/>
      <c r="H24" s="590"/>
      <c r="I24" s="1207"/>
      <c r="J24" s="590"/>
      <c r="K24" s="1208"/>
      <c r="L24" s="590"/>
      <c r="M24" s="1208"/>
      <c r="N24" s="590"/>
      <c r="O24" s="1208"/>
      <c r="P24" s="590"/>
      <c r="Q24" s="1208"/>
      <c r="R24" s="590"/>
      <c r="S24" s="1208"/>
    </row>
    <row r="25" spans="1:19">
      <c r="A25" s="1245"/>
      <c r="B25" s="1248" t="s">
        <v>515</v>
      </c>
      <c r="C25" s="1134"/>
      <c r="D25" s="1124"/>
      <c r="E25" s="1124"/>
      <c r="F25" s="1124"/>
      <c r="G25" s="1133"/>
      <c r="H25" s="590"/>
      <c r="I25" s="1207"/>
      <c r="J25" s="590"/>
      <c r="K25" s="1208"/>
      <c r="L25" s="590"/>
      <c r="M25" s="1208"/>
      <c r="N25" s="590"/>
      <c r="O25" s="1208"/>
      <c r="P25" s="590"/>
      <c r="Q25" s="1208"/>
      <c r="R25" s="590"/>
      <c r="S25" s="1208"/>
    </row>
    <row r="26" spans="1:19">
      <c r="A26" s="623"/>
      <c r="B26" s="1248" t="s">
        <v>516</v>
      </c>
      <c r="C26" s="1134"/>
      <c r="D26" s="1124"/>
      <c r="E26" s="1124"/>
      <c r="F26" s="1124"/>
      <c r="G26" s="1133"/>
      <c r="H26" s="590"/>
      <c r="I26" s="1207"/>
      <c r="J26" s="590"/>
      <c r="K26" s="1207"/>
      <c r="L26" s="590"/>
      <c r="M26" s="1207"/>
      <c r="N26" s="590"/>
      <c r="O26" s="1207"/>
      <c r="P26" s="590"/>
      <c r="Q26" s="1207"/>
      <c r="R26" s="590"/>
      <c r="S26" s="1207"/>
    </row>
    <row r="27" spans="1:19">
      <c r="A27" s="1245"/>
      <c r="B27" s="1248" t="s">
        <v>517</v>
      </c>
      <c r="C27" s="1134"/>
      <c r="D27" s="1124"/>
      <c r="E27" s="1124"/>
      <c r="F27" s="1124"/>
      <c r="G27" s="1133"/>
      <c r="H27" s="590"/>
      <c r="I27" s="1207"/>
      <c r="J27" s="590"/>
      <c r="K27" s="1208"/>
      <c r="L27" s="590"/>
      <c r="M27" s="1208"/>
      <c r="N27" s="590"/>
      <c r="O27" s="1208"/>
      <c r="P27" s="590"/>
      <c r="Q27" s="1208"/>
      <c r="R27" s="590"/>
      <c r="S27" s="1208"/>
    </row>
    <row r="28" spans="1:19">
      <c r="A28" s="623"/>
      <c r="B28" s="1248" t="s">
        <v>518</v>
      </c>
      <c r="C28" s="1134"/>
      <c r="D28" s="1124"/>
      <c r="E28" s="1124"/>
      <c r="F28" s="1124"/>
      <c r="G28" s="1133"/>
      <c r="H28" s="590"/>
      <c r="I28" s="1207"/>
      <c r="J28" s="590"/>
      <c r="K28" s="1208"/>
      <c r="L28" s="590"/>
      <c r="M28" s="1208"/>
      <c r="N28" s="590"/>
      <c r="O28" s="1208"/>
      <c r="P28" s="590"/>
      <c r="Q28" s="1208"/>
      <c r="R28" s="590"/>
      <c r="S28" s="1208"/>
    </row>
    <row r="29" spans="1:19">
      <c r="A29" s="1245"/>
      <c r="B29" s="1248" t="s">
        <v>693</v>
      </c>
      <c r="C29" s="1134"/>
      <c r="D29" s="1124"/>
      <c r="E29" s="1124"/>
      <c r="F29" s="1124"/>
      <c r="G29" s="1133"/>
      <c r="H29" s="590"/>
      <c r="I29" s="1249"/>
      <c r="J29" s="590"/>
      <c r="K29" s="1250"/>
      <c r="L29" s="590"/>
      <c r="M29" s="1250"/>
      <c r="N29" s="590"/>
      <c r="O29" s="1250"/>
      <c r="P29" s="590"/>
      <c r="Q29" s="1250"/>
      <c r="R29" s="590"/>
      <c r="S29" s="1250"/>
    </row>
    <row r="30" spans="1:19">
      <c r="A30" s="1245"/>
      <c r="B30" s="1251" t="s">
        <v>519</v>
      </c>
      <c r="C30" s="1134"/>
      <c r="D30" s="1124"/>
      <c r="E30" s="1124"/>
      <c r="F30" s="1124"/>
      <c r="G30" s="1133"/>
      <c r="H30" s="590"/>
      <c r="I30" s="1207"/>
      <c r="J30" s="590"/>
      <c r="K30" s="1208"/>
      <c r="L30" s="590"/>
      <c r="M30" s="1208"/>
      <c r="N30" s="590"/>
      <c r="O30" s="1208"/>
      <c r="P30" s="590"/>
      <c r="Q30" s="1208"/>
      <c r="R30" s="590"/>
      <c r="S30" s="1208"/>
    </row>
    <row r="31" spans="1:19">
      <c r="A31" s="623"/>
      <c r="B31" s="1252" t="s">
        <v>520</v>
      </c>
      <c r="C31" s="1144"/>
      <c r="D31" s="1145"/>
      <c r="E31" s="1145"/>
      <c r="F31" s="1145"/>
      <c r="G31" s="1147"/>
      <c r="H31" s="619"/>
      <c r="I31" s="1253"/>
      <c r="J31" s="619"/>
      <c r="K31" s="1254"/>
      <c r="L31" s="619"/>
      <c r="M31" s="1254"/>
      <c r="N31" s="619"/>
      <c r="O31" s="1254"/>
      <c r="P31" s="619"/>
      <c r="Q31" s="1254"/>
      <c r="R31" s="619"/>
      <c r="S31" s="1254"/>
    </row>
    <row r="32" spans="1:19">
      <c r="A32" s="1245"/>
      <c r="B32" s="1255"/>
      <c r="C32" s="1134"/>
      <c r="D32" s="1124"/>
      <c r="E32" s="1124"/>
      <c r="F32" s="1124"/>
      <c r="G32" s="1133"/>
      <c r="H32" s="590"/>
      <c r="I32" s="1207"/>
      <c r="J32" s="590"/>
      <c r="K32" s="1208"/>
      <c r="L32" s="590"/>
      <c r="M32" s="1208"/>
      <c r="N32" s="590"/>
      <c r="O32" s="1208"/>
      <c r="P32" s="590"/>
      <c r="Q32" s="1208"/>
      <c r="R32" s="590"/>
      <c r="S32" s="1208"/>
    </row>
    <row r="33" spans="1:19">
      <c r="A33" s="623"/>
      <c r="B33" s="642"/>
      <c r="C33" s="1134"/>
      <c r="D33" s="1124"/>
      <c r="E33" s="1124"/>
      <c r="F33" s="1124"/>
      <c r="G33" s="1133"/>
      <c r="H33" s="590"/>
      <c r="I33" s="1207"/>
      <c r="J33" s="590"/>
      <c r="K33" s="1208"/>
      <c r="L33" s="590"/>
      <c r="M33" s="1208"/>
      <c r="N33" s="590"/>
      <c r="O33" s="1208"/>
      <c r="P33" s="590"/>
      <c r="Q33" s="1208"/>
      <c r="R33" s="590"/>
      <c r="S33" s="1208"/>
    </row>
    <row r="34" spans="1:19">
      <c r="A34" s="1245"/>
      <c r="B34" s="643"/>
      <c r="C34" s="1134"/>
      <c r="D34" s="1124"/>
      <c r="E34" s="1124"/>
      <c r="F34" s="1124"/>
      <c r="G34" s="1133"/>
      <c r="H34" s="590"/>
      <c r="I34" s="1207"/>
      <c r="J34" s="590"/>
      <c r="K34" s="1208"/>
      <c r="L34" s="590"/>
      <c r="M34" s="1208"/>
      <c r="N34" s="590"/>
      <c r="O34" s="1208"/>
      <c r="P34" s="590"/>
      <c r="Q34" s="1208"/>
      <c r="R34" s="590"/>
      <c r="S34" s="1208"/>
    </row>
    <row r="35" spans="1:19">
      <c r="A35" s="623"/>
      <c r="B35" s="643"/>
      <c r="C35" s="1134"/>
      <c r="D35" s="1124"/>
      <c r="E35" s="1124"/>
      <c r="F35" s="1124"/>
      <c r="G35" s="1133"/>
      <c r="H35" s="590"/>
      <c r="I35" s="1207"/>
      <c r="J35" s="590"/>
      <c r="K35" s="1208"/>
      <c r="L35" s="590"/>
      <c r="M35" s="1208"/>
      <c r="N35" s="590"/>
      <c r="O35" s="1208"/>
      <c r="P35" s="590"/>
      <c r="Q35" s="1208"/>
      <c r="R35" s="590"/>
      <c r="S35" s="1208"/>
    </row>
    <row r="36" spans="1:19">
      <c r="A36" s="1245"/>
      <c r="B36" s="643"/>
      <c r="C36" s="1154"/>
      <c r="D36" s="1154"/>
      <c r="E36" s="1124"/>
      <c r="F36" s="1124"/>
      <c r="G36" s="1133"/>
      <c r="H36" s="590"/>
      <c r="I36" s="1207"/>
      <c r="J36" s="590"/>
      <c r="K36" s="1208"/>
      <c r="L36" s="590"/>
      <c r="M36" s="1207"/>
      <c r="N36" s="590"/>
      <c r="O36" s="1207"/>
      <c r="P36" s="590"/>
      <c r="Q36" s="1208"/>
      <c r="R36" s="590"/>
      <c r="S36" s="1208"/>
    </row>
    <row r="37" spans="1:19">
      <c r="A37" s="623"/>
      <c r="B37" s="643"/>
      <c r="C37" s="1154"/>
      <c r="D37" s="1154"/>
      <c r="E37" s="1124"/>
      <c r="F37" s="1124"/>
      <c r="G37" s="1133"/>
      <c r="H37" s="590"/>
      <c r="I37" s="1207"/>
      <c r="J37" s="590"/>
      <c r="K37" s="1208"/>
      <c r="L37" s="590"/>
      <c r="M37" s="1208"/>
      <c r="N37" s="590"/>
      <c r="O37" s="1208"/>
      <c r="P37" s="590"/>
      <c r="Q37" s="1208"/>
      <c r="R37" s="590"/>
      <c r="S37" s="1208"/>
    </row>
    <row r="38" spans="1:19">
      <c r="A38" s="1245"/>
      <c r="B38" s="643"/>
      <c r="C38" s="1154"/>
      <c r="D38" s="1154"/>
      <c r="E38" s="1124"/>
      <c r="F38" s="1124"/>
      <c r="G38" s="1133"/>
      <c r="H38" s="590"/>
      <c r="I38" s="1207"/>
      <c r="J38" s="590"/>
      <c r="K38" s="1208"/>
      <c r="L38" s="590"/>
      <c r="M38" s="1208"/>
      <c r="N38" s="590"/>
      <c r="O38" s="1208"/>
      <c r="P38" s="590"/>
      <c r="Q38" s="1208"/>
      <c r="R38" s="590"/>
      <c r="S38" s="1208"/>
    </row>
    <row r="39" spans="1:19">
      <c r="A39" s="623"/>
      <c r="B39" s="643"/>
      <c r="C39" s="1154"/>
      <c r="D39" s="1154"/>
      <c r="E39" s="1124"/>
      <c r="F39" s="1124"/>
      <c r="G39" s="1133"/>
      <c r="H39" s="590"/>
      <c r="I39" s="1207"/>
      <c r="J39" s="590"/>
      <c r="K39" s="1208"/>
      <c r="L39" s="590"/>
      <c r="M39" s="1208"/>
      <c r="N39" s="590"/>
      <c r="O39" s="1208"/>
      <c r="P39" s="590"/>
      <c r="Q39" s="1208"/>
      <c r="R39" s="590"/>
      <c r="S39" s="1208"/>
    </row>
    <row r="40" spans="1:19">
      <c r="A40" s="1245"/>
      <c r="B40" s="643"/>
      <c r="C40" s="1154"/>
      <c r="D40" s="1154"/>
      <c r="E40" s="1124"/>
      <c r="F40" s="1124"/>
      <c r="G40" s="1133"/>
      <c r="H40" s="590"/>
      <c r="I40" s="1207"/>
      <c r="J40" s="590"/>
      <c r="K40" s="1208"/>
      <c r="L40" s="590"/>
      <c r="M40" s="1208"/>
      <c r="N40" s="590"/>
      <c r="O40" s="1208"/>
      <c r="P40" s="590"/>
      <c r="Q40" s="1208"/>
      <c r="R40" s="590"/>
      <c r="S40" s="1208"/>
    </row>
    <row r="41" spans="1:19">
      <c r="A41" s="623"/>
      <c r="B41" s="643"/>
      <c r="C41" s="1154"/>
      <c r="D41" s="1154"/>
      <c r="E41" s="1124"/>
      <c r="F41" s="1124"/>
      <c r="G41" s="1133"/>
      <c r="H41" s="590"/>
      <c r="I41" s="1207"/>
      <c r="J41" s="590"/>
      <c r="K41" s="1208"/>
      <c r="L41" s="590"/>
      <c r="M41" s="1208"/>
      <c r="N41" s="590"/>
      <c r="O41" s="1208"/>
      <c r="P41" s="590"/>
      <c r="Q41" s="1208"/>
      <c r="R41" s="590"/>
      <c r="S41" s="1208"/>
    </row>
    <row r="42" spans="1:19" ht="15.75" customHeight="1">
      <c r="A42" s="1245"/>
      <c r="B42" s="643"/>
      <c r="C42" s="1154"/>
      <c r="D42" s="1154"/>
      <c r="E42" s="1124"/>
      <c r="F42" s="1124"/>
      <c r="G42" s="1133"/>
      <c r="H42" s="590"/>
      <c r="I42" s="1207"/>
      <c r="J42" s="590"/>
      <c r="K42" s="1208"/>
      <c r="L42" s="590"/>
      <c r="M42" s="1208"/>
      <c r="N42" s="590"/>
      <c r="O42" s="1208"/>
      <c r="P42" s="590"/>
      <c r="Q42" s="1208"/>
      <c r="R42" s="590"/>
      <c r="S42" s="1208"/>
    </row>
    <row r="43" spans="1:19">
      <c r="A43" s="623"/>
      <c r="B43" s="643"/>
      <c r="C43" s="1154"/>
      <c r="D43" s="1154"/>
      <c r="E43" s="1124"/>
      <c r="F43" s="1124"/>
      <c r="G43" s="1133"/>
      <c r="H43" s="590"/>
      <c r="I43" s="1207"/>
      <c r="J43" s="590"/>
      <c r="K43" s="1208"/>
      <c r="L43" s="590"/>
      <c r="M43" s="1208"/>
      <c r="N43" s="590"/>
      <c r="O43" s="1208"/>
      <c r="P43" s="590"/>
      <c r="Q43" s="1208"/>
      <c r="R43" s="590"/>
      <c r="S43" s="1208"/>
    </row>
    <row r="44" spans="1:19">
      <c r="A44" s="1245"/>
      <c r="B44" s="642"/>
      <c r="C44" s="1154"/>
      <c r="D44" s="1154"/>
      <c r="E44" s="1124"/>
      <c r="F44" s="1124"/>
      <c r="G44" s="1133"/>
      <c r="H44" s="590"/>
      <c r="I44" s="1207"/>
      <c r="J44" s="590"/>
      <c r="K44" s="1208"/>
      <c r="L44" s="590"/>
      <c r="M44" s="1208"/>
      <c r="N44" s="590"/>
      <c r="O44" s="1208"/>
      <c r="P44" s="590"/>
      <c r="Q44" s="1208"/>
      <c r="R44" s="590"/>
      <c r="S44" s="1208"/>
    </row>
    <row r="45" spans="1:19">
      <c r="A45" s="623"/>
      <c r="B45" s="643"/>
      <c r="C45" s="1154"/>
      <c r="D45" s="1154"/>
      <c r="E45" s="1124"/>
      <c r="F45" s="1124"/>
      <c r="G45" s="1133"/>
      <c r="H45" s="590"/>
      <c r="I45" s="1207"/>
      <c r="J45" s="590"/>
      <c r="K45" s="1208"/>
      <c r="L45" s="590"/>
      <c r="M45" s="1208"/>
      <c r="N45" s="590"/>
      <c r="O45" s="1208"/>
      <c r="P45" s="590"/>
      <c r="Q45" s="1208"/>
      <c r="R45" s="590"/>
      <c r="S45" s="1208"/>
    </row>
    <row r="46" spans="1:19">
      <c r="A46" s="1245"/>
      <c r="B46" s="643"/>
      <c r="C46" s="1154"/>
      <c r="D46" s="1154"/>
      <c r="E46" s="1124"/>
      <c r="F46" s="1124"/>
      <c r="G46" s="1133"/>
      <c r="H46" s="590"/>
      <c r="I46" s="1207"/>
      <c r="J46" s="590"/>
      <c r="K46" s="1208"/>
      <c r="L46" s="590"/>
      <c r="M46" s="1208"/>
      <c r="N46" s="590"/>
      <c r="O46" s="1208"/>
      <c r="P46" s="590"/>
      <c r="Q46" s="1208"/>
      <c r="R46" s="590"/>
      <c r="S46" s="1208"/>
    </row>
    <row r="47" spans="1:19">
      <c r="A47" s="623"/>
      <c r="B47" s="643"/>
      <c r="C47" s="1154"/>
      <c r="D47" s="1154"/>
      <c r="E47" s="1124"/>
      <c r="F47" s="1124"/>
      <c r="G47" s="1133"/>
      <c r="H47" s="590"/>
      <c r="I47" s="1207"/>
      <c r="J47" s="590"/>
      <c r="K47" s="1208"/>
      <c r="L47" s="590"/>
      <c r="M47" s="1208"/>
      <c r="N47" s="590"/>
      <c r="O47" s="1208"/>
      <c r="P47" s="590"/>
      <c r="Q47" s="1208"/>
      <c r="R47" s="590"/>
      <c r="S47" s="1208"/>
    </row>
    <row r="48" spans="1:19">
      <c r="A48" s="1245"/>
      <c r="B48" s="643"/>
      <c r="C48" s="1154"/>
      <c r="D48" s="1154"/>
      <c r="E48" s="1124"/>
      <c r="F48" s="1124"/>
      <c r="G48" s="1133"/>
      <c r="H48" s="590"/>
      <c r="I48" s="1207"/>
      <c r="J48" s="590"/>
      <c r="K48" s="1208"/>
      <c r="L48" s="590"/>
      <c r="M48" s="1208"/>
      <c r="N48" s="590"/>
      <c r="O48" s="1208"/>
      <c r="P48" s="590"/>
      <c r="Q48" s="1208"/>
      <c r="R48" s="590"/>
      <c r="S48" s="1208"/>
    </row>
    <row r="49" spans="1:19">
      <c r="A49" s="623"/>
      <c r="B49" s="642"/>
      <c r="C49" s="1154"/>
      <c r="D49" s="1154"/>
      <c r="E49" s="1124"/>
      <c r="F49" s="1124"/>
      <c r="G49" s="1133"/>
      <c r="H49" s="590"/>
      <c r="I49" s="1207"/>
      <c r="J49" s="590"/>
      <c r="K49" s="1208"/>
      <c r="L49" s="590"/>
      <c r="M49" s="1208"/>
      <c r="N49" s="590"/>
      <c r="O49" s="1208"/>
      <c r="P49" s="590"/>
      <c r="Q49" s="1208"/>
      <c r="R49" s="590"/>
      <c r="S49" s="1208"/>
    </row>
    <row r="50" spans="1:19">
      <c r="A50" s="1245"/>
      <c r="B50" s="643"/>
      <c r="C50" s="1154"/>
      <c r="D50" s="1154"/>
      <c r="E50" s="1124"/>
      <c r="F50" s="1124"/>
      <c r="G50" s="1133"/>
      <c r="H50" s="590"/>
      <c r="I50" s="1207"/>
      <c r="J50" s="590"/>
      <c r="K50" s="1208"/>
      <c r="L50" s="590"/>
      <c r="M50" s="1208"/>
      <c r="N50" s="590"/>
      <c r="O50" s="1208"/>
      <c r="P50" s="590"/>
      <c r="Q50" s="1208"/>
      <c r="R50" s="590"/>
      <c r="S50" s="1208"/>
    </row>
    <row r="51" spans="1:19">
      <c r="A51" s="623"/>
      <c r="B51" s="641"/>
      <c r="C51" s="1154"/>
      <c r="D51" s="1154"/>
      <c r="E51" s="1124"/>
      <c r="F51" s="1124"/>
      <c r="G51" s="1133"/>
      <c r="H51" s="590"/>
      <c r="I51" s="1207"/>
      <c r="J51" s="590"/>
      <c r="K51" s="1208"/>
      <c r="L51" s="590"/>
      <c r="M51" s="1208"/>
      <c r="N51" s="590"/>
      <c r="O51" s="1208"/>
      <c r="P51" s="590"/>
      <c r="Q51" s="1208"/>
      <c r="R51" s="590"/>
      <c r="S51" s="1208"/>
    </row>
    <row r="52" spans="1:19">
      <c r="A52" s="1245"/>
      <c r="B52" s="641"/>
      <c r="C52" s="1154"/>
      <c r="D52" s="1154"/>
      <c r="E52" s="1124"/>
      <c r="F52" s="1124"/>
      <c r="G52" s="1133"/>
      <c r="H52" s="590"/>
      <c r="I52" s="1207"/>
      <c r="J52" s="590"/>
      <c r="K52" s="1208"/>
      <c r="L52" s="590"/>
      <c r="M52" s="1208"/>
      <c r="N52" s="590"/>
      <c r="O52" s="1208"/>
      <c r="P52" s="590"/>
      <c r="Q52" s="1208"/>
      <c r="R52" s="590"/>
      <c r="S52" s="1208"/>
    </row>
    <row r="53" spans="1:19">
      <c r="A53" s="623"/>
      <c r="B53" s="641"/>
      <c r="C53" s="1134"/>
      <c r="D53" s="1124"/>
      <c r="E53" s="1124"/>
      <c r="F53" s="1124"/>
      <c r="G53" s="1133"/>
      <c r="H53" s="590"/>
      <c r="I53" s="1207"/>
      <c r="J53" s="590"/>
      <c r="K53" s="1208"/>
      <c r="L53" s="590"/>
      <c r="M53" s="1208"/>
      <c r="N53" s="590"/>
      <c r="O53" s="1208"/>
      <c r="P53" s="590"/>
      <c r="Q53" s="1208"/>
      <c r="R53" s="590"/>
      <c r="S53" s="1208"/>
    </row>
    <row r="54" spans="1:19">
      <c r="A54" s="1245"/>
      <c r="B54" s="641"/>
      <c r="C54" s="1134"/>
      <c r="D54" s="1124"/>
      <c r="E54" s="1124"/>
      <c r="F54" s="1124"/>
      <c r="G54" s="1133"/>
      <c r="H54" s="590"/>
      <c r="I54" s="1207"/>
      <c r="J54" s="590"/>
      <c r="K54" s="1208"/>
      <c r="L54" s="590"/>
      <c r="M54" s="1208"/>
      <c r="N54" s="590"/>
      <c r="O54" s="1208"/>
      <c r="P54" s="590"/>
      <c r="Q54" s="1208"/>
      <c r="R54" s="590"/>
      <c r="S54" s="1208"/>
    </row>
    <row r="55" spans="1:19">
      <c r="A55" s="623"/>
      <c r="B55" s="641"/>
      <c r="C55" s="1134"/>
      <c r="D55" s="1124"/>
      <c r="E55" s="1124"/>
      <c r="F55" s="1124"/>
      <c r="G55" s="1133"/>
      <c r="H55" s="590"/>
      <c r="I55" s="1207"/>
      <c r="J55" s="590"/>
      <c r="K55" s="1208"/>
      <c r="L55" s="590"/>
      <c r="M55" s="1208"/>
      <c r="N55" s="590"/>
      <c r="O55" s="1208"/>
      <c r="P55" s="590"/>
      <c r="Q55" s="1207"/>
      <c r="R55" s="590"/>
      <c r="S55" s="1207"/>
    </row>
    <row r="56" spans="1:19">
      <c r="A56" s="1245"/>
      <c r="B56" s="641"/>
      <c r="C56" s="1134"/>
      <c r="D56" s="1124"/>
      <c r="E56" s="1124"/>
      <c r="F56" s="1124"/>
      <c r="G56" s="1133"/>
      <c r="H56" s="590"/>
      <c r="I56" s="1207"/>
      <c r="J56" s="590"/>
      <c r="K56" s="1208"/>
      <c r="L56" s="590"/>
      <c r="M56" s="1208"/>
      <c r="N56" s="590"/>
      <c r="O56" s="1208"/>
      <c r="P56" s="590"/>
      <c r="Q56" s="1208"/>
      <c r="R56" s="590"/>
      <c r="S56" s="1208"/>
    </row>
    <row r="57" spans="1:19">
      <c r="A57" s="623"/>
      <c r="B57" s="641"/>
      <c r="C57" s="1134"/>
      <c r="D57" s="1124"/>
      <c r="E57" s="1124"/>
      <c r="F57" s="1124"/>
      <c r="G57" s="1133"/>
      <c r="H57" s="590"/>
      <c r="I57" s="1207"/>
      <c r="J57" s="590"/>
      <c r="K57" s="1208"/>
      <c r="L57" s="590"/>
      <c r="M57" s="1208"/>
      <c r="N57" s="590"/>
      <c r="O57" s="1208"/>
      <c r="P57" s="590"/>
      <c r="Q57" s="1208"/>
      <c r="R57" s="590"/>
      <c r="S57" s="1208"/>
    </row>
    <row r="58" spans="1:19">
      <c r="A58" s="1245"/>
      <c r="B58" s="642"/>
      <c r="C58" s="1134"/>
      <c r="D58" s="1124"/>
      <c r="E58" s="1124"/>
      <c r="F58" s="1124"/>
      <c r="G58" s="1133"/>
      <c r="H58" s="590"/>
      <c r="I58" s="1207"/>
      <c r="J58" s="590"/>
      <c r="K58" s="1208"/>
      <c r="L58" s="590"/>
      <c r="M58" s="1208"/>
      <c r="N58" s="590"/>
      <c r="O58" s="1208"/>
      <c r="P58" s="590"/>
      <c r="Q58" s="1208"/>
      <c r="R58" s="590"/>
      <c r="S58" s="1208"/>
    </row>
    <row r="59" spans="1:19">
      <c r="A59" s="623"/>
      <c r="B59" s="641"/>
      <c r="C59" s="1134"/>
      <c r="D59" s="1124"/>
      <c r="E59" s="1124"/>
      <c r="F59" s="1124"/>
      <c r="G59" s="1133"/>
      <c r="H59" s="590"/>
      <c r="I59" s="1207"/>
      <c r="J59" s="590"/>
      <c r="K59" s="1208"/>
      <c r="L59" s="590"/>
      <c r="M59" s="1208"/>
      <c r="N59" s="590"/>
      <c r="O59" s="1208"/>
      <c r="P59" s="590"/>
      <c r="Q59" s="1208"/>
      <c r="R59" s="590"/>
      <c r="S59" s="1208"/>
    </row>
    <row r="60" spans="1:19">
      <c r="A60" s="1245"/>
      <c r="B60" s="641"/>
      <c r="C60" s="1134"/>
      <c r="D60" s="1124"/>
      <c r="E60" s="1124"/>
      <c r="F60" s="1124"/>
      <c r="G60" s="1133"/>
      <c r="H60" s="590"/>
      <c r="I60" s="1207"/>
      <c r="J60" s="590"/>
      <c r="K60" s="1208"/>
      <c r="L60" s="590"/>
      <c r="M60" s="1208"/>
      <c r="N60" s="590"/>
      <c r="O60" s="1208"/>
      <c r="P60" s="590"/>
      <c r="Q60" s="1208"/>
      <c r="R60" s="590"/>
      <c r="S60" s="1208"/>
    </row>
    <row r="61" spans="1:19">
      <c r="A61" s="623"/>
      <c r="B61" s="641"/>
      <c r="C61" s="1134"/>
      <c r="D61" s="1124"/>
      <c r="E61" s="1124"/>
      <c r="F61" s="1124"/>
      <c r="G61" s="1133"/>
      <c r="H61" s="590"/>
      <c r="I61" s="1207"/>
      <c r="J61" s="590"/>
      <c r="K61" s="1208"/>
      <c r="L61" s="590"/>
      <c r="M61" s="1208"/>
      <c r="N61" s="590"/>
      <c r="O61" s="1208"/>
      <c r="P61" s="590"/>
      <c r="Q61" s="1208"/>
      <c r="R61" s="590"/>
      <c r="S61" s="1208"/>
    </row>
    <row r="62" spans="1:19">
      <c r="A62" s="1245"/>
      <c r="B62" s="641"/>
      <c r="C62" s="1134"/>
      <c r="D62" s="1124"/>
      <c r="E62" s="1124"/>
      <c r="F62" s="1124"/>
      <c r="G62" s="1133"/>
      <c r="H62" s="590"/>
      <c r="I62" s="1207"/>
      <c r="J62" s="590"/>
      <c r="K62" s="1208"/>
      <c r="L62" s="590"/>
      <c r="M62" s="1208"/>
      <c r="N62" s="590"/>
      <c r="O62" s="1208"/>
      <c r="P62" s="590"/>
      <c r="Q62" s="1208"/>
      <c r="R62" s="590"/>
      <c r="S62" s="1208"/>
    </row>
    <row r="63" spans="1:19">
      <c r="A63" s="623"/>
      <c r="B63" s="641"/>
      <c r="C63" s="1134"/>
      <c r="D63" s="1124"/>
      <c r="E63" s="1124"/>
      <c r="F63" s="1124"/>
      <c r="G63" s="1133"/>
      <c r="H63" s="590"/>
      <c r="I63" s="1207"/>
      <c r="J63" s="590"/>
      <c r="K63" s="1208"/>
      <c r="L63" s="590"/>
      <c r="M63" s="1208"/>
      <c r="N63" s="590"/>
      <c r="O63" s="1208"/>
      <c r="P63" s="590"/>
      <c r="Q63" s="1208"/>
      <c r="R63" s="590"/>
      <c r="S63" s="1208"/>
    </row>
    <row r="64" spans="1:19">
      <c r="A64" s="1245"/>
      <c r="B64" s="145"/>
      <c r="C64" s="1134"/>
      <c r="D64" s="1124"/>
      <c r="E64" s="1124"/>
      <c r="F64" s="1124"/>
      <c r="G64" s="1133"/>
      <c r="H64" s="590"/>
      <c r="I64" s="1207"/>
      <c r="J64" s="590"/>
      <c r="K64" s="1208"/>
      <c r="L64" s="590"/>
      <c r="M64" s="1208"/>
      <c r="N64" s="590"/>
      <c r="O64" s="1208"/>
      <c r="P64" s="590"/>
      <c r="Q64" s="1208"/>
      <c r="R64" s="590"/>
      <c r="S64" s="1208"/>
    </row>
    <row r="65" spans="1:19" ht="15.75" thickBot="1">
      <c r="A65" s="623"/>
      <c r="B65" s="643"/>
      <c r="C65" s="1134"/>
      <c r="D65" s="1124"/>
      <c r="E65" s="1124"/>
      <c r="F65" s="1124"/>
      <c r="G65" s="1133"/>
      <c r="H65" s="590"/>
      <c r="I65" s="1207"/>
      <c r="J65" s="590"/>
      <c r="K65" s="1208"/>
      <c r="L65" s="590"/>
      <c r="M65" s="1208"/>
      <c r="N65" s="590"/>
      <c r="O65" s="1208"/>
      <c r="P65" s="590"/>
      <c r="Q65" s="1208"/>
      <c r="R65" s="590"/>
      <c r="S65" s="1208"/>
    </row>
    <row r="66" spans="1:19" ht="15.75" thickTop="1">
      <c r="A66" s="14"/>
      <c r="B66" s="15"/>
      <c r="C66" s="16"/>
      <c r="D66" s="16"/>
      <c r="E66" s="17"/>
      <c r="F66" s="18" t="s">
        <v>567</v>
      </c>
      <c r="G66" s="19"/>
      <c r="H66" s="20"/>
      <c r="I66" s="61">
        <f>SUM(I22:I65)</f>
        <v>0</v>
      </c>
      <c r="J66" s="20"/>
      <c r="K66" s="61">
        <f>SUM(K22:K65)</f>
        <v>0</v>
      </c>
      <c r="L66" s="20"/>
      <c r="M66" s="61">
        <f>SUM(M22:M65)</f>
        <v>0</v>
      </c>
      <c r="N66" s="20"/>
      <c r="O66" s="61">
        <f>SUM(O22:O65)</f>
        <v>0</v>
      </c>
      <c r="P66" s="20"/>
      <c r="Q66" s="61">
        <f>SUM(Q22:Q65)</f>
        <v>0</v>
      </c>
      <c r="R66" s="20"/>
      <c r="S66" s="61">
        <f>SUM(S22:S65)</f>
        <v>0</v>
      </c>
    </row>
    <row r="67" spans="1:19">
      <c r="A67" s="624"/>
      <c r="B67" s="1156"/>
      <c r="C67" s="1157"/>
      <c r="D67" s="1157"/>
      <c r="E67" s="1158"/>
      <c r="F67" s="1159" t="s">
        <v>568</v>
      </c>
      <c r="G67" s="1160"/>
      <c r="H67" s="593">
        <v>0</v>
      </c>
      <c r="I67" s="415"/>
      <c r="J67" s="593">
        <v>0</v>
      </c>
      <c r="K67" s="415"/>
      <c r="L67" s="593">
        <v>0</v>
      </c>
      <c r="M67" s="415"/>
      <c r="N67" s="593">
        <v>0</v>
      </c>
      <c r="O67" s="415"/>
      <c r="P67" s="593">
        <v>0</v>
      </c>
      <c r="Q67" s="415"/>
      <c r="R67" s="593">
        <v>0</v>
      </c>
      <c r="S67" s="415"/>
    </row>
    <row r="68" spans="1:19">
      <c r="A68" s="624"/>
      <c r="B68" s="1156"/>
      <c r="C68" s="1157"/>
      <c r="D68" s="1157"/>
      <c r="E68" s="1158"/>
      <c r="F68" s="1159" t="s">
        <v>569</v>
      </c>
      <c r="G68" s="1160"/>
      <c r="H68" s="594"/>
      <c r="I68" s="598">
        <f>H67*I66</f>
        <v>0</v>
      </c>
      <c r="J68" s="594"/>
      <c r="K68" s="598">
        <f>J67*K66</f>
        <v>0</v>
      </c>
      <c r="L68" s="594"/>
      <c r="M68" s="598">
        <f>L67*M66</f>
        <v>0</v>
      </c>
      <c r="N68" s="594"/>
      <c r="O68" s="598">
        <f>N67*O66</f>
        <v>0</v>
      </c>
      <c r="P68" s="594"/>
      <c r="Q68" s="598">
        <f>P67*Q66</f>
        <v>0</v>
      </c>
      <c r="R68" s="594"/>
      <c r="S68" s="598">
        <f>R67*S66</f>
        <v>0</v>
      </c>
    </row>
    <row r="69" spans="1:19">
      <c r="A69" s="624"/>
      <c r="B69" s="1156"/>
      <c r="C69" s="1157"/>
      <c r="D69" s="1157"/>
      <c r="E69" s="1158"/>
      <c r="F69" s="1159"/>
      <c r="G69" s="1160"/>
      <c r="H69" s="594"/>
      <c r="I69" s="596"/>
      <c r="J69" s="594"/>
      <c r="K69" s="596"/>
      <c r="L69" s="594"/>
      <c r="M69" s="596"/>
      <c r="N69" s="594"/>
      <c r="O69" s="596"/>
      <c r="P69" s="594"/>
      <c r="Q69" s="596"/>
      <c r="R69" s="594"/>
      <c r="S69" s="596"/>
    </row>
    <row r="70" spans="1:19">
      <c r="A70" s="624"/>
      <c r="B70" s="1156"/>
      <c r="C70" s="1157"/>
      <c r="D70" s="1157"/>
      <c r="E70" s="1158"/>
      <c r="F70" s="1159" t="s">
        <v>570</v>
      </c>
      <c r="G70" s="1160"/>
      <c r="H70" s="597"/>
      <c r="I70" s="598">
        <f>SUM(I66:I68)</f>
        <v>0</v>
      </c>
      <c r="J70" s="597"/>
      <c r="K70" s="598">
        <f>SUM(K66:K68)</f>
        <v>0</v>
      </c>
      <c r="L70" s="597"/>
      <c r="M70" s="598">
        <f>SUM(M66:M68)</f>
        <v>0</v>
      </c>
      <c r="N70" s="597"/>
      <c r="O70" s="598">
        <f>SUM(O66:O68)</f>
        <v>0</v>
      </c>
      <c r="P70" s="597"/>
      <c r="Q70" s="598">
        <f>SUM(Q66:Q68)</f>
        <v>0</v>
      </c>
      <c r="R70" s="597"/>
      <c r="S70" s="598">
        <f>SUM(S66:S68)</f>
        <v>0</v>
      </c>
    </row>
    <row r="71" spans="1:19">
      <c r="A71" s="624"/>
      <c r="B71" s="1156"/>
      <c r="C71" s="1157"/>
      <c r="D71" s="1157"/>
      <c r="E71" s="1158"/>
      <c r="F71" s="1161" t="s">
        <v>571</v>
      </c>
      <c r="G71" s="1162"/>
      <c r="H71" s="599"/>
      <c r="I71" s="600" t="e">
        <f>I70/'Area Calculations'!$J$4</f>
        <v>#DIV/0!</v>
      </c>
      <c r="J71" s="599"/>
      <c r="K71" s="600" t="e">
        <f>K70/'Area Calculations'!$J$4</f>
        <v>#DIV/0!</v>
      </c>
      <c r="L71" s="599"/>
      <c r="M71" s="600" t="e">
        <f>M70/'Area Calculations'!$J$4</f>
        <v>#DIV/0!</v>
      </c>
      <c r="N71" s="599"/>
      <c r="O71" s="600" t="e">
        <f>O70/'Area Calculations'!$J$4</f>
        <v>#DIV/0!</v>
      </c>
      <c r="P71" s="599"/>
      <c r="Q71" s="600" t="e">
        <f>Q70/'Area Calculations'!$J$4</f>
        <v>#DIV/0!</v>
      </c>
      <c r="R71" s="599"/>
      <c r="S71" s="600" t="e">
        <f>S70/'Area Calculations'!$J$4</f>
        <v>#DIV/0!</v>
      </c>
    </row>
    <row r="72" spans="1:19">
      <c r="A72" s="624"/>
      <c r="B72" s="1156"/>
      <c r="C72" s="1157"/>
      <c r="D72" s="1157"/>
      <c r="E72" s="1158"/>
      <c r="F72" s="1161" t="s">
        <v>572</v>
      </c>
      <c r="G72" s="1163"/>
      <c r="H72" s="599"/>
      <c r="I72" s="600" t="e">
        <f>I70/'Area Calculations'!#REF!</f>
        <v>#REF!</v>
      </c>
      <c r="J72" s="599"/>
      <c r="K72" s="600" t="e">
        <f>K70/'Area Calculations'!#REF!</f>
        <v>#REF!</v>
      </c>
      <c r="L72" s="599"/>
      <c r="M72" s="600" t="e">
        <f>M70/'Area Calculations'!#REF!</f>
        <v>#REF!</v>
      </c>
      <c r="N72" s="599"/>
      <c r="O72" s="600" t="e">
        <f>O70/'Area Calculations'!#REF!</f>
        <v>#REF!</v>
      </c>
      <c r="P72" s="599"/>
      <c r="Q72" s="600" t="e">
        <f>Q70/'Area Calculations'!#REF!</f>
        <v>#REF!</v>
      </c>
      <c r="R72" s="599"/>
      <c r="S72" s="600" t="e">
        <f>S70/'Area Calculations'!#REF!</f>
        <v>#REF!</v>
      </c>
    </row>
    <row r="73" spans="1:19" ht="15.75" thickBot="1">
      <c r="A73" s="624"/>
      <c r="B73" s="1156"/>
      <c r="C73" s="1157"/>
      <c r="D73" s="1157"/>
      <c r="E73" s="1158"/>
      <c r="F73" s="1159"/>
      <c r="G73" s="1160"/>
      <c r="H73" s="603"/>
      <c r="I73" s="603"/>
      <c r="J73" s="603"/>
      <c r="K73" s="603"/>
      <c r="L73" s="603"/>
      <c r="M73" s="603"/>
      <c r="N73" s="603"/>
      <c r="O73" s="603"/>
      <c r="P73" s="603"/>
      <c r="Q73" s="603"/>
      <c r="R73" s="603"/>
      <c r="S73" s="603"/>
    </row>
    <row r="74" spans="1:19" ht="16.5" thickTop="1" thickBot="1">
      <c r="A74" s="726" t="s">
        <v>573</v>
      </c>
      <c r="B74" s="727"/>
      <c r="C74" s="12"/>
      <c r="D74" s="12"/>
      <c r="E74" s="12"/>
      <c r="F74" s="12"/>
      <c r="G74" s="13"/>
      <c r="H74" s="21"/>
      <c r="I74" s="21"/>
      <c r="J74" s="21"/>
      <c r="K74" s="21"/>
      <c r="L74" s="21"/>
      <c r="M74" s="21"/>
      <c r="N74" s="21"/>
      <c r="O74" s="21"/>
      <c r="P74" s="21"/>
      <c r="Q74" s="21"/>
      <c r="R74" s="21"/>
      <c r="S74" s="21"/>
    </row>
    <row r="75" spans="1:19" ht="15.75" thickTop="1">
      <c r="A75" s="1256"/>
      <c r="B75" s="862"/>
      <c r="C75" s="1257"/>
      <c r="D75" s="1257"/>
      <c r="E75" s="1257"/>
      <c r="F75" s="1257"/>
      <c r="G75" s="1258"/>
      <c r="H75" s="1259"/>
      <c r="I75" s="1259"/>
      <c r="J75" s="1259"/>
      <c r="K75" s="1259"/>
      <c r="L75" s="1259"/>
      <c r="M75" s="1259"/>
      <c r="N75" s="1259"/>
      <c r="O75" s="1259"/>
      <c r="P75" s="1259"/>
      <c r="Q75" s="1259"/>
      <c r="R75" s="1259"/>
      <c r="S75" s="1259"/>
    </row>
    <row r="76" spans="1:19">
      <c r="A76" s="1256"/>
      <c r="B76" s="862"/>
      <c r="C76" s="1257"/>
      <c r="D76" s="1257"/>
      <c r="E76" s="1257"/>
      <c r="F76" s="1257"/>
      <c r="G76" s="1258"/>
      <c r="H76" s="1259"/>
      <c r="I76" s="1259"/>
      <c r="J76" s="1259"/>
      <c r="K76" s="1259"/>
      <c r="L76" s="1259"/>
      <c r="M76" s="1259"/>
      <c r="N76" s="1259"/>
      <c r="O76" s="1259"/>
      <c r="P76" s="1259"/>
      <c r="Q76" s="1259"/>
      <c r="R76" s="1259"/>
      <c r="S76" s="1259"/>
    </row>
    <row r="77" spans="1:19" ht="15.75" thickBot="1">
      <c r="A77" s="1256"/>
      <c r="B77" s="862"/>
      <c r="C77" s="1257"/>
      <c r="D77" s="1257"/>
      <c r="E77" s="1257"/>
      <c r="F77" s="1257"/>
      <c r="G77" s="1258"/>
      <c r="H77" s="1259"/>
      <c r="I77" s="1259"/>
      <c r="J77" s="1259"/>
      <c r="K77" s="1259"/>
      <c r="L77" s="1259"/>
      <c r="M77" s="1259"/>
      <c r="N77" s="1259"/>
      <c r="O77" s="1259"/>
      <c r="P77" s="1259"/>
      <c r="Q77" s="1259"/>
      <c r="R77" s="1259"/>
      <c r="S77" s="1259"/>
    </row>
    <row r="78" spans="1:19" s="2" customFormat="1" ht="16.5" thickTop="1" thickBot="1">
      <c r="A78" s="726" t="s">
        <v>574</v>
      </c>
      <c r="B78" s="727"/>
      <c r="C78" s="12"/>
      <c r="D78" s="12"/>
      <c r="E78" s="12"/>
      <c r="F78" s="12"/>
      <c r="G78" s="13"/>
      <c r="H78" s="21"/>
      <c r="I78" s="21"/>
      <c r="J78" s="21"/>
      <c r="K78" s="21"/>
      <c r="L78" s="21"/>
      <c r="M78" s="21"/>
      <c r="N78" s="21"/>
      <c r="O78" s="21"/>
      <c r="P78" s="21"/>
      <c r="Q78" s="21"/>
      <c r="R78" s="21"/>
      <c r="S78" s="21"/>
    </row>
    <row r="79" spans="1:19" s="2" customFormat="1" ht="15.75" thickTop="1">
      <c r="A79" s="1256"/>
      <c r="B79" s="862"/>
      <c r="C79" s="1257"/>
      <c r="D79" s="1257"/>
      <c r="E79" s="1257"/>
      <c r="F79" s="1257"/>
      <c r="G79" s="1258"/>
      <c r="H79" s="1259"/>
      <c r="I79" s="1259"/>
      <c r="J79" s="1259"/>
      <c r="K79" s="1259"/>
      <c r="L79" s="1259"/>
      <c r="M79" s="1259"/>
      <c r="N79" s="1259"/>
      <c r="O79" s="1259"/>
      <c r="P79" s="1259"/>
      <c r="Q79" s="1259"/>
      <c r="R79" s="1259"/>
      <c r="S79" s="1259"/>
    </row>
    <row r="80" spans="1:19" s="2" customFormat="1">
      <c r="A80" s="1256"/>
      <c r="B80" s="862"/>
      <c r="C80" s="1257"/>
      <c r="D80" s="1257"/>
      <c r="E80" s="1257"/>
      <c r="F80" s="1257"/>
      <c r="G80" s="1258"/>
      <c r="H80" s="1259"/>
      <c r="I80" s="1259"/>
      <c r="J80" s="1259"/>
      <c r="K80" s="1259"/>
      <c r="L80" s="1259"/>
      <c r="M80" s="1259"/>
      <c r="N80" s="1259"/>
      <c r="O80" s="1259"/>
      <c r="P80" s="1259"/>
      <c r="Q80" s="1259"/>
      <c r="R80" s="1259"/>
      <c r="S80" s="1259"/>
    </row>
    <row r="81" spans="1:19" ht="15.75" thickBot="1">
      <c r="A81" s="1256"/>
      <c r="B81" s="862"/>
      <c r="C81" s="1257"/>
      <c r="D81" s="1257"/>
      <c r="E81" s="1257"/>
      <c r="F81" s="1257"/>
      <c r="G81" s="1258"/>
      <c r="H81" s="1259"/>
      <c r="I81" s="1259"/>
      <c r="J81" s="1259"/>
      <c r="K81" s="1259"/>
      <c r="L81" s="1259"/>
      <c r="M81" s="1259"/>
      <c r="N81" s="1259"/>
      <c r="O81" s="1259"/>
      <c r="P81" s="1259"/>
      <c r="Q81" s="1259"/>
      <c r="R81" s="1259"/>
      <c r="S81" s="1259"/>
    </row>
    <row r="82" spans="1:19" s="2" customFormat="1" ht="16.5" thickTop="1" thickBot="1">
      <c r="A82" s="726" t="s">
        <v>575</v>
      </c>
      <c r="B82" s="727"/>
      <c r="C82" s="12"/>
      <c r="D82" s="12"/>
      <c r="E82" s="12"/>
      <c r="F82" s="12"/>
      <c r="G82" s="13"/>
      <c r="H82" s="21"/>
      <c r="I82" s="21"/>
      <c r="J82" s="21"/>
      <c r="K82" s="21"/>
      <c r="L82" s="21"/>
      <c r="M82" s="21"/>
      <c r="N82" s="21"/>
      <c r="O82" s="21"/>
      <c r="P82" s="21"/>
      <c r="Q82" s="21"/>
      <c r="R82" s="21"/>
      <c r="S82" s="21"/>
    </row>
    <row r="83" spans="1:19" s="2" customFormat="1" ht="15.75" thickTop="1">
      <c r="A83" s="1256"/>
      <c r="B83" s="862"/>
      <c r="C83" s="1257"/>
      <c r="D83" s="1257"/>
      <c r="E83" s="1257"/>
      <c r="F83" s="1257"/>
      <c r="G83" s="1258"/>
      <c r="H83" s="1259"/>
      <c r="I83" s="1259"/>
      <c r="J83" s="1259"/>
      <c r="K83" s="1259"/>
      <c r="L83" s="1259"/>
      <c r="M83" s="1259"/>
      <c r="N83" s="1259"/>
      <c r="O83" s="1259"/>
      <c r="P83" s="1259"/>
      <c r="Q83" s="1259"/>
      <c r="R83" s="1259"/>
      <c r="S83" s="1259"/>
    </row>
    <row r="84" spans="1:19" s="2" customFormat="1">
      <c r="A84" s="628"/>
      <c r="B84" s="862"/>
      <c r="C84" s="1124"/>
      <c r="D84" s="1124"/>
      <c r="E84" s="1124"/>
      <c r="F84" s="1124"/>
      <c r="G84" s="1133"/>
      <c r="H84" s="604"/>
      <c r="I84" s="604"/>
      <c r="J84" s="604"/>
      <c r="K84" s="604"/>
      <c r="L84" s="604"/>
      <c r="M84" s="604"/>
      <c r="N84" s="604"/>
      <c r="O84" s="604"/>
      <c r="P84" s="604"/>
      <c r="Q84" s="604"/>
      <c r="R84" s="604"/>
      <c r="S84" s="604"/>
    </row>
    <row r="85" spans="1:19" s="2" customFormat="1" ht="15.75" thickBot="1">
      <c r="A85" s="625"/>
      <c r="B85" s="1171"/>
      <c r="C85" s="1124"/>
      <c r="D85" s="1124"/>
      <c r="E85" s="1124"/>
      <c r="F85" s="1124"/>
      <c r="G85" s="1133"/>
      <c r="H85" s="605"/>
      <c r="I85" s="605"/>
      <c r="J85" s="605"/>
      <c r="K85" s="605"/>
      <c r="L85" s="605"/>
      <c r="M85" s="605"/>
      <c r="N85" s="605"/>
      <c r="O85" s="605"/>
      <c r="P85" s="605"/>
      <c r="Q85" s="605"/>
      <c r="R85" s="605"/>
      <c r="S85" s="605"/>
    </row>
    <row r="86" spans="1:19" s="2" customFormat="1" ht="16.5" thickTop="1" thickBot="1">
      <c r="A86" s="726" t="s">
        <v>576</v>
      </c>
      <c r="B86" s="727"/>
      <c r="C86" s="12"/>
      <c r="D86" s="12"/>
      <c r="E86" s="12"/>
      <c r="F86" s="12"/>
      <c r="G86" s="13"/>
      <c r="H86" s="21"/>
      <c r="I86" s="21"/>
      <c r="J86" s="21"/>
      <c r="K86" s="21"/>
      <c r="L86" s="21"/>
      <c r="M86" s="21"/>
      <c r="N86" s="21"/>
      <c r="O86" s="21"/>
      <c r="P86" s="21"/>
      <c r="Q86" s="21"/>
      <c r="R86" s="21"/>
      <c r="S86" s="21"/>
    </row>
    <row r="87" spans="1:19" ht="15.75" thickTop="1">
      <c r="A87" s="1260"/>
      <c r="B87" s="1261"/>
      <c r="C87" s="1257"/>
      <c r="D87" s="1257"/>
      <c r="E87" s="1257"/>
      <c r="F87" s="1257"/>
      <c r="G87" s="1258"/>
      <c r="H87" s="1259"/>
      <c r="I87" s="1259"/>
      <c r="J87" s="1259"/>
      <c r="K87" s="1259"/>
      <c r="L87" s="1259"/>
      <c r="M87" s="1259"/>
      <c r="N87" s="1259"/>
      <c r="O87" s="1259"/>
      <c r="P87" s="1259"/>
      <c r="Q87" s="1259"/>
      <c r="R87" s="1259"/>
      <c r="S87" s="1259"/>
    </row>
    <row r="88" spans="1:19">
      <c r="A88" s="625"/>
      <c r="B88" s="1171"/>
      <c r="C88" s="1124"/>
      <c r="D88" s="1124"/>
      <c r="E88" s="1124"/>
      <c r="F88" s="1124"/>
      <c r="G88" s="1133"/>
      <c r="H88" s="606"/>
      <c r="I88" s="606"/>
      <c r="J88" s="606"/>
      <c r="K88" s="606"/>
      <c r="L88" s="606"/>
      <c r="M88" s="606"/>
      <c r="N88" s="606"/>
      <c r="O88" s="606"/>
      <c r="P88" s="606"/>
      <c r="Q88" s="606"/>
      <c r="R88" s="606"/>
      <c r="S88" s="606"/>
    </row>
    <row r="89" spans="1:19" ht="15.75" thickBot="1">
      <c r="A89" s="625"/>
      <c r="B89" s="1171"/>
      <c r="C89" s="1124"/>
      <c r="D89" s="1124"/>
      <c r="E89" s="1124"/>
      <c r="F89" s="1124"/>
      <c r="G89" s="1133"/>
      <c r="H89" s="606"/>
      <c r="I89" s="606"/>
      <c r="J89" s="606"/>
      <c r="K89" s="606"/>
      <c r="L89" s="606"/>
      <c r="M89" s="606"/>
      <c r="N89" s="606"/>
      <c r="O89" s="606"/>
      <c r="P89" s="606"/>
      <c r="Q89" s="606"/>
      <c r="R89" s="606"/>
      <c r="S89" s="606"/>
    </row>
    <row r="90" spans="1:19" ht="16.5" thickTop="1" thickBot="1">
      <c r="A90" s="726" t="s">
        <v>577</v>
      </c>
      <c r="B90" s="727"/>
      <c r="C90" s="12"/>
      <c r="D90" s="12"/>
      <c r="E90" s="12"/>
      <c r="F90" s="12"/>
      <c r="G90" s="13"/>
      <c r="H90" s="21"/>
      <c r="I90" s="21"/>
      <c r="J90" s="21"/>
      <c r="K90" s="21"/>
      <c r="L90" s="21"/>
      <c r="M90" s="21"/>
      <c r="N90" s="21"/>
      <c r="O90" s="21"/>
      <c r="P90" s="21"/>
      <c r="Q90" s="21"/>
      <c r="R90" s="21"/>
      <c r="S90" s="21"/>
    </row>
    <row r="91" spans="1:19" ht="15.75" thickTop="1">
      <c r="A91" s="628"/>
      <c r="B91" s="862" t="s">
        <v>578</v>
      </c>
      <c r="C91" s="1124"/>
      <c r="D91" s="1124"/>
      <c r="E91" s="1124"/>
      <c r="F91" s="1124"/>
      <c r="G91" s="1133"/>
      <c r="H91" s="606"/>
      <c r="I91" s="606"/>
      <c r="J91" s="606"/>
      <c r="K91" s="606"/>
      <c r="L91" s="606"/>
      <c r="M91" s="606"/>
      <c r="N91" s="606"/>
      <c r="O91" s="606"/>
      <c r="P91" s="606"/>
      <c r="Q91" s="606"/>
      <c r="R91" s="606"/>
      <c r="S91" s="606"/>
    </row>
    <row r="92" spans="1:19">
      <c r="A92" s="628"/>
      <c r="B92" s="862" t="s">
        <v>579</v>
      </c>
      <c r="C92" s="1124"/>
      <c r="D92" s="1124"/>
      <c r="E92" s="1124"/>
      <c r="F92" s="1124"/>
      <c r="G92" s="1133"/>
      <c r="H92" s="606"/>
      <c r="I92" s="606"/>
      <c r="J92" s="606"/>
      <c r="K92" s="606"/>
      <c r="L92" s="606"/>
      <c r="M92" s="606"/>
      <c r="N92" s="606"/>
      <c r="O92" s="606"/>
      <c r="P92" s="606"/>
      <c r="Q92" s="606"/>
      <c r="R92" s="606"/>
      <c r="S92" s="606"/>
    </row>
    <row r="93" spans="1:19">
      <c r="A93" s="628"/>
      <c r="B93" s="862" t="s">
        <v>580</v>
      </c>
      <c r="C93" s="1124"/>
      <c r="D93" s="1124"/>
      <c r="E93" s="1124"/>
      <c r="F93" s="1124"/>
      <c r="G93" s="1133"/>
      <c r="H93" s="606"/>
      <c r="I93" s="606"/>
      <c r="J93" s="606"/>
      <c r="K93" s="606"/>
      <c r="L93" s="606"/>
      <c r="M93" s="606"/>
      <c r="N93" s="606"/>
      <c r="O93" s="606"/>
      <c r="P93" s="606"/>
      <c r="Q93" s="606"/>
      <c r="R93" s="606"/>
      <c r="S93" s="606"/>
    </row>
    <row r="94" spans="1:19">
      <c r="A94" s="628"/>
      <c r="B94" s="862" t="s">
        <v>581</v>
      </c>
      <c r="C94" s="1124"/>
      <c r="D94" s="1124"/>
      <c r="E94" s="1124"/>
      <c r="F94" s="1124"/>
      <c r="G94" s="1133"/>
      <c r="H94" s="606"/>
      <c r="I94" s="606"/>
      <c r="J94" s="606"/>
      <c r="K94" s="606"/>
      <c r="L94" s="606"/>
      <c r="M94" s="606"/>
      <c r="N94" s="606"/>
      <c r="O94" s="606"/>
      <c r="P94" s="606"/>
      <c r="Q94" s="606"/>
      <c r="R94" s="606"/>
      <c r="S94" s="606"/>
    </row>
    <row r="95" spans="1:19" ht="15.75" thickBot="1">
      <c r="A95" s="416"/>
      <c r="B95" s="295"/>
      <c r="C95" s="184"/>
      <c r="D95" s="184"/>
      <c r="E95" s="184"/>
      <c r="F95" s="184"/>
      <c r="G95" s="296"/>
      <c r="H95" s="418"/>
      <c r="I95" s="418"/>
      <c r="J95" s="418"/>
      <c r="K95" s="418"/>
      <c r="L95" s="418"/>
      <c r="M95" s="418"/>
      <c r="N95" s="418"/>
      <c r="O95" s="418"/>
      <c r="P95" s="418"/>
      <c r="Q95" s="418"/>
      <c r="R95" s="418"/>
      <c r="S95" s="418"/>
    </row>
    <row r="96" spans="1:19" ht="16.5" thickTop="1" thickBot="1">
      <c r="A96" s="7" t="s">
        <v>582</v>
      </c>
      <c r="B96" s="8"/>
      <c r="C96" s="12"/>
      <c r="D96" s="12"/>
      <c r="E96" s="12"/>
      <c r="F96" s="12"/>
      <c r="G96" s="13"/>
      <c r="H96" s="21"/>
      <c r="I96" s="21"/>
      <c r="J96" s="21"/>
      <c r="K96" s="21"/>
      <c r="L96" s="21"/>
      <c r="M96" s="21"/>
      <c r="N96" s="21"/>
      <c r="O96" s="21"/>
      <c r="P96" s="21"/>
      <c r="Q96" s="21"/>
      <c r="R96" s="21"/>
      <c r="S96" s="21"/>
    </row>
    <row r="97" spans="1:19" ht="15.75" thickTop="1">
      <c r="A97" s="1256"/>
      <c r="B97" s="1262" t="s">
        <v>583</v>
      </c>
      <c r="C97" s="1257"/>
      <c r="D97" s="1257"/>
      <c r="E97" s="1257"/>
      <c r="F97" s="1257"/>
      <c r="G97" s="1258"/>
      <c r="H97" s="1263"/>
      <c r="I97" s="1263"/>
      <c r="J97" s="1263"/>
      <c r="K97" s="1263"/>
      <c r="L97" s="1263"/>
      <c r="M97" s="1263"/>
      <c r="N97" s="1263"/>
      <c r="O97" s="1263"/>
      <c r="P97" s="1263"/>
      <c r="Q97" s="1263"/>
      <c r="R97" s="1263"/>
      <c r="S97" s="1263"/>
    </row>
    <row r="98" spans="1:19">
      <c r="A98" s="628"/>
      <c r="B98" s="862" t="s">
        <v>584</v>
      </c>
      <c r="C98" s="1124"/>
      <c r="D98" s="1124"/>
      <c r="E98" s="1124"/>
      <c r="F98" s="1124"/>
      <c r="G98" s="1133"/>
      <c r="H98" s="618"/>
      <c r="I98" s="618"/>
      <c r="J98" s="618"/>
      <c r="K98" s="618"/>
      <c r="L98" s="618"/>
      <c r="M98" s="618"/>
      <c r="N98" s="618"/>
      <c r="O98" s="618"/>
      <c r="P98" s="618"/>
      <c r="Q98" s="618"/>
      <c r="R98" s="618"/>
      <c r="S98" s="618"/>
    </row>
    <row r="99" spans="1:19" ht="15.75" thickBot="1">
      <c r="A99" s="607"/>
      <c r="B99" s="608" t="s">
        <v>585</v>
      </c>
      <c r="C99" s="609"/>
      <c r="D99" s="609"/>
      <c r="E99" s="609"/>
      <c r="F99" s="609"/>
      <c r="G99" s="610"/>
      <c r="H99" s="611"/>
      <c r="I99" s="611"/>
      <c r="J99" s="611"/>
      <c r="K99" s="611"/>
      <c r="L99" s="611"/>
      <c r="M99" s="611"/>
      <c r="N99" s="611"/>
      <c r="O99" s="611"/>
      <c r="P99" s="611"/>
      <c r="Q99" s="611"/>
      <c r="R99" s="611"/>
      <c r="S99" s="611"/>
    </row>
    <row r="100" spans="1:19" ht="16.5" thickTop="1" thickBot="1"/>
    <row r="101" spans="1:19" ht="16.5" thickTop="1" thickBot="1">
      <c r="A101" s="92" t="s">
        <v>586</v>
      </c>
      <c r="B101" s="94"/>
    </row>
    <row r="102" spans="1:19" ht="16.5" thickTop="1" thickBot="1">
      <c r="A102" s="93" t="s">
        <v>487</v>
      </c>
      <c r="B102" s="94"/>
    </row>
    <row r="103" spans="1:19" ht="15.75" thickTop="1">
      <c r="A103" s="626" t="s">
        <v>491</v>
      </c>
      <c r="B103" s="612"/>
    </row>
    <row r="104" spans="1:19">
      <c r="A104" s="613" t="s">
        <v>494</v>
      </c>
      <c r="B104" s="614"/>
    </row>
    <row r="105" spans="1:19">
      <c r="A105" s="613" t="s">
        <v>497</v>
      </c>
      <c r="B105" s="622"/>
    </row>
    <row r="106" spans="1:19" ht="15.75" thickBot="1">
      <c r="A106" s="615" t="s">
        <v>587</v>
      </c>
      <c r="B106" s="616"/>
    </row>
    <row r="107" spans="1:19" ht="15.75" thickTop="1"/>
    <row r="108" spans="1:19">
      <c r="A108" s="95"/>
      <c r="B108" s="1" t="s">
        <v>588</v>
      </c>
    </row>
    <row r="109" spans="1:19">
      <c r="A109" s="96"/>
      <c r="B109"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74:B74"/>
    <mergeCell ref="A78:B78"/>
    <mergeCell ref="A82:B82"/>
    <mergeCell ref="A86:B86"/>
    <mergeCell ref="A90:B90"/>
  </mergeCells>
  <conditionalFormatting sqref="H20:H30">
    <cfRule type="cellIs" dxfId="1801" priority="19" operator="equal">
      <formula>"X"</formula>
    </cfRule>
    <cfRule type="cellIs" dxfId="1800" priority="20" operator="equal">
      <formula>"I"</formula>
    </cfRule>
  </conditionalFormatting>
  <conditionalFormatting sqref="H32:H65">
    <cfRule type="cellIs" dxfId="1799" priority="1" operator="equal">
      <formula>"X"</formula>
    </cfRule>
    <cfRule type="cellIs" dxfId="1798" priority="2" operator="equal">
      <formula>"I"</formula>
    </cfRule>
  </conditionalFormatting>
  <conditionalFormatting sqref="J20:J30">
    <cfRule type="cellIs" dxfId="1797" priority="21" operator="equal">
      <formula>"X"</formula>
    </cfRule>
    <cfRule type="cellIs" dxfId="1796" priority="22" operator="equal">
      <formula>"I"</formula>
    </cfRule>
  </conditionalFormatting>
  <conditionalFormatting sqref="J32:J65">
    <cfRule type="cellIs" dxfId="1795" priority="3" operator="equal">
      <formula>"X"</formula>
    </cfRule>
    <cfRule type="cellIs" dxfId="1794" priority="4" operator="equal">
      <formula>"I"</formula>
    </cfRule>
  </conditionalFormatting>
  <conditionalFormatting sqref="L20:L30">
    <cfRule type="cellIs" dxfId="1793" priority="23" operator="equal">
      <formula>"X"</formula>
    </cfRule>
    <cfRule type="cellIs" dxfId="1792" priority="24" operator="equal">
      <formula>"I"</formula>
    </cfRule>
  </conditionalFormatting>
  <conditionalFormatting sqref="L32:L65">
    <cfRule type="cellIs" dxfId="1791" priority="5" operator="equal">
      <formula>"X"</formula>
    </cfRule>
    <cfRule type="cellIs" dxfId="1790" priority="6" operator="equal">
      <formula>"I"</formula>
    </cfRule>
  </conditionalFormatting>
  <conditionalFormatting sqref="N20:N30">
    <cfRule type="cellIs" dxfId="1789" priority="25" operator="equal">
      <formula>"X"</formula>
    </cfRule>
    <cfRule type="cellIs" dxfId="1788" priority="26" operator="equal">
      <formula>"I"</formula>
    </cfRule>
  </conditionalFormatting>
  <conditionalFormatting sqref="N32:N65">
    <cfRule type="cellIs" dxfId="1787" priority="9" operator="equal">
      <formula>"X"</formula>
    </cfRule>
    <cfRule type="cellIs" dxfId="1786" priority="10" operator="equal">
      <formula>"I"</formula>
    </cfRule>
  </conditionalFormatting>
  <conditionalFormatting sqref="P20:P30">
    <cfRule type="cellIs" dxfId="1785" priority="15" operator="equal">
      <formula>"X"</formula>
    </cfRule>
    <cfRule type="cellIs" dxfId="1784" priority="16" operator="equal">
      <formula>"I"</formula>
    </cfRule>
  </conditionalFormatting>
  <conditionalFormatting sqref="P32:P65">
    <cfRule type="cellIs" dxfId="1783" priority="11" operator="equal">
      <formula>"X"</formula>
    </cfRule>
    <cfRule type="cellIs" dxfId="1782" priority="12" operator="equal">
      <formula>"I"</formula>
    </cfRule>
  </conditionalFormatting>
  <conditionalFormatting sqref="R20:R30">
    <cfRule type="cellIs" dxfId="1781" priority="17" operator="equal">
      <formula>"X"</formula>
    </cfRule>
    <cfRule type="cellIs" dxfId="1780" priority="18" operator="equal">
      <formula>"I"</formula>
    </cfRule>
  </conditionalFormatting>
  <conditionalFormatting sqref="R32:R65">
    <cfRule type="cellIs" dxfId="1779" priority="13" operator="equal">
      <formula>"X"</formula>
    </cfRule>
    <cfRule type="cellIs" dxfId="1778" priority="14" operator="equal">
      <formula>"I"</formula>
    </cfRule>
  </conditionalFormatting>
  <hyperlinks>
    <hyperlink ref="B3" location="'Cost Summary'!A1" display="BACK TO SUMMARY SHEET" xr:uid="{4DB11358-25C2-4BDD-9145-51BDBF04DFA6}"/>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B5E5-B34C-468F-B0B0-9DE911AA3C30}">
  <sheetPr>
    <tabColor rgb="FF92D050"/>
  </sheetPr>
  <dimension ref="A1:S109"/>
  <sheetViews>
    <sheetView zoomScale="89" zoomScaleNormal="89" workbookViewId="0">
      <pane xSplit="2" ySplit="9" topLeftCell="C20" activePane="bottomRight" state="frozen"/>
      <selection pane="bottomRight" activeCell="B36" sqref="B36"/>
      <selection pane="bottomLeft" activeCell="A12" sqref="A12"/>
      <selection pane="topRight" activeCell="C1" sqref="C1"/>
    </sheetView>
  </sheetViews>
  <sheetFormatPr defaultRowHeight="15"/>
  <cols>
    <col min="1" max="1" width="16.7109375" bestFit="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c r="E2" s="110"/>
      <c r="F2" s="146" t="s">
        <v>475</v>
      </c>
      <c r="G2" s="147" t="s">
        <v>476</v>
      </c>
      <c r="H2" s="732"/>
      <c r="I2" s="732"/>
      <c r="J2" s="732"/>
      <c r="K2" s="732"/>
      <c r="L2" s="732"/>
      <c r="M2" s="732"/>
      <c r="N2" s="732"/>
      <c r="O2" s="732"/>
      <c r="P2" s="732"/>
      <c r="Q2" s="732"/>
      <c r="R2" s="732"/>
      <c r="S2" s="732"/>
    </row>
    <row r="3" spans="1:19" ht="20.25">
      <c r="B3" s="161" t="s">
        <v>477</v>
      </c>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707</v>
      </c>
      <c r="C5" s="1124"/>
      <c r="D5" s="1124"/>
      <c r="E5" s="1124"/>
      <c r="F5" s="1124"/>
      <c r="G5" s="1125" t="s">
        <v>491</v>
      </c>
      <c r="H5" s="778"/>
      <c r="I5" s="1126"/>
      <c r="J5" s="778"/>
      <c r="K5" s="1126"/>
      <c r="L5" s="778"/>
      <c r="M5" s="1126"/>
      <c r="N5" s="778"/>
      <c r="O5" s="1126"/>
      <c r="P5" s="778"/>
      <c r="Q5" s="1126"/>
      <c r="R5" s="778"/>
      <c r="S5" s="1126"/>
    </row>
    <row r="6" spans="1:19">
      <c r="A6" s="627" t="s">
        <v>493</v>
      </c>
      <c r="B6" s="1127" t="s">
        <v>708</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c r="A8" s="414" t="s">
        <v>499</v>
      </c>
      <c r="B8" s="295"/>
      <c r="C8" s="184"/>
      <c r="D8" s="184"/>
      <c r="E8" s="184"/>
      <c r="F8" s="184"/>
      <c r="G8" s="419" t="s">
        <v>499</v>
      </c>
      <c r="H8" s="774">
        <f>I70</f>
        <v>0</v>
      </c>
      <c r="I8" s="775"/>
      <c r="J8" s="774">
        <f>K70</f>
        <v>0</v>
      </c>
      <c r="K8" s="775"/>
      <c r="L8" s="774">
        <f>M70</f>
        <v>0</v>
      </c>
      <c r="M8" s="775"/>
      <c r="N8" s="774">
        <f>O70</f>
        <v>0</v>
      </c>
      <c r="O8" s="775"/>
      <c r="P8" s="774">
        <f>Q70</f>
        <v>0</v>
      </c>
      <c r="Q8" s="775"/>
      <c r="R8" s="774">
        <f>S70</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264"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idden="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idden="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1265"/>
      <c r="B21" s="1136" t="s">
        <v>707</v>
      </c>
      <c r="C21" s="1134"/>
      <c r="D21" s="1124"/>
      <c r="E21" s="1124"/>
      <c r="F21" s="1124"/>
      <c r="G21" s="1133"/>
      <c r="H21" s="590"/>
      <c r="I21" s="1249"/>
      <c r="J21" s="590"/>
      <c r="K21" s="1250"/>
      <c r="L21" s="590"/>
      <c r="M21" s="1250"/>
      <c r="N21" s="590"/>
      <c r="O21" s="1250"/>
      <c r="P21" s="590"/>
      <c r="Q21" s="1250"/>
      <c r="R21" s="590"/>
      <c r="S21" s="1250"/>
    </row>
    <row r="22" spans="1:19" ht="15.75">
      <c r="A22" s="1266"/>
      <c r="B22" s="582" t="s">
        <v>512</v>
      </c>
      <c r="C22" s="1138"/>
      <c r="D22" s="1124"/>
      <c r="E22" s="1124"/>
      <c r="F22" s="1124"/>
      <c r="G22" s="1133"/>
      <c r="H22" s="590"/>
      <c r="I22" s="1249"/>
      <c r="J22" s="590"/>
      <c r="K22" s="97"/>
      <c r="L22" s="590"/>
      <c r="M22" s="1250"/>
      <c r="N22" s="590"/>
      <c r="O22" s="1250"/>
      <c r="P22" s="590"/>
      <c r="Q22" s="1250"/>
      <c r="R22" s="590"/>
      <c r="S22" s="1250"/>
    </row>
    <row r="23" spans="1:19">
      <c r="A23" s="1265"/>
      <c r="B23" s="1139" t="s">
        <v>513</v>
      </c>
      <c r="C23" s="1134"/>
      <c r="D23" s="1124"/>
      <c r="E23" s="1124"/>
      <c r="F23" s="1124"/>
      <c r="G23" s="1133"/>
      <c r="H23" s="590"/>
      <c r="I23" s="1249"/>
      <c r="J23" s="590"/>
      <c r="K23" s="1250"/>
      <c r="L23" s="590"/>
      <c r="M23" s="1250"/>
      <c r="N23" s="590"/>
      <c r="O23" s="1250"/>
      <c r="P23" s="590"/>
      <c r="Q23" s="1250"/>
      <c r="R23" s="590"/>
      <c r="S23" s="1250"/>
    </row>
    <row r="24" spans="1:19">
      <c r="A24" s="623"/>
      <c r="B24" s="1267" t="s">
        <v>514</v>
      </c>
      <c r="C24" s="1134"/>
      <c r="D24" s="1124"/>
      <c r="E24" s="1124"/>
      <c r="F24" s="1124"/>
      <c r="G24" s="1133"/>
      <c r="H24" s="590"/>
      <c r="I24" s="1249"/>
      <c r="J24" s="590"/>
      <c r="K24" s="1250"/>
      <c r="L24" s="590"/>
      <c r="M24" s="1250"/>
      <c r="N24" s="590"/>
      <c r="O24" s="1250"/>
      <c r="P24" s="590"/>
      <c r="Q24" s="1250"/>
      <c r="R24" s="590"/>
      <c r="S24" s="1250"/>
    </row>
    <row r="25" spans="1:19">
      <c r="A25" s="1265"/>
      <c r="B25" s="1268" t="s">
        <v>515</v>
      </c>
      <c r="C25" s="1134"/>
      <c r="D25" s="1124"/>
      <c r="E25" s="1124"/>
      <c r="F25" s="1124"/>
      <c r="G25" s="1133"/>
      <c r="H25" s="590"/>
      <c r="I25" s="1249"/>
      <c r="J25" s="590"/>
      <c r="K25" s="1250"/>
      <c r="L25" s="590"/>
      <c r="M25" s="1250"/>
      <c r="N25" s="590"/>
      <c r="O25" s="1250"/>
      <c r="P25" s="590"/>
      <c r="Q25" s="1250"/>
      <c r="R25" s="590"/>
      <c r="S25" s="1250"/>
    </row>
    <row r="26" spans="1:19">
      <c r="A26" s="623"/>
      <c r="B26" s="1268" t="s">
        <v>516</v>
      </c>
      <c r="C26" s="1134"/>
      <c r="D26" s="1124"/>
      <c r="E26" s="1124"/>
      <c r="F26" s="1124"/>
      <c r="G26" s="1133"/>
      <c r="H26" s="590"/>
      <c r="I26" s="1249"/>
      <c r="J26" s="590"/>
      <c r="K26" s="1249"/>
      <c r="L26" s="590"/>
      <c r="M26" s="1249"/>
      <c r="N26" s="590"/>
      <c r="O26" s="1249"/>
      <c r="P26" s="590"/>
      <c r="Q26" s="1249"/>
      <c r="R26" s="590"/>
      <c r="S26" s="1249"/>
    </row>
    <row r="27" spans="1:19">
      <c r="A27" s="1265"/>
      <c r="B27" s="1268" t="s">
        <v>517</v>
      </c>
      <c r="C27" s="1134"/>
      <c r="D27" s="1124"/>
      <c r="E27" s="1124"/>
      <c r="F27" s="1124"/>
      <c r="G27" s="1133"/>
      <c r="H27" s="590"/>
      <c r="I27" s="1249"/>
      <c r="J27" s="590"/>
      <c r="K27" s="1250"/>
      <c r="L27" s="590"/>
      <c r="M27" s="1250"/>
      <c r="N27" s="590"/>
      <c r="O27" s="1250"/>
      <c r="P27" s="590"/>
      <c r="Q27" s="1250"/>
      <c r="R27" s="590"/>
      <c r="S27" s="1250"/>
    </row>
    <row r="28" spans="1:19">
      <c r="A28" s="623"/>
      <c r="B28" s="1268" t="s">
        <v>518</v>
      </c>
      <c r="C28" s="1134"/>
      <c r="D28" s="1124"/>
      <c r="E28" s="1124"/>
      <c r="F28" s="1124"/>
      <c r="G28" s="1133"/>
      <c r="H28" s="590"/>
      <c r="I28" s="1249"/>
      <c r="J28" s="590"/>
      <c r="K28" s="1250"/>
      <c r="L28" s="590"/>
      <c r="M28" s="1250"/>
      <c r="N28" s="590"/>
      <c r="O28" s="1250"/>
      <c r="P28" s="590"/>
      <c r="Q28" s="1250"/>
      <c r="R28" s="590"/>
      <c r="S28" s="1250"/>
    </row>
    <row r="29" spans="1:19">
      <c r="A29" s="1265"/>
      <c r="B29" s="1268" t="s">
        <v>693</v>
      </c>
      <c r="C29" s="1134"/>
      <c r="D29" s="1124"/>
      <c r="E29" s="1124"/>
      <c r="F29" s="1124"/>
      <c r="G29" s="1133"/>
      <c r="H29" s="590"/>
      <c r="I29" s="1269"/>
      <c r="J29" s="590"/>
      <c r="K29" s="1270"/>
      <c r="L29" s="590"/>
      <c r="M29" s="1270"/>
      <c r="N29" s="590"/>
      <c r="O29" s="1270"/>
      <c r="P29" s="590"/>
      <c r="Q29" s="1270"/>
      <c r="R29" s="590"/>
      <c r="S29" s="1270"/>
    </row>
    <row r="30" spans="1:19">
      <c r="A30" s="1265"/>
      <c r="B30" s="1271" t="s">
        <v>519</v>
      </c>
      <c r="C30" s="1134"/>
      <c r="D30" s="1124"/>
      <c r="E30" s="1124"/>
      <c r="F30" s="1124"/>
      <c r="G30" s="1133"/>
      <c r="H30" s="590"/>
      <c r="I30" s="1249"/>
      <c r="J30" s="590"/>
      <c r="K30" s="1250"/>
      <c r="L30" s="590"/>
      <c r="M30" s="1250"/>
      <c r="N30" s="590"/>
      <c r="O30" s="1250"/>
      <c r="P30" s="590"/>
      <c r="Q30" s="1250"/>
      <c r="R30" s="590"/>
      <c r="S30" s="1250"/>
    </row>
    <row r="31" spans="1:19">
      <c r="A31" s="623"/>
      <c r="B31" s="1272" t="s">
        <v>520</v>
      </c>
      <c r="C31" s="1144"/>
      <c r="D31" s="1145"/>
      <c r="E31" s="1145"/>
      <c r="F31" s="1145"/>
      <c r="G31" s="1147"/>
      <c r="H31" s="619"/>
      <c r="I31" s="1273"/>
      <c r="J31" s="619"/>
      <c r="K31" s="1274"/>
      <c r="L31" s="619"/>
      <c r="M31" s="1274"/>
      <c r="N31" s="619"/>
      <c r="O31" s="1274"/>
      <c r="P31" s="619"/>
      <c r="Q31" s="1274"/>
      <c r="R31" s="619"/>
      <c r="S31" s="1274"/>
    </row>
    <row r="32" spans="1:19">
      <c r="A32" s="1265"/>
      <c r="B32" s="1275"/>
      <c r="C32" s="1134"/>
      <c r="D32" s="1124"/>
      <c r="E32" s="1124"/>
      <c r="F32" s="1124"/>
      <c r="G32" s="1133"/>
      <c r="H32" s="590"/>
      <c r="I32" s="1249"/>
      <c r="J32" s="590"/>
      <c r="K32" s="1250"/>
      <c r="L32" s="590"/>
      <c r="M32" s="1250"/>
      <c r="N32" s="590"/>
      <c r="O32" s="1250"/>
      <c r="P32" s="590"/>
      <c r="Q32" s="1250"/>
      <c r="R32" s="590"/>
      <c r="S32" s="1250"/>
    </row>
    <row r="33" spans="1:19">
      <c r="A33" s="623"/>
      <c r="B33" s="642"/>
      <c r="C33" s="1134"/>
      <c r="D33" s="1124"/>
      <c r="E33" s="1124"/>
      <c r="F33" s="1124"/>
      <c r="G33" s="1133"/>
      <c r="H33" s="590"/>
      <c r="I33" s="1249"/>
      <c r="J33" s="590"/>
      <c r="K33" s="1250"/>
      <c r="L33" s="590"/>
      <c r="M33" s="1250"/>
      <c r="N33" s="590"/>
      <c r="O33" s="1250"/>
      <c r="P33" s="590"/>
      <c r="Q33" s="1250"/>
      <c r="R33" s="590"/>
      <c r="S33" s="1250"/>
    </row>
    <row r="34" spans="1:19">
      <c r="A34" s="1265"/>
      <c r="B34" s="643"/>
      <c r="C34" s="1134"/>
      <c r="D34" s="1124"/>
      <c r="E34" s="1124"/>
      <c r="F34" s="1124"/>
      <c r="G34" s="1133"/>
      <c r="H34" s="590"/>
      <c r="I34" s="1249"/>
      <c r="J34" s="590"/>
      <c r="K34" s="1250"/>
      <c r="L34" s="590"/>
      <c r="M34" s="1250"/>
      <c r="N34" s="590"/>
      <c r="O34" s="1250"/>
      <c r="P34" s="590"/>
      <c r="Q34" s="1250"/>
      <c r="R34" s="590"/>
      <c r="S34" s="1250"/>
    </row>
    <row r="35" spans="1:19">
      <c r="A35" s="623"/>
      <c r="B35" s="643"/>
      <c r="C35" s="1134"/>
      <c r="D35" s="1124"/>
      <c r="E35" s="1124"/>
      <c r="F35" s="1124"/>
      <c r="G35" s="1133"/>
      <c r="H35" s="590"/>
      <c r="I35" s="1249"/>
      <c r="J35" s="590"/>
      <c r="K35" s="1250"/>
      <c r="L35" s="590"/>
      <c r="M35" s="1250"/>
      <c r="N35" s="590"/>
      <c r="O35" s="1250"/>
      <c r="P35" s="590"/>
      <c r="Q35" s="1250"/>
      <c r="R35" s="590"/>
      <c r="S35" s="1250"/>
    </row>
    <row r="36" spans="1:19">
      <c r="A36" s="1265"/>
      <c r="B36" s="643"/>
      <c r="C36" s="1154"/>
      <c r="D36" s="1154"/>
      <c r="E36" s="1124"/>
      <c r="F36" s="1124"/>
      <c r="G36" s="1133"/>
      <c r="H36" s="590" t="s">
        <v>709</v>
      </c>
      <c r="I36" s="1249"/>
      <c r="J36" s="590"/>
      <c r="K36" s="1250"/>
      <c r="L36" s="590"/>
      <c r="M36" s="1249"/>
      <c r="N36" s="590"/>
      <c r="O36" s="1249"/>
      <c r="P36" s="590"/>
      <c r="Q36" s="1250"/>
      <c r="R36" s="590"/>
      <c r="S36" s="1250"/>
    </row>
    <row r="37" spans="1:19">
      <c r="A37" s="623"/>
      <c r="B37" s="643"/>
      <c r="C37" s="1154"/>
      <c r="D37" s="1154"/>
      <c r="E37" s="1124"/>
      <c r="F37" s="1124"/>
      <c r="G37" s="1133"/>
      <c r="H37" s="590" t="s">
        <v>710</v>
      </c>
      <c r="I37" s="1249"/>
      <c r="J37" s="590"/>
      <c r="K37" s="1250"/>
      <c r="L37" s="590"/>
      <c r="M37" s="1250"/>
      <c r="N37" s="590"/>
      <c r="O37" s="1250"/>
      <c r="P37" s="590"/>
      <c r="Q37" s="1250"/>
      <c r="R37" s="590"/>
      <c r="S37" s="1250"/>
    </row>
    <row r="38" spans="1:19">
      <c r="A38" s="1265"/>
      <c r="B38" s="643"/>
      <c r="C38" s="1154"/>
      <c r="D38" s="1154"/>
      <c r="E38" s="1124"/>
      <c r="F38" s="1124"/>
      <c r="G38" s="1133"/>
      <c r="H38" s="590"/>
      <c r="I38" s="1249"/>
      <c r="J38" s="590"/>
      <c r="K38" s="1250"/>
      <c r="L38" s="590"/>
      <c r="M38" s="1250"/>
      <c r="N38" s="590"/>
      <c r="O38" s="1250"/>
      <c r="P38" s="590"/>
      <c r="Q38" s="1250"/>
      <c r="R38" s="590"/>
      <c r="S38" s="1250"/>
    </row>
    <row r="39" spans="1:19">
      <c r="A39" s="623"/>
      <c r="B39" s="643"/>
      <c r="C39" s="1154"/>
      <c r="D39" s="1154"/>
      <c r="E39" s="1124"/>
      <c r="F39" s="1124"/>
      <c r="G39" s="1133"/>
      <c r="H39" s="590"/>
      <c r="I39" s="1249"/>
      <c r="J39" s="590"/>
      <c r="K39" s="1250"/>
      <c r="L39" s="590"/>
      <c r="M39" s="1250"/>
      <c r="N39" s="590"/>
      <c r="O39" s="1250"/>
      <c r="P39" s="590"/>
      <c r="Q39" s="1250"/>
      <c r="R39" s="590"/>
      <c r="S39" s="1250"/>
    </row>
    <row r="40" spans="1:19">
      <c r="A40" s="1265"/>
      <c r="B40" s="643"/>
      <c r="C40" s="1154"/>
      <c r="D40" s="1154"/>
      <c r="E40" s="1124"/>
      <c r="F40" s="1124"/>
      <c r="G40" s="1133"/>
      <c r="H40" s="590"/>
      <c r="I40" s="1249"/>
      <c r="J40" s="590"/>
      <c r="K40" s="1250"/>
      <c r="L40" s="590"/>
      <c r="M40" s="1250"/>
      <c r="N40" s="590"/>
      <c r="O40" s="1250"/>
      <c r="P40" s="590"/>
      <c r="Q40" s="1250"/>
      <c r="R40" s="590"/>
      <c r="S40" s="1250"/>
    </row>
    <row r="41" spans="1:19">
      <c r="A41" s="623"/>
      <c r="B41" s="643"/>
      <c r="C41" s="1154"/>
      <c r="D41" s="1154"/>
      <c r="E41" s="1124"/>
      <c r="F41" s="1124"/>
      <c r="G41" s="1133"/>
      <c r="H41" s="590"/>
      <c r="I41" s="1249"/>
      <c r="J41" s="590"/>
      <c r="K41" s="1250"/>
      <c r="L41" s="590"/>
      <c r="M41" s="1250"/>
      <c r="N41" s="590"/>
      <c r="O41" s="1250"/>
      <c r="P41" s="590"/>
      <c r="Q41" s="1250"/>
      <c r="R41" s="590"/>
      <c r="S41" s="1250"/>
    </row>
    <row r="42" spans="1:19" ht="15.75" customHeight="1">
      <c r="A42" s="1265"/>
      <c r="B42" s="643"/>
      <c r="C42" s="1154"/>
      <c r="D42" s="1154"/>
      <c r="E42" s="1124"/>
      <c r="F42" s="1124"/>
      <c r="G42" s="1133"/>
      <c r="H42" s="590"/>
      <c r="I42" s="1249"/>
      <c r="J42" s="590"/>
      <c r="K42" s="1250"/>
      <c r="L42" s="590"/>
      <c r="M42" s="1250"/>
      <c r="N42" s="590"/>
      <c r="O42" s="1250"/>
      <c r="P42" s="590"/>
      <c r="Q42" s="1250"/>
      <c r="R42" s="590"/>
      <c r="S42" s="1250"/>
    </row>
    <row r="43" spans="1:19">
      <c r="A43" s="623"/>
      <c r="B43" s="643"/>
      <c r="C43" s="1154"/>
      <c r="D43" s="1154"/>
      <c r="E43" s="1124"/>
      <c r="F43" s="1124"/>
      <c r="G43" s="1133"/>
      <c r="H43" s="590"/>
      <c r="I43" s="1249"/>
      <c r="J43" s="590"/>
      <c r="K43" s="1250"/>
      <c r="L43" s="590"/>
      <c r="M43" s="1250"/>
      <c r="N43" s="590"/>
      <c r="O43" s="1250"/>
      <c r="P43" s="590"/>
      <c r="Q43" s="1250"/>
      <c r="R43" s="590"/>
      <c r="S43" s="1250"/>
    </row>
    <row r="44" spans="1:19">
      <c r="A44" s="1265"/>
      <c r="B44" s="642"/>
      <c r="C44" s="1154"/>
      <c r="D44" s="1154"/>
      <c r="E44" s="1124"/>
      <c r="F44" s="1124"/>
      <c r="G44" s="1133"/>
      <c r="H44" s="590"/>
      <c r="I44" s="1249"/>
      <c r="J44" s="590"/>
      <c r="K44" s="1250"/>
      <c r="L44" s="590"/>
      <c r="M44" s="1250"/>
      <c r="N44" s="590"/>
      <c r="O44" s="1250"/>
      <c r="P44" s="590"/>
      <c r="Q44" s="1250"/>
      <c r="R44" s="590"/>
      <c r="S44" s="1250"/>
    </row>
    <row r="45" spans="1:19">
      <c r="A45" s="623"/>
      <c r="B45" s="643"/>
      <c r="C45" s="1154"/>
      <c r="D45" s="1154"/>
      <c r="E45" s="1124"/>
      <c r="F45" s="1124"/>
      <c r="G45" s="1133"/>
      <c r="H45" s="590"/>
      <c r="I45" s="1249"/>
      <c r="J45" s="590"/>
      <c r="K45" s="1250"/>
      <c r="L45" s="590"/>
      <c r="M45" s="1250"/>
      <c r="N45" s="590"/>
      <c r="O45" s="1250"/>
      <c r="P45" s="590"/>
      <c r="Q45" s="1250"/>
      <c r="R45" s="590"/>
      <c r="S45" s="1250"/>
    </row>
    <row r="46" spans="1:19">
      <c r="A46" s="1265"/>
      <c r="B46" s="643"/>
      <c r="C46" s="1154"/>
      <c r="D46" s="1154"/>
      <c r="E46" s="1124"/>
      <c r="F46" s="1124"/>
      <c r="G46" s="1133"/>
      <c r="H46" s="590"/>
      <c r="I46" s="1249"/>
      <c r="J46" s="590"/>
      <c r="K46" s="1250"/>
      <c r="L46" s="590"/>
      <c r="M46" s="1250"/>
      <c r="N46" s="590"/>
      <c r="O46" s="1250"/>
      <c r="P46" s="590"/>
      <c r="Q46" s="1250"/>
      <c r="R46" s="590"/>
      <c r="S46" s="1250"/>
    </row>
    <row r="47" spans="1:19">
      <c r="A47" s="623"/>
      <c r="B47" s="643"/>
      <c r="C47" s="1154"/>
      <c r="D47" s="1154"/>
      <c r="E47" s="1124"/>
      <c r="F47" s="1124"/>
      <c r="G47" s="1133"/>
      <c r="H47" s="590"/>
      <c r="I47" s="1249"/>
      <c r="J47" s="590"/>
      <c r="K47" s="1250"/>
      <c r="L47" s="590"/>
      <c r="M47" s="1250"/>
      <c r="N47" s="590"/>
      <c r="O47" s="1250"/>
      <c r="P47" s="590"/>
      <c r="Q47" s="1250"/>
      <c r="R47" s="590"/>
      <c r="S47" s="1250"/>
    </row>
    <row r="48" spans="1:19">
      <c r="A48" s="1265"/>
      <c r="B48" s="643"/>
      <c r="C48" s="1154"/>
      <c r="D48" s="1154"/>
      <c r="E48" s="1124"/>
      <c r="F48" s="1124"/>
      <c r="G48" s="1133"/>
      <c r="H48" s="590"/>
      <c r="I48" s="1249"/>
      <c r="J48" s="590"/>
      <c r="K48" s="1250"/>
      <c r="L48" s="590"/>
      <c r="M48" s="1250"/>
      <c r="N48" s="590"/>
      <c r="O48" s="1250"/>
      <c r="P48" s="590"/>
      <c r="Q48" s="1250"/>
      <c r="R48" s="590"/>
      <c r="S48" s="1250"/>
    </row>
    <row r="49" spans="1:19">
      <c r="A49" s="623"/>
      <c r="B49" s="642"/>
      <c r="C49" s="1154"/>
      <c r="D49" s="1154"/>
      <c r="E49" s="1124"/>
      <c r="F49" s="1124"/>
      <c r="G49" s="1133"/>
      <c r="H49" s="590"/>
      <c r="I49" s="1249"/>
      <c r="J49" s="590"/>
      <c r="K49" s="1250"/>
      <c r="L49" s="590"/>
      <c r="M49" s="1250"/>
      <c r="N49" s="590"/>
      <c r="O49" s="1250"/>
      <c r="P49" s="590"/>
      <c r="Q49" s="1250"/>
      <c r="R49" s="590"/>
      <c r="S49" s="1250"/>
    </row>
    <row r="50" spans="1:19">
      <c r="A50" s="1265"/>
      <c r="B50" s="643"/>
      <c r="C50" s="1154"/>
      <c r="D50" s="1154"/>
      <c r="E50" s="1124"/>
      <c r="F50" s="1124"/>
      <c r="G50" s="1133"/>
      <c r="H50" s="590"/>
      <c r="I50" s="1249"/>
      <c r="J50" s="590"/>
      <c r="K50" s="1250"/>
      <c r="L50" s="590"/>
      <c r="M50" s="1250"/>
      <c r="N50" s="590"/>
      <c r="O50" s="1250"/>
      <c r="P50" s="590"/>
      <c r="Q50" s="1250"/>
      <c r="R50" s="590"/>
      <c r="S50" s="1250"/>
    </row>
    <row r="51" spans="1:19">
      <c r="A51" s="623"/>
      <c r="B51" s="641"/>
      <c r="C51" s="1154"/>
      <c r="D51" s="1154"/>
      <c r="E51" s="1124"/>
      <c r="F51" s="1124"/>
      <c r="G51" s="1133"/>
      <c r="H51" s="590"/>
      <c r="I51" s="1249"/>
      <c r="J51" s="590"/>
      <c r="K51" s="1250"/>
      <c r="L51" s="590"/>
      <c r="M51" s="1250"/>
      <c r="N51" s="590"/>
      <c r="O51" s="1250"/>
      <c r="P51" s="590"/>
      <c r="Q51" s="1250"/>
      <c r="R51" s="590"/>
      <c r="S51" s="1250"/>
    </row>
    <row r="52" spans="1:19">
      <c r="A52" s="1265"/>
      <c r="B52" s="641"/>
      <c r="C52" s="1154"/>
      <c r="D52" s="1154"/>
      <c r="E52" s="1124"/>
      <c r="F52" s="1124"/>
      <c r="G52" s="1133"/>
      <c r="H52" s="590"/>
      <c r="I52" s="1249"/>
      <c r="J52" s="590"/>
      <c r="K52" s="1250"/>
      <c r="L52" s="590"/>
      <c r="M52" s="1250"/>
      <c r="N52" s="590"/>
      <c r="O52" s="1250"/>
      <c r="P52" s="590"/>
      <c r="Q52" s="1250"/>
      <c r="R52" s="590"/>
      <c r="S52" s="1250"/>
    </row>
    <row r="53" spans="1:19">
      <c r="A53" s="623"/>
      <c r="B53" s="641"/>
      <c r="C53" s="1134"/>
      <c r="D53" s="1124"/>
      <c r="E53" s="1124"/>
      <c r="F53" s="1124"/>
      <c r="G53" s="1133"/>
      <c r="H53" s="590"/>
      <c r="I53" s="1249"/>
      <c r="J53" s="590"/>
      <c r="K53" s="1250"/>
      <c r="L53" s="590"/>
      <c r="M53" s="1250"/>
      <c r="N53" s="590"/>
      <c r="O53" s="1250"/>
      <c r="P53" s="590"/>
      <c r="Q53" s="1250"/>
      <c r="R53" s="590"/>
      <c r="S53" s="1250"/>
    </row>
    <row r="54" spans="1:19">
      <c r="A54" s="1265"/>
      <c r="B54" s="641"/>
      <c r="C54" s="1134"/>
      <c r="D54" s="1124"/>
      <c r="E54" s="1124"/>
      <c r="F54" s="1124"/>
      <c r="G54" s="1133"/>
      <c r="H54" s="590"/>
      <c r="I54" s="1249"/>
      <c r="J54" s="590"/>
      <c r="K54" s="1250"/>
      <c r="L54" s="590"/>
      <c r="M54" s="1250"/>
      <c r="N54" s="590"/>
      <c r="O54" s="1250"/>
      <c r="P54" s="590"/>
      <c r="Q54" s="1250"/>
      <c r="R54" s="590"/>
      <c r="S54" s="1250"/>
    </row>
    <row r="55" spans="1:19">
      <c r="A55" s="623"/>
      <c r="B55" s="641"/>
      <c r="C55" s="1134"/>
      <c r="D55" s="1124"/>
      <c r="E55" s="1124"/>
      <c r="F55" s="1124"/>
      <c r="G55" s="1133"/>
      <c r="H55" s="590"/>
      <c r="I55" s="1249"/>
      <c r="J55" s="590"/>
      <c r="K55" s="1250"/>
      <c r="L55" s="590"/>
      <c r="M55" s="1250"/>
      <c r="N55" s="590"/>
      <c r="O55" s="1250"/>
      <c r="P55" s="590"/>
      <c r="Q55" s="1249"/>
      <c r="R55" s="590"/>
      <c r="S55" s="1249"/>
    </row>
    <row r="56" spans="1:19">
      <c r="A56" s="1265"/>
      <c r="B56" s="641"/>
      <c r="C56" s="1134"/>
      <c r="D56" s="1124"/>
      <c r="E56" s="1124"/>
      <c r="F56" s="1124"/>
      <c r="G56" s="1133"/>
      <c r="H56" s="590"/>
      <c r="I56" s="1249"/>
      <c r="J56" s="590"/>
      <c r="K56" s="1250"/>
      <c r="L56" s="590"/>
      <c r="M56" s="1250"/>
      <c r="N56" s="590"/>
      <c r="O56" s="1250"/>
      <c r="P56" s="590"/>
      <c r="Q56" s="1250"/>
      <c r="R56" s="590"/>
      <c r="S56" s="1250"/>
    </row>
    <row r="57" spans="1:19">
      <c r="A57" s="623"/>
      <c r="B57" s="641"/>
      <c r="C57" s="1134"/>
      <c r="D57" s="1124"/>
      <c r="E57" s="1124"/>
      <c r="F57" s="1124"/>
      <c r="G57" s="1133"/>
      <c r="H57" s="590"/>
      <c r="I57" s="1249"/>
      <c r="J57" s="590"/>
      <c r="K57" s="1250"/>
      <c r="L57" s="590"/>
      <c r="M57" s="1250"/>
      <c r="N57" s="590"/>
      <c r="O57" s="1250"/>
      <c r="P57" s="590"/>
      <c r="Q57" s="1250"/>
      <c r="R57" s="590"/>
      <c r="S57" s="1250"/>
    </row>
    <row r="58" spans="1:19">
      <c r="A58" s="1265"/>
      <c r="B58" s="642"/>
      <c r="C58" s="1134"/>
      <c r="D58" s="1124"/>
      <c r="E58" s="1124"/>
      <c r="F58" s="1124"/>
      <c r="G58" s="1133"/>
      <c r="H58" s="590"/>
      <c r="I58" s="1249"/>
      <c r="J58" s="590"/>
      <c r="K58" s="1250"/>
      <c r="L58" s="590"/>
      <c r="M58" s="1250"/>
      <c r="N58" s="590"/>
      <c r="O58" s="1250"/>
      <c r="P58" s="590"/>
      <c r="Q58" s="1250"/>
      <c r="R58" s="590"/>
      <c r="S58" s="1250"/>
    </row>
    <row r="59" spans="1:19">
      <c r="A59" s="623"/>
      <c r="B59" s="641"/>
      <c r="C59" s="1134"/>
      <c r="D59" s="1124"/>
      <c r="E59" s="1124"/>
      <c r="F59" s="1124"/>
      <c r="G59" s="1133"/>
      <c r="H59" s="590"/>
      <c r="I59" s="1249"/>
      <c r="J59" s="590"/>
      <c r="K59" s="1250"/>
      <c r="L59" s="590"/>
      <c r="M59" s="1250"/>
      <c r="N59" s="590"/>
      <c r="O59" s="1250"/>
      <c r="P59" s="590"/>
      <c r="Q59" s="1250"/>
      <c r="R59" s="590"/>
      <c r="S59" s="1250"/>
    </row>
    <row r="60" spans="1:19">
      <c r="A60" s="1265"/>
      <c r="B60" s="641"/>
      <c r="C60" s="1134"/>
      <c r="D60" s="1124"/>
      <c r="E60" s="1124"/>
      <c r="F60" s="1124"/>
      <c r="G60" s="1133"/>
      <c r="H60" s="590"/>
      <c r="I60" s="1249"/>
      <c r="J60" s="590"/>
      <c r="K60" s="1250"/>
      <c r="L60" s="590"/>
      <c r="M60" s="1250"/>
      <c r="N60" s="590"/>
      <c r="O60" s="1250"/>
      <c r="P60" s="590"/>
      <c r="Q60" s="1250"/>
      <c r="R60" s="590"/>
      <c r="S60" s="1250"/>
    </row>
    <row r="61" spans="1:19">
      <c r="A61" s="623"/>
      <c r="B61" s="641"/>
      <c r="C61" s="1134"/>
      <c r="D61" s="1124"/>
      <c r="E61" s="1124"/>
      <c r="F61" s="1124"/>
      <c r="G61" s="1133"/>
      <c r="H61" s="590"/>
      <c r="I61" s="1249"/>
      <c r="J61" s="590"/>
      <c r="K61" s="1250"/>
      <c r="L61" s="590"/>
      <c r="M61" s="1250"/>
      <c r="N61" s="590"/>
      <c r="O61" s="1250"/>
      <c r="P61" s="590"/>
      <c r="Q61" s="1250"/>
      <c r="R61" s="590"/>
      <c r="S61" s="1250"/>
    </row>
    <row r="62" spans="1:19">
      <c r="A62" s="1265"/>
      <c r="B62" s="641"/>
      <c r="C62" s="1134"/>
      <c r="D62" s="1124"/>
      <c r="E62" s="1124"/>
      <c r="F62" s="1124"/>
      <c r="G62" s="1133"/>
      <c r="H62" s="590"/>
      <c r="I62" s="1249"/>
      <c r="J62" s="590"/>
      <c r="K62" s="1250"/>
      <c r="L62" s="590"/>
      <c r="M62" s="1250"/>
      <c r="N62" s="590"/>
      <c r="O62" s="1250"/>
      <c r="P62" s="590"/>
      <c r="Q62" s="1250"/>
      <c r="R62" s="590"/>
      <c r="S62" s="1250"/>
    </row>
    <row r="63" spans="1:19">
      <c r="A63" s="623"/>
      <c r="B63" s="641"/>
      <c r="C63" s="1134"/>
      <c r="D63" s="1124"/>
      <c r="E63" s="1124"/>
      <c r="F63" s="1124"/>
      <c r="G63" s="1133"/>
      <c r="H63" s="590"/>
      <c r="I63" s="1249"/>
      <c r="J63" s="590"/>
      <c r="K63" s="1250"/>
      <c r="L63" s="590"/>
      <c r="M63" s="1250"/>
      <c r="N63" s="590"/>
      <c r="O63" s="1250"/>
      <c r="P63" s="590"/>
      <c r="Q63" s="1250"/>
      <c r="R63" s="590"/>
      <c r="S63" s="1250"/>
    </row>
    <row r="64" spans="1:19">
      <c r="A64" s="1265"/>
      <c r="B64" s="145"/>
      <c r="C64" s="1134"/>
      <c r="D64" s="1124"/>
      <c r="E64" s="1124"/>
      <c r="F64" s="1124"/>
      <c r="G64" s="1133"/>
      <c r="H64" s="590"/>
      <c r="I64" s="1249"/>
      <c r="J64" s="590"/>
      <c r="K64" s="1250"/>
      <c r="L64" s="590"/>
      <c r="M64" s="1250"/>
      <c r="N64" s="590"/>
      <c r="O64" s="1250"/>
      <c r="P64" s="590"/>
      <c r="Q64" s="1250"/>
      <c r="R64" s="590"/>
      <c r="S64" s="1250"/>
    </row>
    <row r="65" spans="1:19">
      <c r="A65" s="623"/>
      <c r="B65" s="643"/>
      <c r="C65" s="1134"/>
      <c r="D65" s="1124"/>
      <c r="E65" s="1124"/>
      <c r="F65" s="1124"/>
      <c r="G65" s="1133"/>
      <c r="H65" s="590"/>
      <c r="I65" s="1249"/>
      <c r="J65" s="590"/>
      <c r="K65" s="1250"/>
      <c r="L65" s="590"/>
      <c r="M65" s="1250"/>
      <c r="N65" s="590"/>
      <c r="O65" s="1250"/>
      <c r="P65" s="590"/>
      <c r="Q65" s="1250"/>
      <c r="R65" s="590"/>
      <c r="S65" s="1250"/>
    </row>
    <row r="66" spans="1:19">
      <c r="A66" s="14"/>
      <c r="B66" s="15"/>
      <c r="C66" s="16"/>
      <c r="D66" s="16"/>
      <c r="E66" s="17"/>
      <c r="F66" s="18" t="s">
        <v>567</v>
      </c>
      <c r="G66" s="19"/>
      <c r="H66" s="20"/>
      <c r="I66" s="61">
        <f>SUM(I22:I65)</f>
        <v>0</v>
      </c>
      <c r="J66" s="20"/>
      <c r="K66" s="61">
        <f>SUM(K22:K65)</f>
        <v>0</v>
      </c>
      <c r="L66" s="20"/>
      <c r="M66" s="61">
        <f>SUM(M22:M65)</f>
        <v>0</v>
      </c>
      <c r="N66" s="20"/>
      <c r="O66" s="61">
        <f>SUM(O22:O65)</f>
        <v>0</v>
      </c>
      <c r="P66" s="20"/>
      <c r="Q66" s="61">
        <f>SUM(Q22:Q65)</f>
        <v>0</v>
      </c>
      <c r="R66" s="20"/>
      <c r="S66" s="61">
        <f>SUM(S22:S65)</f>
        <v>0</v>
      </c>
    </row>
    <row r="67" spans="1:19">
      <c r="A67" s="624"/>
      <c r="B67" s="1156"/>
      <c r="C67" s="1157"/>
      <c r="D67" s="1157"/>
      <c r="E67" s="1158"/>
      <c r="F67" s="1159" t="s">
        <v>568</v>
      </c>
      <c r="G67" s="1160"/>
      <c r="H67" s="593">
        <v>0</v>
      </c>
      <c r="I67" s="415"/>
      <c r="J67" s="593">
        <v>0</v>
      </c>
      <c r="K67" s="415"/>
      <c r="L67" s="593">
        <v>0</v>
      </c>
      <c r="M67" s="415"/>
      <c r="N67" s="593">
        <v>0</v>
      </c>
      <c r="O67" s="415"/>
      <c r="P67" s="593">
        <v>0</v>
      </c>
      <c r="Q67" s="415"/>
      <c r="R67" s="593">
        <v>0</v>
      </c>
      <c r="S67" s="415"/>
    </row>
    <row r="68" spans="1:19">
      <c r="A68" s="624"/>
      <c r="B68" s="1156"/>
      <c r="C68" s="1157"/>
      <c r="D68" s="1157"/>
      <c r="E68" s="1158"/>
      <c r="F68" s="1159" t="s">
        <v>569</v>
      </c>
      <c r="G68" s="1160"/>
      <c r="H68" s="594"/>
      <c r="I68" s="598">
        <f>H67*I66</f>
        <v>0</v>
      </c>
      <c r="J68" s="594"/>
      <c r="K68" s="598">
        <f>J67*K66</f>
        <v>0</v>
      </c>
      <c r="L68" s="594"/>
      <c r="M68" s="598">
        <f>L67*M66</f>
        <v>0</v>
      </c>
      <c r="N68" s="594"/>
      <c r="O68" s="598">
        <f>N67*O66</f>
        <v>0</v>
      </c>
      <c r="P68" s="594"/>
      <c r="Q68" s="598">
        <f>P67*Q66</f>
        <v>0</v>
      </c>
      <c r="R68" s="594"/>
      <c r="S68" s="598">
        <f>R67*S66</f>
        <v>0</v>
      </c>
    </row>
    <row r="69" spans="1:19">
      <c r="A69" s="624"/>
      <c r="B69" s="1156"/>
      <c r="C69" s="1157"/>
      <c r="D69" s="1157"/>
      <c r="E69" s="1158"/>
      <c r="F69" s="1159"/>
      <c r="G69" s="1160"/>
      <c r="H69" s="594"/>
      <c r="I69" s="596"/>
      <c r="J69" s="594"/>
      <c r="K69" s="596"/>
      <c r="L69" s="594"/>
      <c r="M69" s="596"/>
      <c r="N69" s="594"/>
      <c r="O69" s="596"/>
      <c r="P69" s="594"/>
      <c r="Q69" s="596"/>
      <c r="R69" s="594"/>
      <c r="S69" s="596"/>
    </row>
    <row r="70" spans="1:19">
      <c r="A70" s="624"/>
      <c r="B70" s="1156"/>
      <c r="C70" s="1157"/>
      <c r="D70" s="1157"/>
      <c r="E70" s="1158"/>
      <c r="F70" s="1159" t="s">
        <v>570</v>
      </c>
      <c r="G70" s="1160"/>
      <c r="H70" s="597"/>
      <c r="I70" s="598">
        <f>SUM(I66:I68)</f>
        <v>0</v>
      </c>
      <c r="J70" s="597"/>
      <c r="K70" s="598">
        <f>SUM(K66:K68)</f>
        <v>0</v>
      </c>
      <c r="L70" s="597"/>
      <c r="M70" s="598">
        <f>SUM(M66:M68)</f>
        <v>0</v>
      </c>
      <c r="N70" s="597"/>
      <c r="O70" s="598">
        <f>SUM(O66:O68)</f>
        <v>0</v>
      </c>
      <c r="P70" s="597"/>
      <c r="Q70" s="598">
        <f>SUM(Q66:Q68)</f>
        <v>0</v>
      </c>
      <c r="R70" s="597"/>
      <c r="S70" s="598">
        <f>SUM(S66:S68)</f>
        <v>0</v>
      </c>
    </row>
    <row r="71" spans="1:19">
      <c r="A71" s="624"/>
      <c r="B71" s="1156"/>
      <c r="C71" s="1157"/>
      <c r="D71" s="1157"/>
      <c r="E71" s="1158"/>
      <c r="F71" s="1161" t="s">
        <v>571</v>
      </c>
      <c r="G71" s="1162"/>
      <c r="H71" s="599"/>
      <c r="I71" s="600" t="e">
        <f>I70/'Area Calculations'!$J$4</f>
        <v>#DIV/0!</v>
      </c>
      <c r="J71" s="599"/>
      <c r="K71" s="600" t="e">
        <f>K70/'Area Calculations'!$J$4</f>
        <v>#DIV/0!</v>
      </c>
      <c r="L71" s="599"/>
      <c r="M71" s="600" t="e">
        <f>M70/'Area Calculations'!$J$4</f>
        <v>#DIV/0!</v>
      </c>
      <c r="N71" s="599"/>
      <c r="O71" s="600" t="e">
        <f>O70/'Area Calculations'!$J$4</f>
        <v>#DIV/0!</v>
      </c>
      <c r="P71" s="599"/>
      <c r="Q71" s="600" t="e">
        <f>Q70/'Area Calculations'!$J$4</f>
        <v>#DIV/0!</v>
      </c>
      <c r="R71" s="599"/>
      <c r="S71" s="600" t="e">
        <f>S70/'Area Calculations'!$J$4</f>
        <v>#DIV/0!</v>
      </c>
    </row>
    <row r="72" spans="1:19">
      <c r="A72" s="624"/>
      <c r="B72" s="1156"/>
      <c r="C72" s="1157"/>
      <c r="D72" s="1157"/>
      <c r="E72" s="1158"/>
      <c r="F72" s="1161" t="s">
        <v>572</v>
      </c>
      <c r="G72" s="1163"/>
      <c r="H72" s="599"/>
      <c r="I72" s="600" t="e">
        <f>I70/'Area Calculations'!#REF!</f>
        <v>#REF!</v>
      </c>
      <c r="J72" s="599"/>
      <c r="K72" s="600" t="e">
        <f>K70/'Area Calculations'!#REF!</f>
        <v>#REF!</v>
      </c>
      <c r="L72" s="599"/>
      <c r="M72" s="600" t="e">
        <f>M70/'Area Calculations'!#REF!</f>
        <v>#REF!</v>
      </c>
      <c r="N72" s="599"/>
      <c r="O72" s="600" t="e">
        <f>O70/'Area Calculations'!#REF!</f>
        <v>#REF!</v>
      </c>
      <c r="P72" s="599"/>
      <c r="Q72" s="600" t="e">
        <f>Q70/'Area Calculations'!#REF!</f>
        <v>#REF!</v>
      </c>
      <c r="R72" s="599"/>
      <c r="S72" s="600" t="e">
        <f>S70/'Area Calculations'!#REF!</f>
        <v>#REF!</v>
      </c>
    </row>
    <row r="73" spans="1:19">
      <c r="A73" s="624"/>
      <c r="B73" s="1156"/>
      <c r="C73" s="1157"/>
      <c r="D73" s="1157"/>
      <c r="E73" s="1158"/>
      <c r="F73" s="1159"/>
      <c r="G73" s="1160"/>
      <c r="H73" s="603"/>
      <c r="I73" s="603"/>
      <c r="J73" s="603"/>
      <c r="K73" s="603"/>
      <c r="L73" s="603"/>
      <c r="M73" s="603"/>
      <c r="N73" s="603"/>
      <c r="O73" s="603"/>
      <c r="P73" s="603"/>
      <c r="Q73" s="603"/>
      <c r="R73" s="603"/>
      <c r="S73" s="603"/>
    </row>
    <row r="74" spans="1:19">
      <c r="A74" s="726" t="s">
        <v>573</v>
      </c>
      <c r="B74" s="727"/>
      <c r="C74" s="12"/>
      <c r="D74" s="12"/>
      <c r="E74" s="12"/>
      <c r="F74" s="12"/>
      <c r="G74" s="13"/>
      <c r="H74" s="21"/>
      <c r="I74" s="21"/>
      <c r="J74" s="21"/>
      <c r="K74" s="21"/>
      <c r="L74" s="21"/>
      <c r="M74" s="21"/>
      <c r="N74" s="21"/>
      <c r="O74" s="21"/>
      <c r="P74" s="21"/>
      <c r="Q74" s="21"/>
      <c r="R74" s="21"/>
      <c r="S74" s="21"/>
    </row>
    <row r="75" spans="1:19">
      <c r="A75" s="1276"/>
      <c r="B75" s="862"/>
      <c r="C75" s="1277"/>
      <c r="D75" s="1277"/>
      <c r="E75" s="1277"/>
      <c r="F75" s="1277"/>
      <c r="G75" s="1278"/>
      <c r="H75" s="1279"/>
      <c r="I75" s="1279"/>
      <c r="J75" s="1279"/>
      <c r="K75" s="1279"/>
      <c r="L75" s="1279"/>
      <c r="M75" s="1279"/>
      <c r="N75" s="1279"/>
      <c r="O75" s="1279"/>
      <c r="P75" s="1279"/>
      <c r="Q75" s="1279"/>
      <c r="R75" s="1279"/>
      <c r="S75" s="1279"/>
    </row>
    <row r="76" spans="1:19">
      <c r="A76" s="1276"/>
      <c r="B76" s="862"/>
      <c r="C76" s="1277"/>
      <c r="D76" s="1277"/>
      <c r="E76" s="1277"/>
      <c r="F76" s="1277"/>
      <c r="G76" s="1278"/>
      <c r="H76" s="1279"/>
      <c r="I76" s="1279"/>
      <c r="J76" s="1279"/>
      <c r="K76" s="1279"/>
      <c r="L76" s="1279"/>
      <c r="M76" s="1279"/>
      <c r="N76" s="1279"/>
      <c r="O76" s="1279"/>
      <c r="P76" s="1279"/>
      <c r="Q76" s="1279"/>
      <c r="R76" s="1279"/>
      <c r="S76" s="1279"/>
    </row>
    <row r="77" spans="1:19">
      <c r="A77" s="1276"/>
      <c r="B77" s="862"/>
      <c r="C77" s="1277"/>
      <c r="D77" s="1277"/>
      <c r="E77" s="1277"/>
      <c r="F77" s="1277"/>
      <c r="G77" s="1278"/>
      <c r="H77" s="1279"/>
      <c r="I77" s="1279"/>
      <c r="J77" s="1279"/>
      <c r="K77" s="1279"/>
      <c r="L77" s="1279"/>
      <c r="M77" s="1279"/>
      <c r="N77" s="1279"/>
      <c r="O77" s="1279"/>
      <c r="P77" s="1279"/>
      <c r="Q77" s="1279"/>
      <c r="R77" s="1279"/>
      <c r="S77" s="1279"/>
    </row>
    <row r="78" spans="1:19" s="2" customFormat="1">
      <c r="A78" s="726" t="s">
        <v>574</v>
      </c>
      <c r="B78" s="727"/>
      <c r="C78" s="12"/>
      <c r="D78" s="12"/>
      <c r="E78" s="12"/>
      <c r="F78" s="12"/>
      <c r="G78" s="13"/>
      <c r="H78" s="21"/>
      <c r="I78" s="21"/>
      <c r="J78" s="21"/>
      <c r="K78" s="21"/>
      <c r="L78" s="21"/>
      <c r="M78" s="21"/>
      <c r="N78" s="21"/>
      <c r="O78" s="21"/>
      <c r="P78" s="21"/>
      <c r="Q78" s="21"/>
      <c r="R78" s="21"/>
      <c r="S78" s="21"/>
    </row>
    <row r="79" spans="1:19" s="2" customFormat="1">
      <c r="A79" s="1276"/>
      <c r="B79" s="862"/>
      <c r="C79" s="1277"/>
      <c r="D79" s="1277"/>
      <c r="E79" s="1277"/>
      <c r="F79" s="1277"/>
      <c r="G79" s="1278"/>
      <c r="H79" s="1279"/>
      <c r="I79" s="1279"/>
      <c r="J79" s="1279"/>
      <c r="K79" s="1279"/>
      <c r="L79" s="1279"/>
      <c r="M79" s="1279"/>
      <c r="N79" s="1279"/>
      <c r="O79" s="1279"/>
      <c r="P79" s="1279"/>
      <c r="Q79" s="1279"/>
      <c r="R79" s="1279"/>
      <c r="S79" s="1279"/>
    </row>
    <row r="80" spans="1:19" s="2" customFormat="1">
      <c r="A80" s="1276"/>
      <c r="B80" s="862"/>
      <c r="C80" s="1277"/>
      <c r="D80" s="1277"/>
      <c r="E80" s="1277"/>
      <c r="F80" s="1277"/>
      <c r="G80" s="1278"/>
      <c r="H80" s="1279"/>
      <c r="I80" s="1279"/>
      <c r="J80" s="1279"/>
      <c r="K80" s="1279"/>
      <c r="L80" s="1279"/>
      <c r="M80" s="1279"/>
      <c r="N80" s="1279"/>
      <c r="O80" s="1279"/>
      <c r="P80" s="1279"/>
      <c r="Q80" s="1279"/>
      <c r="R80" s="1279"/>
      <c r="S80" s="1279"/>
    </row>
    <row r="81" spans="1:19">
      <c r="A81" s="1276"/>
      <c r="B81" s="862"/>
      <c r="C81" s="1277"/>
      <c r="D81" s="1277"/>
      <c r="E81" s="1277"/>
      <c r="F81" s="1277"/>
      <c r="G81" s="1278"/>
      <c r="H81" s="1279"/>
      <c r="I81" s="1279"/>
      <c r="J81" s="1279"/>
      <c r="K81" s="1279"/>
      <c r="L81" s="1279"/>
      <c r="M81" s="1279"/>
      <c r="N81" s="1279"/>
      <c r="O81" s="1279"/>
      <c r="P81" s="1279"/>
      <c r="Q81" s="1279"/>
      <c r="R81" s="1279"/>
      <c r="S81" s="1279"/>
    </row>
    <row r="82" spans="1:19" s="2" customFormat="1">
      <c r="A82" s="726" t="s">
        <v>575</v>
      </c>
      <c r="B82" s="727"/>
      <c r="C82" s="12"/>
      <c r="D82" s="12"/>
      <c r="E82" s="12"/>
      <c r="F82" s="12"/>
      <c r="G82" s="13"/>
      <c r="H82" s="21"/>
      <c r="I82" s="21"/>
      <c r="J82" s="21"/>
      <c r="K82" s="21"/>
      <c r="L82" s="21"/>
      <c r="M82" s="21"/>
      <c r="N82" s="21"/>
      <c r="O82" s="21"/>
      <c r="P82" s="21"/>
      <c r="Q82" s="21"/>
      <c r="R82" s="21"/>
      <c r="S82" s="21"/>
    </row>
    <row r="83" spans="1:19" s="2" customFormat="1">
      <c r="A83" s="1276"/>
      <c r="B83" s="862"/>
      <c r="C83" s="1277"/>
      <c r="D83" s="1277"/>
      <c r="E83" s="1277"/>
      <c r="F83" s="1277"/>
      <c r="G83" s="1278"/>
      <c r="H83" s="1279"/>
      <c r="I83" s="1279"/>
      <c r="J83" s="1279"/>
      <c r="K83" s="1279"/>
      <c r="L83" s="1279"/>
      <c r="M83" s="1279"/>
      <c r="N83" s="1279"/>
      <c r="O83" s="1279"/>
      <c r="P83" s="1279"/>
      <c r="Q83" s="1279"/>
      <c r="R83" s="1279"/>
      <c r="S83" s="1279"/>
    </row>
    <row r="84" spans="1:19" s="2" customFormat="1">
      <c r="A84" s="628"/>
      <c r="B84" s="862"/>
      <c r="C84" s="1124"/>
      <c r="D84" s="1124"/>
      <c r="E84" s="1124"/>
      <c r="F84" s="1124"/>
      <c r="G84" s="1133"/>
      <c r="H84" s="604"/>
      <c r="I84" s="604"/>
      <c r="J84" s="604"/>
      <c r="K84" s="604"/>
      <c r="L84" s="604"/>
      <c r="M84" s="604"/>
      <c r="N84" s="604"/>
      <c r="O84" s="604"/>
      <c r="P84" s="604"/>
      <c r="Q84" s="604"/>
      <c r="R84" s="604"/>
      <c r="S84" s="604"/>
    </row>
    <row r="85" spans="1:19" s="2" customFormat="1">
      <c r="A85" s="625"/>
      <c r="B85" s="1171"/>
      <c r="C85" s="1124"/>
      <c r="D85" s="1124"/>
      <c r="E85" s="1124"/>
      <c r="F85" s="1124"/>
      <c r="G85" s="1133"/>
      <c r="H85" s="605"/>
      <c r="I85" s="605"/>
      <c r="J85" s="605"/>
      <c r="K85" s="605"/>
      <c r="L85" s="605"/>
      <c r="M85" s="605"/>
      <c r="N85" s="605"/>
      <c r="O85" s="605"/>
      <c r="P85" s="605"/>
      <c r="Q85" s="605"/>
      <c r="R85" s="605"/>
      <c r="S85" s="605"/>
    </row>
    <row r="86" spans="1:19" s="2" customFormat="1">
      <c r="A86" s="726" t="s">
        <v>576</v>
      </c>
      <c r="B86" s="727"/>
      <c r="C86" s="12"/>
      <c r="D86" s="12"/>
      <c r="E86" s="12"/>
      <c r="F86" s="12"/>
      <c r="G86" s="13"/>
      <c r="H86" s="21"/>
      <c r="I86" s="21"/>
      <c r="J86" s="21"/>
      <c r="K86" s="21"/>
      <c r="L86" s="21"/>
      <c r="M86" s="21"/>
      <c r="N86" s="21"/>
      <c r="O86" s="21"/>
      <c r="P86" s="21"/>
      <c r="Q86" s="21"/>
      <c r="R86" s="21"/>
      <c r="S86" s="21"/>
    </row>
    <row r="87" spans="1:19">
      <c r="A87" s="1280"/>
      <c r="B87" s="1281"/>
      <c r="C87" s="1277"/>
      <c r="D87" s="1277"/>
      <c r="E87" s="1277"/>
      <c r="F87" s="1277"/>
      <c r="G87" s="1278"/>
      <c r="H87" s="1279"/>
      <c r="I87" s="1279"/>
      <c r="J87" s="1279"/>
      <c r="K87" s="1279"/>
      <c r="L87" s="1279"/>
      <c r="M87" s="1279"/>
      <c r="N87" s="1279"/>
      <c r="O87" s="1279"/>
      <c r="P87" s="1279"/>
      <c r="Q87" s="1279"/>
      <c r="R87" s="1279"/>
      <c r="S87" s="1279"/>
    </row>
    <row r="88" spans="1:19">
      <c r="A88" s="625"/>
      <c r="B88" s="1171"/>
      <c r="C88" s="1124"/>
      <c r="D88" s="1124"/>
      <c r="E88" s="1124"/>
      <c r="F88" s="1124"/>
      <c r="G88" s="1133"/>
      <c r="H88" s="606"/>
      <c r="I88" s="606"/>
      <c r="J88" s="606"/>
      <c r="K88" s="606"/>
      <c r="L88" s="606"/>
      <c r="M88" s="606"/>
      <c r="N88" s="606"/>
      <c r="O88" s="606"/>
      <c r="P88" s="606"/>
      <c r="Q88" s="606"/>
      <c r="R88" s="606"/>
      <c r="S88" s="606"/>
    </row>
    <row r="89" spans="1:19">
      <c r="A89" s="625"/>
      <c r="B89" s="1171"/>
      <c r="C89" s="1124"/>
      <c r="D89" s="1124"/>
      <c r="E89" s="1124"/>
      <c r="F89" s="1124"/>
      <c r="G89" s="1133"/>
      <c r="H89" s="606"/>
      <c r="I89" s="606"/>
      <c r="J89" s="606"/>
      <c r="K89" s="606"/>
      <c r="L89" s="606"/>
      <c r="M89" s="606"/>
      <c r="N89" s="606"/>
      <c r="O89" s="606"/>
      <c r="P89" s="606"/>
      <c r="Q89" s="606"/>
      <c r="R89" s="606"/>
      <c r="S89" s="606"/>
    </row>
    <row r="90" spans="1:19">
      <c r="A90" s="726" t="s">
        <v>577</v>
      </c>
      <c r="B90" s="727"/>
      <c r="C90" s="12"/>
      <c r="D90" s="12"/>
      <c r="E90" s="12"/>
      <c r="F90" s="12"/>
      <c r="G90" s="13"/>
      <c r="H90" s="21"/>
      <c r="I90" s="21"/>
      <c r="J90" s="21"/>
      <c r="K90" s="21"/>
      <c r="L90" s="21"/>
      <c r="M90" s="21"/>
      <c r="N90" s="21"/>
      <c r="O90" s="21"/>
      <c r="P90" s="21"/>
      <c r="Q90" s="21"/>
      <c r="R90" s="21"/>
      <c r="S90" s="21"/>
    </row>
    <row r="91" spans="1:19">
      <c r="A91" s="628"/>
      <c r="B91" s="862" t="s">
        <v>578</v>
      </c>
      <c r="C91" s="1124"/>
      <c r="D91" s="1124"/>
      <c r="E91" s="1124"/>
      <c r="F91" s="1124"/>
      <c r="G91" s="1133"/>
      <c r="H91" s="606"/>
      <c r="I91" s="606"/>
      <c r="J91" s="606"/>
      <c r="K91" s="606"/>
      <c r="L91" s="606"/>
      <c r="M91" s="606"/>
      <c r="N91" s="606"/>
      <c r="O91" s="606"/>
      <c r="P91" s="606"/>
      <c r="Q91" s="606"/>
      <c r="R91" s="606"/>
      <c r="S91" s="606"/>
    </row>
    <row r="92" spans="1:19">
      <c r="A92" s="628"/>
      <c r="B92" s="862" t="s">
        <v>579</v>
      </c>
      <c r="C92" s="1124"/>
      <c r="D92" s="1124"/>
      <c r="E92" s="1124"/>
      <c r="F92" s="1124"/>
      <c r="G92" s="1133"/>
      <c r="H92" s="606"/>
      <c r="I92" s="606"/>
      <c r="J92" s="606"/>
      <c r="K92" s="606"/>
      <c r="L92" s="606"/>
      <c r="M92" s="606"/>
      <c r="N92" s="606"/>
      <c r="O92" s="606"/>
      <c r="P92" s="606"/>
      <c r="Q92" s="606"/>
      <c r="R92" s="606"/>
      <c r="S92" s="606"/>
    </row>
    <row r="93" spans="1:19">
      <c r="A93" s="628"/>
      <c r="B93" s="862" t="s">
        <v>580</v>
      </c>
      <c r="C93" s="1124"/>
      <c r="D93" s="1124"/>
      <c r="E93" s="1124"/>
      <c r="F93" s="1124"/>
      <c r="G93" s="1133"/>
      <c r="H93" s="606"/>
      <c r="I93" s="606"/>
      <c r="J93" s="606"/>
      <c r="K93" s="606"/>
      <c r="L93" s="606"/>
      <c r="M93" s="606"/>
      <c r="N93" s="606"/>
      <c r="O93" s="606"/>
      <c r="P93" s="606"/>
      <c r="Q93" s="606"/>
      <c r="R93" s="606"/>
      <c r="S93" s="606"/>
    </row>
    <row r="94" spans="1:19">
      <c r="A94" s="628"/>
      <c r="B94" s="862" t="s">
        <v>581</v>
      </c>
      <c r="C94" s="1124"/>
      <c r="D94" s="1124"/>
      <c r="E94" s="1124"/>
      <c r="F94" s="1124"/>
      <c r="G94" s="1133"/>
      <c r="H94" s="606"/>
      <c r="I94" s="606"/>
      <c r="J94" s="606"/>
      <c r="K94" s="606"/>
      <c r="L94" s="606"/>
      <c r="M94" s="606"/>
      <c r="N94" s="606"/>
      <c r="O94" s="606"/>
      <c r="P94" s="606"/>
      <c r="Q94" s="606"/>
      <c r="R94" s="606"/>
      <c r="S94" s="606"/>
    </row>
    <row r="95" spans="1:19">
      <c r="A95" s="416"/>
      <c r="B95" s="295"/>
      <c r="C95" s="184"/>
      <c r="D95" s="184"/>
      <c r="E95" s="184"/>
      <c r="F95" s="184"/>
      <c r="G95" s="296"/>
      <c r="H95" s="418"/>
      <c r="I95" s="418"/>
      <c r="J95" s="418"/>
      <c r="K95" s="418"/>
      <c r="L95" s="418"/>
      <c r="M95" s="418"/>
      <c r="N95" s="418"/>
      <c r="O95" s="418"/>
      <c r="P95" s="418"/>
      <c r="Q95" s="418"/>
      <c r="R95" s="418"/>
      <c r="S95" s="418"/>
    </row>
    <row r="96" spans="1:19">
      <c r="A96" s="7" t="s">
        <v>582</v>
      </c>
      <c r="B96" s="8"/>
      <c r="C96" s="12"/>
      <c r="D96" s="12"/>
      <c r="E96" s="12"/>
      <c r="F96" s="12"/>
      <c r="G96" s="13"/>
      <c r="H96" s="21"/>
      <c r="I96" s="21"/>
      <c r="J96" s="21"/>
      <c r="K96" s="21"/>
      <c r="L96" s="21"/>
      <c r="M96" s="21"/>
      <c r="N96" s="21"/>
      <c r="O96" s="21"/>
      <c r="P96" s="21"/>
      <c r="Q96" s="21"/>
      <c r="R96" s="21"/>
      <c r="S96" s="21"/>
    </row>
    <row r="97" spans="1:19">
      <c r="A97" s="1276"/>
      <c r="B97" s="1282" t="s">
        <v>583</v>
      </c>
      <c r="C97" s="1277"/>
      <c r="D97" s="1277"/>
      <c r="E97" s="1277"/>
      <c r="F97" s="1277"/>
      <c r="G97" s="1278"/>
      <c r="H97" s="1283"/>
      <c r="I97" s="1283"/>
      <c r="J97" s="1283"/>
      <c r="K97" s="1283"/>
      <c r="L97" s="1283"/>
      <c r="M97" s="1283"/>
      <c r="N97" s="1283"/>
      <c r="O97" s="1283"/>
      <c r="P97" s="1283"/>
      <c r="Q97" s="1283"/>
      <c r="R97" s="1283"/>
      <c r="S97" s="1283"/>
    </row>
    <row r="98" spans="1:19">
      <c r="A98" s="628"/>
      <c r="B98" s="862" t="s">
        <v>584</v>
      </c>
      <c r="C98" s="1124"/>
      <c r="D98" s="1124"/>
      <c r="E98" s="1124"/>
      <c r="F98" s="1124"/>
      <c r="G98" s="1133"/>
      <c r="H98" s="618"/>
      <c r="I98" s="618"/>
      <c r="J98" s="618"/>
      <c r="K98" s="618"/>
      <c r="L98" s="618"/>
      <c r="M98" s="618"/>
      <c r="N98" s="618"/>
      <c r="O98" s="618"/>
      <c r="P98" s="618"/>
      <c r="Q98" s="618"/>
      <c r="R98" s="618"/>
      <c r="S98" s="618"/>
    </row>
    <row r="99" spans="1:19">
      <c r="A99" s="607"/>
      <c r="B99" s="608" t="s">
        <v>585</v>
      </c>
      <c r="C99" s="609"/>
      <c r="D99" s="609"/>
      <c r="E99" s="609"/>
      <c r="F99" s="609"/>
      <c r="G99" s="610"/>
      <c r="H99" s="611"/>
      <c r="I99" s="611"/>
      <c r="J99" s="611"/>
      <c r="K99" s="611"/>
      <c r="L99" s="611"/>
      <c r="M99" s="611"/>
      <c r="N99" s="611"/>
      <c r="O99" s="611"/>
      <c r="P99" s="611"/>
      <c r="Q99" s="611"/>
      <c r="R99" s="611"/>
      <c r="S99" s="611"/>
    </row>
    <row r="101" spans="1:19">
      <c r="A101" s="92" t="s">
        <v>586</v>
      </c>
      <c r="B101" s="94"/>
    </row>
    <row r="102" spans="1:19">
      <c r="A102" s="93" t="s">
        <v>487</v>
      </c>
      <c r="B102" s="94"/>
    </row>
    <row r="103" spans="1:19">
      <c r="A103" s="626" t="s">
        <v>491</v>
      </c>
      <c r="B103" s="612"/>
    </row>
    <row r="104" spans="1:19">
      <c r="A104" s="613" t="s">
        <v>494</v>
      </c>
      <c r="B104" s="614"/>
    </row>
    <row r="105" spans="1:19">
      <c r="A105" s="613" t="s">
        <v>497</v>
      </c>
      <c r="B105" s="622"/>
    </row>
    <row r="106" spans="1:19">
      <c r="A106" s="615" t="s">
        <v>587</v>
      </c>
      <c r="B106" s="616"/>
    </row>
    <row r="108" spans="1:19">
      <c r="A108" s="95"/>
      <c r="B108" s="1" t="s">
        <v>588</v>
      </c>
    </row>
    <row r="109" spans="1:19">
      <c r="A109" s="96"/>
      <c r="B109" s="1" t="s">
        <v>589</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777" priority="17" operator="equal">
      <formula>"X"</formula>
    </cfRule>
    <cfRule type="cellIs" dxfId="1776" priority="18" operator="equal">
      <formula>"I"</formula>
    </cfRule>
  </conditionalFormatting>
  <conditionalFormatting sqref="H32:H65">
    <cfRule type="cellIs" dxfId="1775" priority="1" operator="equal">
      <formula>"X"</formula>
    </cfRule>
    <cfRule type="cellIs" dxfId="1774" priority="2" operator="equal">
      <formula>"I"</formula>
    </cfRule>
  </conditionalFormatting>
  <conditionalFormatting sqref="J20:J30">
    <cfRule type="cellIs" dxfId="1773" priority="19" operator="equal">
      <formula>"X"</formula>
    </cfRule>
    <cfRule type="cellIs" dxfId="1772" priority="20" operator="equal">
      <formula>"I"</formula>
    </cfRule>
  </conditionalFormatting>
  <conditionalFormatting sqref="J32:J65">
    <cfRule type="cellIs" dxfId="1771" priority="3" operator="equal">
      <formula>"X"</formula>
    </cfRule>
    <cfRule type="cellIs" dxfId="1770" priority="4" operator="equal">
      <formula>"I"</formula>
    </cfRule>
  </conditionalFormatting>
  <conditionalFormatting sqref="L20:L30">
    <cfRule type="cellIs" dxfId="1769" priority="21" operator="equal">
      <formula>"X"</formula>
    </cfRule>
    <cfRule type="cellIs" dxfId="1768" priority="22" operator="equal">
      <formula>"I"</formula>
    </cfRule>
  </conditionalFormatting>
  <conditionalFormatting sqref="L32:L65">
    <cfRule type="cellIs" dxfId="1767" priority="5" operator="equal">
      <formula>"X"</formula>
    </cfRule>
    <cfRule type="cellIs" dxfId="1766" priority="6" operator="equal">
      <formula>"I"</formula>
    </cfRule>
  </conditionalFormatting>
  <conditionalFormatting sqref="N20:N30">
    <cfRule type="cellIs" dxfId="1765" priority="23" operator="equal">
      <formula>"X"</formula>
    </cfRule>
    <cfRule type="cellIs" dxfId="1764" priority="24" operator="equal">
      <formula>"I"</formula>
    </cfRule>
  </conditionalFormatting>
  <conditionalFormatting sqref="N32:N65">
    <cfRule type="cellIs" dxfId="1763" priority="7" operator="equal">
      <formula>"X"</formula>
    </cfRule>
    <cfRule type="cellIs" dxfId="1762" priority="8" operator="equal">
      <formula>"I"</formula>
    </cfRule>
  </conditionalFormatting>
  <conditionalFormatting sqref="P20:P30">
    <cfRule type="cellIs" dxfId="1761" priority="13" operator="equal">
      <formula>"X"</formula>
    </cfRule>
    <cfRule type="cellIs" dxfId="1760" priority="14" operator="equal">
      <formula>"I"</formula>
    </cfRule>
  </conditionalFormatting>
  <conditionalFormatting sqref="P32:P65">
    <cfRule type="cellIs" dxfId="1759" priority="9" operator="equal">
      <formula>"X"</formula>
    </cfRule>
    <cfRule type="cellIs" dxfId="1758" priority="10" operator="equal">
      <formula>"I"</formula>
    </cfRule>
  </conditionalFormatting>
  <conditionalFormatting sqref="R20:R30">
    <cfRule type="cellIs" dxfId="1757" priority="15" operator="equal">
      <formula>"X"</formula>
    </cfRule>
    <cfRule type="cellIs" dxfId="1756" priority="16" operator="equal">
      <formula>"I"</formula>
    </cfRule>
  </conditionalFormatting>
  <conditionalFormatting sqref="R32:R65">
    <cfRule type="cellIs" dxfId="1755" priority="11" operator="equal">
      <formula>"X"</formula>
    </cfRule>
    <cfRule type="cellIs" dxfId="1754" priority="12" operator="equal">
      <formula>"I"</formula>
    </cfRule>
  </conditionalFormatting>
  <hyperlinks>
    <hyperlink ref="B3" location="'Cost Summary'!A1" display="BACK TO SUMMARY SHEET" xr:uid="{084B8CFD-82A5-4285-9CB6-FB95610C80B9}"/>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112C-8A45-4BB5-B8BB-9DC362764DD3}">
  <sheetPr>
    <tabColor rgb="FF92D050"/>
  </sheetPr>
  <dimension ref="A1:AD103"/>
  <sheetViews>
    <sheetView zoomScale="112" zoomScaleNormal="112" workbookViewId="0">
      <pane xSplit="2" ySplit="9" topLeftCell="C37" activePane="bottomRight" state="frozen"/>
      <selection pane="bottomRight" activeCell="F41" sqref="F41"/>
      <selection pane="bottomLeft" sqref="A1:B1"/>
      <selection pane="topRight" sqref="A1:B1"/>
    </sheetView>
  </sheetViews>
  <sheetFormatPr defaultRowHeight="15"/>
  <cols>
    <col min="1" max="1" width="11" customWidth="1"/>
    <col min="2" max="2" width="70.7109375" style="1" customWidth="1"/>
    <col min="3" max="3" width="14.42578125" style="2"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ht="15.75" thickBot="1">
      <c r="E2" s="110"/>
      <c r="F2" s="146" t="s">
        <v>475</v>
      </c>
      <c r="G2" s="147" t="s">
        <v>476</v>
      </c>
      <c r="H2" s="732"/>
      <c r="I2" s="732"/>
      <c r="J2" s="732"/>
      <c r="K2" s="732"/>
      <c r="L2" s="732"/>
      <c r="M2" s="732"/>
      <c r="N2" s="732"/>
      <c r="O2" s="732"/>
      <c r="P2" s="732"/>
      <c r="Q2" s="732"/>
      <c r="R2" s="732"/>
      <c r="S2" s="732"/>
    </row>
    <row r="3" spans="1:19" ht="21" thickBot="1">
      <c r="B3" s="161" t="s">
        <v>477</v>
      </c>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136</v>
      </c>
      <c r="C5" s="1124"/>
      <c r="D5" s="1124"/>
      <c r="E5" s="1124"/>
      <c r="F5" s="1124"/>
      <c r="G5" s="1125" t="s">
        <v>491</v>
      </c>
      <c r="H5" s="778"/>
      <c r="I5" s="1126"/>
      <c r="J5" s="778"/>
      <c r="K5" s="1126"/>
      <c r="L5" s="778"/>
      <c r="M5" s="1126"/>
      <c r="N5" s="778"/>
      <c r="O5" s="1126"/>
      <c r="P5" s="778"/>
      <c r="Q5" s="1126"/>
      <c r="R5" s="778"/>
      <c r="S5" s="1126"/>
    </row>
    <row r="6" spans="1:19">
      <c r="A6" s="627" t="s">
        <v>493</v>
      </c>
      <c r="B6" s="1127" t="s">
        <v>135</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I64</f>
        <v>39250</v>
      </c>
      <c r="I8" s="775"/>
      <c r="J8" s="774">
        <f>K64</f>
        <v>0</v>
      </c>
      <c r="K8" s="775"/>
      <c r="L8" s="774">
        <f>M64</f>
        <v>0</v>
      </c>
      <c r="M8" s="775"/>
      <c r="N8" s="774">
        <f>O64</f>
        <v>0</v>
      </c>
      <c r="O8" s="775"/>
      <c r="P8" s="774">
        <f>Q64</f>
        <v>0</v>
      </c>
      <c r="Q8" s="775"/>
      <c r="R8" s="774">
        <f>S64</f>
        <v>0</v>
      </c>
      <c r="S8" s="775"/>
    </row>
    <row r="9" spans="1:19" ht="31.5" thickTop="1" thickBot="1">
      <c r="A9" s="156" t="s">
        <v>500</v>
      </c>
      <c r="B9" s="159"/>
      <c r="C9" s="158" t="s">
        <v>501</v>
      </c>
      <c r="D9" s="157"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1276"/>
      <c r="B10" s="1284" t="s">
        <v>508</v>
      </c>
      <c r="C10" s="1277"/>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t="s">
        <v>711</v>
      </c>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1285"/>
      <c r="B20" s="420"/>
      <c r="C20" s="1138"/>
      <c r="D20" s="1124"/>
      <c r="E20" s="1124"/>
      <c r="F20" s="1124"/>
      <c r="G20" s="1133"/>
      <c r="H20" s="590"/>
      <c r="I20" s="617"/>
      <c r="J20" s="590"/>
      <c r="K20" s="617"/>
      <c r="L20" s="590"/>
      <c r="M20" s="617"/>
      <c r="N20" s="590"/>
      <c r="O20" s="617"/>
      <c r="P20" s="590"/>
      <c r="Q20" s="617"/>
      <c r="R20" s="590"/>
      <c r="S20" s="617"/>
    </row>
    <row r="21" spans="1:19" ht="15.75" thickBot="1">
      <c r="A21" s="1286"/>
      <c r="B21" s="1287" t="s">
        <v>136</v>
      </c>
      <c r="C21" s="1138"/>
      <c r="D21" s="1124"/>
      <c r="E21" s="1124"/>
      <c r="F21" s="1124"/>
      <c r="G21" s="1133"/>
      <c r="H21" s="590"/>
      <c r="I21" s="1269"/>
      <c r="J21" s="590"/>
      <c r="K21" s="1270"/>
      <c r="L21" s="590"/>
      <c r="M21" s="1270"/>
      <c r="N21" s="590"/>
      <c r="O21" s="1270"/>
      <c r="P21" s="590"/>
      <c r="Q21" s="1270"/>
      <c r="R21" s="590"/>
      <c r="S21" s="1270"/>
    </row>
    <row r="22" spans="1:19" ht="16.5" hidden="1" thickBot="1">
      <c r="A22" s="1286"/>
      <c r="B22" s="1288" t="s">
        <v>511</v>
      </c>
      <c r="C22" s="1138"/>
      <c r="D22" s="1124"/>
      <c r="E22" s="1124"/>
      <c r="F22" s="1124"/>
      <c r="G22" s="1133"/>
      <c r="H22" s="590"/>
      <c r="I22" s="1269"/>
      <c r="J22" s="590"/>
      <c r="K22" s="1270"/>
      <c r="L22" s="590"/>
      <c r="M22" s="1270"/>
      <c r="N22" s="590"/>
      <c r="O22" s="1270"/>
      <c r="P22" s="590"/>
      <c r="Q22" s="1270"/>
      <c r="R22" s="590"/>
      <c r="S22" s="1270"/>
    </row>
    <row r="23" spans="1:19" ht="16.5" thickBot="1">
      <c r="A23" s="1286"/>
      <c r="B23" s="582" t="s">
        <v>512</v>
      </c>
      <c r="C23" s="1138"/>
      <c r="D23" s="1124"/>
      <c r="E23" s="1124"/>
      <c r="F23" s="1124"/>
      <c r="G23" s="1133"/>
      <c r="H23" s="590"/>
      <c r="I23" s="1269"/>
      <c r="J23" s="590"/>
      <c r="K23" s="97"/>
      <c r="L23" s="590"/>
      <c r="M23" s="1270"/>
      <c r="N23" s="590"/>
      <c r="O23" s="1270"/>
      <c r="P23" s="590"/>
      <c r="Q23" s="1270"/>
      <c r="R23" s="590"/>
      <c r="S23" s="1270"/>
    </row>
    <row r="24" spans="1:19">
      <c r="A24" s="1289"/>
      <c r="B24" s="1139" t="s">
        <v>513</v>
      </c>
      <c r="C24" s="1134"/>
      <c r="D24" s="1124"/>
      <c r="E24" s="1124"/>
      <c r="F24" s="1124"/>
      <c r="G24" s="1133"/>
      <c r="H24" s="590"/>
      <c r="I24" s="1269"/>
      <c r="J24" s="590"/>
      <c r="K24" s="1270"/>
      <c r="L24" s="590"/>
      <c r="M24" s="1270"/>
      <c r="N24" s="590"/>
      <c r="O24" s="1270"/>
      <c r="P24" s="590"/>
      <c r="Q24" s="1270"/>
      <c r="R24" s="590"/>
      <c r="S24" s="1270"/>
    </row>
    <row r="25" spans="1:19">
      <c r="A25" s="623"/>
      <c r="B25" s="1290" t="s">
        <v>514</v>
      </c>
      <c r="C25" s="1134"/>
      <c r="D25" s="1124"/>
      <c r="E25" s="1124"/>
      <c r="F25" s="1124"/>
      <c r="G25" s="1133"/>
      <c r="H25" s="590"/>
      <c r="I25" s="1269"/>
      <c r="J25" s="590"/>
      <c r="K25" s="1270"/>
      <c r="L25" s="590"/>
      <c r="M25" s="1270"/>
      <c r="N25" s="590"/>
      <c r="O25" s="1270"/>
      <c r="P25" s="590"/>
      <c r="Q25" s="1270"/>
      <c r="R25" s="590"/>
      <c r="S25" s="1270"/>
    </row>
    <row r="26" spans="1:19">
      <c r="A26" s="1289"/>
      <c r="B26" s="1291" t="s">
        <v>515</v>
      </c>
      <c r="C26" s="1134"/>
      <c r="D26" s="1124"/>
      <c r="E26" s="1124"/>
      <c r="F26" s="1124"/>
      <c r="G26" s="1133"/>
      <c r="H26" s="590"/>
      <c r="I26" s="1269"/>
      <c r="J26" s="590"/>
      <c r="K26" s="1270"/>
      <c r="L26" s="590"/>
      <c r="M26" s="1270"/>
      <c r="N26" s="590"/>
      <c r="O26" s="1270"/>
      <c r="P26" s="590"/>
      <c r="Q26" s="1270"/>
      <c r="R26" s="590"/>
      <c r="S26" s="1270"/>
    </row>
    <row r="27" spans="1:19">
      <c r="A27" s="623"/>
      <c r="B27" s="1291" t="s">
        <v>516</v>
      </c>
      <c r="C27" s="1134"/>
      <c r="D27" s="1124"/>
      <c r="E27" s="1124"/>
      <c r="F27" s="1124"/>
      <c r="G27" s="1133"/>
      <c r="H27" s="590"/>
      <c r="I27" s="1269"/>
      <c r="J27" s="590"/>
      <c r="K27" s="1269"/>
      <c r="L27" s="590"/>
      <c r="M27" s="1269"/>
      <c r="N27" s="590"/>
      <c r="O27" s="1269"/>
      <c r="P27" s="590"/>
      <c r="Q27" s="1269"/>
      <c r="R27" s="590"/>
      <c r="S27" s="1269"/>
    </row>
    <row r="28" spans="1:19">
      <c r="A28" s="1289"/>
      <c r="B28" s="1291" t="s">
        <v>517</v>
      </c>
      <c r="C28" s="1134"/>
      <c r="D28" s="1124"/>
      <c r="E28" s="1124"/>
      <c r="F28" s="1124"/>
      <c r="G28" s="1133"/>
      <c r="H28" s="590"/>
      <c r="I28" s="1269"/>
      <c r="J28" s="590"/>
      <c r="K28" s="1270"/>
      <c r="L28" s="590"/>
      <c r="M28" s="1270"/>
      <c r="N28" s="590"/>
      <c r="O28" s="1270"/>
      <c r="P28" s="590"/>
      <c r="Q28" s="1270"/>
      <c r="R28" s="590"/>
      <c r="S28" s="1270"/>
    </row>
    <row r="29" spans="1:19">
      <c r="A29" s="623"/>
      <c r="B29" s="1291" t="s">
        <v>518</v>
      </c>
      <c r="C29" s="1134"/>
      <c r="D29" s="1124"/>
      <c r="E29" s="1124"/>
      <c r="F29" s="1124"/>
      <c r="G29" s="1133"/>
      <c r="H29" s="590"/>
      <c r="I29" s="1269"/>
      <c r="J29" s="590"/>
      <c r="K29" s="1270"/>
      <c r="L29" s="590"/>
      <c r="M29" s="1270"/>
      <c r="N29" s="590"/>
      <c r="O29" s="1270"/>
      <c r="P29" s="590"/>
      <c r="Q29" s="1270"/>
      <c r="R29" s="590"/>
      <c r="S29" s="1270"/>
    </row>
    <row r="30" spans="1:19">
      <c r="A30" s="1289"/>
      <c r="B30" s="1291" t="s">
        <v>693</v>
      </c>
      <c r="C30" s="1134"/>
      <c r="D30" s="1124"/>
      <c r="E30" s="1124"/>
      <c r="F30" s="1124"/>
      <c r="G30" s="1133"/>
      <c r="H30" s="590"/>
      <c r="I30" s="1292"/>
      <c r="J30" s="590"/>
      <c r="K30" s="1293"/>
      <c r="L30" s="590"/>
      <c r="M30" s="1293"/>
      <c r="N30" s="590"/>
      <c r="O30" s="1293"/>
      <c r="P30" s="590"/>
      <c r="Q30" s="1293"/>
      <c r="R30" s="590"/>
      <c r="S30" s="1293"/>
    </row>
    <row r="31" spans="1:19">
      <c r="A31" s="1289"/>
      <c r="B31" s="1294" t="s">
        <v>519</v>
      </c>
      <c r="C31" s="1134"/>
      <c r="D31" s="1124"/>
      <c r="E31" s="1124"/>
      <c r="F31" s="1124"/>
      <c r="G31" s="1133"/>
      <c r="H31" s="590"/>
      <c r="I31" s="1269"/>
      <c r="J31" s="590"/>
      <c r="K31" s="1270"/>
      <c r="L31" s="590"/>
      <c r="M31" s="1270"/>
      <c r="N31" s="590"/>
      <c r="O31" s="1270"/>
      <c r="P31" s="590"/>
      <c r="Q31" s="1270"/>
      <c r="R31" s="590"/>
      <c r="S31" s="1270"/>
    </row>
    <row r="32" spans="1:19">
      <c r="A32" s="623"/>
      <c r="B32" s="1295" t="s">
        <v>520</v>
      </c>
      <c r="C32" s="1144"/>
      <c r="D32" s="1145"/>
      <c r="E32" s="1145"/>
      <c r="F32" s="1145"/>
      <c r="G32" s="1147"/>
      <c r="H32" s="619"/>
      <c r="I32" s="1296"/>
      <c r="J32" s="619"/>
      <c r="K32" s="1297"/>
      <c r="L32" s="619"/>
      <c r="M32" s="1297"/>
      <c r="N32" s="619"/>
      <c r="O32" s="1297"/>
      <c r="P32" s="619"/>
      <c r="Q32" s="1297"/>
      <c r="R32" s="619"/>
      <c r="S32" s="1297"/>
    </row>
    <row r="33" spans="1:19">
      <c r="A33" s="1289"/>
      <c r="B33" s="1298"/>
      <c r="C33" s="1134"/>
      <c r="D33" s="1124"/>
      <c r="E33" s="1124"/>
      <c r="F33" s="1124"/>
      <c r="G33" s="1133"/>
      <c r="H33" s="590"/>
      <c r="I33" s="1269"/>
      <c r="J33" s="590"/>
      <c r="K33" s="1270"/>
      <c r="L33" s="590"/>
      <c r="M33" s="1270"/>
      <c r="N33" s="590"/>
      <c r="O33" s="1270"/>
      <c r="P33" s="590"/>
      <c r="Q33" s="1270"/>
      <c r="R33" s="590"/>
      <c r="S33" s="1270"/>
    </row>
    <row r="34" spans="1:19">
      <c r="A34" s="1289"/>
      <c r="B34" s="1299" t="s">
        <v>694</v>
      </c>
      <c r="C34" s="1215"/>
      <c r="D34" s="1216"/>
      <c r="E34" s="1216"/>
      <c r="F34" s="1216"/>
      <c r="G34" s="1218"/>
      <c r="H34" s="620"/>
      <c r="I34" s="1300"/>
      <c r="J34" s="620"/>
      <c r="K34" s="1301"/>
      <c r="L34" s="620"/>
      <c r="M34" s="1301"/>
      <c r="N34" s="620"/>
      <c r="O34" s="1301"/>
      <c r="P34" s="620"/>
      <c r="Q34" s="1301"/>
      <c r="R34" s="620"/>
      <c r="S34" s="1301"/>
    </row>
    <row r="35" spans="1:19">
      <c r="A35" s="1302"/>
      <c r="B35" s="1303"/>
      <c r="C35" s="1134"/>
      <c r="D35" s="1124"/>
      <c r="E35" s="1124"/>
      <c r="F35" s="1124"/>
      <c r="G35" s="1133"/>
      <c r="H35" s="590"/>
      <c r="I35" s="1304"/>
      <c r="J35" s="590"/>
      <c r="K35" s="1305"/>
      <c r="L35" s="590"/>
      <c r="M35" s="1305"/>
      <c r="N35" s="590"/>
      <c r="O35" s="1305"/>
      <c r="P35" s="590"/>
      <c r="Q35" s="1305"/>
      <c r="R35" s="590"/>
      <c r="S35" s="1305"/>
    </row>
    <row r="36" spans="1:19">
      <c r="A36" s="1306"/>
      <c r="B36" s="1307" t="s">
        <v>695</v>
      </c>
      <c r="C36" s="1222"/>
      <c r="D36" s="1223"/>
      <c r="E36" s="1223"/>
      <c r="F36" s="1223"/>
      <c r="G36" s="1225"/>
      <c r="H36" s="621"/>
      <c r="I36" s="1308"/>
      <c r="J36" s="621"/>
      <c r="K36" s="1309"/>
      <c r="L36" s="621"/>
      <c r="M36" s="1309"/>
      <c r="N36" s="621"/>
      <c r="O36" s="1309"/>
      <c r="P36" s="621"/>
      <c r="Q36" s="1309"/>
      <c r="R36" s="621"/>
      <c r="S36" s="1309"/>
    </row>
    <row r="37" spans="1:19">
      <c r="A37" s="1310"/>
      <c r="B37" s="1311" t="s">
        <v>712</v>
      </c>
      <c r="C37" s="1228" t="s">
        <v>713</v>
      </c>
      <c r="D37" s="1124">
        <v>2</v>
      </c>
      <c r="E37" s="1124" t="s">
        <v>714</v>
      </c>
      <c r="F37" s="1124">
        <v>2000</v>
      </c>
      <c r="G37" s="1133">
        <f>D37*F37</f>
        <v>4000</v>
      </c>
      <c r="H37" s="1312"/>
      <c r="I37" s="1313">
        <f>G37</f>
        <v>4000</v>
      </c>
      <c r="J37" s="1312"/>
      <c r="K37" s="1314"/>
      <c r="L37" s="1312"/>
      <c r="M37" s="1314"/>
      <c r="N37" s="1312"/>
      <c r="O37" s="1314"/>
      <c r="P37" s="1312"/>
      <c r="Q37" s="1314"/>
      <c r="R37" s="1312"/>
      <c r="S37" s="1314"/>
    </row>
    <row r="38" spans="1:19">
      <c r="A38" s="1315"/>
      <c r="B38" s="1316" t="s">
        <v>715</v>
      </c>
      <c r="C38" s="1228" t="s">
        <v>713</v>
      </c>
      <c r="D38" s="1124">
        <v>1</v>
      </c>
      <c r="E38" s="1124" t="s">
        <v>714</v>
      </c>
      <c r="F38" s="1124">
        <v>2000</v>
      </c>
      <c r="G38" s="1133">
        <f t="shared" ref="G38:G39" si="0">D38*F38</f>
        <v>2000</v>
      </c>
      <c r="H38" s="1312"/>
      <c r="I38" s="1313">
        <f t="shared" ref="I38:I39" si="1">G38</f>
        <v>2000</v>
      </c>
      <c r="J38" s="1312"/>
      <c r="K38" s="1317"/>
      <c r="L38" s="1312"/>
      <c r="M38" s="1317"/>
      <c r="N38" s="1312"/>
      <c r="O38" s="1317"/>
      <c r="P38" s="1312"/>
      <c r="Q38" s="1317"/>
      <c r="R38" s="1312"/>
      <c r="S38" s="1317"/>
    </row>
    <row r="39" spans="1:19">
      <c r="A39" s="1318"/>
      <c r="B39" s="1319" t="s">
        <v>716</v>
      </c>
      <c r="C39" s="1228" t="s">
        <v>713</v>
      </c>
      <c r="D39" s="1124">
        <v>1</v>
      </c>
      <c r="E39" s="1124" t="s">
        <v>698</v>
      </c>
      <c r="F39" s="1124">
        <v>2000</v>
      </c>
      <c r="G39" s="1133">
        <f t="shared" si="0"/>
        <v>2000</v>
      </c>
      <c r="H39" s="1312"/>
      <c r="I39" s="1313">
        <f t="shared" si="1"/>
        <v>2000</v>
      </c>
      <c r="J39" s="1312"/>
      <c r="K39" s="1320"/>
      <c r="L39" s="1312"/>
      <c r="M39" s="1320"/>
      <c r="N39" s="1312"/>
      <c r="O39" s="1320"/>
      <c r="P39" s="1312"/>
      <c r="Q39" s="1320"/>
      <c r="R39" s="1312"/>
      <c r="S39" s="1320"/>
    </row>
    <row r="40" spans="1:19">
      <c r="A40" s="1321" t="s">
        <v>717</v>
      </c>
      <c r="B40" s="1322" t="s">
        <v>718</v>
      </c>
      <c r="C40" s="1134"/>
      <c r="D40" s="1124">
        <v>1</v>
      </c>
      <c r="E40" s="1124" t="s">
        <v>714</v>
      </c>
      <c r="F40" s="1124">
        <v>2000</v>
      </c>
      <c r="G40" s="1133">
        <f t="shared" ref="G40" si="2">D40*F40</f>
        <v>2000</v>
      </c>
      <c r="H40" s="1312"/>
      <c r="I40" s="1313">
        <f t="shared" ref="I40" si="3">G40</f>
        <v>2000</v>
      </c>
      <c r="J40" s="1312"/>
      <c r="K40" s="1323"/>
      <c r="L40" s="1312"/>
      <c r="M40" s="1323"/>
      <c r="N40" s="1312"/>
      <c r="O40" s="1323"/>
      <c r="P40" s="1312"/>
      <c r="Q40" s="1323"/>
      <c r="R40" s="1312"/>
      <c r="S40" s="1323"/>
    </row>
    <row r="41" spans="1:19">
      <c r="A41" s="1324"/>
      <c r="B41" s="1325"/>
      <c r="C41" s="1134"/>
      <c r="D41" s="1124"/>
      <c r="E41" s="1124"/>
      <c r="F41" s="1124"/>
      <c r="G41" s="1133"/>
      <c r="H41" s="590"/>
      <c r="I41" s="1326"/>
      <c r="J41" s="590"/>
      <c r="K41" s="1327"/>
      <c r="L41" s="590"/>
      <c r="M41" s="1327"/>
      <c r="N41" s="590"/>
      <c r="O41" s="1327"/>
      <c r="P41" s="590"/>
      <c r="Q41" s="1327"/>
      <c r="R41" s="590"/>
      <c r="S41" s="1327"/>
    </row>
    <row r="42" spans="1:19">
      <c r="A42" s="1328"/>
      <c r="B42" s="1329" t="s">
        <v>649</v>
      </c>
      <c r="C42" s="1215"/>
      <c r="D42" s="1216"/>
      <c r="E42" s="1216"/>
      <c r="F42" s="1216"/>
      <c r="G42" s="1218"/>
      <c r="H42" s="620"/>
      <c r="I42" s="1330"/>
      <c r="J42" s="620"/>
      <c r="K42" s="1331"/>
      <c r="L42" s="620"/>
      <c r="M42" s="1331"/>
      <c r="N42" s="620"/>
      <c r="O42" s="1331"/>
      <c r="P42" s="620"/>
      <c r="Q42" s="1331"/>
      <c r="R42" s="620"/>
      <c r="S42" s="1331"/>
    </row>
    <row r="43" spans="1:19">
      <c r="A43" s="1332"/>
      <c r="B43" s="1333"/>
      <c r="C43" s="1134"/>
      <c r="D43" s="1124"/>
      <c r="E43" s="1124"/>
      <c r="F43" s="1124"/>
      <c r="G43" s="1133"/>
      <c r="H43" s="590"/>
      <c r="I43" s="1334"/>
      <c r="J43" s="590"/>
      <c r="K43" s="1335"/>
      <c r="L43" s="590"/>
      <c r="M43" s="1335"/>
      <c r="N43" s="590"/>
      <c r="O43" s="1335"/>
      <c r="P43" s="590"/>
      <c r="Q43" s="1335"/>
      <c r="R43" s="590"/>
      <c r="S43" s="1335"/>
    </row>
    <row r="44" spans="1:19">
      <c r="A44" s="1336"/>
      <c r="B44" s="1337" t="s">
        <v>700</v>
      </c>
      <c r="C44" s="1222"/>
      <c r="D44" s="1223"/>
      <c r="E44" s="1223"/>
      <c r="F44" s="1223"/>
      <c r="G44" s="1225"/>
      <c r="H44" s="621"/>
      <c r="I44" s="1338"/>
      <c r="J44" s="621"/>
      <c r="K44" s="1339"/>
      <c r="L44" s="621"/>
      <c r="M44" s="1339"/>
      <c r="N44" s="621"/>
      <c r="O44" s="1339"/>
      <c r="P44" s="621"/>
      <c r="Q44" s="1339"/>
      <c r="R44" s="621"/>
      <c r="S44" s="1339"/>
    </row>
    <row r="45" spans="1:19">
      <c r="A45" s="1340"/>
      <c r="B45" s="1341"/>
      <c r="C45" s="1134"/>
      <c r="D45" s="1124"/>
      <c r="E45" s="1124"/>
      <c r="F45" s="1124"/>
      <c r="G45" s="1133"/>
      <c r="H45" s="590"/>
      <c r="I45" s="1342"/>
      <c r="J45" s="590"/>
      <c r="K45" s="1343"/>
      <c r="L45" s="590"/>
      <c r="M45" s="1343"/>
      <c r="N45" s="590"/>
      <c r="O45" s="1343"/>
      <c r="P45" s="590"/>
      <c r="Q45" s="1343"/>
      <c r="R45" s="590"/>
      <c r="S45" s="1343"/>
    </row>
    <row r="46" spans="1:19">
      <c r="A46" s="1344"/>
      <c r="B46" s="1345" t="s">
        <v>703</v>
      </c>
      <c r="C46" s="1215"/>
      <c r="D46" s="1216"/>
      <c r="E46" s="1216"/>
      <c r="F46" s="1216"/>
      <c r="G46" s="1218"/>
      <c r="H46" s="620"/>
      <c r="I46" s="1346"/>
      <c r="J46" s="620"/>
      <c r="K46" s="1347"/>
      <c r="L46" s="620"/>
      <c r="M46" s="1347"/>
      <c r="N46" s="620"/>
      <c r="O46" s="1347"/>
      <c r="P46" s="620"/>
      <c r="Q46" s="1347"/>
      <c r="R46" s="620"/>
      <c r="S46" s="1347"/>
    </row>
    <row r="47" spans="1:19">
      <c r="A47" s="1348"/>
      <c r="B47" s="1349"/>
      <c r="C47" s="1134"/>
      <c r="D47" s="1124"/>
      <c r="E47" s="1124"/>
      <c r="F47" s="1124"/>
      <c r="G47" s="1133"/>
      <c r="H47" s="590"/>
      <c r="I47" s="1350"/>
      <c r="J47" s="590"/>
      <c r="K47" s="1351"/>
      <c r="L47" s="590"/>
      <c r="M47" s="1351"/>
      <c r="N47" s="590"/>
      <c r="O47" s="1351"/>
      <c r="P47" s="590"/>
      <c r="Q47" s="1351"/>
      <c r="R47" s="590"/>
      <c r="S47" s="1351"/>
    </row>
    <row r="48" spans="1:19">
      <c r="A48" s="1352"/>
      <c r="B48" s="1353" t="s">
        <v>704</v>
      </c>
      <c r="C48" s="1222"/>
      <c r="D48" s="1223"/>
      <c r="E48" s="1223"/>
      <c r="F48" s="1223"/>
      <c r="G48" s="1225"/>
      <c r="H48" s="621"/>
      <c r="I48" s="1354"/>
      <c r="J48" s="621"/>
      <c r="K48" s="1355"/>
      <c r="L48" s="621"/>
      <c r="M48" s="1355"/>
      <c r="N48" s="621"/>
      <c r="O48" s="1355"/>
      <c r="P48" s="621"/>
      <c r="Q48" s="1355"/>
      <c r="R48" s="621"/>
      <c r="S48" s="1355"/>
    </row>
    <row r="49" spans="1:19">
      <c r="A49" s="1356"/>
      <c r="B49" s="1357" t="s">
        <v>719</v>
      </c>
      <c r="C49" s="1228" t="s">
        <v>720</v>
      </c>
      <c r="D49" s="1124">
        <v>25</v>
      </c>
      <c r="E49" s="1124" t="s">
        <v>116</v>
      </c>
      <c r="F49" s="1124">
        <v>500</v>
      </c>
      <c r="G49" s="1133">
        <f t="shared" ref="G49" si="4">D49*F49</f>
        <v>12500</v>
      </c>
      <c r="H49" s="1312"/>
      <c r="I49" s="1313">
        <f t="shared" ref="I49" si="5">G49</f>
        <v>12500</v>
      </c>
      <c r="J49" s="590"/>
      <c r="K49" s="1358"/>
      <c r="L49" s="590"/>
      <c r="M49" s="1358"/>
      <c r="N49" s="590"/>
      <c r="O49" s="1358"/>
      <c r="P49" s="590"/>
      <c r="Q49" s="1358"/>
      <c r="R49" s="590"/>
      <c r="S49" s="1358"/>
    </row>
    <row r="50" spans="1:19" ht="30">
      <c r="A50" s="1359"/>
      <c r="B50" s="1360" t="s">
        <v>721</v>
      </c>
      <c r="C50" s="1361" t="s">
        <v>722</v>
      </c>
      <c r="D50" s="1124">
        <v>335</v>
      </c>
      <c r="E50" s="1124" t="s">
        <v>723</v>
      </c>
      <c r="F50" s="1124">
        <v>50</v>
      </c>
      <c r="G50" s="1133">
        <f t="shared" ref="G50" si="6">D50*F50</f>
        <v>16750</v>
      </c>
      <c r="H50" s="1312"/>
      <c r="I50" s="1313">
        <f t="shared" ref="I50" si="7">G50</f>
        <v>16750</v>
      </c>
      <c r="J50" s="590"/>
      <c r="K50" s="1362"/>
      <c r="L50" s="590"/>
      <c r="M50" s="1362"/>
      <c r="N50" s="590"/>
      <c r="O50" s="1362"/>
      <c r="P50" s="590"/>
      <c r="Q50" s="1362"/>
      <c r="R50" s="590"/>
      <c r="S50" s="1362"/>
    </row>
    <row r="51" spans="1:19">
      <c r="A51" s="1363"/>
      <c r="B51" s="1364"/>
      <c r="C51" s="1228"/>
      <c r="D51" s="1124"/>
      <c r="E51" s="1124"/>
      <c r="F51" s="1124"/>
      <c r="G51" s="1133"/>
      <c r="H51" s="1312"/>
      <c r="I51" s="1365"/>
      <c r="J51" s="590"/>
      <c r="K51" s="1366"/>
      <c r="L51" s="590"/>
      <c r="M51" s="1366"/>
      <c r="N51" s="590"/>
      <c r="O51" s="1366"/>
      <c r="P51" s="590"/>
      <c r="Q51" s="1366"/>
      <c r="R51" s="590"/>
      <c r="S51" s="1366"/>
    </row>
    <row r="52" spans="1:19">
      <c r="A52" s="1367"/>
      <c r="B52" s="1368"/>
      <c r="C52" s="1134"/>
      <c r="D52" s="1124"/>
      <c r="E52" s="1124"/>
      <c r="F52" s="1124"/>
      <c r="G52" s="1133"/>
      <c r="H52" s="590"/>
      <c r="I52" s="1369"/>
      <c r="J52" s="590"/>
      <c r="K52" s="1370"/>
      <c r="L52" s="590"/>
      <c r="M52" s="1370"/>
      <c r="N52" s="590"/>
      <c r="O52" s="1370"/>
      <c r="P52" s="590"/>
      <c r="Q52" s="1370"/>
      <c r="R52" s="590"/>
      <c r="S52" s="1370"/>
    </row>
    <row r="53" spans="1:19">
      <c r="A53" s="1371"/>
      <c r="B53" s="1372" t="s">
        <v>705</v>
      </c>
      <c r="C53" s="1215"/>
      <c r="D53" s="1216"/>
      <c r="E53" s="1216"/>
      <c r="F53" s="1216"/>
      <c r="G53" s="1218"/>
      <c r="H53" s="620"/>
      <c r="I53" s="1373"/>
      <c r="J53" s="620"/>
      <c r="K53" s="1374"/>
      <c r="L53" s="620"/>
      <c r="M53" s="1374"/>
      <c r="N53" s="620"/>
      <c r="O53" s="1374"/>
      <c r="P53" s="620"/>
      <c r="Q53" s="1374"/>
      <c r="R53" s="620"/>
      <c r="S53" s="1374"/>
    </row>
    <row r="54" spans="1:19">
      <c r="A54" s="1375"/>
      <c r="B54" s="1376"/>
      <c r="C54" s="1134"/>
      <c r="D54" s="1124"/>
      <c r="E54" s="1124"/>
      <c r="F54" s="1124"/>
      <c r="G54" s="1133"/>
      <c r="H54" s="590"/>
      <c r="I54" s="1377"/>
      <c r="J54" s="590"/>
      <c r="K54" s="1378"/>
      <c r="L54" s="590"/>
      <c r="M54" s="1378"/>
      <c r="N54" s="590"/>
      <c r="O54" s="1378"/>
      <c r="P54" s="590"/>
      <c r="Q54" s="1378"/>
      <c r="R54" s="590"/>
      <c r="S54" s="1378"/>
    </row>
    <row r="55" spans="1:19">
      <c r="A55" s="1379"/>
      <c r="B55" s="1380" t="s">
        <v>602</v>
      </c>
      <c r="C55" s="1222"/>
      <c r="D55" s="1223"/>
      <c r="E55" s="1223"/>
      <c r="F55" s="1223"/>
      <c r="G55" s="1225"/>
      <c r="H55" s="621"/>
      <c r="I55" s="1381"/>
      <c r="J55" s="621"/>
      <c r="K55" s="1382"/>
      <c r="L55" s="621"/>
      <c r="M55" s="1382"/>
      <c r="N55" s="621"/>
      <c r="O55" s="1382"/>
      <c r="P55" s="621"/>
      <c r="Q55" s="1382"/>
      <c r="R55" s="621"/>
      <c r="S55" s="1382"/>
    </row>
    <row r="56" spans="1:19">
      <c r="A56" s="1383"/>
      <c r="B56" s="1384"/>
      <c r="C56" s="1134"/>
      <c r="D56" s="1124"/>
      <c r="E56" s="1124"/>
      <c r="F56" s="1124"/>
      <c r="G56" s="1133"/>
      <c r="H56" s="590"/>
      <c r="I56" s="1385"/>
      <c r="J56" s="590"/>
      <c r="K56" s="1386"/>
      <c r="L56" s="590"/>
      <c r="M56" s="1386"/>
      <c r="N56" s="590"/>
      <c r="O56" s="1386"/>
      <c r="P56" s="590"/>
      <c r="Q56" s="1386"/>
      <c r="R56" s="590"/>
      <c r="S56" s="1386"/>
    </row>
    <row r="57" spans="1:19">
      <c r="A57" s="1387"/>
      <c r="B57" s="1298"/>
      <c r="C57" s="1134"/>
      <c r="D57" s="1124"/>
      <c r="E57" s="1124"/>
      <c r="F57" s="1124"/>
      <c r="G57" s="1133"/>
      <c r="H57" s="590"/>
      <c r="I57" s="1385"/>
      <c r="J57" s="590"/>
      <c r="K57" s="1386"/>
      <c r="L57" s="590"/>
      <c r="M57" s="1386"/>
      <c r="N57" s="590"/>
      <c r="O57" s="1386"/>
      <c r="P57" s="590"/>
      <c r="Q57" s="1386"/>
      <c r="R57" s="590"/>
      <c r="S57" s="1386"/>
    </row>
    <row r="58" spans="1:19">
      <c r="A58" s="623"/>
      <c r="B58" s="642"/>
      <c r="C58" s="1134"/>
      <c r="D58" s="1124"/>
      <c r="E58" s="1124"/>
      <c r="F58" s="1124"/>
      <c r="G58" s="1133"/>
      <c r="H58" s="590"/>
      <c r="I58" s="1269"/>
      <c r="J58" s="590"/>
      <c r="K58" s="1270"/>
      <c r="L58" s="590"/>
      <c r="M58" s="1270"/>
      <c r="N58" s="590"/>
      <c r="O58" s="1270"/>
      <c r="P58" s="590"/>
      <c r="Q58" s="1270"/>
      <c r="R58" s="590"/>
      <c r="S58" s="1270"/>
    </row>
    <row r="59" spans="1:19" ht="15.75" thickBot="1">
      <c r="A59" s="623"/>
      <c r="B59" s="641"/>
      <c r="C59" s="1154"/>
      <c r="D59" s="1154"/>
      <c r="E59" s="1124"/>
      <c r="F59" s="1124"/>
      <c r="G59" s="1133"/>
      <c r="H59" s="590"/>
      <c r="I59" s="1269"/>
      <c r="J59" s="590"/>
      <c r="K59" s="1270"/>
      <c r="L59" s="590"/>
      <c r="M59" s="1270"/>
      <c r="N59" s="590"/>
      <c r="O59" s="1270"/>
      <c r="P59" s="590"/>
      <c r="Q59" s="1270"/>
      <c r="R59" s="590"/>
      <c r="S59" s="1270"/>
    </row>
    <row r="60" spans="1:19" ht="15.75" thickTop="1">
      <c r="A60" s="14"/>
      <c r="B60" s="15"/>
      <c r="C60" s="16"/>
      <c r="D60" s="16"/>
      <c r="E60" s="17"/>
      <c r="F60" s="18" t="s">
        <v>567</v>
      </c>
      <c r="G60" s="19"/>
      <c r="H60" s="20"/>
      <c r="I60" s="61">
        <f>SUM(I22:I59)</f>
        <v>39250</v>
      </c>
      <c r="J60" s="20"/>
      <c r="K60" s="61">
        <f>SUM(K22:K59)</f>
        <v>0</v>
      </c>
      <c r="L60" s="20"/>
      <c r="M60" s="61">
        <f>SUM(M22:M59)</f>
        <v>0</v>
      </c>
      <c r="N60" s="20"/>
      <c r="O60" s="61">
        <f>SUM(O22:O59)</f>
        <v>0</v>
      </c>
      <c r="P60" s="20"/>
      <c r="Q60" s="61">
        <f>SUM(Q22:Q59)</f>
        <v>0</v>
      </c>
      <c r="R60" s="20"/>
      <c r="S60" s="61">
        <f>SUM(S22:S59)</f>
        <v>0</v>
      </c>
    </row>
    <row r="61" spans="1:19">
      <c r="A61" s="624"/>
      <c r="B61" s="1156"/>
      <c r="C61" s="1157"/>
      <c r="D61" s="1157"/>
      <c r="E61" s="1158"/>
      <c r="F61" s="1159" t="s">
        <v>568</v>
      </c>
      <c r="G61" s="1160"/>
      <c r="H61" s="593">
        <v>0</v>
      </c>
      <c r="I61" s="415"/>
      <c r="J61" s="593">
        <v>0</v>
      </c>
      <c r="K61" s="415"/>
      <c r="L61" s="593">
        <v>0</v>
      </c>
      <c r="M61" s="415"/>
      <c r="N61" s="593">
        <v>0</v>
      </c>
      <c r="O61" s="415"/>
      <c r="P61" s="593">
        <v>0</v>
      </c>
      <c r="Q61" s="415"/>
      <c r="R61" s="593">
        <v>0</v>
      </c>
      <c r="S61" s="415"/>
    </row>
    <row r="62" spans="1:19">
      <c r="A62" s="624"/>
      <c r="B62" s="1156"/>
      <c r="C62" s="1157"/>
      <c r="D62" s="1157"/>
      <c r="E62" s="1158"/>
      <c r="F62" s="1159" t="s">
        <v>569</v>
      </c>
      <c r="G62" s="1160"/>
      <c r="H62" s="594"/>
      <c r="I62" s="598">
        <f>H61*I60</f>
        <v>0</v>
      </c>
      <c r="J62" s="594"/>
      <c r="K62" s="598">
        <f>J61*K60</f>
        <v>0</v>
      </c>
      <c r="L62" s="594"/>
      <c r="M62" s="598">
        <f>L61*M60</f>
        <v>0</v>
      </c>
      <c r="N62" s="594"/>
      <c r="O62" s="598">
        <f>N61*O60</f>
        <v>0</v>
      </c>
      <c r="P62" s="594"/>
      <c r="Q62" s="598">
        <f>P61*Q60</f>
        <v>0</v>
      </c>
      <c r="R62" s="594"/>
      <c r="S62" s="598">
        <f>R61*S60</f>
        <v>0</v>
      </c>
    </row>
    <row r="63" spans="1:19">
      <c r="A63" s="624"/>
      <c r="B63" s="1156"/>
      <c r="C63" s="1157"/>
      <c r="D63" s="1157"/>
      <c r="E63" s="1158"/>
      <c r="F63" s="1159"/>
      <c r="G63" s="1160"/>
      <c r="H63" s="594"/>
      <c r="I63" s="596"/>
      <c r="J63" s="594"/>
      <c r="K63" s="596"/>
      <c r="L63" s="594"/>
      <c r="M63" s="596"/>
      <c r="N63" s="594"/>
      <c r="O63" s="596"/>
      <c r="P63" s="594"/>
      <c r="Q63" s="596"/>
      <c r="R63" s="594"/>
      <c r="S63" s="596"/>
    </row>
    <row r="64" spans="1:19">
      <c r="A64" s="624"/>
      <c r="B64" s="1156"/>
      <c r="C64" s="1157"/>
      <c r="D64" s="1157"/>
      <c r="E64" s="1158"/>
      <c r="F64" s="1159" t="s">
        <v>570</v>
      </c>
      <c r="G64" s="1160"/>
      <c r="H64" s="597"/>
      <c r="I64" s="598">
        <f>SUM(I60:I62)</f>
        <v>39250</v>
      </c>
      <c r="J64" s="597"/>
      <c r="K64" s="598">
        <f>SUM(K60:K62)</f>
        <v>0</v>
      </c>
      <c r="L64" s="597"/>
      <c r="M64" s="598">
        <f>SUM(M60:M62)</f>
        <v>0</v>
      </c>
      <c r="N64" s="597"/>
      <c r="O64" s="598">
        <f>SUM(O60:O62)</f>
        <v>0</v>
      </c>
      <c r="P64" s="597"/>
      <c r="Q64" s="598">
        <f>SUM(Q60:Q62)</f>
        <v>0</v>
      </c>
      <c r="R64" s="597"/>
      <c r="S64" s="598">
        <f>SUM(S60:S62)</f>
        <v>0</v>
      </c>
    </row>
    <row r="65" spans="1:30">
      <c r="A65" s="624"/>
      <c r="B65" s="1156"/>
      <c r="C65" s="1157"/>
      <c r="D65" s="1157"/>
      <c r="E65" s="1158"/>
      <c r="F65" s="1161" t="s">
        <v>571</v>
      </c>
      <c r="G65" s="1162"/>
      <c r="H65" s="599"/>
      <c r="I65" s="600" t="e">
        <f>I64/'Area Calculations'!$J$4</f>
        <v>#DIV/0!</v>
      </c>
      <c r="J65" s="599"/>
      <c r="K65" s="600" t="e">
        <f>K64/'Area Calculations'!$J$4</f>
        <v>#DIV/0!</v>
      </c>
      <c r="L65" s="599"/>
      <c r="M65" s="600" t="e">
        <f>M64/'Area Calculations'!$J$4</f>
        <v>#DIV/0!</v>
      </c>
      <c r="N65" s="599"/>
      <c r="O65" s="600" t="e">
        <f>O64/'Area Calculations'!$J$4</f>
        <v>#DIV/0!</v>
      </c>
      <c r="P65" s="599"/>
      <c r="Q65" s="600" t="e">
        <f>Q64/'Area Calculations'!$J$4</f>
        <v>#DIV/0!</v>
      </c>
      <c r="R65" s="599"/>
      <c r="S65" s="600" t="e">
        <f>S64/'Area Calculations'!$J$4</f>
        <v>#DIV/0!</v>
      </c>
    </row>
    <row r="66" spans="1:30">
      <c r="A66" s="624"/>
      <c r="B66" s="1156"/>
      <c r="C66" s="1157"/>
      <c r="D66" s="1157"/>
      <c r="E66" s="1158"/>
      <c r="F66" s="1161" t="s">
        <v>572</v>
      </c>
      <c r="G66" s="1163"/>
      <c r="H66" s="599"/>
      <c r="I66" s="600" t="e">
        <f>I64/'Area Calculations'!#REF!</f>
        <v>#REF!</v>
      </c>
      <c r="J66" s="599"/>
      <c r="K66" s="600" t="e">
        <f>K64/'Area Calculations'!#REF!</f>
        <v>#REF!</v>
      </c>
      <c r="L66" s="599"/>
      <c r="M66" s="600" t="e">
        <f>M64/'Area Calculations'!#REF!</f>
        <v>#REF!</v>
      </c>
      <c r="N66" s="599"/>
      <c r="O66" s="600" t="e">
        <f>O64/'Area Calculations'!#REF!</f>
        <v>#REF!</v>
      </c>
      <c r="P66" s="599"/>
      <c r="Q66" s="600" t="e">
        <f>Q64/'Area Calculations'!#REF!</f>
        <v>#REF!</v>
      </c>
      <c r="R66" s="599"/>
      <c r="S66" s="600" t="e">
        <f>S64/'Area Calculations'!#REF!</f>
        <v>#REF!</v>
      </c>
    </row>
    <row r="67" spans="1:30" ht="15.75" thickBot="1">
      <c r="A67" s="624"/>
      <c r="B67" s="1156"/>
      <c r="C67" s="1157"/>
      <c r="D67" s="1157"/>
      <c r="E67" s="1158"/>
      <c r="F67" s="1159"/>
      <c r="G67" s="1160"/>
      <c r="H67" s="603"/>
      <c r="I67" s="603"/>
      <c r="J67" s="603"/>
      <c r="K67" s="603"/>
      <c r="L67" s="603"/>
      <c r="M67" s="603"/>
      <c r="N67" s="603"/>
      <c r="O67" s="603"/>
      <c r="P67" s="603"/>
      <c r="Q67" s="603"/>
      <c r="R67" s="603"/>
      <c r="S67" s="603"/>
    </row>
    <row r="68" spans="1:30" ht="16.5" thickTop="1" thickBot="1">
      <c r="A68" s="726" t="s">
        <v>573</v>
      </c>
      <c r="B68" s="727"/>
      <c r="C68" s="12"/>
      <c r="D68" s="12"/>
      <c r="E68" s="12"/>
      <c r="F68" s="12"/>
      <c r="G68" s="13"/>
      <c r="H68" s="21"/>
      <c r="I68" s="21"/>
      <c r="J68" s="21"/>
      <c r="K68" s="21"/>
      <c r="L68" s="21"/>
      <c r="M68" s="21"/>
      <c r="N68" s="21"/>
      <c r="O68" s="21"/>
      <c r="P68" s="21"/>
      <c r="Q68" s="21"/>
      <c r="R68" s="21"/>
      <c r="S68" s="21"/>
    </row>
    <row r="69" spans="1:30" ht="15.75" thickTop="1">
      <c r="A69" s="1276"/>
      <c r="B69" s="862"/>
      <c r="C69" s="1277"/>
      <c r="D69" s="1277"/>
      <c r="E69" s="1277"/>
      <c r="F69" s="1277"/>
      <c r="G69" s="1388"/>
      <c r="H69" s="1389"/>
      <c r="I69" s="1389"/>
      <c r="J69" s="1389"/>
      <c r="K69" s="1389"/>
      <c r="L69" s="1389"/>
      <c r="M69" s="1389"/>
      <c r="N69" s="1389"/>
      <c r="O69" s="1389"/>
      <c r="P69" s="1389"/>
      <c r="Q69" s="1389"/>
      <c r="R69" s="1389"/>
      <c r="S69" s="1389"/>
    </row>
    <row r="70" spans="1:30">
      <c r="A70" s="1276"/>
      <c r="B70" s="862"/>
      <c r="C70" s="1277"/>
      <c r="D70" s="1277"/>
      <c r="E70" s="1277"/>
      <c r="F70" s="1277"/>
      <c r="G70" s="1388"/>
      <c r="H70" s="1389"/>
      <c r="I70" s="1389"/>
      <c r="J70" s="1389"/>
      <c r="K70" s="1389"/>
      <c r="L70" s="1389"/>
      <c r="M70" s="1389"/>
      <c r="N70" s="1389"/>
      <c r="O70" s="1389"/>
      <c r="P70" s="1389"/>
      <c r="Q70" s="1389"/>
      <c r="R70" s="1389"/>
      <c r="S70" s="1389"/>
    </row>
    <row r="71" spans="1:30" ht="15.75" thickBot="1">
      <c r="A71" s="1276"/>
      <c r="B71" s="862"/>
      <c r="C71" s="1277"/>
      <c r="D71" s="1277"/>
      <c r="E71" s="1277"/>
      <c r="F71" s="1277"/>
      <c r="G71" s="1388"/>
      <c r="H71" s="1389"/>
      <c r="I71" s="1389"/>
      <c r="J71" s="1389"/>
      <c r="K71" s="1389"/>
      <c r="L71" s="1389"/>
      <c r="M71" s="1389"/>
      <c r="N71" s="1389"/>
      <c r="O71" s="1389"/>
      <c r="P71" s="1389"/>
      <c r="Q71" s="1389"/>
      <c r="R71" s="1389"/>
      <c r="S71" s="1389"/>
    </row>
    <row r="72" spans="1:30" s="2" customFormat="1" ht="16.5" thickTop="1" thickBot="1">
      <c r="A72" s="726" t="s">
        <v>574</v>
      </c>
      <c r="B72" s="727"/>
      <c r="C72" s="12"/>
      <c r="D72" s="12"/>
      <c r="E72" s="12"/>
      <c r="F72" s="12"/>
      <c r="G72" s="13"/>
      <c r="H72" s="21"/>
      <c r="I72" s="21"/>
      <c r="J72" s="21"/>
      <c r="K72" s="21"/>
      <c r="L72" s="21"/>
      <c r="M72" s="21"/>
      <c r="N72" s="21"/>
      <c r="O72" s="21"/>
      <c r="P72" s="21"/>
      <c r="Q72" s="21"/>
      <c r="R72" s="21"/>
      <c r="S72" s="21"/>
      <c r="T72"/>
      <c r="U72"/>
      <c r="V72"/>
      <c r="W72"/>
      <c r="X72"/>
      <c r="Y72"/>
      <c r="Z72"/>
      <c r="AA72"/>
      <c r="AB72"/>
      <c r="AC72"/>
      <c r="AD72"/>
    </row>
    <row r="73" spans="1:30" s="2" customFormat="1" ht="15.75" thickTop="1">
      <c r="A73" s="1276"/>
      <c r="B73" s="862"/>
      <c r="C73" s="1277"/>
      <c r="D73" s="1277"/>
      <c r="E73" s="1277"/>
      <c r="F73" s="1277"/>
      <c r="G73" s="1388"/>
      <c r="H73" s="1389"/>
      <c r="I73" s="1389"/>
      <c r="J73" s="1389"/>
      <c r="K73" s="1389"/>
      <c r="L73" s="1389"/>
      <c r="M73" s="1389"/>
      <c r="N73" s="1389"/>
      <c r="O73" s="1389"/>
      <c r="P73" s="1389"/>
      <c r="Q73" s="1389"/>
      <c r="R73" s="1389"/>
      <c r="S73" s="1389"/>
      <c r="T73"/>
      <c r="U73"/>
      <c r="V73"/>
      <c r="W73"/>
      <c r="X73"/>
      <c r="Y73"/>
      <c r="Z73"/>
      <c r="AA73"/>
      <c r="AB73"/>
      <c r="AC73"/>
      <c r="AD73"/>
    </row>
    <row r="74" spans="1:30" s="2" customFormat="1">
      <c r="A74" s="1276"/>
      <c r="B74" s="862"/>
      <c r="C74" s="1277"/>
      <c r="D74" s="1277"/>
      <c r="E74" s="1277"/>
      <c r="F74" s="1277"/>
      <c r="G74" s="1388"/>
      <c r="H74" s="1389"/>
      <c r="I74" s="1389"/>
      <c r="J74" s="1389"/>
      <c r="K74" s="1389"/>
      <c r="L74" s="1389"/>
      <c r="M74" s="1389"/>
      <c r="N74" s="1389"/>
      <c r="O74" s="1389"/>
      <c r="P74" s="1389"/>
      <c r="Q74" s="1389"/>
      <c r="R74" s="1389"/>
      <c r="S74" s="1389"/>
      <c r="T74"/>
      <c r="U74"/>
      <c r="V74"/>
      <c r="W74"/>
      <c r="X74"/>
      <c r="Y74"/>
      <c r="Z74"/>
      <c r="AA74"/>
      <c r="AB74"/>
      <c r="AC74"/>
      <c r="AD74"/>
    </row>
    <row r="75" spans="1:30" ht="15.75" thickBot="1">
      <c r="A75" s="1276"/>
      <c r="B75" s="862"/>
      <c r="C75" s="1277"/>
      <c r="D75" s="1277"/>
      <c r="E75" s="1277"/>
      <c r="F75" s="1277"/>
      <c r="G75" s="1388"/>
      <c r="H75" s="1389"/>
      <c r="I75" s="1389"/>
      <c r="J75" s="1389"/>
      <c r="K75" s="1389"/>
      <c r="L75" s="1389"/>
      <c r="M75" s="1389"/>
      <c r="N75" s="1389"/>
      <c r="O75" s="1389"/>
      <c r="P75" s="1389"/>
      <c r="Q75" s="1389"/>
      <c r="R75" s="1389"/>
      <c r="S75" s="1389"/>
    </row>
    <row r="76" spans="1:30" s="2" customFormat="1" ht="16.5" thickTop="1" thickBot="1">
      <c r="A76" s="726" t="s">
        <v>575</v>
      </c>
      <c r="B76" s="727"/>
      <c r="C76" s="12"/>
      <c r="D76" s="12"/>
      <c r="E76" s="12"/>
      <c r="F76" s="12"/>
      <c r="G76" s="13"/>
      <c r="H76" s="21"/>
      <c r="I76" s="21"/>
      <c r="J76" s="21"/>
      <c r="K76" s="21"/>
      <c r="L76" s="21"/>
      <c r="M76" s="21"/>
      <c r="N76" s="21"/>
      <c r="O76" s="21"/>
      <c r="P76" s="21"/>
      <c r="Q76" s="21"/>
      <c r="R76" s="21"/>
      <c r="S76" s="21"/>
      <c r="T76"/>
      <c r="U76"/>
      <c r="V76"/>
      <c r="W76"/>
      <c r="X76"/>
      <c r="Y76"/>
      <c r="Z76"/>
      <c r="AA76"/>
      <c r="AB76"/>
      <c r="AC76"/>
      <c r="AD76"/>
    </row>
    <row r="77" spans="1:30" s="2" customFormat="1" ht="15.75" thickTop="1">
      <c r="A77" s="1276"/>
      <c r="B77" s="862"/>
      <c r="C77" s="1277"/>
      <c r="D77" s="1277"/>
      <c r="E77" s="1277"/>
      <c r="F77" s="1277"/>
      <c r="G77" s="1388"/>
      <c r="H77" s="1389"/>
      <c r="I77" s="1389"/>
      <c r="J77" s="1389"/>
      <c r="K77" s="1389"/>
      <c r="L77" s="1389"/>
      <c r="M77" s="1389"/>
      <c r="N77" s="1389"/>
      <c r="O77" s="1389"/>
      <c r="P77" s="1389"/>
      <c r="Q77" s="1389"/>
      <c r="R77" s="1389"/>
      <c r="S77" s="1389"/>
      <c r="T77"/>
      <c r="U77"/>
      <c r="V77"/>
      <c r="W77"/>
      <c r="X77"/>
      <c r="Y77"/>
      <c r="Z77"/>
      <c r="AA77"/>
      <c r="AB77"/>
      <c r="AC77"/>
      <c r="AD77"/>
    </row>
    <row r="78" spans="1:30" s="2" customFormat="1">
      <c r="A78" s="628"/>
      <c r="B78" s="862"/>
      <c r="C78" s="1124"/>
      <c r="D78" s="1124"/>
      <c r="E78" s="1124"/>
      <c r="F78" s="1124"/>
      <c r="G78" s="1133"/>
      <c r="H78" s="604"/>
      <c r="I78" s="604"/>
      <c r="J78" s="604"/>
      <c r="K78" s="604"/>
      <c r="L78" s="604"/>
      <c r="M78" s="604"/>
      <c r="N78" s="604"/>
      <c r="O78" s="604"/>
      <c r="P78" s="604"/>
      <c r="Q78" s="604"/>
      <c r="R78" s="604"/>
      <c r="S78" s="604"/>
      <c r="T78"/>
      <c r="U78"/>
      <c r="V78"/>
      <c r="W78"/>
      <c r="X78"/>
      <c r="Y78"/>
      <c r="Z78"/>
      <c r="AA78"/>
      <c r="AB78"/>
      <c r="AC78"/>
      <c r="AD78"/>
    </row>
    <row r="79" spans="1:30" s="2" customFormat="1" ht="15.75" thickBot="1">
      <c r="A79" s="625"/>
      <c r="B79" s="1171"/>
      <c r="C79" s="1124"/>
      <c r="D79" s="1124"/>
      <c r="E79" s="1124"/>
      <c r="F79" s="1124"/>
      <c r="G79" s="1133"/>
      <c r="H79" s="605"/>
      <c r="I79" s="605"/>
      <c r="J79" s="605"/>
      <c r="K79" s="605"/>
      <c r="L79" s="605"/>
      <c r="M79" s="605"/>
      <c r="N79" s="605"/>
      <c r="O79" s="605"/>
      <c r="P79" s="605"/>
      <c r="Q79" s="605"/>
      <c r="R79" s="605"/>
      <c r="S79" s="605"/>
    </row>
    <row r="80" spans="1:30" s="2" customFormat="1" ht="16.5" thickTop="1" thickBot="1">
      <c r="A80" s="726" t="s">
        <v>576</v>
      </c>
      <c r="B80" s="727"/>
      <c r="C80" s="12"/>
      <c r="D80" s="12"/>
      <c r="E80" s="12"/>
      <c r="F80" s="12"/>
      <c r="G80" s="13"/>
      <c r="H80" s="21"/>
      <c r="I80" s="21"/>
      <c r="J80" s="21"/>
      <c r="K80" s="21"/>
      <c r="L80" s="21"/>
      <c r="M80" s="21"/>
      <c r="N80" s="21"/>
      <c r="O80" s="21"/>
      <c r="P80" s="21"/>
      <c r="Q80" s="21"/>
      <c r="R80" s="21"/>
      <c r="S80" s="21"/>
      <c r="T80"/>
      <c r="U80"/>
      <c r="V80"/>
      <c r="W80"/>
      <c r="X80"/>
      <c r="Y80"/>
      <c r="Z80"/>
      <c r="AA80"/>
      <c r="AB80"/>
      <c r="AC80"/>
      <c r="AD80"/>
    </row>
    <row r="81" spans="1:30" ht="15.75" thickTop="1">
      <c r="A81" s="1390"/>
      <c r="B81" s="1391"/>
      <c r="C81" s="1277"/>
      <c r="D81" s="1277"/>
      <c r="E81" s="1277"/>
      <c r="F81" s="1277"/>
      <c r="G81" s="1388"/>
      <c r="H81" s="1389"/>
      <c r="I81" s="1389"/>
      <c r="J81" s="1389"/>
      <c r="K81" s="1389"/>
      <c r="L81" s="1389"/>
      <c r="M81" s="1389"/>
      <c r="N81" s="1389"/>
      <c r="O81" s="1389"/>
      <c r="P81" s="1389"/>
      <c r="Q81" s="1389"/>
      <c r="R81" s="1389"/>
      <c r="S81" s="1389"/>
      <c r="T81" s="2"/>
      <c r="U81" s="2"/>
      <c r="V81" s="2"/>
      <c r="W81" s="2"/>
      <c r="X81" s="2"/>
      <c r="Y81" s="2"/>
      <c r="Z81" s="2"/>
      <c r="AA81" s="2"/>
      <c r="AB81" s="2"/>
      <c r="AC81" s="2"/>
      <c r="AD81" s="2"/>
    </row>
    <row r="82" spans="1:30">
      <c r="A82" s="625"/>
      <c r="B82" s="1171"/>
      <c r="C82" s="1124"/>
      <c r="D82" s="1124"/>
      <c r="E82" s="1124"/>
      <c r="F82" s="1124"/>
      <c r="G82" s="1133"/>
      <c r="H82" s="606"/>
      <c r="I82" s="606"/>
      <c r="J82" s="606"/>
      <c r="K82" s="606"/>
      <c r="L82" s="606"/>
      <c r="M82" s="606"/>
      <c r="N82" s="606"/>
      <c r="O82" s="606"/>
      <c r="P82" s="606"/>
      <c r="Q82" s="606"/>
      <c r="R82" s="606"/>
      <c r="S82" s="606"/>
      <c r="T82" s="2"/>
      <c r="U82" s="2"/>
      <c r="V82" s="2"/>
      <c r="W82" s="2"/>
      <c r="X82" s="2"/>
      <c r="Y82" s="2"/>
      <c r="Z82" s="2"/>
      <c r="AA82" s="2"/>
      <c r="AB82" s="2"/>
      <c r="AC82" s="2"/>
      <c r="AD82" s="2"/>
    </row>
    <row r="83" spans="1:30" ht="15.75" thickBot="1">
      <c r="A83" s="625"/>
      <c r="B83" s="1171"/>
      <c r="C83" s="1124"/>
      <c r="D83" s="1124"/>
      <c r="E83" s="1124"/>
      <c r="F83" s="1124"/>
      <c r="G83" s="1133"/>
      <c r="H83" s="606"/>
      <c r="I83" s="606"/>
      <c r="J83" s="606"/>
      <c r="K83" s="606"/>
      <c r="L83" s="606"/>
      <c r="M83" s="606"/>
      <c r="N83" s="606"/>
      <c r="O83" s="606"/>
      <c r="P83" s="606"/>
      <c r="Q83" s="606"/>
      <c r="R83" s="606"/>
      <c r="S83" s="606"/>
      <c r="T83" s="2"/>
      <c r="U83" s="2"/>
      <c r="V83" s="2"/>
      <c r="W83" s="2"/>
      <c r="X83" s="2"/>
      <c r="Y83" s="2"/>
      <c r="Z83" s="2"/>
      <c r="AA83" s="2"/>
      <c r="AB83" s="2"/>
      <c r="AC83" s="2"/>
      <c r="AD83" s="2"/>
    </row>
    <row r="84" spans="1:30" ht="16.5" thickTop="1" thickBot="1">
      <c r="A84" s="726" t="s">
        <v>577</v>
      </c>
      <c r="B84" s="727"/>
      <c r="C84" s="12"/>
      <c r="D84" s="12"/>
      <c r="E84" s="12"/>
      <c r="F84" s="12"/>
      <c r="G84" s="13"/>
      <c r="H84" s="21"/>
      <c r="I84" s="21"/>
      <c r="J84" s="21"/>
      <c r="K84" s="21"/>
      <c r="L84" s="21"/>
      <c r="M84" s="21"/>
      <c r="N84" s="21"/>
      <c r="O84" s="21"/>
      <c r="P84" s="21"/>
      <c r="Q84" s="21"/>
      <c r="R84" s="21"/>
      <c r="S84" s="21"/>
    </row>
    <row r="85" spans="1:30" ht="15.75" thickTop="1">
      <c r="A85" s="628"/>
      <c r="B85" s="862" t="s">
        <v>578</v>
      </c>
      <c r="C85" s="1124"/>
      <c r="D85" s="1124"/>
      <c r="E85" s="1124"/>
      <c r="F85" s="1124"/>
      <c r="G85" s="1133"/>
      <c r="H85" s="606"/>
      <c r="I85" s="606"/>
      <c r="J85" s="606"/>
      <c r="K85" s="606"/>
      <c r="L85" s="606"/>
      <c r="M85" s="606"/>
      <c r="N85" s="606"/>
      <c r="O85" s="606"/>
      <c r="P85" s="606"/>
      <c r="Q85" s="606"/>
      <c r="R85" s="606"/>
      <c r="S85" s="606"/>
    </row>
    <row r="86" spans="1:30">
      <c r="A86" s="628"/>
      <c r="B86" s="862" t="s">
        <v>579</v>
      </c>
      <c r="C86" s="1124"/>
      <c r="D86" s="1124"/>
      <c r="E86" s="1124"/>
      <c r="F86" s="1124"/>
      <c r="G86" s="1133"/>
      <c r="H86" s="606"/>
      <c r="I86" s="606"/>
      <c r="J86" s="606"/>
      <c r="K86" s="606"/>
      <c r="L86" s="606"/>
      <c r="M86" s="606"/>
      <c r="N86" s="606"/>
      <c r="O86" s="606"/>
      <c r="P86" s="606"/>
      <c r="Q86" s="606"/>
      <c r="R86" s="606"/>
      <c r="S86" s="606"/>
    </row>
    <row r="87" spans="1:30">
      <c r="A87" s="628"/>
      <c r="B87" s="862" t="s">
        <v>580</v>
      </c>
      <c r="C87" s="1124"/>
      <c r="D87" s="1124"/>
      <c r="E87" s="1124"/>
      <c r="F87" s="1124"/>
      <c r="G87" s="1133"/>
      <c r="H87" s="606"/>
      <c r="I87" s="606"/>
      <c r="J87" s="606"/>
      <c r="K87" s="606"/>
      <c r="L87" s="606"/>
      <c r="M87" s="606"/>
      <c r="N87" s="606"/>
      <c r="O87" s="606"/>
      <c r="P87" s="606"/>
      <c r="Q87" s="606"/>
      <c r="R87" s="606"/>
      <c r="S87" s="606"/>
    </row>
    <row r="88" spans="1:30">
      <c r="A88" s="628"/>
      <c r="B88" s="862" t="s">
        <v>581</v>
      </c>
      <c r="C88" s="1124"/>
      <c r="D88" s="1124"/>
      <c r="E88" s="1124"/>
      <c r="F88" s="1124"/>
      <c r="G88" s="1133"/>
      <c r="H88" s="606"/>
      <c r="I88" s="606"/>
      <c r="J88" s="606"/>
      <c r="K88" s="606"/>
      <c r="L88" s="606"/>
      <c r="M88" s="606"/>
      <c r="N88" s="606"/>
      <c r="O88" s="606"/>
      <c r="P88" s="606"/>
      <c r="Q88" s="606"/>
      <c r="R88" s="606"/>
      <c r="S88" s="606"/>
    </row>
    <row r="89" spans="1:30" ht="15.75" thickBot="1">
      <c r="A89" s="416"/>
      <c r="B89" s="295"/>
      <c r="C89" s="184"/>
      <c r="D89" s="184"/>
      <c r="E89" s="184"/>
      <c r="F89" s="184"/>
      <c r="G89" s="296"/>
      <c r="H89" s="418"/>
      <c r="I89" s="418"/>
      <c r="J89" s="418"/>
      <c r="K89" s="418"/>
      <c r="L89" s="418"/>
      <c r="M89" s="418"/>
      <c r="N89" s="418"/>
      <c r="O89" s="418"/>
      <c r="P89" s="418"/>
      <c r="Q89" s="418"/>
      <c r="R89" s="418"/>
      <c r="S89" s="418"/>
    </row>
    <row r="90" spans="1:30" ht="16.5" thickTop="1" thickBot="1">
      <c r="A90" s="7" t="s">
        <v>582</v>
      </c>
      <c r="B90" s="8"/>
      <c r="C90" s="12"/>
      <c r="D90" s="12"/>
      <c r="E90" s="12"/>
      <c r="F90" s="12"/>
      <c r="G90" s="13"/>
      <c r="H90" s="21"/>
      <c r="I90" s="21"/>
      <c r="J90" s="21"/>
      <c r="K90" s="21"/>
      <c r="L90" s="21"/>
      <c r="M90" s="21"/>
      <c r="N90" s="21"/>
      <c r="O90" s="21"/>
      <c r="P90" s="21"/>
      <c r="Q90" s="21"/>
      <c r="R90" s="21"/>
      <c r="S90" s="21"/>
    </row>
    <row r="91" spans="1:30" ht="15.75" thickTop="1">
      <c r="A91" s="1276"/>
      <c r="B91" s="1392" t="s">
        <v>583</v>
      </c>
      <c r="C91" s="1277"/>
      <c r="D91" s="1277"/>
      <c r="E91" s="1277"/>
      <c r="F91" s="1277"/>
      <c r="G91" s="1388"/>
      <c r="H91" s="1393"/>
      <c r="I91" s="1393"/>
      <c r="J91" s="1393"/>
      <c r="K91" s="1393"/>
      <c r="L91" s="1393"/>
      <c r="M91" s="1393"/>
      <c r="N91" s="1393"/>
      <c r="O91" s="1393"/>
      <c r="P91" s="1393"/>
      <c r="Q91" s="1393"/>
      <c r="R91" s="1393"/>
      <c r="S91" s="1393"/>
    </row>
    <row r="92" spans="1:30">
      <c r="A92" s="628"/>
      <c r="B92" s="862" t="s">
        <v>584</v>
      </c>
      <c r="C92" s="1124"/>
      <c r="D92" s="1124"/>
      <c r="E92" s="1124"/>
      <c r="F92" s="1124"/>
      <c r="G92" s="1133"/>
      <c r="H92" s="618"/>
      <c r="I92" s="618"/>
      <c r="J92" s="618"/>
      <c r="K92" s="618"/>
      <c r="L92" s="618"/>
      <c r="M92" s="618"/>
      <c r="N92" s="618"/>
      <c r="O92" s="618"/>
      <c r="P92" s="618"/>
      <c r="Q92" s="618"/>
      <c r="R92" s="618"/>
      <c r="S92" s="618"/>
    </row>
    <row r="93" spans="1:30" ht="15.75" thickBot="1">
      <c r="A93" s="607"/>
      <c r="B93" s="608" t="s">
        <v>585</v>
      </c>
      <c r="C93" s="609"/>
      <c r="D93" s="609"/>
      <c r="E93" s="609"/>
      <c r="F93" s="609"/>
      <c r="G93" s="610"/>
      <c r="H93" s="611"/>
      <c r="I93" s="611"/>
      <c r="J93" s="611"/>
      <c r="K93" s="611"/>
      <c r="L93" s="611"/>
      <c r="M93" s="611"/>
      <c r="N93" s="611"/>
      <c r="O93" s="611"/>
      <c r="P93" s="611"/>
      <c r="Q93" s="611"/>
      <c r="R93" s="611"/>
      <c r="S93" s="611"/>
    </row>
    <row r="94" spans="1:30" ht="16.5" thickTop="1" thickBot="1"/>
    <row r="95" spans="1:30" ht="16.5" thickTop="1" thickBot="1">
      <c r="A95" s="92" t="s">
        <v>586</v>
      </c>
      <c r="B95" s="94"/>
    </row>
    <row r="96" spans="1:30" ht="15.75" thickTop="1">
      <c r="A96" s="93" t="s">
        <v>487</v>
      </c>
      <c r="B96" s="612"/>
    </row>
    <row r="97" spans="1:2">
      <c r="A97" s="626" t="s">
        <v>491</v>
      </c>
      <c r="B97" s="612"/>
    </row>
    <row r="98" spans="1:2">
      <c r="A98" s="613" t="s">
        <v>494</v>
      </c>
      <c r="B98" s="614"/>
    </row>
    <row r="99" spans="1:2">
      <c r="A99" s="613" t="s">
        <v>497</v>
      </c>
      <c r="B99" s="622"/>
    </row>
    <row r="100" spans="1:2" ht="15.75" thickBot="1">
      <c r="A100" s="615" t="s">
        <v>587</v>
      </c>
      <c r="B100" s="616">
        <f>H8</f>
        <v>39250</v>
      </c>
    </row>
    <row r="101" spans="1:2" ht="15.75" thickTop="1"/>
    <row r="102" spans="1:2">
      <c r="A102" s="95"/>
      <c r="B102" s="1" t="s">
        <v>588</v>
      </c>
    </row>
    <row r="103" spans="1:2">
      <c r="A103" s="96"/>
      <c r="B103"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8:B68"/>
    <mergeCell ref="A72:B72"/>
    <mergeCell ref="A76:B76"/>
    <mergeCell ref="A80:B80"/>
    <mergeCell ref="A84:B84"/>
  </mergeCells>
  <conditionalFormatting sqref="H20:H31 H33:H59 J33:J59 L33:L59 N33:N59 P33:P59 R33:R59">
    <cfRule type="cellIs" dxfId="1753" priority="25" operator="equal">
      <formula>"X"</formula>
    </cfRule>
    <cfRule type="cellIs" dxfId="1752" priority="26" operator="equal">
      <formula>"I"</formula>
    </cfRule>
  </conditionalFormatting>
  <conditionalFormatting sqref="J20:J31">
    <cfRule type="cellIs" dxfId="1751" priority="23" operator="equal">
      <formula>"X"</formula>
    </cfRule>
    <cfRule type="cellIs" dxfId="1750" priority="24" operator="equal">
      <formula>"I"</formula>
    </cfRule>
  </conditionalFormatting>
  <conditionalFormatting sqref="L20:L31">
    <cfRule type="cellIs" dxfId="1749" priority="21" operator="equal">
      <formula>"X"</formula>
    </cfRule>
    <cfRule type="cellIs" dxfId="1748" priority="22" operator="equal">
      <formula>"I"</formula>
    </cfRule>
  </conditionalFormatting>
  <conditionalFormatting sqref="N20:N31">
    <cfRule type="cellIs" dxfId="1747" priority="19" operator="equal">
      <formula>"X"</formula>
    </cfRule>
    <cfRule type="cellIs" dxfId="1746" priority="20" operator="equal">
      <formula>"I"</formula>
    </cfRule>
  </conditionalFormatting>
  <conditionalFormatting sqref="P20:P31">
    <cfRule type="cellIs" dxfId="1745" priority="17" operator="equal">
      <formula>"X"</formula>
    </cfRule>
    <cfRule type="cellIs" dxfId="1744" priority="18" operator="equal">
      <formula>"I"</formula>
    </cfRule>
  </conditionalFormatting>
  <conditionalFormatting sqref="R20:R31">
    <cfRule type="cellIs" dxfId="1743" priority="15" operator="equal">
      <formula>"X"</formula>
    </cfRule>
    <cfRule type="cellIs" dxfId="1742" priority="16" operator="equal">
      <formula>"I"</formula>
    </cfRule>
  </conditionalFormatting>
  <hyperlinks>
    <hyperlink ref="B3" location="'Cost Summary'!A1" display="BACK TO SUMMARY SHEET" xr:uid="{76FC4D21-3FB0-40C4-B5AF-A53DD41514F3}"/>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EA26-900F-4944-A258-1EBBB22C43B5}">
  <sheetPr>
    <tabColor rgb="FF92D050"/>
  </sheetPr>
  <dimension ref="A1:AD96"/>
  <sheetViews>
    <sheetView zoomScale="112" zoomScaleNormal="112" workbookViewId="0">
      <pane xSplit="2" ySplit="9" topLeftCell="C20" activePane="bottomRight" state="frozen"/>
      <selection pane="bottomRight" activeCell="B30" sqref="B30"/>
      <selection pane="bottomLeft" activeCell="A12" sqref="A12"/>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c r="E2" s="110"/>
      <c r="F2" s="146" t="s">
        <v>475</v>
      </c>
      <c r="G2" s="147" t="s">
        <v>476</v>
      </c>
      <c r="H2" s="732"/>
      <c r="I2" s="732"/>
      <c r="J2" s="732"/>
      <c r="K2" s="732"/>
      <c r="L2" s="732"/>
      <c r="M2" s="732"/>
      <c r="N2" s="732"/>
      <c r="O2" s="732"/>
      <c r="P2" s="732"/>
      <c r="Q2" s="732"/>
      <c r="R2" s="732"/>
      <c r="S2" s="732"/>
    </row>
    <row r="3" spans="1:19" ht="20.25">
      <c r="B3" s="161" t="s">
        <v>477</v>
      </c>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724</v>
      </c>
      <c r="C5" s="1124"/>
      <c r="D5" s="1124"/>
      <c r="E5" s="1124"/>
      <c r="F5" s="1124"/>
      <c r="G5" s="1125" t="s">
        <v>491</v>
      </c>
      <c r="H5" s="778"/>
      <c r="I5" s="1126"/>
      <c r="J5" s="778"/>
      <c r="K5" s="1126"/>
      <c r="L5" s="778"/>
      <c r="M5" s="1126"/>
      <c r="N5" s="778"/>
      <c r="O5" s="1126"/>
      <c r="P5" s="778"/>
      <c r="Q5" s="1126"/>
      <c r="R5" s="778"/>
      <c r="S5" s="1126"/>
    </row>
    <row r="6" spans="1:19">
      <c r="A6" s="627" t="s">
        <v>493</v>
      </c>
      <c r="B6" s="1127" t="s">
        <v>725</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c r="A8" s="414" t="s">
        <v>499</v>
      </c>
      <c r="B8" s="295"/>
      <c r="C8" s="184"/>
      <c r="D8" s="184"/>
      <c r="E8" s="184"/>
      <c r="F8" s="184"/>
      <c r="G8" s="419" t="s">
        <v>499</v>
      </c>
      <c r="H8" s="774">
        <f>I57</f>
        <v>0</v>
      </c>
      <c r="I8" s="775"/>
      <c r="J8" s="774">
        <f>K57</f>
        <v>0</v>
      </c>
      <c r="K8" s="775"/>
      <c r="L8" s="774">
        <f>M57</f>
        <v>0</v>
      </c>
      <c r="M8" s="775"/>
      <c r="N8" s="774">
        <f>O57</f>
        <v>0</v>
      </c>
      <c r="O8" s="775"/>
      <c r="P8" s="774">
        <f>Q57</f>
        <v>0</v>
      </c>
      <c r="Q8" s="775"/>
      <c r="R8" s="774">
        <f>S57</f>
        <v>0</v>
      </c>
      <c r="S8" s="775"/>
    </row>
    <row r="9" spans="1:19" ht="30">
      <c r="A9" s="156" t="s">
        <v>500</v>
      </c>
      <c r="B9" s="159"/>
      <c r="C9" s="158" t="s">
        <v>501</v>
      </c>
      <c r="D9" s="157"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1394"/>
      <c r="B10" s="1395" t="s">
        <v>508</v>
      </c>
      <c r="C10" s="1396"/>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idden="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idden="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c r="A20" s="1285"/>
      <c r="B20" s="420"/>
      <c r="C20" s="1138"/>
      <c r="D20" s="1124"/>
      <c r="E20" s="1124"/>
      <c r="F20" s="1124"/>
      <c r="G20" s="1133"/>
      <c r="H20" s="590"/>
      <c r="I20" s="617"/>
      <c r="J20" s="590"/>
      <c r="K20" s="617"/>
      <c r="L20" s="590"/>
      <c r="M20" s="617"/>
      <c r="N20" s="590"/>
      <c r="O20" s="617"/>
      <c r="P20" s="590"/>
      <c r="Q20" s="617"/>
      <c r="R20" s="590"/>
      <c r="S20" s="617"/>
    </row>
    <row r="21" spans="1:19">
      <c r="A21" s="1397"/>
      <c r="B21" s="1287" t="s">
        <v>724</v>
      </c>
      <c r="C21" s="1138"/>
      <c r="D21" s="1124"/>
      <c r="E21" s="1124"/>
      <c r="F21" s="1124"/>
      <c r="G21" s="1133"/>
      <c r="H21" s="590"/>
      <c r="I21" s="1385"/>
      <c r="J21" s="590"/>
      <c r="K21" s="1386"/>
      <c r="L21" s="590"/>
      <c r="M21" s="1386"/>
      <c r="N21" s="590"/>
      <c r="O21" s="1386"/>
      <c r="P21" s="590"/>
      <c r="Q21" s="1386"/>
      <c r="R21" s="590"/>
      <c r="S21" s="1386"/>
    </row>
    <row r="22" spans="1:19" ht="15.75" hidden="1">
      <c r="A22" s="1397"/>
      <c r="B22" s="1398" t="s">
        <v>511</v>
      </c>
      <c r="C22" s="1138"/>
      <c r="D22" s="1124"/>
      <c r="E22" s="1124"/>
      <c r="F22" s="1124"/>
      <c r="G22" s="1133"/>
      <c r="H22" s="590"/>
      <c r="I22" s="1385"/>
      <c r="J22" s="590"/>
      <c r="K22" s="1386"/>
      <c r="L22" s="590"/>
      <c r="M22" s="1386"/>
      <c r="N22" s="590"/>
      <c r="O22" s="1386"/>
      <c r="P22" s="590"/>
      <c r="Q22" s="1386"/>
      <c r="R22" s="590"/>
      <c r="S22" s="1386"/>
    </row>
    <row r="23" spans="1:19" ht="15.75">
      <c r="A23" s="1397"/>
      <c r="B23" s="582" t="s">
        <v>512</v>
      </c>
      <c r="C23" s="1138"/>
      <c r="D23" s="1124"/>
      <c r="E23" s="1124"/>
      <c r="F23" s="1124"/>
      <c r="G23" s="1133"/>
      <c r="H23" s="590"/>
      <c r="I23" s="1385"/>
      <c r="J23" s="590"/>
      <c r="K23" s="97"/>
      <c r="L23" s="590"/>
      <c r="M23" s="1386"/>
      <c r="N23" s="590"/>
      <c r="O23" s="1386"/>
      <c r="P23" s="590"/>
      <c r="Q23" s="1386"/>
      <c r="R23" s="590"/>
      <c r="S23" s="1386"/>
    </row>
    <row r="24" spans="1:19">
      <c r="A24" s="1387"/>
      <c r="B24" s="1139" t="s">
        <v>513</v>
      </c>
      <c r="C24" s="1134"/>
      <c r="D24" s="1124"/>
      <c r="E24" s="1124"/>
      <c r="F24" s="1124"/>
      <c r="G24" s="1133"/>
      <c r="H24" s="590"/>
      <c r="I24" s="1385"/>
      <c r="J24" s="590"/>
      <c r="K24" s="1386"/>
      <c r="L24" s="590"/>
      <c r="M24" s="1386"/>
      <c r="N24" s="590"/>
      <c r="O24" s="1386"/>
      <c r="P24" s="590"/>
      <c r="Q24" s="1386"/>
      <c r="R24" s="590"/>
      <c r="S24" s="1386"/>
    </row>
    <row r="25" spans="1:19">
      <c r="A25" s="623"/>
      <c r="B25" s="1399" t="s">
        <v>514</v>
      </c>
      <c r="C25" s="1134"/>
      <c r="D25" s="1124"/>
      <c r="E25" s="1124"/>
      <c r="F25" s="1124"/>
      <c r="G25" s="1133"/>
      <c r="H25" s="590"/>
      <c r="I25" s="1385"/>
      <c r="J25" s="590"/>
      <c r="K25" s="1386"/>
      <c r="L25" s="590"/>
      <c r="M25" s="1386"/>
      <c r="N25" s="590"/>
      <c r="O25" s="1386"/>
      <c r="P25" s="590"/>
      <c r="Q25" s="1386"/>
      <c r="R25" s="590"/>
      <c r="S25" s="1386"/>
    </row>
    <row r="26" spans="1:19">
      <c r="A26" s="1387"/>
      <c r="B26" s="1400" t="s">
        <v>515</v>
      </c>
      <c r="C26" s="1134"/>
      <c r="D26" s="1124"/>
      <c r="E26" s="1124"/>
      <c r="F26" s="1124"/>
      <c r="G26" s="1133"/>
      <c r="H26" s="590"/>
      <c r="I26" s="1385"/>
      <c r="J26" s="590"/>
      <c r="K26" s="1386"/>
      <c r="L26" s="590"/>
      <c r="M26" s="1386"/>
      <c r="N26" s="590"/>
      <c r="O26" s="1386"/>
      <c r="P26" s="590"/>
      <c r="Q26" s="1386"/>
      <c r="R26" s="590"/>
      <c r="S26" s="1386"/>
    </row>
    <row r="27" spans="1:19">
      <c r="A27" s="623"/>
      <c r="B27" s="1400" t="s">
        <v>516</v>
      </c>
      <c r="C27" s="1134"/>
      <c r="D27" s="1124"/>
      <c r="E27" s="1124"/>
      <c r="F27" s="1124"/>
      <c r="G27" s="1133"/>
      <c r="H27" s="590"/>
      <c r="I27" s="1385"/>
      <c r="J27" s="590"/>
      <c r="K27" s="1385"/>
      <c r="L27" s="590"/>
      <c r="M27" s="1385"/>
      <c r="N27" s="590"/>
      <c r="O27" s="1385"/>
      <c r="P27" s="590"/>
      <c r="Q27" s="1385"/>
      <c r="R27" s="590"/>
      <c r="S27" s="1385"/>
    </row>
    <row r="28" spans="1:19">
      <c r="A28" s="1387"/>
      <c r="B28" s="1400" t="s">
        <v>517</v>
      </c>
      <c r="C28" s="1134"/>
      <c r="D28" s="1124"/>
      <c r="E28" s="1124"/>
      <c r="F28" s="1124"/>
      <c r="G28" s="1133"/>
      <c r="H28" s="590"/>
      <c r="I28" s="1385"/>
      <c r="J28" s="590"/>
      <c r="K28" s="1386"/>
      <c r="L28" s="590"/>
      <c r="M28" s="1386"/>
      <c r="N28" s="590"/>
      <c r="O28" s="1386"/>
      <c r="P28" s="590"/>
      <c r="Q28" s="1386"/>
      <c r="R28" s="590"/>
      <c r="S28" s="1386"/>
    </row>
    <row r="29" spans="1:19">
      <c r="A29" s="623"/>
      <c r="B29" s="1400" t="s">
        <v>518</v>
      </c>
      <c r="C29" s="1134"/>
      <c r="D29" s="1124"/>
      <c r="E29" s="1124"/>
      <c r="F29" s="1124"/>
      <c r="G29" s="1133"/>
      <c r="H29" s="590"/>
      <c r="I29" s="1385"/>
      <c r="J29" s="590"/>
      <c r="K29" s="1386"/>
      <c r="L29" s="590"/>
      <c r="M29" s="1386"/>
      <c r="N29" s="590"/>
      <c r="O29" s="1386"/>
      <c r="P29" s="590"/>
      <c r="Q29" s="1386"/>
      <c r="R29" s="590"/>
      <c r="S29" s="1386"/>
    </row>
    <row r="30" spans="1:19">
      <c r="A30" s="1387"/>
      <c r="B30" s="1400" t="s">
        <v>693</v>
      </c>
      <c r="C30" s="1134"/>
      <c r="D30" s="1124"/>
      <c r="E30" s="1124"/>
      <c r="F30" s="1124"/>
      <c r="G30" s="1133"/>
      <c r="H30" s="590"/>
      <c r="I30" s="1401"/>
      <c r="J30" s="590"/>
      <c r="K30" s="1402"/>
      <c r="L30" s="590"/>
      <c r="M30" s="1402"/>
      <c r="N30" s="590"/>
      <c r="O30" s="1402"/>
      <c r="P30" s="590"/>
      <c r="Q30" s="1402"/>
      <c r="R30" s="590"/>
      <c r="S30" s="1402"/>
    </row>
    <row r="31" spans="1:19">
      <c r="A31" s="1387"/>
      <c r="B31" s="1403" t="s">
        <v>519</v>
      </c>
      <c r="C31" s="1134"/>
      <c r="D31" s="1124"/>
      <c r="E31" s="1124"/>
      <c r="F31" s="1124"/>
      <c r="G31" s="1133"/>
      <c r="H31" s="590"/>
      <c r="I31" s="1385"/>
      <c r="J31" s="590"/>
      <c r="K31" s="1386"/>
      <c r="L31" s="590"/>
      <c r="M31" s="1386"/>
      <c r="N31" s="590"/>
      <c r="O31" s="1386"/>
      <c r="P31" s="590"/>
      <c r="Q31" s="1386"/>
      <c r="R31" s="590"/>
      <c r="S31" s="1386"/>
    </row>
    <row r="32" spans="1:19">
      <c r="A32" s="623"/>
      <c r="B32" s="1404" t="s">
        <v>520</v>
      </c>
      <c r="C32" s="1144"/>
      <c r="D32" s="1145"/>
      <c r="E32" s="1145"/>
      <c r="F32" s="1145"/>
      <c r="G32" s="1147"/>
      <c r="H32" s="619"/>
      <c r="I32" s="1405"/>
      <c r="J32" s="619"/>
      <c r="K32" s="1406"/>
      <c r="L32" s="619"/>
      <c r="M32" s="1406"/>
      <c r="N32" s="619"/>
      <c r="O32" s="1406"/>
      <c r="P32" s="619"/>
      <c r="Q32" s="1406"/>
      <c r="R32" s="619"/>
      <c r="S32" s="1406"/>
    </row>
    <row r="33" spans="1:19">
      <c r="A33" s="1387"/>
      <c r="B33" s="1407"/>
      <c r="C33" s="1134"/>
      <c r="D33" s="1124"/>
      <c r="E33" s="1124"/>
      <c r="F33" s="1124"/>
      <c r="G33" s="1133"/>
      <c r="H33" s="590"/>
      <c r="I33" s="1385"/>
      <c r="J33" s="590"/>
      <c r="K33" s="1386"/>
      <c r="L33" s="590"/>
      <c r="M33" s="1386"/>
      <c r="N33" s="590"/>
      <c r="O33" s="1386"/>
      <c r="P33" s="590"/>
      <c r="Q33" s="1386"/>
      <c r="R33" s="590"/>
      <c r="S33" s="1386"/>
    </row>
    <row r="34" spans="1:19">
      <c r="A34" s="623"/>
      <c r="B34" s="642"/>
      <c r="C34" s="1134"/>
      <c r="D34" s="1124"/>
      <c r="E34" s="1124"/>
      <c r="F34" s="1124"/>
      <c r="G34" s="1133"/>
      <c r="H34" s="590"/>
      <c r="I34" s="1385"/>
      <c r="J34" s="590"/>
      <c r="K34" s="1386"/>
      <c r="L34" s="590"/>
      <c r="M34" s="1386"/>
      <c r="N34" s="590"/>
      <c r="O34" s="1386"/>
      <c r="P34" s="590"/>
      <c r="Q34" s="1386"/>
      <c r="R34" s="590"/>
      <c r="S34" s="1386"/>
    </row>
    <row r="35" spans="1:19">
      <c r="A35" s="1387"/>
      <c r="B35" s="643"/>
      <c r="C35" s="1134"/>
      <c r="D35" s="1124"/>
      <c r="E35" s="1124"/>
      <c r="F35" s="1124"/>
      <c r="G35" s="1133"/>
      <c r="H35" s="590" t="s">
        <v>709</v>
      </c>
      <c r="I35" s="1385"/>
      <c r="J35" s="590"/>
      <c r="K35" s="1386"/>
      <c r="L35" s="590"/>
      <c r="M35" s="1386"/>
      <c r="N35" s="590"/>
      <c r="O35" s="1386"/>
      <c r="P35" s="590"/>
      <c r="Q35" s="1386"/>
      <c r="R35" s="590"/>
      <c r="S35" s="1386"/>
    </row>
    <row r="36" spans="1:19">
      <c r="A36" s="623"/>
      <c r="B36" s="643"/>
      <c r="C36" s="1134"/>
      <c r="D36" s="1124"/>
      <c r="E36" s="1124"/>
      <c r="F36" s="1124"/>
      <c r="G36" s="1133"/>
      <c r="H36" s="590"/>
      <c r="I36" s="1385"/>
      <c r="J36" s="590"/>
      <c r="K36" s="1386"/>
      <c r="L36" s="590"/>
      <c r="M36" s="1386"/>
      <c r="N36" s="590"/>
      <c r="O36" s="1386"/>
      <c r="P36" s="590"/>
      <c r="Q36" s="1386"/>
      <c r="R36" s="590"/>
      <c r="S36" s="1386"/>
    </row>
    <row r="37" spans="1:19">
      <c r="A37" s="1387"/>
      <c r="B37" s="643"/>
      <c r="C37" s="1154"/>
      <c r="D37" s="1154"/>
      <c r="E37" s="1124"/>
      <c r="F37" s="1124"/>
      <c r="G37" s="1133"/>
      <c r="H37" s="590"/>
      <c r="I37" s="1385"/>
      <c r="J37" s="590"/>
      <c r="K37" s="1386"/>
      <c r="L37" s="590"/>
      <c r="M37" s="1385"/>
      <c r="N37" s="590"/>
      <c r="O37" s="1385"/>
      <c r="P37" s="590"/>
      <c r="Q37" s="1386"/>
      <c r="R37" s="590"/>
      <c r="S37" s="1386"/>
    </row>
    <row r="38" spans="1:19">
      <c r="A38" s="623"/>
      <c r="B38" s="643"/>
      <c r="C38" s="1154"/>
      <c r="D38" s="1154"/>
      <c r="E38" s="1124"/>
      <c r="F38" s="1124"/>
      <c r="G38" s="1133"/>
      <c r="H38" s="590"/>
      <c r="I38" s="1385"/>
      <c r="J38" s="590"/>
      <c r="K38" s="1386"/>
      <c r="L38" s="590"/>
      <c r="M38" s="1386"/>
      <c r="N38" s="590"/>
      <c r="O38" s="1386"/>
      <c r="P38" s="590"/>
      <c r="Q38" s="1386"/>
      <c r="R38" s="590"/>
      <c r="S38" s="1386"/>
    </row>
    <row r="39" spans="1:19">
      <c r="A39" s="1387"/>
      <c r="B39" s="643"/>
      <c r="C39" s="1154"/>
      <c r="D39" s="1154"/>
      <c r="E39" s="1124"/>
      <c r="F39" s="1124"/>
      <c r="G39" s="1133"/>
      <c r="H39" s="590"/>
      <c r="I39" s="1385"/>
      <c r="J39" s="590"/>
      <c r="K39" s="1386"/>
      <c r="L39" s="590"/>
      <c r="M39" s="1386"/>
      <c r="N39" s="590"/>
      <c r="O39" s="1386"/>
      <c r="P39" s="590"/>
      <c r="Q39" s="1386"/>
      <c r="R39" s="590"/>
      <c r="S39" s="1386"/>
    </row>
    <row r="40" spans="1:19">
      <c r="A40" s="623"/>
      <c r="B40" s="643"/>
      <c r="C40" s="1154"/>
      <c r="D40" s="1154"/>
      <c r="E40" s="1124"/>
      <c r="F40" s="1124"/>
      <c r="G40" s="1133"/>
      <c r="H40" s="590"/>
      <c r="I40" s="1385"/>
      <c r="J40" s="590"/>
      <c r="K40" s="1386"/>
      <c r="L40" s="590"/>
      <c r="M40" s="1386"/>
      <c r="N40" s="590"/>
      <c r="O40" s="1386"/>
      <c r="P40" s="590"/>
      <c r="Q40" s="1386"/>
      <c r="R40" s="590"/>
      <c r="S40" s="1386"/>
    </row>
    <row r="41" spans="1:19">
      <c r="A41" s="1387"/>
      <c r="B41" s="643"/>
      <c r="C41" s="1154"/>
      <c r="D41" s="1154"/>
      <c r="E41" s="1124"/>
      <c r="F41" s="1124"/>
      <c r="G41" s="1133"/>
      <c r="H41" s="590"/>
      <c r="I41" s="1385"/>
      <c r="J41" s="590"/>
      <c r="K41" s="1386"/>
      <c r="L41" s="590"/>
      <c r="M41" s="1386"/>
      <c r="N41" s="590"/>
      <c r="O41" s="1386"/>
      <c r="P41" s="590"/>
      <c r="Q41" s="1386"/>
      <c r="R41" s="590"/>
      <c r="S41" s="1386"/>
    </row>
    <row r="42" spans="1:19">
      <c r="A42" s="623"/>
      <c r="B42" s="643"/>
      <c r="C42" s="1154"/>
      <c r="D42" s="1154"/>
      <c r="E42" s="1124"/>
      <c r="F42" s="1124"/>
      <c r="G42" s="1133"/>
      <c r="H42" s="590"/>
      <c r="I42" s="1385"/>
      <c r="J42" s="590"/>
      <c r="K42" s="1386"/>
      <c r="L42" s="590"/>
      <c r="M42" s="1386"/>
      <c r="N42" s="590"/>
      <c r="O42" s="1386"/>
      <c r="P42" s="590"/>
      <c r="Q42" s="1386"/>
      <c r="R42" s="590"/>
      <c r="S42" s="1386"/>
    </row>
    <row r="43" spans="1:19" ht="15.75" customHeight="1">
      <c r="A43" s="1387"/>
      <c r="B43" s="643"/>
      <c r="C43" s="1154"/>
      <c r="D43" s="1154"/>
      <c r="E43" s="1124"/>
      <c r="F43" s="1124"/>
      <c r="G43" s="1133"/>
      <c r="H43" s="590"/>
      <c r="I43" s="1385"/>
      <c r="J43" s="590"/>
      <c r="K43" s="1386"/>
      <c r="L43" s="590"/>
      <c r="M43" s="1386"/>
      <c r="N43" s="590"/>
      <c r="O43" s="1386"/>
      <c r="P43" s="590"/>
      <c r="Q43" s="1386"/>
      <c r="R43" s="590"/>
      <c r="S43" s="1386"/>
    </row>
    <row r="44" spans="1:19">
      <c r="A44" s="623"/>
      <c r="B44" s="643"/>
      <c r="C44" s="1154"/>
      <c r="D44" s="1154"/>
      <c r="E44" s="1124"/>
      <c r="F44" s="1124"/>
      <c r="G44" s="1133"/>
      <c r="H44" s="590"/>
      <c r="I44" s="1385"/>
      <c r="J44" s="590"/>
      <c r="K44" s="1386"/>
      <c r="L44" s="590"/>
      <c r="M44" s="1386"/>
      <c r="N44" s="590"/>
      <c r="O44" s="1386"/>
      <c r="P44" s="590"/>
      <c r="Q44" s="1386"/>
      <c r="R44" s="590"/>
      <c r="S44" s="1386"/>
    </row>
    <row r="45" spans="1:19">
      <c r="A45" s="1387"/>
      <c r="B45" s="642"/>
      <c r="C45" s="1154"/>
      <c r="D45" s="1154"/>
      <c r="E45" s="1124"/>
      <c r="F45" s="1124"/>
      <c r="G45" s="1133"/>
      <c r="H45" s="590"/>
      <c r="I45" s="1385"/>
      <c r="J45" s="590"/>
      <c r="K45" s="1386"/>
      <c r="L45" s="590"/>
      <c r="M45" s="1386"/>
      <c r="N45" s="590"/>
      <c r="O45" s="1386"/>
      <c r="P45" s="590"/>
      <c r="Q45" s="1386"/>
      <c r="R45" s="590"/>
      <c r="S45" s="1386"/>
    </row>
    <row r="46" spans="1:19">
      <c r="A46" s="623"/>
      <c r="B46" s="643"/>
      <c r="C46" s="1154"/>
      <c r="D46" s="1154"/>
      <c r="E46" s="1124"/>
      <c r="F46" s="1124"/>
      <c r="G46" s="1133"/>
      <c r="H46" s="590"/>
      <c r="I46" s="1385"/>
      <c r="J46" s="590"/>
      <c r="K46" s="1386"/>
      <c r="L46" s="590"/>
      <c r="M46" s="1386"/>
      <c r="N46" s="590"/>
      <c r="O46" s="1386"/>
      <c r="P46" s="590"/>
      <c r="Q46" s="1386"/>
      <c r="R46" s="590"/>
      <c r="S46" s="1386"/>
    </row>
    <row r="47" spans="1:19">
      <c r="A47" s="1387"/>
      <c r="B47" s="643"/>
      <c r="C47" s="1154"/>
      <c r="D47" s="1154"/>
      <c r="E47" s="1124"/>
      <c r="F47" s="1124"/>
      <c r="G47" s="1133"/>
      <c r="H47" s="590"/>
      <c r="I47" s="1385"/>
      <c r="J47" s="590"/>
      <c r="K47" s="1386"/>
      <c r="L47" s="590"/>
      <c r="M47" s="1386"/>
      <c r="N47" s="590"/>
      <c r="O47" s="1386"/>
      <c r="P47" s="590"/>
      <c r="Q47" s="1386"/>
      <c r="R47" s="590"/>
      <c r="S47" s="1386"/>
    </row>
    <row r="48" spans="1:19">
      <c r="A48" s="623"/>
      <c r="B48" s="643"/>
      <c r="C48" s="1154"/>
      <c r="D48" s="1154"/>
      <c r="E48" s="1124"/>
      <c r="F48" s="1124"/>
      <c r="G48" s="1133"/>
      <c r="H48" s="590"/>
      <c r="I48" s="1385"/>
      <c r="J48" s="590"/>
      <c r="K48" s="1386"/>
      <c r="L48" s="590"/>
      <c r="M48" s="1386"/>
      <c r="N48" s="590"/>
      <c r="O48" s="1386"/>
      <c r="P48" s="590"/>
      <c r="Q48" s="1386"/>
      <c r="R48" s="590"/>
      <c r="S48" s="1386"/>
    </row>
    <row r="49" spans="1:19">
      <c r="A49" s="1387"/>
      <c r="B49" s="643"/>
      <c r="C49" s="1154"/>
      <c r="D49" s="1154"/>
      <c r="E49" s="1124"/>
      <c r="F49" s="1124"/>
      <c r="G49" s="1133"/>
      <c r="H49" s="590"/>
      <c r="I49" s="1385"/>
      <c r="J49" s="590"/>
      <c r="K49" s="1386"/>
      <c r="L49" s="590"/>
      <c r="M49" s="1386"/>
      <c r="N49" s="590"/>
      <c r="O49" s="1386"/>
      <c r="P49" s="590"/>
      <c r="Q49" s="1386"/>
      <c r="R49" s="590"/>
      <c r="S49" s="1386"/>
    </row>
    <row r="50" spans="1:19">
      <c r="A50" s="623"/>
      <c r="B50" s="642"/>
      <c r="C50" s="1154"/>
      <c r="D50" s="1154"/>
      <c r="E50" s="1124"/>
      <c r="F50" s="1124"/>
      <c r="G50" s="1133"/>
      <c r="H50" s="590"/>
      <c r="I50" s="1385"/>
      <c r="J50" s="590"/>
      <c r="K50" s="1386"/>
      <c r="L50" s="590"/>
      <c r="M50" s="1386"/>
      <c r="N50" s="590"/>
      <c r="O50" s="1386"/>
      <c r="P50" s="590"/>
      <c r="Q50" s="1386"/>
      <c r="R50" s="590"/>
      <c r="S50" s="1386"/>
    </row>
    <row r="51" spans="1:19">
      <c r="A51" s="1387"/>
      <c r="B51" s="643"/>
      <c r="C51" s="1154"/>
      <c r="D51" s="1154"/>
      <c r="E51" s="1124"/>
      <c r="F51" s="1124"/>
      <c r="G51" s="1133"/>
      <c r="H51" s="590"/>
      <c r="I51" s="1385"/>
      <c r="J51" s="590"/>
      <c r="K51" s="1386"/>
      <c r="L51" s="590"/>
      <c r="M51" s="1386"/>
      <c r="N51" s="590"/>
      <c r="O51" s="1386"/>
      <c r="P51" s="590"/>
      <c r="Q51" s="1386"/>
      <c r="R51" s="590"/>
      <c r="S51" s="1386"/>
    </row>
    <row r="52" spans="1:19">
      <c r="A52" s="623"/>
      <c r="B52" s="641"/>
      <c r="C52" s="1154"/>
      <c r="D52" s="1154"/>
      <c r="E52" s="1124"/>
      <c r="F52" s="1124"/>
      <c r="G52" s="1133"/>
      <c r="H52" s="590"/>
      <c r="I52" s="1385"/>
      <c r="J52" s="590"/>
      <c r="K52" s="1386"/>
      <c r="L52" s="590"/>
      <c r="M52" s="1386"/>
      <c r="N52" s="590"/>
      <c r="O52" s="1386"/>
      <c r="P52" s="590"/>
      <c r="Q52" s="1386"/>
      <c r="R52" s="590"/>
      <c r="S52" s="1386"/>
    </row>
    <row r="53" spans="1:19">
      <c r="A53" s="14"/>
      <c r="B53" s="15"/>
      <c r="C53" s="16"/>
      <c r="D53" s="16"/>
      <c r="E53" s="17"/>
      <c r="F53" s="18" t="s">
        <v>567</v>
      </c>
      <c r="G53" s="19"/>
      <c r="H53" s="20"/>
      <c r="I53" s="61">
        <f>SUM(I22:I52)</f>
        <v>0</v>
      </c>
      <c r="J53" s="20"/>
      <c r="K53" s="61">
        <f>SUM(K22:K52)</f>
        <v>0</v>
      </c>
      <c r="L53" s="20"/>
      <c r="M53" s="61">
        <f>SUM(M22:M52)</f>
        <v>0</v>
      </c>
      <c r="N53" s="20"/>
      <c r="O53" s="61">
        <f>SUM(O22:O52)</f>
        <v>0</v>
      </c>
      <c r="P53" s="20"/>
      <c r="Q53" s="61">
        <f>SUM(Q22:Q52)</f>
        <v>0</v>
      </c>
      <c r="R53" s="20"/>
      <c r="S53" s="61">
        <f>SUM(S22:S52)</f>
        <v>0</v>
      </c>
    </row>
    <row r="54" spans="1:19">
      <c r="A54" s="624"/>
      <c r="B54" s="1156"/>
      <c r="C54" s="1157"/>
      <c r="D54" s="1157"/>
      <c r="E54" s="1158"/>
      <c r="F54" s="1159" t="s">
        <v>568</v>
      </c>
      <c r="G54" s="1160"/>
      <c r="H54" s="593">
        <v>0</v>
      </c>
      <c r="I54" s="415"/>
      <c r="J54" s="593">
        <v>0</v>
      </c>
      <c r="K54" s="415"/>
      <c r="L54" s="593">
        <v>0</v>
      </c>
      <c r="M54" s="415"/>
      <c r="N54" s="593">
        <v>0</v>
      </c>
      <c r="O54" s="415"/>
      <c r="P54" s="593">
        <v>0</v>
      </c>
      <c r="Q54" s="415"/>
      <c r="R54" s="593">
        <v>0</v>
      </c>
      <c r="S54" s="415"/>
    </row>
    <row r="55" spans="1:19">
      <c r="A55" s="624"/>
      <c r="B55" s="1156"/>
      <c r="C55" s="1157"/>
      <c r="D55" s="1157"/>
      <c r="E55" s="1158"/>
      <c r="F55" s="1159" t="s">
        <v>569</v>
      </c>
      <c r="G55" s="1160"/>
      <c r="H55" s="594"/>
      <c r="I55" s="598">
        <f>H54*I53</f>
        <v>0</v>
      </c>
      <c r="J55" s="594"/>
      <c r="K55" s="598">
        <f>J54*K53</f>
        <v>0</v>
      </c>
      <c r="L55" s="594"/>
      <c r="M55" s="598">
        <f>L54*M53</f>
        <v>0</v>
      </c>
      <c r="N55" s="594"/>
      <c r="O55" s="598">
        <f>N54*O53</f>
        <v>0</v>
      </c>
      <c r="P55" s="594"/>
      <c r="Q55" s="598">
        <f>P54*Q53</f>
        <v>0</v>
      </c>
      <c r="R55" s="594"/>
      <c r="S55" s="598">
        <f>R54*S53</f>
        <v>0</v>
      </c>
    </row>
    <row r="56" spans="1:19">
      <c r="A56" s="624"/>
      <c r="B56" s="1156"/>
      <c r="C56" s="1157"/>
      <c r="D56" s="1157"/>
      <c r="E56" s="1158"/>
      <c r="F56" s="1159"/>
      <c r="G56" s="1160"/>
      <c r="H56" s="594"/>
      <c r="I56" s="596"/>
      <c r="J56" s="594"/>
      <c r="K56" s="596"/>
      <c r="L56" s="594"/>
      <c r="M56" s="596"/>
      <c r="N56" s="594"/>
      <c r="O56" s="596"/>
      <c r="P56" s="594"/>
      <c r="Q56" s="596"/>
      <c r="R56" s="594"/>
      <c r="S56" s="596"/>
    </row>
    <row r="57" spans="1:19">
      <c r="A57" s="624"/>
      <c r="B57" s="1156"/>
      <c r="C57" s="1157"/>
      <c r="D57" s="1157"/>
      <c r="E57" s="1158"/>
      <c r="F57" s="1159" t="s">
        <v>570</v>
      </c>
      <c r="G57" s="1160"/>
      <c r="H57" s="597"/>
      <c r="I57" s="598">
        <f>SUM(I53:I55)</f>
        <v>0</v>
      </c>
      <c r="J57" s="597"/>
      <c r="K57" s="598">
        <f>SUM(K53:K55)</f>
        <v>0</v>
      </c>
      <c r="L57" s="597"/>
      <c r="M57" s="598">
        <f>SUM(M53:M55)</f>
        <v>0</v>
      </c>
      <c r="N57" s="597"/>
      <c r="O57" s="598">
        <f>SUM(O53:O55)</f>
        <v>0</v>
      </c>
      <c r="P57" s="597"/>
      <c r="Q57" s="598">
        <f>SUM(Q53:Q55)</f>
        <v>0</v>
      </c>
      <c r="R57" s="597"/>
      <c r="S57" s="598">
        <f>SUM(S53:S55)</f>
        <v>0</v>
      </c>
    </row>
    <row r="58" spans="1:19">
      <c r="A58" s="624"/>
      <c r="B58" s="1156"/>
      <c r="C58" s="1157"/>
      <c r="D58" s="1157"/>
      <c r="E58" s="1158"/>
      <c r="F58" s="1161" t="s">
        <v>571</v>
      </c>
      <c r="G58" s="1162"/>
      <c r="H58" s="599"/>
      <c r="I58" s="600" t="e">
        <f>I57/'Area Calculations'!$J$4</f>
        <v>#DIV/0!</v>
      </c>
      <c r="J58" s="599"/>
      <c r="K58" s="600" t="e">
        <f>K57/'Area Calculations'!$J$4</f>
        <v>#DIV/0!</v>
      </c>
      <c r="L58" s="599"/>
      <c r="M58" s="600" t="e">
        <f>M57/'Area Calculations'!$J$4</f>
        <v>#DIV/0!</v>
      </c>
      <c r="N58" s="599"/>
      <c r="O58" s="600" t="e">
        <f>O57/'Area Calculations'!$J$4</f>
        <v>#DIV/0!</v>
      </c>
      <c r="P58" s="599"/>
      <c r="Q58" s="600" t="e">
        <f>Q57/'Area Calculations'!$J$4</f>
        <v>#DIV/0!</v>
      </c>
      <c r="R58" s="599"/>
      <c r="S58" s="600" t="e">
        <f>S57/'Area Calculations'!$J$4</f>
        <v>#DIV/0!</v>
      </c>
    </row>
    <row r="59" spans="1:19">
      <c r="A59" s="624"/>
      <c r="B59" s="1156"/>
      <c r="C59" s="1157"/>
      <c r="D59" s="1157"/>
      <c r="E59" s="1158"/>
      <c r="F59" s="1161" t="s">
        <v>572</v>
      </c>
      <c r="G59" s="1163"/>
      <c r="H59" s="599"/>
      <c r="I59" s="600" t="e">
        <f>I57/'Area Calculations'!#REF!</f>
        <v>#REF!</v>
      </c>
      <c r="J59" s="599"/>
      <c r="K59" s="600" t="e">
        <f>K57/'Area Calculations'!#REF!</f>
        <v>#REF!</v>
      </c>
      <c r="L59" s="599"/>
      <c r="M59" s="600" t="e">
        <f>M57/'Area Calculations'!#REF!</f>
        <v>#REF!</v>
      </c>
      <c r="N59" s="599"/>
      <c r="O59" s="600" t="e">
        <f>O57/'Area Calculations'!#REF!</f>
        <v>#REF!</v>
      </c>
      <c r="P59" s="599"/>
      <c r="Q59" s="600" t="e">
        <f>Q57/'Area Calculations'!#REF!</f>
        <v>#REF!</v>
      </c>
      <c r="R59" s="599"/>
      <c r="S59" s="600" t="e">
        <f>S57/'Area Calculations'!#REF!</f>
        <v>#REF!</v>
      </c>
    </row>
    <row r="60" spans="1:19">
      <c r="A60" s="624"/>
      <c r="B60" s="1156"/>
      <c r="C60" s="1157"/>
      <c r="D60" s="1157"/>
      <c r="E60" s="1158"/>
      <c r="F60" s="1159"/>
      <c r="G60" s="1160"/>
      <c r="H60" s="603"/>
      <c r="I60" s="603"/>
      <c r="J60" s="603"/>
      <c r="K60" s="603"/>
      <c r="L60" s="603"/>
      <c r="M60" s="603"/>
      <c r="N60" s="603"/>
      <c r="O60" s="603"/>
      <c r="P60" s="603"/>
      <c r="Q60" s="603"/>
      <c r="R60" s="603"/>
      <c r="S60" s="603"/>
    </row>
    <row r="61" spans="1:19">
      <c r="A61" s="726" t="s">
        <v>573</v>
      </c>
      <c r="B61" s="727"/>
      <c r="C61" s="12"/>
      <c r="D61" s="12"/>
      <c r="E61" s="12"/>
      <c r="F61" s="12"/>
      <c r="G61" s="13"/>
      <c r="H61" s="21"/>
      <c r="I61" s="21"/>
      <c r="J61" s="21"/>
      <c r="K61" s="21"/>
      <c r="L61" s="21"/>
      <c r="M61" s="21"/>
      <c r="N61" s="21"/>
      <c r="O61" s="21"/>
      <c r="P61" s="21"/>
      <c r="Q61" s="21"/>
      <c r="R61" s="21"/>
      <c r="S61" s="21"/>
    </row>
    <row r="62" spans="1:19">
      <c r="A62" s="1394"/>
      <c r="B62" s="862"/>
      <c r="C62" s="1396"/>
      <c r="D62" s="1396"/>
      <c r="E62" s="1396"/>
      <c r="F62" s="1396"/>
      <c r="G62" s="1408"/>
      <c r="H62" s="1409"/>
      <c r="I62" s="1409"/>
      <c r="J62" s="1409"/>
      <c r="K62" s="1409"/>
      <c r="L62" s="1409"/>
      <c r="M62" s="1409"/>
      <c r="N62" s="1409"/>
      <c r="O62" s="1409"/>
      <c r="P62" s="1409"/>
      <c r="Q62" s="1409"/>
      <c r="R62" s="1409"/>
      <c r="S62" s="1409"/>
    </row>
    <row r="63" spans="1:19">
      <c r="A63" s="1394"/>
      <c r="B63" s="862"/>
      <c r="C63" s="1396"/>
      <c r="D63" s="1396"/>
      <c r="E63" s="1396"/>
      <c r="F63" s="1396"/>
      <c r="G63" s="1408"/>
      <c r="H63" s="1409"/>
      <c r="I63" s="1409"/>
      <c r="J63" s="1409"/>
      <c r="K63" s="1409"/>
      <c r="L63" s="1409"/>
      <c r="M63" s="1409"/>
      <c r="N63" s="1409"/>
      <c r="O63" s="1409"/>
      <c r="P63" s="1409"/>
      <c r="Q63" s="1409"/>
      <c r="R63" s="1409"/>
      <c r="S63" s="1409"/>
    </row>
    <row r="64" spans="1:19">
      <c r="A64" s="1394"/>
      <c r="B64" s="862"/>
      <c r="C64" s="1396"/>
      <c r="D64" s="1396"/>
      <c r="E64" s="1396"/>
      <c r="F64" s="1396"/>
      <c r="G64" s="1408"/>
      <c r="H64" s="1409"/>
      <c r="I64" s="1409"/>
      <c r="J64" s="1409"/>
      <c r="K64" s="1409"/>
      <c r="L64" s="1409"/>
      <c r="M64" s="1409"/>
      <c r="N64" s="1409"/>
      <c r="O64" s="1409"/>
      <c r="P64" s="1409"/>
      <c r="Q64" s="1409"/>
      <c r="R64" s="1409"/>
      <c r="S64" s="1409"/>
    </row>
    <row r="65" spans="1:30" s="2" customFormat="1">
      <c r="A65" s="726" t="s">
        <v>574</v>
      </c>
      <c r="B65" s="727"/>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c r="A66" s="1394"/>
      <c r="B66" s="862"/>
      <c r="C66" s="1396"/>
      <c r="D66" s="1396"/>
      <c r="E66" s="1396"/>
      <c r="F66" s="1396"/>
      <c r="G66" s="1408"/>
      <c r="H66" s="1409"/>
      <c r="I66" s="1409"/>
      <c r="J66" s="1409"/>
      <c r="K66" s="1409"/>
      <c r="L66" s="1409"/>
      <c r="M66" s="1409"/>
      <c r="N66" s="1409"/>
      <c r="O66" s="1409"/>
      <c r="P66" s="1409"/>
      <c r="Q66" s="1409"/>
      <c r="R66" s="1409"/>
      <c r="S66" s="1409"/>
      <c r="T66"/>
      <c r="U66"/>
      <c r="V66"/>
      <c r="W66"/>
      <c r="X66"/>
      <c r="Y66"/>
      <c r="Z66"/>
      <c r="AA66"/>
      <c r="AB66"/>
      <c r="AC66"/>
      <c r="AD66"/>
    </row>
    <row r="67" spans="1:30" s="2" customFormat="1">
      <c r="A67" s="1394"/>
      <c r="B67" s="862"/>
      <c r="C67" s="1396"/>
      <c r="D67" s="1396"/>
      <c r="E67" s="1396"/>
      <c r="F67" s="1396"/>
      <c r="G67" s="1408"/>
      <c r="H67" s="1409"/>
      <c r="I67" s="1409"/>
      <c r="J67" s="1409"/>
      <c r="K67" s="1409"/>
      <c r="L67" s="1409"/>
      <c r="M67" s="1409"/>
      <c r="N67" s="1409"/>
      <c r="O67" s="1409"/>
      <c r="P67" s="1409"/>
      <c r="Q67" s="1409"/>
      <c r="R67" s="1409"/>
      <c r="S67" s="1409"/>
      <c r="T67"/>
      <c r="U67"/>
      <c r="V67"/>
      <c r="W67"/>
      <c r="X67"/>
      <c r="Y67"/>
      <c r="Z67"/>
      <c r="AA67"/>
      <c r="AB67"/>
      <c r="AC67"/>
      <c r="AD67"/>
    </row>
    <row r="68" spans="1:30">
      <c r="A68" s="1394"/>
      <c r="B68" s="862"/>
      <c r="C68" s="1396"/>
      <c r="D68" s="1396"/>
      <c r="E68" s="1396"/>
      <c r="F68" s="1396"/>
      <c r="G68" s="1408"/>
      <c r="H68" s="1409"/>
      <c r="I68" s="1409"/>
      <c r="J68" s="1409"/>
      <c r="K68" s="1409"/>
      <c r="L68" s="1409"/>
      <c r="M68" s="1409"/>
      <c r="N68" s="1409"/>
      <c r="O68" s="1409"/>
      <c r="P68" s="1409"/>
      <c r="Q68" s="1409"/>
      <c r="R68" s="1409"/>
      <c r="S68" s="1409"/>
    </row>
    <row r="69" spans="1:30" s="2" customFormat="1">
      <c r="A69" s="726" t="s">
        <v>575</v>
      </c>
      <c r="B69" s="727"/>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c r="A70" s="1394"/>
      <c r="B70" s="862"/>
      <c r="C70" s="1396"/>
      <c r="D70" s="1396"/>
      <c r="E70" s="1396"/>
      <c r="F70" s="1396"/>
      <c r="G70" s="1408"/>
      <c r="H70" s="1409"/>
      <c r="I70" s="1409"/>
      <c r="J70" s="1409"/>
      <c r="K70" s="1409"/>
      <c r="L70" s="1409"/>
      <c r="M70" s="1409"/>
      <c r="N70" s="1409"/>
      <c r="O70" s="1409"/>
      <c r="P70" s="1409"/>
      <c r="Q70" s="1409"/>
      <c r="R70" s="1409"/>
      <c r="S70" s="1409"/>
      <c r="T70"/>
      <c r="U70"/>
      <c r="V70"/>
      <c r="W70"/>
      <c r="X70"/>
      <c r="Y70"/>
      <c r="Z70"/>
      <c r="AA70"/>
      <c r="AB70"/>
      <c r="AC70"/>
      <c r="AD70"/>
    </row>
    <row r="71" spans="1:30" s="2" customFormat="1">
      <c r="A71" s="628"/>
      <c r="B71" s="862"/>
      <c r="C71" s="1124"/>
      <c r="D71" s="1124"/>
      <c r="E71" s="1124"/>
      <c r="F71" s="1124"/>
      <c r="G71" s="1133"/>
      <c r="H71" s="604"/>
      <c r="I71" s="604"/>
      <c r="J71" s="604"/>
      <c r="K71" s="604"/>
      <c r="L71" s="604"/>
      <c r="M71" s="604"/>
      <c r="N71" s="604"/>
      <c r="O71" s="604"/>
      <c r="P71" s="604"/>
      <c r="Q71" s="604"/>
      <c r="R71" s="604"/>
      <c r="S71" s="604"/>
      <c r="T71"/>
      <c r="U71"/>
      <c r="V71"/>
      <c r="W71"/>
      <c r="X71"/>
      <c r="Y71"/>
      <c r="Z71"/>
      <c r="AA71"/>
      <c r="AB71"/>
      <c r="AC71"/>
      <c r="AD71"/>
    </row>
    <row r="72" spans="1:30" s="2" customFormat="1">
      <c r="A72" s="625"/>
      <c r="B72" s="1171"/>
      <c r="C72" s="1124"/>
      <c r="D72" s="1124"/>
      <c r="E72" s="1124"/>
      <c r="F72" s="1124"/>
      <c r="G72" s="1133"/>
      <c r="H72" s="605"/>
      <c r="I72" s="605"/>
      <c r="J72" s="605"/>
      <c r="K72" s="605"/>
      <c r="L72" s="605"/>
      <c r="M72" s="605"/>
      <c r="N72" s="605"/>
      <c r="O72" s="605"/>
      <c r="P72" s="605"/>
      <c r="Q72" s="605"/>
      <c r="R72" s="605"/>
      <c r="S72" s="605"/>
    </row>
    <row r="73" spans="1:30" s="2" customFormat="1">
      <c r="A73" s="726" t="s">
        <v>576</v>
      </c>
      <c r="B73" s="727"/>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c r="A74" s="1410"/>
      <c r="B74" s="1411"/>
      <c r="C74" s="1396"/>
      <c r="D74" s="1396"/>
      <c r="E74" s="1396"/>
      <c r="F74" s="1396"/>
      <c r="G74" s="1408"/>
      <c r="H74" s="1409"/>
      <c r="I74" s="1409"/>
      <c r="J74" s="1409"/>
      <c r="K74" s="1409"/>
      <c r="L74" s="1409"/>
      <c r="M74" s="1409"/>
      <c r="N74" s="1409"/>
      <c r="O74" s="1409"/>
      <c r="P74" s="1409"/>
      <c r="Q74" s="1409"/>
      <c r="R74" s="1409"/>
      <c r="S74" s="1409"/>
      <c r="T74" s="2"/>
      <c r="U74" s="2"/>
      <c r="V74" s="2"/>
      <c r="W74" s="2"/>
      <c r="X74" s="2"/>
      <c r="Y74" s="2"/>
      <c r="Z74" s="2"/>
      <c r="AA74" s="2"/>
      <c r="AB74" s="2"/>
      <c r="AC74" s="2"/>
      <c r="AD74" s="2"/>
    </row>
    <row r="75" spans="1:30">
      <c r="A75" s="625"/>
      <c r="B75" s="1171"/>
      <c r="C75" s="1124"/>
      <c r="D75" s="1124"/>
      <c r="E75" s="1124"/>
      <c r="F75" s="1124"/>
      <c r="G75" s="1133"/>
      <c r="H75" s="606"/>
      <c r="I75" s="606"/>
      <c r="J75" s="606"/>
      <c r="K75" s="606"/>
      <c r="L75" s="606"/>
      <c r="M75" s="606"/>
      <c r="N75" s="606"/>
      <c r="O75" s="606"/>
      <c r="P75" s="606"/>
      <c r="Q75" s="606"/>
      <c r="R75" s="606"/>
      <c r="S75" s="606"/>
      <c r="T75" s="2"/>
      <c r="U75" s="2"/>
      <c r="V75" s="2"/>
      <c r="W75" s="2"/>
      <c r="X75" s="2"/>
      <c r="Y75" s="2"/>
      <c r="Z75" s="2"/>
      <c r="AA75" s="2"/>
      <c r="AB75" s="2"/>
      <c r="AC75" s="2"/>
      <c r="AD75" s="2"/>
    </row>
    <row r="76" spans="1:30">
      <c r="A76" s="625"/>
      <c r="B76" s="1171"/>
      <c r="C76" s="1124"/>
      <c r="D76" s="1124"/>
      <c r="E76" s="1124"/>
      <c r="F76" s="1124"/>
      <c r="G76" s="1133"/>
      <c r="H76" s="606"/>
      <c r="I76" s="606"/>
      <c r="J76" s="606"/>
      <c r="K76" s="606"/>
      <c r="L76" s="606"/>
      <c r="M76" s="606"/>
      <c r="N76" s="606"/>
      <c r="O76" s="606"/>
      <c r="P76" s="606"/>
      <c r="Q76" s="606"/>
      <c r="R76" s="606"/>
      <c r="S76" s="606"/>
      <c r="T76" s="2"/>
      <c r="U76" s="2"/>
      <c r="V76" s="2"/>
      <c r="W76" s="2"/>
      <c r="X76" s="2"/>
      <c r="Y76" s="2"/>
      <c r="Z76" s="2"/>
      <c r="AA76" s="2"/>
      <c r="AB76" s="2"/>
      <c r="AC76" s="2"/>
      <c r="AD76" s="2"/>
    </row>
    <row r="77" spans="1:30">
      <c r="A77" s="726" t="s">
        <v>577</v>
      </c>
      <c r="B77" s="727"/>
      <c r="C77" s="12"/>
      <c r="D77" s="12"/>
      <c r="E77" s="12"/>
      <c r="F77" s="12"/>
      <c r="G77" s="13"/>
      <c r="H77" s="21"/>
      <c r="I77" s="21"/>
      <c r="J77" s="21"/>
      <c r="K77" s="21"/>
      <c r="L77" s="21"/>
      <c r="M77" s="21"/>
      <c r="N77" s="21"/>
      <c r="O77" s="21"/>
      <c r="P77" s="21"/>
      <c r="Q77" s="21"/>
      <c r="R77" s="21"/>
      <c r="S77" s="21"/>
    </row>
    <row r="78" spans="1:30">
      <c r="A78" s="628"/>
      <c r="B78" s="862" t="s">
        <v>578</v>
      </c>
      <c r="C78" s="1124"/>
      <c r="D78" s="1124"/>
      <c r="E78" s="1124"/>
      <c r="F78" s="1124"/>
      <c r="G78" s="1133"/>
      <c r="H78" s="606"/>
      <c r="I78" s="606"/>
      <c r="J78" s="606"/>
      <c r="K78" s="606"/>
      <c r="L78" s="606"/>
      <c r="M78" s="606"/>
      <c r="N78" s="606"/>
      <c r="O78" s="606"/>
      <c r="P78" s="606"/>
      <c r="Q78" s="606"/>
      <c r="R78" s="606"/>
      <c r="S78" s="606"/>
    </row>
    <row r="79" spans="1:30">
      <c r="A79" s="628"/>
      <c r="B79" s="862" t="s">
        <v>579</v>
      </c>
      <c r="C79" s="1124"/>
      <c r="D79" s="1124"/>
      <c r="E79" s="1124"/>
      <c r="F79" s="1124"/>
      <c r="G79" s="1133"/>
      <c r="H79" s="606"/>
      <c r="I79" s="606"/>
      <c r="J79" s="606"/>
      <c r="K79" s="606"/>
      <c r="L79" s="606"/>
      <c r="M79" s="606"/>
      <c r="N79" s="606"/>
      <c r="O79" s="606"/>
      <c r="P79" s="606"/>
      <c r="Q79" s="606"/>
      <c r="R79" s="606"/>
      <c r="S79" s="606"/>
    </row>
    <row r="80" spans="1:30">
      <c r="A80" s="628"/>
      <c r="B80" s="862" t="s">
        <v>580</v>
      </c>
      <c r="C80" s="1124"/>
      <c r="D80" s="1124"/>
      <c r="E80" s="1124"/>
      <c r="F80" s="1124"/>
      <c r="G80" s="1133"/>
      <c r="H80" s="606"/>
      <c r="I80" s="606"/>
      <c r="J80" s="606"/>
      <c r="K80" s="606"/>
      <c r="L80" s="606"/>
      <c r="M80" s="606"/>
      <c r="N80" s="606"/>
      <c r="O80" s="606"/>
      <c r="P80" s="606"/>
      <c r="Q80" s="606"/>
      <c r="R80" s="606"/>
      <c r="S80" s="606"/>
    </row>
    <row r="81" spans="1:19">
      <c r="A81" s="628"/>
      <c r="B81" s="862" t="s">
        <v>581</v>
      </c>
      <c r="C81" s="1124"/>
      <c r="D81" s="1124"/>
      <c r="E81" s="1124"/>
      <c r="F81" s="1124"/>
      <c r="G81" s="1133"/>
      <c r="H81" s="606"/>
      <c r="I81" s="606"/>
      <c r="J81" s="606"/>
      <c r="K81" s="606"/>
      <c r="L81" s="606"/>
      <c r="M81" s="606"/>
      <c r="N81" s="606"/>
      <c r="O81" s="606"/>
      <c r="P81" s="606"/>
      <c r="Q81" s="606"/>
      <c r="R81" s="606"/>
      <c r="S81" s="606"/>
    </row>
    <row r="82" spans="1:19">
      <c r="A82" s="416"/>
      <c r="B82" s="295"/>
      <c r="C82" s="184"/>
      <c r="D82" s="184"/>
      <c r="E82" s="184"/>
      <c r="F82" s="184"/>
      <c r="G82" s="296"/>
      <c r="H82" s="418"/>
      <c r="I82" s="418"/>
      <c r="J82" s="418"/>
      <c r="K82" s="418"/>
      <c r="L82" s="418"/>
      <c r="M82" s="418"/>
      <c r="N82" s="418"/>
      <c r="O82" s="418"/>
      <c r="P82" s="418"/>
      <c r="Q82" s="418"/>
      <c r="R82" s="418"/>
      <c r="S82" s="418"/>
    </row>
    <row r="83" spans="1:19">
      <c r="A83" s="7" t="s">
        <v>582</v>
      </c>
      <c r="B83" s="8"/>
      <c r="C83" s="12"/>
      <c r="D83" s="12"/>
      <c r="E83" s="12"/>
      <c r="F83" s="12"/>
      <c r="G83" s="13"/>
      <c r="H83" s="21"/>
      <c r="I83" s="21"/>
      <c r="J83" s="21"/>
      <c r="K83" s="21"/>
      <c r="L83" s="21"/>
      <c r="M83" s="21"/>
      <c r="N83" s="21"/>
      <c r="O83" s="21"/>
      <c r="P83" s="21"/>
      <c r="Q83" s="21"/>
      <c r="R83" s="21"/>
      <c r="S83" s="21"/>
    </row>
    <row r="84" spans="1:19">
      <c r="A84" s="1394"/>
      <c r="B84" s="1412" t="s">
        <v>583</v>
      </c>
      <c r="C84" s="1396"/>
      <c r="D84" s="1396"/>
      <c r="E84" s="1396"/>
      <c r="F84" s="1396"/>
      <c r="G84" s="1408"/>
      <c r="H84" s="1413"/>
      <c r="I84" s="1413"/>
      <c r="J84" s="1413"/>
      <c r="K84" s="1413"/>
      <c r="L84" s="1413"/>
      <c r="M84" s="1413"/>
      <c r="N84" s="1413"/>
      <c r="O84" s="1413"/>
      <c r="P84" s="1413"/>
      <c r="Q84" s="1413"/>
      <c r="R84" s="1413"/>
      <c r="S84" s="1413"/>
    </row>
    <row r="85" spans="1:19">
      <c r="A85" s="628"/>
      <c r="B85" s="862" t="s">
        <v>584</v>
      </c>
      <c r="C85" s="1124"/>
      <c r="D85" s="1124"/>
      <c r="E85" s="1124"/>
      <c r="F85" s="1124"/>
      <c r="G85" s="1133"/>
      <c r="H85" s="618"/>
      <c r="I85" s="618"/>
      <c r="J85" s="618"/>
      <c r="K85" s="618"/>
      <c r="L85" s="618"/>
      <c r="M85" s="618"/>
      <c r="N85" s="618"/>
      <c r="O85" s="618"/>
      <c r="P85" s="618"/>
      <c r="Q85" s="618"/>
      <c r="R85" s="618"/>
      <c r="S85" s="618"/>
    </row>
    <row r="86" spans="1:19">
      <c r="A86" s="607"/>
      <c r="B86" s="608" t="s">
        <v>585</v>
      </c>
      <c r="C86" s="609"/>
      <c r="D86" s="609"/>
      <c r="E86" s="609"/>
      <c r="F86" s="609"/>
      <c r="G86" s="610"/>
      <c r="H86" s="611"/>
      <c r="I86" s="611"/>
      <c r="J86" s="611"/>
      <c r="K86" s="611"/>
      <c r="L86" s="611"/>
      <c r="M86" s="611"/>
      <c r="N86" s="611"/>
      <c r="O86" s="611"/>
      <c r="P86" s="611"/>
      <c r="Q86" s="611"/>
      <c r="R86" s="611"/>
      <c r="S86" s="611"/>
    </row>
    <row r="88" spans="1:19">
      <c r="A88" s="92" t="s">
        <v>586</v>
      </c>
      <c r="B88" s="94"/>
    </row>
    <row r="89" spans="1:19">
      <c r="A89" s="93" t="s">
        <v>487</v>
      </c>
      <c r="B89" s="612"/>
    </row>
    <row r="90" spans="1:19">
      <c r="A90" s="626" t="s">
        <v>491</v>
      </c>
      <c r="B90" s="612"/>
    </row>
    <row r="91" spans="1:19">
      <c r="A91" s="613" t="s">
        <v>494</v>
      </c>
      <c r="B91" s="614"/>
    </row>
    <row r="92" spans="1:19">
      <c r="A92" s="613" t="s">
        <v>497</v>
      </c>
      <c r="B92" s="622"/>
    </row>
    <row r="93" spans="1:19">
      <c r="A93" s="615" t="s">
        <v>587</v>
      </c>
      <c r="B93" s="616"/>
    </row>
    <row r="95" spans="1:19">
      <c r="A95" s="95"/>
      <c r="B95" s="1" t="s">
        <v>588</v>
      </c>
    </row>
    <row r="96" spans="1:19">
      <c r="A96" s="96"/>
      <c r="B96"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1:B61"/>
    <mergeCell ref="A65:B65"/>
    <mergeCell ref="A69:B69"/>
    <mergeCell ref="A73:B73"/>
    <mergeCell ref="A77:B77"/>
  </mergeCells>
  <conditionalFormatting sqref="H20:H31">
    <cfRule type="cellIs" dxfId="1741" priority="23" operator="equal">
      <formula>"X"</formula>
    </cfRule>
    <cfRule type="cellIs" dxfId="1740" priority="24" operator="equal">
      <formula>"I"</formula>
    </cfRule>
  </conditionalFormatting>
  <conditionalFormatting sqref="H33:H52">
    <cfRule type="cellIs" dxfId="1739" priority="1" operator="equal">
      <formula>"X"</formula>
    </cfRule>
    <cfRule type="cellIs" dxfId="1738" priority="2" operator="equal">
      <formula>"I"</formula>
    </cfRule>
  </conditionalFormatting>
  <conditionalFormatting sqref="J20:J31">
    <cfRule type="cellIs" dxfId="1737" priority="21" operator="equal">
      <formula>"X"</formula>
    </cfRule>
    <cfRule type="cellIs" dxfId="1736" priority="22" operator="equal">
      <formula>"I"</formula>
    </cfRule>
  </conditionalFormatting>
  <conditionalFormatting sqref="J33:J52">
    <cfRule type="cellIs" dxfId="1735" priority="3" operator="equal">
      <formula>"X"</formula>
    </cfRule>
    <cfRule type="cellIs" dxfId="1734" priority="4" operator="equal">
      <formula>"I"</formula>
    </cfRule>
  </conditionalFormatting>
  <conditionalFormatting sqref="L20:L31">
    <cfRule type="cellIs" dxfId="1733" priority="19" operator="equal">
      <formula>"X"</formula>
    </cfRule>
    <cfRule type="cellIs" dxfId="1732" priority="20" operator="equal">
      <formula>"I"</formula>
    </cfRule>
  </conditionalFormatting>
  <conditionalFormatting sqref="L33:L52">
    <cfRule type="cellIs" dxfId="1731" priority="5" operator="equal">
      <formula>"X"</formula>
    </cfRule>
    <cfRule type="cellIs" dxfId="1730" priority="6" operator="equal">
      <formula>"I"</formula>
    </cfRule>
  </conditionalFormatting>
  <conditionalFormatting sqref="N20:N31">
    <cfRule type="cellIs" dxfId="1729" priority="17" operator="equal">
      <formula>"X"</formula>
    </cfRule>
    <cfRule type="cellIs" dxfId="1728" priority="18" operator="equal">
      <formula>"I"</formula>
    </cfRule>
  </conditionalFormatting>
  <conditionalFormatting sqref="N33:N52">
    <cfRule type="cellIs" dxfId="1727" priority="7" operator="equal">
      <formula>"X"</formula>
    </cfRule>
    <cfRule type="cellIs" dxfId="1726" priority="8" operator="equal">
      <formula>"I"</formula>
    </cfRule>
  </conditionalFormatting>
  <conditionalFormatting sqref="P20:P31">
    <cfRule type="cellIs" dxfId="1725" priority="15" operator="equal">
      <formula>"X"</formula>
    </cfRule>
    <cfRule type="cellIs" dxfId="1724" priority="16" operator="equal">
      <formula>"I"</formula>
    </cfRule>
  </conditionalFormatting>
  <conditionalFormatting sqref="P33:P52">
    <cfRule type="cellIs" dxfId="1723" priority="9" operator="equal">
      <formula>"X"</formula>
    </cfRule>
    <cfRule type="cellIs" dxfId="1722" priority="10" operator="equal">
      <formula>"I"</formula>
    </cfRule>
  </conditionalFormatting>
  <conditionalFormatting sqref="R20:R31">
    <cfRule type="cellIs" dxfId="1721" priority="13" operator="equal">
      <formula>"X"</formula>
    </cfRule>
    <cfRule type="cellIs" dxfId="1720" priority="14" operator="equal">
      <formula>"I"</formula>
    </cfRule>
  </conditionalFormatting>
  <conditionalFormatting sqref="R33:R52">
    <cfRule type="cellIs" dxfId="1719" priority="11" operator="equal">
      <formula>"X"</formula>
    </cfRule>
    <cfRule type="cellIs" dxfId="1718" priority="12" operator="equal">
      <formula>"I"</formula>
    </cfRule>
  </conditionalFormatting>
  <hyperlinks>
    <hyperlink ref="B3" location="'Cost Summary'!A1" display="BACK TO SUMMARY SHEET" xr:uid="{E846CC78-D5EC-443B-ACDF-C78153BD9BAF}"/>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B30D-1A1D-4FB8-BC72-95AFA59420DA}">
  <sheetPr>
    <tabColor rgb="FF92D050"/>
  </sheetPr>
  <dimension ref="A1:S113"/>
  <sheetViews>
    <sheetView zoomScaleNormal="100" workbookViewId="0">
      <pane xSplit="2" ySplit="9" topLeftCell="C30" activePane="bottomRight" state="frozen"/>
      <selection pane="bottomRight" activeCell="A39" sqref="A39:XFD39"/>
      <selection pane="bottomLeft" sqref="A1:B1"/>
      <selection pane="topRight" sqref="A1:B1"/>
    </sheetView>
  </sheetViews>
  <sheetFormatPr defaultRowHeight="15"/>
  <cols>
    <col min="1" max="1" width="12.85546875" customWidth="1"/>
    <col min="2" max="2" width="70.7109375" style="1" customWidth="1"/>
    <col min="3" max="3" width="13" style="2" customWidth="1"/>
    <col min="4" max="4" width="9.28515625" style="2" bestFit="1" customWidth="1"/>
    <col min="5" max="5" width="7.5703125" style="2" customWidth="1"/>
    <col min="6" max="6" width="11.7109375" style="2" customWidth="1"/>
    <col min="7" max="7" width="21.5703125" style="2" customWidth="1"/>
    <col min="8" max="8" width="7.42578125" style="2" customWidth="1"/>
    <col min="9" max="9" width="14.85546875" style="2" customWidth="1"/>
    <col min="10" max="10" width="7.42578125" style="2"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D1" s="175"/>
      <c r="E1" s="147"/>
      <c r="F1" s="149"/>
      <c r="G1" s="147" t="s">
        <v>474</v>
      </c>
    </row>
    <row r="2" spans="1:19" ht="15.75" thickBot="1">
      <c r="D2" s="175"/>
      <c r="E2" s="147"/>
      <c r="F2" s="146" t="s">
        <v>475</v>
      </c>
      <c r="G2" s="147" t="s">
        <v>476</v>
      </c>
      <c r="H2" s="732"/>
      <c r="I2" s="732"/>
      <c r="J2" s="749"/>
      <c r="K2" s="749"/>
      <c r="L2" s="732"/>
      <c r="M2" s="732"/>
      <c r="N2" s="732"/>
      <c r="O2" s="732"/>
      <c r="P2" s="732"/>
      <c r="Q2" s="732"/>
      <c r="R2" s="732"/>
      <c r="S2" s="732"/>
    </row>
    <row r="3" spans="1:19" ht="21" thickBot="1">
      <c r="B3" s="161" t="s">
        <v>477</v>
      </c>
      <c r="D3" s="175"/>
      <c r="E3" s="147"/>
      <c r="F3" s="148" t="s">
        <v>478</v>
      </c>
      <c r="G3" s="147" t="s">
        <v>479</v>
      </c>
      <c r="H3" s="730" t="s">
        <v>480</v>
      </c>
      <c r="I3" s="731"/>
      <c r="J3" s="730" t="s">
        <v>726</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47"/>
      <c r="I4" s="748"/>
      <c r="J4" s="728"/>
      <c r="K4" s="729"/>
      <c r="L4" s="728"/>
      <c r="M4" s="729"/>
      <c r="N4" s="728"/>
      <c r="O4" s="729"/>
      <c r="P4" s="728"/>
      <c r="Q4" s="729"/>
      <c r="R4" s="728"/>
      <c r="S4" s="729"/>
    </row>
    <row r="5" spans="1:19">
      <c r="A5" s="627" t="s">
        <v>489</v>
      </c>
      <c r="B5" s="862" t="s">
        <v>729</v>
      </c>
      <c r="C5" s="1124"/>
      <c r="D5" s="1124"/>
      <c r="E5" s="1124"/>
      <c r="F5" s="1124"/>
      <c r="G5" s="1125" t="s">
        <v>491</v>
      </c>
      <c r="H5" s="784"/>
      <c r="I5" s="1414"/>
      <c r="J5" s="778"/>
      <c r="K5" s="1126"/>
      <c r="L5" s="778"/>
      <c r="M5" s="1126"/>
      <c r="N5" s="778"/>
      <c r="O5" s="1126"/>
      <c r="P5" s="778"/>
      <c r="Q5" s="1126"/>
      <c r="R5" s="778"/>
      <c r="S5" s="1126"/>
    </row>
    <row r="6" spans="1:19">
      <c r="A6" s="627" t="s">
        <v>493</v>
      </c>
      <c r="B6" s="1127" t="s">
        <v>140</v>
      </c>
      <c r="C6" s="1124"/>
      <c r="D6" s="1124"/>
      <c r="E6" s="1124"/>
      <c r="F6" s="1124"/>
      <c r="G6" s="1125" t="s">
        <v>494</v>
      </c>
      <c r="H6" s="784"/>
      <c r="I6" s="1414"/>
      <c r="J6" s="776"/>
      <c r="K6" s="1129"/>
      <c r="L6" s="776"/>
      <c r="M6" s="1129"/>
      <c r="N6" s="776"/>
      <c r="O6" s="1129"/>
      <c r="P6" s="776"/>
      <c r="Q6" s="1129"/>
      <c r="R6" s="776"/>
      <c r="S6" s="1129"/>
    </row>
    <row r="7" spans="1:19">
      <c r="A7" s="627" t="s">
        <v>496</v>
      </c>
      <c r="B7" s="1130"/>
      <c r="C7" s="1124"/>
      <c r="D7" s="1124"/>
      <c r="E7" s="1124"/>
      <c r="F7" s="1124"/>
      <c r="G7" s="1125" t="s">
        <v>497</v>
      </c>
      <c r="H7" s="1415"/>
      <c r="I7" s="1416"/>
      <c r="J7" s="777"/>
      <c r="K7" s="1131"/>
      <c r="L7" s="777"/>
      <c r="M7" s="1131"/>
      <c r="N7" s="777"/>
      <c r="O7" s="1131"/>
      <c r="P7" s="777"/>
      <c r="Q7" s="1131"/>
      <c r="R7" s="777"/>
      <c r="S7" s="1131"/>
    </row>
    <row r="8" spans="1:19" ht="15.75" thickBot="1">
      <c r="A8" s="421" t="s">
        <v>499</v>
      </c>
      <c r="B8" s="295"/>
      <c r="C8" s="184"/>
      <c r="D8" s="184"/>
      <c r="E8" s="184"/>
      <c r="F8" s="184"/>
      <c r="G8" s="422" t="s">
        <v>499</v>
      </c>
      <c r="H8" s="774">
        <f>I68</f>
        <v>1749421</v>
      </c>
      <c r="I8" s="775"/>
      <c r="J8" s="774">
        <f>K68</f>
        <v>0</v>
      </c>
      <c r="K8" s="775"/>
      <c r="L8" s="774">
        <f>M68</f>
        <v>0</v>
      </c>
      <c r="M8" s="775"/>
      <c r="N8" s="774">
        <f>O68</f>
        <v>0</v>
      </c>
      <c r="O8" s="775"/>
      <c r="P8" s="774">
        <f>Q68</f>
        <v>0</v>
      </c>
      <c r="Q8" s="775"/>
      <c r="R8" s="774">
        <f>S68</f>
        <v>0</v>
      </c>
      <c r="S8" s="775"/>
    </row>
    <row r="9" spans="1:19" ht="46.5" thickTop="1" thickBot="1">
      <c r="A9" s="47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customHeight="1" thickTop="1">
      <c r="A10" s="628"/>
      <c r="B10" s="1417" t="s">
        <v>508</v>
      </c>
      <c r="C10" s="1124"/>
      <c r="D10" s="1124"/>
      <c r="E10" s="1124"/>
      <c r="F10" s="1124"/>
      <c r="G10" s="1133"/>
      <c r="H10" s="617"/>
      <c r="I10" s="617"/>
      <c r="J10" s="617"/>
      <c r="K10" s="617"/>
      <c r="L10" s="617"/>
      <c r="M10" s="617"/>
      <c r="N10" s="617"/>
      <c r="O10" s="617"/>
      <c r="P10" s="617"/>
      <c r="Q10" s="617"/>
      <c r="R10" s="617"/>
      <c r="S10" s="617"/>
    </row>
    <row r="11" spans="1:19" ht="15.75" hidden="1" customHeight="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customHeight="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customHeight="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customHeight="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customHeight="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t="15.75" hidden="1" customHeight="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customHeight="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ht="15.75" hidden="1" customHeight="1">
      <c r="A20" s="628"/>
      <c r="B20" s="862"/>
      <c r="C20" s="1134"/>
      <c r="D20" s="1124"/>
      <c r="E20" s="1124"/>
      <c r="F20" s="1124"/>
      <c r="G20" s="1133"/>
      <c r="H20" s="617"/>
      <c r="I20" s="617"/>
      <c r="J20" s="617"/>
      <c r="K20" s="617"/>
      <c r="L20" s="617"/>
      <c r="M20" s="617"/>
      <c r="N20" s="617"/>
      <c r="O20" s="617"/>
      <c r="P20" s="617"/>
      <c r="Q20" s="617"/>
      <c r="R20" s="617"/>
      <c r="S20" s="617"/>
    </row>
    <row r="21" spans="1:19" ht="16.5" hidden="1" customHeight="1">
      <c r="A21" s="628"/>
      <c r="B21" s="862"/>
      <c r="C21" s="1134"/>
      <c r="D21" s="1124"/>
      <c r="E21" s="1124"/>
      <c r="F21" s="1124"/>
      <c r="G21" s="1133"/>
      <c r="H21" s="590"/>
      <c r="I21" s="617"/>
      <c r="J21" s="590"/>
      <c r="K21" s="617"/>
      <c r="L21" s="590"/>
      <c r="M21" s="617"/>
      <c r="N21" s="590"/>
      <c r="O21" s="617"/>
      <c r="P21" s="590"/>
      <c r="Q21" s="617"/>
      <c r="R21" s="590"/>
      <c r="S21" s="617"/>
    </row>
    <row r="22" spans="1:19" ht="16.5" thickTop="1" thickBot="1">
      <c r="A22" s="1418"/>
      <c r="B22" s="1136" t="s">
        <v>729</v>
      </c>
      <c r="C22" s="1134"/>
      <c r="D22" s="1124"/>
      <c r="E22" s="1124"/>
      <c r="F22" s="1124"/>
      <c r="G22" s="1133"/>
      <c r="H22" s="590"/>
      <c r="I22" s="1402"/>
      <c r="J22" s="590"/>
      <c r="K22" s="1402"/>
      <c r="L22" s="590"/>
      <c r="M22" s="1402"/>
      <c r="N22" s="590"/>
      <c r="O22" s="1402"/>
      <c r="P22" s="590"/>
      <c r="Q22" s="1402"/>
      <c r="R22" s="590"/>
      <c r="S22" s="1402"/>
    </row>
    <row r="23" spans="1:19" ht="16.5" thickBot="1">
      <c r="A23" s="1419"/>
      <c r="B23" s="1420" t="s">
        <v>512</v>
      </c>
      <c r="C23" s="1138"/>
      <c r="D23" s="1124"/>
      <c r="E23" s="1124"/>
      <c r="F23" s="1124"/>
      <c r="G23" s="1133"/>
      <c r="H23" s="590"/>
      <c r="I23" s="1402"/>
      <c r="J23" s="590"/>
      <c r="K23" s="1421"/>
      <c r="L23" s="590"/>
      <c r="M23" s="1402"/>
      <c r="N23" s="590"/>
      <c r="O23" s="1402"/>
      <c r="P23" s="590"/>
      <c r="Q23" s="1402"/>
      <c r="R23" s="590"/>
      <c r="S23" s="1402"/>
    </row>
    <row r="24" spans="1:19" ht="15.75" customHeight="1">
      <c r="A24" s="1418"/>
      <c r="B24" s="1422" t="s">
        <v>513</v>
      </c>
      <c r="C24" s="1134"/>
      <c r="D24" s="1124"/>
      <c r="E24" s="1124"/>
      <c r="F24" s="1124"/>
      <c r="G24" s="1133"/>
      <c r="H24" s="590"/>
      <c r="I24" s="1402"/>
      <c r="J24" s="590"/>
      <c r="K24" s="1402"/>
      <c r="L24" s="590"/>
      <c r="M24" s="1402"/>
      <c r="N24" s="590"/>
      <c r="O24" s="1402"/>
      <c r="P24" s="590"/>
      <c r="Q24" s="1402"/>
      <c r="R24" s="590"/>
      <c r="S24" s="1402"/>
    </row>
    <row r="25" spans="1:19">
      <c r="A25" s="1418"/>
      <c r="B25" s="1423" t="s">
        <v>514</v>
      </c>
      <c r="C25" s="1134"/>
      <c r="D25" s="1124"/>
      <c r="E25" s="1124"/>
      <c r="F25" s="1124"/>
      <c r="G25" s="1133"/>
      <c r="H25" s="590"/>
      <c r="I25" s="1424"/>
      <c r="J25" s="590"/>
      <c r="K25" s="1424"/>
      <c r="L25" s="590"/>
      <c r="M25" s="1424"/>
      <c r="N25" s="590"/>
      <c r="O25" s="1424"/>
      <c r="P25" s="590"/>
      <c r="Q25" s="1424"/>
      <c r="R25" s="590"/>
      <c r="S25" s="1424"/>
    </row>
    <row r="26" spans="1:19" ht="15.75" customHeight="1">
      <c r="A26" s="1418"/>
      <c r="B26" s="1425" t="s">
        <v>515</v>
      </c>
      <c r="C26" s="1134"/>
      <c r="D26" s="1124"/>
      <c r="E26" s="1124"/>
      <c r="F26" s="1124"/>
      <c r="G26" s="1133"/>
      <c r="H26" s="590"/>
      <c r="I26" s="1424"/>
      <c r="J26" s="590"/>
      <c r="K26" s="1424"/>
      <c r="L26" s="590"/>
      <c r="M26" s="1424"/>
      <c r="N26" s="590"/>
      <c r="O26" s="1424"/>
      <c r="P26" s="590"/>
      <c r="Q26" s="1424"/>
      <c r="R26" s="590"/>
      <c r="S26" s="1424"/>
    </row>
    <row r="27" spans="1:19">
      <c r="A27" s="1418"/>
      <c r="B27" s="1425" t="s">
        <v>516</v>
      </c>
      <c r="C27" s="1228"/>
      <c r="D27" s="1426"/>
      <c r="E27" s="1124"/>
      <c r="F27" s="1124"/>
      <c r="G27" s="1133"/>
      <c r="H27" s="590"/>
      <c r="I27" s="1402"/>
      <c r="J27" s="590"/>
      <c r="K27" s="1424"/>
      <c r="L27" s="590"/>
      <c r="M27" s="1402"/>
      <c r="N27" s="590"/>
      <c r="O27" s="1402"/>
      <c r="P27" s="590"/>
      <c r="Q27" s="1402"/>
      <c r="R27" s="590"/>
      <c r="S27" s="1402"/>
    </row>
    <row r="28" spans="1:19">
      <c r="A28" s="1418"/>
      <c r="B28" s="1425" t="s">
        <v>517</v>
      </c>
      <c r="C28" s="1228"/>
      <c r="D28" s="1426"/>
      <c r="E28" s="1124"/>
      <c r="F28" s="1124"/>
      <c r="G28" s="1133"/>
      <c r="H28" s="590"/>
      <c r="I28" s="1402"/>
      <c r="J28" s="590"/>
      <c r="K28" s="1424"/>
      <c r="L28" s="590"/>
      <c r="M28" s="1402"/>
      <c r="N28" s="590"/>
      <c r="O28" s="1402"/>
      <c r="P28" s="590"/>
      <c r="Q28" s="1402"/>
      <c r="R28" s="590"/>
      <c r="S28" s="1402"/>
    </row>
    <row r="29" spans="1:19">
      <c r="A29" s="1418"/>
      <c r="B29" s="1425" t="s">
        <v>518</v>
      </c>
      <c r="C29" s="1228"/>
      <c r="D29" s="1426"/>
      <c r="E29" s="1124"/>
      <c r="F29" s="1124"/>
      <c r="G29" s="1133"/>
      <c r="H29" s="590"/>
      <c r="I29" s="1402"/>
      <c r="J29" s="590"/>
      <c r="K29" s="1424"/>
      <c r="L29" s="590"/>
      <c r="M29" s="1402"/>
      <c r="N29" s="590"/>
      <c r="O29" s="1402"/>
      <c r="P29" s="590"/>
      <c r="Q29" s="1402"/>
      <c r="R29" s="590"/>
      <c r="S29" s="1402"/>
    </row>
    <row r="30" spans="1:19">
      <c r="A30" s="1418"/>
      <c r="B30" s="1425" t="s">
        <v>693</v>
      </c>
      <c r="C30" s="1228"/>
      <c r="D30" s="1426"/>
      <c r="E30" s="1124"/>
      <c r="F30" s="1124"/>
      <c r="G30" s="1133"/>
      <c r="H30" s="590"/>
      <c r="I30" s="1402"/>
      <c r="J30" s="590"/>
      <c r="K30" s="1424"/>
      <c r="L30" s="590"/>
      <c r="M30" s="1402"/>
      <c r="N30" s="590"/>
      <c r="O30" s="1402"/>
      <c r="P30" s="590"/>
      <c r="Q30" s="1402"/>
      <c r="R30" s="590"/>
      <c r="S30" s="1402"/>
    </row>
    <row r="31" spans="1:19">
      <c r="A31" s="1418"/>
      <c r="B31" s="1427" t="s">
        <v>519</v>
      </c>
      <c r="C31" s="1228"/>
      <c r="D31" s="1426"/>
      <c r="E31" s="1124"/>
      <c r="F31" s="1124"/>
      <c r="G31" s="1133"/>
      <c r="H31" s="590"/>
      <c r="I31" s="1402"/>
      <c r="J31" s="590"/>
      <c r="K31" s="1424"/>
      <c r="L31" s="590"/>
      <c r="M31" s="1402"/>
      <c r="N31" s="590"/>
      <c r="O31" s="1402"/>
      <c r="P31" s="590"/>
      <c r="Q31" s="1402"/>
      <c r="R31" s="590"/>
      <c r="S31" s="1402"/>
    </row>
    <row r="32" spans="1:19">
      <c r="A32" s="1428"/>
      <c r="B32" s="1429" t="s">
        <v>520</v>
      </c>
      <c r="C32" s="1430"/>
      <c r="D32" s="1431"/>
      <c r="E32" s="1432"/>
      <c r="F32" s="1432"/>
      <c r="G32" s="1433"/>
      <c r="H32" s="1434"/>
      <c r="I32" s="1435"/>
      <c r="J32" s="1434"/>
      <c r="K32" s="1435"/>
      <c r="L32" s="1434"/>
      <c r="M32" s="1436"/>
      <c r="N32" s="1434"/>
      <c r="O32" s="1436"/>
      <c r="P32" s="1434"/>
      <c r="Q32" s="1436"/>
      <c r="R32" s="1434"/>
      <c r="S32" s="1436"/>
    </row>
    <row r="33" spans="1:19">
      <c r="A33" s="1418"/>
      <c r="B33" s="1437"/>
      <c r="C33" s="1228"/>
      <c r="D33" s="1426"/>
      <c r="E33" s="1124"/>
      <c r="F33" s="1124"/>
      <c r="G33" s="1133"/>
      <c r="H33" s="590"/>
      <c r="I33" s="1402"/>
      <c r="J33" s="590"/>
      <c r="K33" s="1424"/>
      <c r="L33" s="590"/>
      <c r="M33" s="1402"/>
      <c r="N33" s="590"/>
      <c r="O33" s="1402"/>
      <c r="P33" s="590"/>
      <c r="Q33" s="1402"/>
      <c r="R33" s="590"/>
      <c r="S33" s="1402"/>
    </row>
    <row r="34" spans="1:19">
      <c r="A34" s="1418"/>
      <c r="B34" s="1438" t="s">
        <v>694</v>
      </c>
      <c r="C34" s="1231"/>
      <c r="D34" s="1439"/>
      <c r="E34" s="1216"/>
      <c r="F34" s="1216"/>
      <c r="G34" s="1218"/>
      <c r="H34" s="620"/>
      <c r="I34" s="1440"/>
      <c r="J34" s="620"/>
      <c r="K34" s="1441"/>
      <c r="L34" s="620"/>
      <c r="M34" s="1440"/>
      <c r="N34" s="620"/>
      <c r="O34" s="1440"/>
      <c r="P34" s="620"/>
      <c r="Q34" s="1440"/>
      <c r="R34" s="620"/>
      <c r="S34" s="1440"/>
    </row>
    <row r="35" spans="1:19">
      <c r="A35" s="1418"/>
      <c r="B35" s="1437"/>
      <c r="C35" s="1228"/>
      <c r="D35" s="1426"/>
      <c r="E35" s="1124"/>
      <c r="F35" s="1124"/>
      <c r="G35" s="1133"/>
      <c r="H35" s="590"/>
      <c r="I35" s="1402"/>
      <c r="J35" s="590"/>
      <c r="K35" s="1424"/>
      <c r="L35" s="590"/>
      <c r="M35" s="1402"/>
      <c r="N35" s="590"/>
      <c r="O35" s="1402"/>
      <c r="P35" s="590"/>
      <c r="Q35" s="1402"/>
      <c r="R35" s="590"/>
      <c r="S35" s="1402"/>
    </row>
    <row r="36" spans="1:19">
      <c r="A36" s="1418"/>
      <c r="B36" s="1442" t="s">
        <v>695</v>
      </c>
      <c r="C36" s="1232"/>
      <c r="D36" s="1443"/>
      <c r="E36" s="1223"/>
      <c r="F36" s="1223"/>
      <c r="G36" s="1225"/>
      <c r="H36" s="621"/>
      <c r="I36" s="1444"/>
      <c r="J36" s="621"/>
      <c r="K36" s="1445"/>
      <c r="L36" s="621"/>
      <c r="M36" s="1444"/>
      <c r="N36" s="621"/>
      <c r="O36" s="1444"/>
      <c r="P36" s="621"/>
      <c r="Q36" s="1444"/>
      <c r="R36" s="621"/>
      <c r="S36" s="1444"/>
    </row>
    <row r="37" spans="1:19">
      <c r="A37" s="1418"/>
      <c r="B37" s="1446" t="s">
        <v>730</v>
      </c>
      <c r="C37" s="1228" t="s">
        <v>731</v>
      </c>
      <c r="D37" s="1426">
        <f>'Cost Summary'!$J$7</f>
        <v>663</v>
      </c>
      <c r="E37" s="1124" t="s">
        <v>723</v>
      </c>
      <c r="F37" s="1124">
        <v>60</v>
      </c>
      <c r="G37" s="1133">
        <f>D37*F37</f>
        <v>39780</v>
      </c>
      <c r="H37" s="590"/>
      <c r="I37" s="1402">
        <f>G37</f>
        <v>39780</v>
      </c>
      <c r="J37" s="590"/>
      <c r="K37" s="1424"/>
      <c r="L37" s="590"/>
      <c r="M37" s="1402"/>
      <c r="N37" s="590"/>
      <c r="O37" s="1402"/>
      <c r="P37" s="590"/>
      <c r="Q37" s="1402"/>
      <c r="R37" s="590"/>
      <c r="S37" s="1402"/>
    </row>
    <row r="38" spans="1:19">
      <c r="A38" s="1418"/>
      <c r="B38" s="1446" t="s">
        <v>732</v>
      </c>
      <c r="C38" s="1228" t="s">
        <v>697</v>
      </c>
      <c r="D38" s="1426">
        <v>2</v>
      </c>
      <c r="E38" s="1124" t="s">
        <v>714</v>
      </c>
      <c r="F38" s="1124">
        <v>500</v>
      </c>
      <c r="G38" s="1133">
        <f>D38*F38</f>
        <v>1000</v>
      </c>
      <c r="H38" s="590"/>
      <c r="I38" s="1402">
        <f>G38</f>
        <v>1000</v>
      </c>
      <c r="J38" s="590"/>
      <c r="K38" s="1424"/>
      <c r="L38" s="590"/>
      <c r="M38" s="1402"/>
      <c r="N38" s="590"/>
      <c r="O38" s="1402"/>
      <c r="P38" s="590"/>
      <c r="Q38" s="1402"/>
      <c r="R38" s="590"/>
      <c r="S38" s="1402"/>
    </row>
    <row r="39" spans="1:19">
      <c r="A39" s="1418" t="s">
        <v>717</v>
      </c>
      <c r="B39" s="464" t="s">
        <v>733</v>
      </c>
      <c r="C39" s="533" t="s">
        <v>731</v>
      </c>
      <c r="D39" s="1447">
        <v>11868</v>
      </c>
      <c r="E39" s="1448" t="s">
        <v>723</v>
      </c>
      <c r="F39" s="1448">
        <v>5</v>
      </c>
      <c r="G39" s="1449">
        <f>D39*F39</f>
        <v>59340</v>
      </c>
      <c r="H39" s="590"/>
      <c r="I39" s="1402">
        <f t="shared" ref="I39" si="0">G39</f>
        <v>59340</v>
      </c>
      <c r="J39" s="590"/>
      <c r="K39" s="1424"/>
      <c r="L39" s="590"/>
      <c r="M39" s="1402"/>
      <c r="N39" s="590"/>
      <c r="O39" s="1402"/>
      <c r="P39" s="590"/>
      <c r="Q39" s="1402"/>
      <c r="R39" s="590"/>
      <c r="S39" s="1402"/>
    </row>
    <row r="40" spans="1:19">
      <c r="A40" s="1418"/>
      <c r="B40" s="464" t="s">
        <v>734</v>
      </c>
      <c r="C40" s="533"/>
      <c r="D40" s="1447"/>
      <c r="E40" s="1448"/>
      <c r="F40" s="1448"/>
      <c r="G40" s="1449"/>
      <c r="H40" s="590"/>
      <c r="I40" s="1402"/>
      <c r="J40" s="590"/>
      <c r="K40" s="1424"/>
      <c r="L40" s="590"/>
      <c r="M40" s="1402"/>
      <c r="N40" s="590"/>
      <c r="O40" s="1402"/>
      <c r="P40" s="590"/>
      <c r="Q40" s="1402"/>
      <c r="R40" s="590"/>
      <c r="S40" s="1402"/>
    </row>
    <row r="41" spans="1:19">
      <c r="A41" s="1418"/>
      <c r="B41" s="464" t="s">
        <v>735</v>
      </c>
      <c r="C41" s="533" t="s">
        <v>736</v>
      </c>
      <c r="D41" s="1447">
        <v>8</v>
      </c>
      <c r="E41" s="1448" t="s">
        <v>714</v>
      </c>
      <c r="F41" s="1448">
        <v>1750</v>
      </c>
      <c r="G41" s="1449">
        <f>D41*F41</f>
        <v>14000</v>
      </c>
      <c r="H41" s="590"/>
      <c r="I41" s="1402">
        <f t="shared" ref="I41:I43" si="1">G41</f>
        <v>14000</v>
      </c>
      <c r="J41" s="590"/>
      <c r="K41" s="1424"/>
      <c r="L41" s="590"/>
      <c r="M41" s="1402"/>
      <c r="N41" s="590"/>
      <c r="O41" s="1402"/>
      <c r="P41" s="590"/>
      <c r="Q41" s="1402"/>
      <c r="R41" s="590"/>
      <c r="S41" s="1402"/>
    </row>
    <row r="42" spans="1:19">
      <c r="A42" s="1418" t="s">
        <v>717</v>
      </c>
      <c r="B42" s="464" t="s">
        <v>737</v>
      </c>
      <c r="C42" s="533" t="s">
        <v>736</v>
      </c>
      <c r="D42" s="1447">
        <v>4</v>
      </c>
      <c r="E42" s="1448" t="s">
        <v>714</v>
      </c>
      <c r="F42" s="1448">
        <f>F41</f>
        <v>1750</v>
      </c>
      <c r="G42" s="1449">
        <f>D42*F42</f>
        <v>7000</v>
      </c>
      <c r="H42" s="590"/>
      <c r="I42" s="1402">
        <f t="shared" si="1"/>
        <v>7000</v>
      </c>
      <c r="J42" s="590"/>
      <c r="K42" s="1424"/>
      <c r="L42" s="590"/>
      <c r="M42" s="1402"/>
      <c r="N42" s="590"/>
      <c r="O42" s="1402"/>
      <c r="P42" s="590"/>
      <c r="Q42" s="1402"/>
      <c r="R42" s="590"/>
      <c r="S42" s="1402"/>
    </row>
    <row r="43" spans="1:19">
      <c r="A43" s="1418" t="s">
        <v>717</v>
      </c>
      <c r="B43" s="464" t="s">
        <v>738</v>
      </c>
      <c r="C43" s="533" t="s">
        <v>736</v>
      </c>
      <c r="D43" s="1447">
        <v>8</v>
      </c>
      <c r="E43" s="1448" t="s">
        <v>714</v>
      </c>
      <c r="F43" s="1448">
        <f>F41</f>
        <v>1750</v>
      </c>
      <c r="G43" s="1449">
        <f>D43*F43</f>
        <v>14000</v>
      </c>
      <c r="H43" s="590"/>
      <c r="I43" s="1402">
        <f t="shared" si="1"/>
        <v>14000</v>
      </c>
      <c r="J43" s="590"/>
      <c r="K43" s="1424"/>
      <c r="L43" s="590"/>
      <c r="M43" s="1402"/>
      <c r="N43" s="590"/>
      <c r="O43" s="1402"/>
      <c r="P43" s="590"/>
      <c r="Q43" s="1402"/>
      <c r="R43" s="590"/>
      <c r="S43" s="1402"/>
    </row>
    <row r="44" spans="1:19">
      <c r="A44" s="1418" t="s">
        <v>717</v>
      </c>
      <c r="B44" s="464" t="s">
        <v>739</v>
      </c>
      <c r="C44" s="533" t="s">
        <v>736</v>
      </c>
      <c r="D44" s="1447">
        <v>8</v>
      </c>
      <c r="E44" s="1448" t="s">
        <v>714</v>
      </c>
      <c r="F44" s="1448">
        <f>F41</f>
        <v>1750</v>
      </c>
      <c r="G44" s="1449">
        <f t="shared" ref="G44" si="2">D44*F44</f>
        <v>14000</v>
      </c>
      <c r="H44" s="590"/>
      <c r="I44" s="1402">
        <f t="shared" ref="I44" si="3">G44</f>
        <v>14000</v>
      </c>
      <c r="J44" s="590"/>
      <c r="K44" s="1424"/>
      <c r="L44" s="590"/>
      <c r="M44" s="1402"/>
      <c r="N44" s="590"/>
      <c r="O44" s="1402"/>
      <c r="P44" s="590"/>
      <c r="Q44" s="1402"/>
      <c r="R44" s="590"/>
      <c r="S44" s="1402"/>
    </row>
    <row r="45" spans="1:19">
      <c r="A45" s="1418"/>
      <c r="B45" s="1437"/>
      <c r="C45" s="1228"/>
      <c r="D45" s="1426"/>
      <c r="E45" s="1124"/>
      <c r="F45" s="1124"/>
      <c r="G45" s="1133"/>
      <c r="H45" s="590"/>
      <c r="I45" s="1402"/>
      <c r="J45" s="590"/>
      <c r="K45" s="1424"/>
      <c r="L45" s="590"/>
      <c r="M45" s="1402"/>
      <c r="N45" s="590"/>
      <c r="O45" s="1402"/>
      <c r="P45" s="590"/>
      <c r="Q45" s="1402"/>
      <c r="R45" s="590"/>
      <c r="S45" s="1402"/>
    </row>
    <row r="46" spans="1:19">
      <c r="A46" s="1418"/>
      <c r="B46" s="1438" t="s">
        <v>649</v>
      </c>
      <c r="C46" s="1231"/>
      <c r="D46" s="1439"/>
      <c r="E46" s="1216"/>
      <c r="F46" s="1216"/>
      <c r="G46" s="1218"/>
      <c r="H46" s="620"/>
      <c r="I46" s="1440"/>
      <c r="J46" s="620"/>
      <c r="K46" s="1441"/>
      <c r="L46" s="620"/>
      <c r="M46" s="1440"/>
      <c r="N46" s="620"/>
      <c r="O46" s="1440"/>
      <c r="P46" s="620"/>
      <c r="Q46" s="1440"/>
      <c r="R46" s="620"/>
      <c r="S46" s="1440"/>
    </row>
    <row r="47" spans="1:19">
      <c r="A47" s="1418"/>
      <c r="B47" s="1437"/>
      <c r="C47" s="1228"/>
      <c r="D47" s="1426"/>
      <c r="E47" s="1124"/>
      <c r="F47" s="1124"/>
      <c r="G47" s="1133"/>
      <c r="H47" s="590"/>
      <c r="I47" s="1402"/>
      <c r="J47" s="590"/>
      <c r="K47" s="1424"/>
      <c r="L47" s="590"/>
      <c r="M47" s="1402"/>
      <c r="N47" s="590"/>
      <c r="O47" s="1402"/>
      <c r="P47" s="590"/>
      <c r="Q47" s="1402"/>
      <c r="R47" s="590"/>
      <c r="S47" s="1402"/>
    </row>
    <row r="48" spans="1:19">
      <c r="A48" s="1418"/>
      <c r="B48" s="1442" t="s">
        <v>700</v>
      </c>
      <c r="C48" s="1232"/>
      <c r="D48" s="1443"/>
      <c r="E48" s="1223"/>
      <c r="F48" s="1223"/>
      <c r="G48" s="1225"/>
      <c r="H48" s="621"/>
      <c r="I48" s="1444"/>
      <c r="J48" s="621"/>
      <c r="K48" s="1445"/>
      <c r="L48" s="621"/>
      <c r="M48" s="1444"/>
      <c r="N48" s="621"/>
      <c r="O48" s="1444"/>
      <c r="P48" s="621"/>
      <c r="Q48" s="1444"/>
      <c r="R48" s="621"/>
      <c r="S48" s="1444"/>
    </row>
    <row r="49" spans="1:19">
      <c r="A49" s="1418"/>
      <c r="B49" s="1446" t="s">
        <v>701</v>
      </c>
      <c r="C49" s="1228" t="s">
        <v>702</v>
      </c>
      <c r="D49" s="1426">
        <f>'Cost Summary'!$N$7</f>
        <v>11678</v>
      </c>
      <c r="E49" s="1124" t="s">
        <v>723</v>
      </c>
      <c r="F49" s="1124">
        <v>67</v>
      </c>
      <c r="G49" s="1133">
        <f>D49*F49</f>
        <v>782426</v>
      </c>
      <c r="H49" s="590"/>
      <c r="I49" s="1402">
        <f>G49</f>
        <v>782426</v>
      </c>
      <c r="J49" s="590"/>
      <c r="K49" s="1424"/>
      <c r="L49" s="590"/>
      <c r="M49" s="1402"/>
      <c r="N49" s="590"/>
      <c r="O49" s="1402"/>
      <c r="P49" s="590"/>
      <c r="Q49" s="1402"/>
      <c r="R49" s="590"/>
      <c r="S49" s="1402"/>
    </row>
    <row r="50" spans="1:19">
      <c r="A50" s="1418"/>
      <c r="B50" s="1437"/>
      <c r="C50" s="1228"/>
      <c r="D50" s="1426"/>
      <c r="E50" s="1124"/>
      <c r="F50" s="1124"/>
      <c r="G50" s="1133"/>
      <c r="H50" s="590"/>
      <c r="I50" s="1402"/>
      <c r="J50" s="590"/>
      <c r="K50" s="1424"/>
      <c r="L50" s="590"/>
      <c r="M50" s="1402"/>
      <c r="N50" s="590"/>
      <c r="O50" s="1402"/>
      <c r="P50" s="590"/>
      <c r="Q50" s="1402"/>
      <c r="R50" s="590"/>
      <c r="S50" s="1402"/>
    </row>
    <row r="51" spans="1:19">
      <c r="A51" s="1418"/>
      <c r="B51" s="1438" t="s">
        <v>703</v>
      </c>
      <c r="C51" s="1231"/>
      <c r="D51" s="1439"/>
      <c r="E51" s="1216"/>
      <c r="F51" s="1216"/>
      <c r="G51" s="1218"/>
      <c r="H51" s="620"/>
      <c r="I51" s="1440"/>
      <c r="J51" s="620"/>
      <c r="K51" s="1441"/>
      <c r="L51" s="620"/>
      <c r="M51" s="1440"/>
      <c r="N51" s="620"/>
      <c r="O51" s="1440"/>
      <c r="P51" s="620"/>
      <c r="Q51" s="1440"/>
      <c r="R51" s="620"/>
      <c r="S51" s="1440"/>
    </row>
    <row r="52" spans="1:19">
      <c r="A52" s="1418"/>
      <c r="B52" s="1437"/>
      <c r="C52" s="1228"/>
      <c r="D52" s="1426"/>
      <c r="E52" s="1124"/>
      <c r="F52" s="1124"/>
      <c r="G52" s="1133"/>
      <c r="H52" s="590"/>
      <c r="I52" s="1402"/>
      <c r="J52" s="590"/>
      <c r="K52" s="1424"/>
      <c r="L52" s="590"/>
      <c r="M52" s="1402"/>
      <c r="N52" s="590"/>
      <c r="O52" s="1402"/>
      <c r="P52" s="590"/>
      <c r="Q52" s="1402"/>
      <c r="R52" s="590"/>
      <c r="S52" s="1402"/>
    </row>
    <row r="53" spans="1:19">
      <c r="A53" s="1418"/>
      <c r="B53" s="1442" t="s">
        <v>704</v>
      </c>
      <c r="C53" s="1232"/>
      <c r="D53" s="1443"/>
      <c r="E53" s="1223"/>
      <c r="F53" s="1223"/>
      <c r="G53" s="1225"/>
      <c r="H53" s="621"/>
      <c r="I53" s="1444"/>
      <c r="J53" s="621"/>
      <c r="K53" s="1445"/>
      <c r="L53" s="621"/>
      <c r="M53" s="1444"/>
      <c r="N53" s="621"/>
      <c r="O53" s="1444"/>
      <c r="P53" s="621"/>
      <c r="Q53" s="1444"/>
      <c r="R53" s="621"/>
      <c r="S53" s="1444"/>
    </row>
    <row r="54" spans="1:19">
      <c r="A54" s="1418"/>
      <c r="B54" s="1446" t="s">
        <v>740</v>
      </c>
      <c r="C54" s="1228" t="s">
        <v>741</v>
      </c>
      <c r="D54" s="1426">
        <f>'Cost Summary'!$R$7</f>
        <v>11225</v>
      </c>
      <c r="E54" s="1124" t="s">
        <v>723</v>
      </c>
      <c r="F54" s="1124">
        <f>F49</f>
        <v>67</v>
      </c>
      <c r="G54" s="1133">
        <f>D54*F54</f>
        <v>752075</v>
      </c>
      <c r="H54" s="590"/>
      <c r="I54" s="1402">
        <f>G54</f>
        <v>752075</v>
      </c>
      <c r="J54" s="590"/>
      <c r="K54" s="1424"/>
      <c r="L54" s="590"/>
      <c r="M54" s="1402"/>
      <c r="N54" s="590"/>
      <c r="O54" s="1402"/>
      <c r="P54" s="590"/>
      <c r="Q54" s="1402"/>
      <c r="R54" s="590"/>
      <c r="S54" s="1402"/>
    </row>
    <row r="55" spans="1:19">
      <c r="A55" s="1418"/>
      <c r="B55" s="1446" t="s">
        <v>742</v>
      </c>
      <c r="C55" s="1228" t="s">
        <v>702</v>
      </c>
      <c r="D55" s="1426">
        <v>44</v>
      </c>
      <c r="E55" s="1124" t="s">
        <v>723</v>
      </c>
      <c r="F55" s="1124">
        <v>200</v>
      </c>
      <c r="G55" s="1133">
        <f>D55*F55</f>
        <v>8800</v>
      </c>
      <c r="H55" s="590"/>
      <c r="I55" s="1402">
        <f>G55</f>
        <v>8800</v>
      </c>
      <c r="J55" s="590"/>
      <c r="K55" s="1424"/>
      <c r="L55" s="590"/>
      <c r="M55" s="1402"/>
      <c r="N55" s="590"/>
      <c r="O55" s="1402"/>
      <c r="P55" s="590"/>
      <c r="Q55" s="1402"/>
      <c r="R55" s="590"/>
      <c r="S55" s="1402"/>
    </row>
    <row r="56" spans="1:19">
      <c r="A56" s="1418"/>
      <c r="B56" s="1446" t="s">
        <v>743</v>
      </c>
      <c r="C56" s="1228" t="s">
        <v>736</v>
      </c>
      <c r="D56" s="1426">
        <v>114</v>
      </c>
      <c r="E56" s="1124" t="s">
        <v>116</v>
      </c>
      <c r="F56" s="1124">
        <v>500</v>
      </c>
      <c r="G56" s="1133">
        <f>D56*F56</f>
        <v>57000</v>
      </c>
      <c r="H56" s="590"/>
      <c r="I56" s="1402">
        <f>G56</f>
        <v>57000</v>
      </c>
      <c r="J56" s="590"/>
      <c r="K56" s="1424"/>
      <c r="L56" s="590"/>
      <c r="M56" s="1402"/>
      <c r="N56" s="590"/>
      <c r="O56" s="1402"/>
      <c r="P56" s="590"/>
      <c r="Q56" s="1402"/>
      <c r="R56" s="590"/>
      <c r="S56" s="1402"/>
    </row>
    <row r="57" spans="1:19">
      <c r="A57" s="1418"/>
      <c r="B57" s="1437"/>
      <c r="C57" s="1228"/>
      <c r="D57" s="1426"/>
      <c r="E57" s="1124"/>
      <c r="F57" s="1124"/>
      <c r="G57" s="1133"/>
      <c r="H57" s="590"/>
      <c r="I57" s="1402"/>
      <c r="J57" s="590"/>
      <c r="K57" s="1424"/>
      <c r="L57" s="590"/>
      <c r="M57" s="1402"/>
      <c r="N57" s="590"/>
      <c r="O57" s="1402"/>
      <c r="P57" s="590"/>
      <c r="Q57" s="1402"/>
      <c r="R57" s="590"/>
      <c r="S57" s="1402"/>
    </row>
    <row r="58" spans="1:19">
      <c r="A58" s="1418"/>
      <c r="B58" s="1438" t="s">
        <v>705</v>
      </c>
      <c r="C58" s="1231"/>
      <c r="D58" s="1439"/>
      <c r="E58" s="1216"/>
      <c r="F58" s="1216"/>
      <c r="G58" s="1218"/>
      <c r="H58" s="620"/>
      <c r="I58" s="1440"/>
      <c r="J58" s="620"/>
      <c r="K58" s="1441"/>
      <c r="L58" s="620"/>
      <c r="M58" s="1440"/>
      <c r="N58" s="620"/>
      <c r="O58" s="1440"/>
      <c r="P58" s="620"/>
      <c r="Q58" s="1440"/>
      <c r="R58" s="620"/>
      <c r="S58" s="1440"/>
    </row>
    <row r="59" spans="1:19">
      <c r="A59" s="1418"/>
      <c r="B59" s="1437"/>
      <c r="C59" s="1228"/>
      <c r="D59" s="1426"/>
      <c r="E59" s="1124"/>
      <c r="F59" s="1124"/>
      <c r="G59" s="1133"/>
      <c r="H59" s="590"/>
      <c r="I59" s="1402"/>
      <c r="J59" s="590"/>
      <c r="K59" s="1424"/>
      <c r="L59" s="590"/>
      <c r="M59" s="1402"/>
      <c r="N59" s="590"/>
      <c r="O59" s="1402"/>
      <c r="P59" s="590"/>
      <c r="Q59" s="1402"/>
      <c r="R59" s="590"/>
      <c r="S59" s="1402"/>
    </row>
    <row r="60" spans="1:19">
      <c r="A60" s="1418"/>
      <c r="B60" s="1442" t="s">
        <v>602</v>
      </c>
      <c r="C60" s="1232"/>
      <c r="D60" s="1443"/>
      <c r="E60" s="1223"/>
      <c r="F60" s="1223"/>
      <c r="G60" s="1225"/>
      <c r="H60" s="621"/>
      <c r="I60" s="1444"/>
      <c r="J60" s="621"/>
      <c r="K60" s="1445"/>
      <c r="L60" s="621"/>
      <c r="M60" s="1444"/>
      <c r="N60" s="621"/>
      <c r="O60" s="1444"/>
      <c r="P60" s="621"/>
      <c r="Q60" s="1444"/>
      <c r="R60" s="621"/>
      <c r="S60" s="1444"/>
    </row>
    <row r="61" spans="1:19">
      <c r="A61" s="1418"/>
      <c r="B61" s="1437"/>
      <c r="C61" s="1228"/>
      <c r="D61" s="1426"/>
      <c r="E61" s="1124"/>
      <c r="F61" s="1124"/>
      <c r="G61" s="1133"/>
      <c r="H61" s="590"/>
      <c r="I61" s="1402"/>
      <c r="J61" s="590"/>
      <c r="K61" s="1424"/>
      <c r="L61" s="590"/>
      <c r="M61" s="1402"/>
      <c r="N61" s="590"/>
      <c r="O61" s="1402"/>
      <c r="P61" s="590"/>
      <c r="Q61" s="1402"/>
      <c r="R61" s="590"/>
      <c r="S61" s="1402"/>
    </row>
    <row r="62" spans="1:19">
      <c r="A62" s="1418"/>
      <c r="B62" s="1437"/>
      <c r="C62" s="1228"/>
      <c r="D62" s="1426"/>
      <c r="E62" s="1124"/>
      <c r="F62" s="1124"/>
      <c r="G62" s="1133"/>
      <c r="H62" s="590"/>
      <c r="I62" s="1402"/>
      <c r="J62" s="590"/>
      <c r="K62" s="1424"/>
      <c r="L62" s="590"/>
      <c r="M62" s="1402"/>
      <c r="N62" s="590"/>
      <c r="O62" s="1402"/>
      <c r="P62" s="590"/>
      <c r="Q62" s="1402"/>
      <c r="R62" s="590"/>
      <c r="S62" s="1402"/>
    </row>
    <row r="63" spans="1:19" ht="15.75" thickBot="1">
      <c r="A63" s="1450"/>
      <c r="B63" s="425"/>
      <c r="C63" s="1451"/>
      <c r="D63" s="1452"/>
      <c r="E63" s="1452"/>
      <c r="F63" s="1452"/>
      <c r="G63" s="1451"/>
      <c r="H63" s="590"/>
      <c r="I63" s="1453"/>
      <c r="J63" s="590"/>
      <c r="K63" s="1453"/>
      <c r="L63" s="590"/>
      <c r="M63" s="1453"/>
      <c r="N63" s="590"/>
      <c r="O63" s="1453"/>
      <c r="P63" s="590"/>
      <c r="Q63" s="1453"/>
      <c r="R63" s="590"/>
      <c r="S63" s="1453"/>
    </row>
    <row r="64" spans="1:19" ht="15.75" thickTop="1">
      <c r="A64" s="14"/>
      <c r="B64" s="15"/>
      <c r="C64" s="16"/>
      <c r="D64" s="16"/>
      <c r="E64" s="17"/>
      <c r="F64" s="18" t="s">
        <v>567</v>
      </c>
      <c r="G64" s="19"/>
      <c r="H64" s="20"/>
      <c r="I64" s="61">
        <f>SUM(I25:I63)</f>
        <v>1749421</v>
      </c>
      <c r="J64" s="51"/>
      <c r="K64" s="61">
        <f>SUM(K25:K63)</f>
        <v>0</v>
      </c>
      <c r="L64" s="20"/>
      <c r="M64" s="61">
        <f>SUM(M25:M63)</f>
        <v>0</v>
      </c>
      <c r="N64" s="20"/>
      <c r="O64" s="61">
        <f>SUM(O25:O63)</f>
        <v>0</v>
      </c>
      <c r="P64" s="20"/>
      <c r="Q64" s="61">
        <f>SUM(Q25:Q63)</f>
        <v>0</v>
      </c>
      <c r="R64" s="20"/>
      <c r="S64" s="61">
        <f>SUM(S25:S63)</f>
        <v>0</v>
      </c>
    </row>
    <row r="65" spans="1:19">
      <c r="A65" s="624"/>
      <c r="B65" s="1156"/>
      <c r="C65" s="1157"/>
      <c r="D65" s="1157"/>
      <c r="E65" s="1158"/>
      <c r="F65" s="1159" t="s">
        <v>568</v>
      </c>
      <c r="G65" s="1160"/>
      <c r="H65" s="593">
        <v>0</v>
      </c>
      <c r="I65" s="592"/>
      <c r="J65" s="1454">
        <v>0</v>
      </c>
      <c r="K65" s="592"/>
      <c r="L65" s="593">
        <v>0</v>
      </c>
      <c r="M65" s="592"/>
      <c r="N65" s="593">
        <v>0</v>
      </c>
      <c r="O65" s="592"/>
      <c r="P65" s="593">
        <v>0</v>
      </c>
      <c r="Q65" s="592"/>
      <c r="R65" s="593">
        <v>0</v>
      </c>
      <c r="S65" s="592"/>
    </row>
    <row r="66" spans="1:19">
      <c r="A66" s="624"/>
      <c r="B66" s="1156"/>
      <c r="C66" s="1157"/>
      <c r="D66" s="1157"/>
      <c r="E66" s="1158"/>
      <c r="F66" s="1159" t="s">
        <v>569</v>
      </c>
      <c r="G66" s="1160"/>
      <c r="H66" s="594"/>
      <c r="I66" s="595">
        <f>H65*I64</f>
        <v>0</v>
      </c>
      <c r="J66" s="1455"/>
      <c r="K66" s="595">
        <f>J65*K64</f>
        <v>0</v>
      </c>
      <c r="L66" s="594"/>
      <c r="M66" s="595">
        <f>L65*M64</f>
        <v>0</v>
      </c>
      <c r="N66" s="594"/>
      <c r="O66" s="595">
        <f>N65*O64</f>
        <v>0</v>
      </c>
      <c r="P66" s="594"/>
      <c r="Q66" s="595">
        <f>P65*Q64</f>
        <v>0</v>
      </c>
      <c r="R66" s="594"/>
      <c r="S66" s="595">
        <f>R65*S64</f>
        <v>0</v>
      </c>
    </row>
    <row r="67" spans="1:19">
      <c r="A67" s="624"/>
      <c r="B67" s="1156"/>
      <c r="C67" s="1157"/>
      <c r="D67" s="1157"/>
      <c r="E67" s="1456"/>
      <c r="F67" s="1457"/>
      <c r="G67" s="1160"/>
      <c r="H67" s="1458"/>
      <c r="I67" s="596"/>
      <c r="J67" s="1458"/>
      <c r="K67" s="598"/>
      <c r="L67" s="594"/>
      <c r="M67" s="596"/>
      <c r="N67" s="594"/>
      <c r="O67" s="596"/>
      <c r="P67" s="594"/>
      <c r="Q67" s="596"/>
      <c r="R67" s="594"/>
      <c r="S67" s="596"/>
    </row>
    <row r="68" spans="1:19">
      <c r="A68" s="624"/>
      <c r="B68" s="1156"/>
      <c r="C68" s="1157"/>
      <c r="D68" s="1157"/>
      <c r="E68" s="1158"/>
      <c r="F68" s="1159" t="s">
        <v>570</v>
      </c>
      <c r="G68" s="1160"/>
      <c r="H68" s="597"/>
      <c r="I68" s="598">
        <f>SUM(I64:I67)</f>
        <v>1749421</v>
      </c>
      <c r="J68" s="1459"/>
      <c r="K68" s="598">
        <f>SUM(K64:K67)</f>
        <v>0</v>
      </c>
      <c r="L68" s="597"/>
      <c r="M68" s="598">
        <f>SUM(M64:M66)</f>
        <v>0</v>
      </c>
      <c r="N68" s="597"/>
      <c r="O68" s="598">
        <f>SUM(O64:O66)</f>
        <v>0</v>
      </c>
      <c r="P68" s="597"/>
      <c r="Q68" s="598">
        <f>SUM(Q64:Q66)</f>
        <v>0</v>
      </c>
      <c r="R68" s="597"/>
      <c r="S68" s="598">
        <f>SUM(S64:S66)</f>
        <v>0</v>
      </c>
    </row>
    <row r="69" spans="1:19">
      <c r="A69" s="624"/>
      <c r="B69" s="1156"/>
      <c r="C69" s="1157"/>
      <c r="D69" s="1157"/>
      <c r="E69" s="1158"/>
      <c r="F69" s="1161" t="s">
        <v>571</v>
      </c>
      <c r="G69" s="1162"/>
      <c r="H69" s="599"/>
      <c r="I69" s="600" t="e">
        <f>I68/'Area Calculations'!$J$4</f>
        <v>#DIV/0!</v>
      </c>
      <c r="J69" s="1460"/>
      <c r="K69" s="600" t="e">
        <f>K68/'Area Calculations'!$J$4</f>
        <v>#DIV/0!</v>
      </c>
      <c r="L69" s="599"/>
      <c r="M69" s="600" t="e">
        <f>M68/'Area Calculations'!$J$4</f>
        <v>#DIV/0!</v>
      </c>
      <c r="N69" s="599"/>
      <c r="O69" s="600" t="e">
        <f>O68/'Area Calculations'!$J$4</f>
        <v>#DIV/0!</v>
      </c>
      <c r="P69" s="599"/>
      <c r="Q69" s="600" t="e">
        <f>Q68/'Area Calculations'!$J$4</f>
        <v>#DIV/0!</v>
      </c>
      <c r="R69" s="599"/>
      <c r="S69" s="600" t="e">
        <f>S68/'Area Calculations'!$J$4</f>
        <v>#DIV/0!</v>
      </c>
    </row>
    <row r="70" spans="1:19">
      <c r="A70" s="624"/>
      <c r="B70" s="1156"/>
      <c r="C70" s="1157"/>
      <c r="D70" s="1157"/>
      <c r="E70" s="1158"/>
      <c r="F70" s="1161" t="s">
        <v>572</v>
      </c>
      <c r="G70" s="1163"/>
      <c r="H70" s="599"/>
      <c r="I70" s="600" t="e">
        <f>I68/'Area Calculations'!#REF!</f>
        <v>#REF!</v>
      </c>
      <c r="J70" s="1460"/>
      <c r="K70" s="600" t="e">
        <f>K68/'Area Calculations'!#REF!</f>
        <v>#REF!</v>
      </c>
      <c r="L70" s="599"/>
      <c r="M70" s="600" t="e">
        <f>M68/'Area Calculations'!#REF!</f>
        <v>#REF!</v>
      </c>
      <c r="N70" s="599"/>
      <c r="O70" s="600" t="e">
        <f>O68/'Area Calculations'!#REF!</f>
        <v>#REF!</v>
      </c>
      <c r="P70" s="599"/>
      <c r="Q70" s="600" t="e">
        <f>Q68/'Area Calculations'!#REF!</f>
        <v>#REF!</v>
      </c>
      <c r="R70" s="599"/>
      <c r="S70" s="600" t="e">
        <f>S68/'Area Calculations'!#REF!</f>
        <v>#REF!</v>
      </c>
    </row>
    <row r="71" spans="1:19" ht="15.75" thickBot="1">
      <c r="A71" s="176"/>
      <c r="B71" s="177"/>
      <c r="C71" s="178"/>
      <c r="D71" s="178"/>
      <c r="E71" s="179"/>
      <c r="F71" s="180"/>
      <c r="G71" s="249"/>
      <c r="H71" s="183"/>
      <c r="I71" s="182"/>
      <c r="J71" s="181"/>
      <c r="K71" s="182"/>
      <c r="L71" s="183"/>
      <c r="M71" s="182"/>
      <c r="N71" s="183"/>
      <c r="O71" s="182"/>
      <c r="P71" s="183"/>
      <c r="Q71" s="182"/>
      <c r="R71" s="183"/>
      <c r="S71" s="182"/>
    </row>
    <row r="72" spans="1:19" ht="16.5" thickTop="1" thickBot="1">
      <c r="A72" s="726" t="s">
        <v>573</v>
      </c>
      <c r="B72" s="727"/>
      <c r="C72" s="12"/>
      <c r="D72" s="12"/>
      <c r="E72" s="12"/>
      <c r="F72" s="12"/>
      <c r="G72" s="13"/>
      <c r="H72" s="21"/>
      <c r="I72" s="21"/>
      <c r="J72" s="52"/>
      <c r="K72" s="21"/>
      <c r="L72" s="21"/>
      <c r="M72" s="21"/>
      <c r="N72" s="21"/>
      <c r="O72" s="21"/>
      <c r="P72" s="21"/>
      <c r="Q72" s="21"/>
      <c r="R72" s="21"/>
      <c r="S72" s="21"/>
    </row>
    <row r="73" spans="1:19" ht="15.75" thickTop="1">
      <c r="A73" s="1394"/>
      <c r="B73" s="862"/>
      <c r="C73" s="1396"/>
      <c r="D73" s="1396"/>
      <c r="E73" s="1396"/>
      <c r="F73" s="1396"/>
      <c r="G73" s="1461"/>
      <c r="H73" s="1389"/>
      <c r="I73" s="1389"/>
      <c r="J73" s="1462"/>
      <c r="K73" s="1389"/>
      <c r="L73" s="1389"/>
      <c r="M73" s="1389"/>
      <c r="N73" s="1389"/>
      <c r="O73" s="1389"/>
      <c r="P73" s="1389"/>
      <c r="Q73" s="1389"/>
      <c r="R73" s="1389"/>
      <c r="S73" s="1389"/>
    </row>
    <row r="74" spans="1:19">
      <c r="A74" s="1394"/>
      <c r="B74" s="862"/>
      <c r="C74" s="1396"/>
      <c r="D74" s="1396"/>
      <c r="E74" s="1396"/>
      <c r="F74" s="1396"/>
      <c r="G74" s="1461"/>
      <c r="H74" s="1389"/>
      <c r="I74" s="1389"/>
      <c r="J74" s="1462"/>
      <c r="K74" s="1389"/>
      <c r="L74" s="1389"/>
      <c r="M74" s="1389"/>
      <c r="N74" s="1389"/>
      <c r="O74" s="1389"/>
      <c r="P74" s="1389"/>
      <c r="Q74" s="1389"/>
      <c r="R74" s="1389"/>
      <c r="S74" s="1389"/>
    </row>
    <row r="75" spans="1:19" ht="15.75" thickBot="1">
      <c r="A75" s="1394"/>
      <c r="B75" s="862"/>
      <c r="C75" s="1396"/>
      <c r="D75" s="1396"/>
      <c r="E75" s="1396"/>
      <c r="F75" s="1396"/>
      <c r="G75" s="1461"/>
      <c r="H75" s="1389"/>
      <c r="I75" s="1389"/>
      <c r="J75" s="1462"/>
      <c r="K75" s="1389"/>
      <c r="L75" s="1389"/>
      <c r="M75" s="1389"/>
      <c r="N75" s="1389"/>
      <c r="O75" s="1389"/>
      <c r="P75" s="1389"/>
      <c r="Q75" s="1389"/>
      <c r="R75" s="1389"/>
      <c r="S75" s="1389"/>
    </row>
    <row r="76" spans="1:19" ht="16.5" thickTop="1" thickBot="1">
      <c r="A76" s="726" t="s">
        <v>574</v>
      </c>
      <c r="B76" s="727"/>
      <c r="C76" s="12"/>
      <c r="D76" s="12"/>
      <c r="E76" s="12"/>
      <c r="F76" s="12"/>
      <c r="G76" s="13"/>
      <c r="H76" s="21"/>
      <c r="I76" s="21"/>
      <c r="J76" s="52"/>
      <c r="K76" s="21"/>
      <c r="L76" s="21"/>
      <c r="M76" s="21"/>
      <c r="N76" s="21"/>
      <c r="O76" s="21"/>
      <c r="P76" s="21"/>
      <c r="Q76" s="21"/>
      <c r="R76" s="21"/>
      <c r="S76" s="21"/>
    </row>
    <row r="77" spans="1:19" ht="15.75" thickTop="1">
      <c r="A77" s="1394"/>
      <c r="B77" s="862"/>
      <c r="C77" s="1396"/>
      <c r="D77" s="1396"/>
      <c r="E77" s="1396"/>
      <c r="F77" s="1396"/>
      <c r="G77" s="1461"/>
      <c r="H77" s="1389"/>
      <c r="I77" s="1389"/>
      <c r="J77" s="1462"/>
      <c r="K77" s="1389"/>
      <c r="L77" s="1389"/>
      <c r="M77" s="1389"/>
      <c r="N77" s="1389"/>
      <c r="O77" s="1389"/>
      <c r="P77" s="1389"/>
      <c r="Q77" s="1389"/>
      <c r="R77" s="1389"/>
      <c r="S77" s="1389"/>
    </row>
    <row r="78" spans="1:19">
      <c r="A78" s="1394"/>
      <c r="B78" s="862"/>
      <c r="C78" s="1396"/>
      <c r="D78" s="1396"/>
      <c r="E78" s="1396"/>
      <c r="F78" s="1396"/>
      <c r="G78" s="1461"/>
      <c r="H78" s="1389"/>
      <c r="I78" s="1389"/>
      <c r="J78" s="1462"/>
      <c r="K78" s="1389"/>
      <c r="L78" s="1389"/>
      <c r="M78" s="1389"/>
      <c r="N78" s="1389"/>
      <c r="O78" s="1389"/>
      <c r="P78" s="1389"/>
      <c r="Q78" s="1389"/>
      <c r="R78" s="1389"/>
      <c r="S78" s="1389"/>
    </row>
    <row r="79" spans="1:19" ht="15.75" thickBot="1">
      <c r="A79" s="1394"/>
      <c r="B79" s="862"/>
      <c r="C79" s="1396"/>
      <c r="D79" s="1396"/>
      <c r="E79" s="1396"/>
      <c r="F79" s="1396"/>
      <c r="G79" s="1461"/>
      <c r="H79" s="1389"/>
      <c r="I79" s="1389"/>
      <c r="J79" s="1462"/>
      <c r="K79" s="1389"/>
      <c r="L79" s="1389"/>
      <c r="M79" s="1389"/>
      <c r="N79" s="1389"/>
      <c r="O79" s="1389"/>
      <c r="P79" s="1389"/>
      <c r="Q79" s="1389"/>
      <c r="R79" s="1389"/>
      <c r="S79" s="1389"/>
    </row>
    <row r="80" spans="1:19" ht="16.5" thickTop="1" thickBot="1">
      <c r="A80" s="726" t="s">
        <v>575</v>
      </c>
      <c r="B80" s="727"/>
      <c r="C80" s="12"/>
      <c r="D80" s="12"/>
      <c r="E80" s="12"/>
      <c r="F80" s="12"/>
      <c r="G80" s="13"/>
      <c r="H80" s="21"/>
      <c r="I80" s="21"/>
      <c r="J80" s="52"/>
      <c r="K80" s="21"/>
      <c r="L80" s="21"/>
      <c r="M80" s="21"/>
      <c r="N80" s="21"/>
      <c r="O80" s="21"/>
      <c r="P80" s="21"/>
      <c r="Q80" s="21"/>
      <c r="R80" s="21"/>
      <c r="S80" s="21"/>
    </row>
    <row r="81" spans="1:19" ht="15.75" thickTop="1">
      <c r="A81" s="1394"/>
      <c r="B81" s="862"/>
      <c r="C81" s="1396"/>
      <c r="D81" s="1396"/>
      <c r="E81" s="1396"/>
      <c r="F81" s="1396"/>
      <c r="G81" s="1461"/>
      <c r="H81" s="1389"/>
      <c r="I81" s="1389"/>
      <c r="J81" s="1462"/>
      <c r="K81" s="1389"/>
      <c r="L81" s="1389"/>
      <c r="M81" s="1389"/>
      <c r="N81" s="1389"/>
      <c r="O81" s="1389"/>
      <c r="P81" s="1389"/>
      <c r="Q81" s="1389"/>
      <c r="R81" s="1389"/>
      <c r="S81" s="1389"/>
    </row>
    <row r="82" spans="1:19">
      <c r="A82" s="628"/>
      <c r="B82" s="862"/>
      <c r="C82" s="1124"/>
      <c r="D82" s="1124"/>
      <c r="E82" s="1124"/>
      <c r="F82" s="1124"/>
      <c r="G82" s="1133"/>
      <c r="H82" s="604"/>
      <c r="I82" s="604"/>
      <c r="J82" s="1170"/>
      <c r="K82" s="604"/>
      <c r="L82" s="604"/>
      <c r="M82" s="604"/>
      <c r="N82" s="604"/>
      <c r="O82" s="604"/>
      <c r="P82" s="604"/>
      <c r="Q82" s="604"/>
      <c r="R82" s="604"/>
      <c r="S82" s="604"/>
    </row>
    <row r="83" spans="1:19" s="2" customFormat="1" ht="15.75" thickBot="1">
      <c r="A83" s="625"/>
      <c r="B83" s="1171"/>
      <c r="C83" s="1124"/>
      <c r="D83" s="1124"/>
      <c r="E83" s="1124"/>
      <c r="F83" s="1124"/>
      <c r="G83" s="1133"/>
      <c r="H83" s="605"/>
      <c r="I83" s="605"/>
      <c r="J83" s="1172"/>
      <c r="K83" s="605"/>
      <c r="L83" s="605"/>
      <c r="M83" s="605"/>
      <c r="N83" s="605"/>
      <c r="O83" s="605"/>
      <c r="P83" s="605"/>
      <c r="Q83" s="605"/>
      <c r="R83" s="605"/>
      <c r="S83" s="605"/>
    </row>
    <row r="84" spans="1:19" ht="16.5" thickTop="1" thickBot="1">
      <c r="A84" s="726" t="s">
        <v>576</v>
      </c>
      <c r="B84" s="727"/>
      <c r="C84" s="12"/>
      <c r="D84" s="12"/>
      <c r="E84" s="12"/>
      <c r="F84" s="12"/>
      <c r="G84" s="13"/>
      <c r="H84" s="21"/>
      <c r="I84" s="21"/>
      <c r="J84" s="52"/>
      <c r="K84" s="21"/>
      <c r="L84" s="21"/>
      <c r="M84" s="21"/>
      <c r="N84" s="21"/>
      <c r="O84" s="21"/>
      <c r="P84" s="21"/>
      <c r="Q84" s="21"/>
      <c r="R84" s="21"/>
      <c r="S84" s="21"/>
    </row>
    <row r="85" spans="1:19" s="2" customFormat="1" ht="15.75" thickTop="1">
      <c r="A85" s="1463"/>
      <c r="B85" s="1464"/>
      <c r="C85" s="1396"/>
      <c r="D85" s="1396"/>
      <c r="E85" s="1396"/>
      <c r="F85" s="1396"/>
      <c r="G85" s="1461"/>
      <c r="H85" s="1389"/>
      <c r="I85" s="1389"/>
      <c r="J85" s="1462"/>
      <c r="K85" s="1389"/>
      <c r="L85" s="1389"/>
      <c r="M85" s="1389"/>
      <c r="N85" s="1389"/>
      <c r="O85" s="1389"/>
      <c r="P85" s="1389"/>
      <c r="Q85" s="1389"/>
      <c r="R85" s="1389"/>
      <c r="S85" s="1389"/>
    </row>
    <row r="86" spans="1:19" s="2" customFormat="1">
      <c r="A86" s="625"/>
      <c r="B86" s="1171"/>
      <c r="C86" s="1124"/>
      <c r="D86" s="1124"/>
      <c r="E86" s="1124"/>
      <c r="F86" s="1124"/>
      <c r="G86" s="1133"/>
      <c r="H86" s="606"/>
      <c r="I86" s="606"/>
      <c r="J86" s="1175"/>
      <c r="K86" s="606"/>
      <c r="L86" s="606"/>
      <c r="M86" s="606"/>
      <c r="N86" s="606"/>
      <c r="O86" s="606"/>
      <c r="P86" s="606"/>
      <c r="Q86" s="606"/>
      <c r="R86" s="606"/>
      <c r="S86" s="606"/>
    </row>
    <row r="87" spans="1:19" s="2" customFormat="1" ht="15.75" thickBot="1">
      <c r="A87" s="625"/>
      <c r="B87" s="1171"/>
      <c r="C87" s="1124"/>
      <c r="D87" s="1124"/>
      <c r="E87" s="1124"/>
      <c r="F87" s="1124"/>
      <c r="G87" s="1133"/>
      <c r="H87" s="606"/>
      <c r="I87" s="606"/>
      <c r="J87" s="1175"/>
      <c r="K87" s="606"/>
      <c r="L87" s="606"/>
      <c r="M87" s="606"/>
      <c r="N87" s="606"/>
      <c r="O87" s="606"/>
      <c r="P87" s="606"/>
      <c r="Q87" s="606"/>
      <c r="R87" s="606"/>
      <c r="S87" s="606"/>
    </row>
    <row r="88" spans="1:19" ht="16.5" thickTop="1" thickBot="1">
      <c r="A88" s="726" t="s">
        <v>744</v>
      </c>
      <c r="B88" s="727"/>
      <c r="C88" s="12"/>
      <c r="D88" s="12"/>
      <c r="E88" s="12"/>
      <c r="F88" s="12"/>
      <c r="G88" s="13"/>
      <c r="H88" s="21"/>
      <c r="I88" s="21"/>
      <c r="J88" s="52"/>
      <c r="K88" s="21"/>
      <c r="L88" s="21"/>
      <c r="M88" s="21"/>
      <c r="N88" s="21"/>
      <c r="O88" s="21"/>
      <c r="P88" s="1465"/>
      <c r="Q88" s="1465"/>
      <c r="R88" s="1465"/>
      <c r="S88" s="1465"/>
    </row>
    <row r="89" spans="1:19" ht="15.75" thickTop="1">
      <c r="A89" s="628"/>
      <c r="B89" s="862"/>
      <c r="C89" s="1124"/>
      <c r="D89" s="1124"/>
      <c r="E89" s="1124"/>
      <c r="F89" s="1466"/>
      <c r="G89" s="1133"/>
      <c r="H89" s="606"/>
      <c r="I89" s="606"/>
      <c r="J89" s="1175"/>
      <c r="K89" s="1151"/>
      <c r="L89" s="606"/>
      <c r="M89" s="606"/>
      <c r="N89" s="606"/>
      <c r="O89" s="606"/>
      <c r="P89" s="606"/>
      <c r="Q89" s="606"/>
      <c r="R89" s="606"/>
      <c r="S89" s="606"/>
    </row>
    <row r="90" spans="1:19">
      <c r="A90" s="628"/>
      <c r="B90" s="862"/>
      <c r="C90" s="1124"/>
      <c r="D90" s="1124"/>
      <c r="E90" s="1124"/>
      <c r="F90" s="1466"/>
      <c r="G90" s="1133"/>
      <c r="H90" s="606"/>
      <c r="I90" s="606"/>
      <c r="J90" s="1175"/>
      <c r="K90" s="1151"/>
      <c r="L90" s="606"/>
      <c r="M90" s="606"/>
      <c r="N90" s="606"/>
      <c r="O90" s="606"/>
      <c r="P90" s="606"/>
      <c r="Q90" s="606"/>
      <c r="R90" s="606"/>
      <c r="S90" s="606"/>
    </row>
    <row r="91" spans="1:19">
      <c r="A91" s="628"/>
      <c r="B91" s="862"/>
      <c r="C91" s="1124"/>
      <c r="D91" s="1124"/>
      <c r="E91" s="1124"/>
      <c r="F91" s="1466"/>
      <c r="G91" s="1133"/>
      <c r="H91" s="606"/>
      <c r="I91" s="606"/>
      <c r="J91" s="1175"/>
      <c r="K91" s="1151"/>
      <c r="L91" s="606"/>
      <c r="M91" s="606"/>
      <c r="N91" s="606"/>
      <c r="O91" s="606"/>
      <c r="P91" s="606"/>
      <c r="Q91" s="606"/>
      <c r="R91" s="606"/>
      <c r="S91" s="606"/>
    </row>
    <row r="92" spans="1:19">
      <c r="A92" s="628"/>
      <c r="B92" s="862"/>
      <c r="C92" s="1124"/>
      <c r="D92" s="1124"/>
      <c r="E92" s="1124"/>
      <c r="F92" s="1151"/>
      <c r="G92" s="1133"/>
      <c r="H92" s="606"/>
      <c r="I92" s="606"/>
      <c r="J92" s="1175"/>
      <c r="K92" s="1151"/>
      <c r="L92" s="606"/>
      <c r="M92" s="606"/>
      <c r="N92" s="606"/>
      <c r="O92" s="606"/>
      <c r="P92" s="606"/>
      <c r="Q92" s="606"/>
      <c r="R92" s="606"/>
      <c r="S92" s="606"/>
    </row>
    <row r="93" spans="1:19" ht="15.75" thickBot="1">
      <c r="A93" s="416"/>
      <c r="B93" s="295"/>
      <c r="C93" s="184"/>
      <c r="D93" s="184"/>
      <c r="E93" s="184"/>
      <c r="F93" s="1466"/>
      <c r="G93" s="296"/>
      <c r="H93" s="418"/>
      <c r="I93" s="418"/>
      <c r="J93" s="53"/>
      <c r="K93" s="418"/>
      <c r="L93" s="418"/>
      <c r="M93" s="418"/>
      <c r="N93" s="418"/>
      <c r="O93" s="418"/>
      <c r="P93" s="418"/>
      <c r="Q93" s="418"/>
      <c r="R93" s="418"/>
      <c r="S93" s="418"/>
    </row>
    <row r="94" spans="1:19" ht="16.5" thickTop="1" thickBot="1">
      <c r="A94" s="726" t="s">
        <v>577</v>
      </c>
      <c r="B94" s="727"/>
      <c r="C94" s="12"/>
      <c r="D94" s="12"/>
      <c r="E94" s="12"/>
      <c r="F94" s="12"/>
      <c r="G94" s="13"/>
      <c r="H94" s="21"/>
      <c r="I94" s="21"/>
      <c r="J94" s="52"/>
      <c r="K94" s="21"/>
      <c r="L94" s="21"/>
      <c r="M94" s="21"/>
      <c r="N94" s="21"/>
      <c r="O94" s="21"/>
      <c r="P94" s="1465"/>
      <c r="Q94" s="1465"/>
      <c r="R94" s="1465"/>
      <c r="S94" s="1465"/>
    </row>
    <row r="95" spans="1:19" ht="15.75" thickTop="1">
      <c r="A95" s="628"/>
      <c r="B95" s="862" t="s">
        <v>578</v>
      </c>
      <c r="C95" s="1124"/>
      <c r="D95" s="1124"/>
      <c r="E95" s="1124"/>
      <c r="F95" s="1124"/>
      <c r="G95" s="1133"/>
      <c r="H95" s="606"/>
      <c r="I95" s="606"/>
      <c r="J95" s="1175"/>
      <c r="K95" s="606"/>
      <c r="L95" s="606"/>
      <c r="M95" s="606"/>
      <c r="N95" s="606"/>
      <c r="O95" s="606"/>
      <c r="P95" s="606"/>
      <c r="Q95" s="606"/>
      <c r="R95" s="606"/>
      <c r="S95" s="606"/>
    </row>
    <row r="96" spans="1:19">
      <c r="A96" s="628"/>
      <c r="B96" s="862" t="s">
        <v>579</v>
      </c>
      <c r="C96" s="1124"/>
      <c r="D96" s="1124"/>
      <c r="E96" s="1124"/>
      <c r="F96" s="1124"/>
      <c r="G96" s="1133"/>
      <c r="H96" s="606"/>
      <c r="I96" s="606"/>
      <c r="J96" s="1175"/>
      <c r="K96" s="606"/>
      <c r="L96" s="606"/>
      <c r="M96" s="606"/>
      <c r="N96" s="606"/>
      <c r="O96" s="606"/>
      <c r="P96" s="606"/>
      <c r="Q96" s="606"/>
      <c r="R96" s="606"/>
      <c r="S96" s="606"/>
    </row>
    <row r="97" spans="1:19">
      <c r="A97" s="628"/>
      <c r="B97" s="862" t="s">
        <v>580</v>
      </c>
      <c r="C97" s="1124"/>
      <c r="D97" s="1124"/>
      <c r="E97" s="1124"/>
      <c r="F97" s="1124"/>
      <c r="G97" s="1133"/>
      <c r="H97" s="606"/>
      <c r="I97" s="606"/>
      <c r="J97" s="1175"/>
      <c r="K97" s="606"/>
      <c r="L97" s="606"/>
      <c r="M97" s="606"/>
      <c r="N97" s="606"/>
      <c r="O97" s="606"/>
      <c r="P97" s="606"/>
      <c r="Q97" s="606"/>
      <c r="R97" s="606"/>
      <c r="S97" s="606"/>
    </row>
    <row r="98" spans="1:19">
      <c r="A98" s="628"/>
      <c r="B98" s="862" t="s">
        <v>581</v>
      </c>
      <c r="C98" s="1124"/>
      <c r="D98" s="1124"/>
      <c r="E98" s="1124"/>
      <c r="F98" s="1124"/>
      <c r="G98" s="1133"/>
      <c r="H98" s="606"/>
      <c r="I98" s="606"/>
      <c r="J98" s="1175"/>
      <c r="K98" s="606"/>
      <c r="L98" s="606"/>
      <c r="M98" s="606"/>
      <c r="N98" s="606"/>
      <c r="O98" s="606"/>
      <c r="P98" s="606"/>
      <c r="Q98" s="606"/>
      <c r="R98" s="606"/>
      <c r="S98" s="606"/>
    </row>
    <row r="99" spans="1:19" ht="15.75" thickBot="1">
      <c r="A99" s="416"/>
      <c r="B99" s="295"/>
      <c r="C99" s="184"/>
      <c r="D99" s="184"/>
      <c r="E99" s="184"/>
      <c r="F99" s="184"/>
      <c r="G99" s="296"/>
      <c r="H99" s="418"/>
      <c r="I99" s="418"/>
      <c r="J99" s="53"/>
      <c r="K99" s="418"/>
      <c r="L99" s="418"/>
      <c r="M99" s="418"/>
      <c r="N99" s="418"/>
      <c r="O99" s="418"/>
      <c r="P99" s="418"/>
      <c r="Q99" s="418"/>
      <c r="R99" s="418"/>
      <c r="S99" s="418"/>
    </row>
    <row r="100" spans="1:19" ht="16.5" thickTop="1" thickBot="1">
      <c r="A100" s="7" t="s">
        <v>582</v>
      </c>
      <c r="B100" s="8"/>
      <c r="C100" s="12"/>
      <c r="D100" s="12"/>
      <c r="E100" s="12"/>
      <c r="F100" s="12"/>
      <c r="G100" s="13"/>
      <c r="H100" s="21"/>
      <c r="I100" s="21"/>
      <c r="J100" s="52"/>
      <c r="K100" s="21"/>
      <c r="L100" s="21"/>
      <c r="M100" s="21"/>
      <c r="N100" s="21"/>
      <c r="O100" s="21"/>
      <c r="P100" s="21"/>
      <c r="Q100" s="21"/>
      <c r="R100" s="21"/>
      <c r="S100" s="21"/>
    </row>
    <row r="101" spans="1:19" ht="15.75" thickTop="1">
      <c r="A101" s="1394"/>
      <c r="B101" s="1467" t="s">
        <v>583</v>
      </c>
      <c r="C101" s="1396"/>
      <c r="D101" s="1396"/>
      <c r="E101" s="1396"/>
      <c r="F101" s="1396"/>
      <c r="G101" s="1461"/>
      <c r="H101" s="1413"/>
      <c r="I101" s="1413"/>
      <c r="J101" s="1402"/>
      <c r="K101" s="1413"/>
      <c r="L101" s="1413"/>
      <c r="M101" s="1413"/>
      <c r="N101" s="1413"/>
      <c r="O101" s="1413"/>
      <c r="P101" s="1413"/>
      <c r="Q101" s="1413"/>
      <c r="R101" s="1413"/>
      <c r="S101" s="1413"/>
    </row>
    <row r="102" spans="1:19">
      <c r="A102" s="628"/>
      <c r="B102" s="862" t="s">
        <v>584</v>
      </c>
      <c r="C102" s="1124"/>
      <c r="D102" s="1124"/>
      <c r="E102" s="1124"/>
      <c r="F102" s="1124"/>
      <c r="G102" s="1133"/>
      <c r="H102" s="618"/>
      <c r="I102" s="618"/>
      <c r="J102" s="1178"/>
      <c r="K102" s="618"/>
      <c r="L102" s="618"/>
      <c r="M102" s="618"/>
      <c r="N102" s="618"/>
      <c r="O102" s="618"/>
      <c r="P102" s="618"/>
      <c r="Q102" s="618"/>
      <c r="R102" s="618"/>
      <c r="S102" s="618"/>
    </row>
    <row r="103" spans="1:19" ht="15.75" thickBot="1">
      <c r="A103" s="607"/>
      <c r="B103" s="608" t="s">
        <v>585</v>
      </c>
      <c r="C103" s="609"/>
      <c r="D103" s="609"/>
      <c r="E103" s="609"/>
      <c r="F103" s="609"/>
      <c r="G103" s="610"/>
      <c r="H103" s="611"/>
      <c r="I103" s="611"/>
      <c r="J103" s="631"/>
      <c r="K103" s="611"/>
      <c r="L103" s="611"/>
      <c r="M103" s="611"/>
      <c r="N103" s="611"/>
      <c r="O103" s="611"/>
      <c r="P103" s="611"/>
      <c r="Q103" s="611"/>
      <c r="R103" s="611"/>
      <c r="S103" s="611"/>
    </row>
    <row r="104" spans="1:19" ht="16.5" thickTop="1" thickBot="1"/>
    <row r="105" spans="1:19" ht="16.5" thickTop="1" thickBot="1">
      <c r="A105" s="92" t="s">
        <v>586</v>
      </c>
      <c r="B105" s="94"/>
    </row>
    <row r="106" spans="1:19" ht="15.75" thickTop="1">
      <c r="A106" s="93" t="s">
        <v>487</v>
      </c>
      <c r="B106" s="612"/>
    </row>
    <row r="107" spans="1:19">
      <c r="A107" s="626" t="s">
        <v>491</v>
      </c>
      <c r="B107" s="612"/>
    </row>
    <row r="108" spans="1:19">
      <c r="A108" s="613" t="s">
        <v>494</v>
      </c>
      <c r="B108" s="614"/>
    </row>
    <row r="109" spans="1:19">
      <c r="A109" s="613" t="s">
        <v>497</v>
      </c>
      <c r="B109" s="622"/>
    </row>
    <row r="110" spans="1:19" ht="15.75" thickBot="1">
      <c r="A110" s="615" t="s">
        <v>587</v>
      </c>
      <c r="B110" s="616">
        <f>H8</f>
        <v>1749421</v>
      </c>
    </row>
    <row r="111" spans="1:19" ht="15.75" thickTop="1"/>
    <row r="112" spans="1:19">
      <c r="A112" s="95"/>
      <c r="B112" s="1" t="s">
        <v>588</v>
      </c>
    </row>
    <row r="113" spans="1:2">
      <c r="A113" s="96"/>
      <c r="B113" s="1" t="s">
        <v>589</v>
      </c>
    </row>
  </sheetData>
  <mergeCells count="49">
    <mergeCell ref="E67:F67"/>
    <mergeCell ref="A76:B76"/>
    <mergeCell ref="A72:B72"/>
    <mergeCell ref="A80:B80"/>
    <mergeCell ref="A84:B84"/>
    <mergeCell ref="A94:B94"/>
    <mergeCell ref="A88:B88"/>
    <mergeCell ref="L8:M8"/>
    <mergeCell ref="P2:Q2"/>
    <mergeCell ref="P3:Q3"/>
    <mergeCell ref="P4:Q4"/>
    <mergeCell ref="P5:Q5"/>
    <mergeCell ref="P6:Q6"/>
    <mergeCell ref="P7:Q7"/>
    <mergeCell ref="P8:Q8"/>
    <mergeCell ref="N4:O4"/>
    <mergeCell ref="N5:O5"/>
    <mergeCell ref="N6:O6"/>
    <mergeCell ref="N7:O7"/>
    <mergeCell ref="N8:O8"/>
    <mergeCell ref="J6:K6"/>
    <mergeCell ref="R2:S2"/>
    <mergeCell ref="R3:S3"/>
    <mergeCell ref="R4:S4"/>
    <mergeCell ref="R5:S5"/>
    <mergeCell ref="R6:S6"/>
    <mergeCell ref="R7:S7"/>
    <mergeCell ref="R8:S8"/>
    <mergeCell ref="J2:K2"/>
    <mergeCell ref="H2:I2"/>
    <mergeCell ref="L2:M2"/>
    <mergeCell ref="N2:O2"/>
    <mergeCell ref="J3:K3"/>
    <mergeCell ref="H3:I3"/>
    <mergeCell ref="L3:M3"/>
    <mergeCell ref="N3:O3"/>
    <mergeCell ref="L4:M4"/>
    <mergeCell ref="L5:M5"/>
    <mergeCell ref="L6:M6"/>
    <mergeCell ref="L7:M7"/>
    <mergeCell ref="J4:K4"/>
    <mergeCell ref="J5:K5"/>
    <mergeCell ref="J7:K7"/>
    <mergeCell ref="J8:K8"/>
    <mergeCell ref="H4:I4"/>
    <mergeCell ref="H5:I5"/>
    <mergeCell ref="H6:I6"/>
    <mergeCell ref="H7:I7"/>
    <mergeCell ref="H8:I8"/>
  </mergeCells>
  <conditionalFormatting sqref="H21:H31 H33:H63 J33:J63 L33:L63 N33:N63 P33:P63 R33:R63">
    <cfRule type="cellIs" dxfId="1717" priority="15" operator="equal">
      <formula>"X"</formula>
    </cfRule>
    <cfRule type="cellIs" dxfId="1716" priority="16" operator="equal">
      <formula>"I"</formula>
    </cfRule>
  </conditionalFormatting>
  <conditionalFormatting sqref="J21:J31">
    <cfRule type="cellIs" dxfId="1715" priority="17" operator="equal">
      <formula>"X"</formula>
    </cfRule>
    <cfRule type="cellIs" dxfId="1714" priority="18" operator="equal">
      <formula>"I"</formula>
    </cfRule>
  </conditionalFormatting>
  <conditionalFormatting sqref="L21:L31">
    <cfRule type="cellIs" dxfId="1713" priority="19" operator="equal">
      <formula>"X"</formula>
    </cfRule>
    <cfRule type="cellIs" dxfId="1712" priority="20" operator="equal">
      <formula>"I"</formula>
    </cfRule>
  </conditionalFormatting>
  <conditionalFormatting sqref="N21:N31">
    <cfRule type="cellIs" dxfId="1711" priority="21" operator="equal">
      <formula>"X"</formula>
    </cfRule>
    <cfRule type="cellIs" dxfId="1710" priority="22" operator="equal">
      <formula>"I"</formula>
    </cfRule>
  </conditionalFormatting>
  <conditionalFormatting sqref="P21:P31">
    <cfRule type="cellIs" dxfId="1709" priority="23" operator="equal">
      <formula>"X"</formula>
    </cfRule>
    <cfRule type="cellIs" dxfId="1708" priority="24" operator="equal">
      <formula>"I"</formula>
    </cfRule>
  </conditionalFormatting>
  <conditionalFormatting sqref="R21:R31">
    <cfRule type="cellIs" dxfId="1707" priority="25" operator="equal">
      <formula>"X"</formula>
    </cfRule>
    <cfRule type="cellIs" dxfId="1706" priority="26" operator="equal">
      <formula>"I"</formula>
    </cfRule>
  </conditionalFormatting>
  <hyperlinks>
    <hyperlink ref="B3" location="'Cost Summary'!A1" display="BACK TO SUMMARY SHEET" xr:uid="{1343C82B-AAAD-4C82-B0EB-1C0C3C35AC76}"/>
  </hyperlinks>
  <printOptions horizontalCentered="1"/>
  <pageMargins left="0.45" right="0.45" top="0.75" bottom="0.75" header="0.3" footer="0.3"/>
  <pageSetup scale="70"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472A-316A-4149-B698-EF2847CDFE74}">
  <sheetPr>
    <tabColor rgb="FF92D050"/>
  </sheetPr>
  <dimension ref="A1:S85"/>
  <sheetViews>
    <sheetView zoomScale="91" zoomScaleNormal="91" workbookViewId="0">
      <pane xSplit="2" ySplit="19" topLeftCell="C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50"/>
      <c r="I2" s="750"/>
      <c r="J2" s="732"/>
      <c r="K2" s="732"/>
      <c r="L2" s="732"/>
      <c r="M2" s="732"/>
      <c r="N2" s="732"/>
      <c r="O2" s="732"/>
      <c r="P2" s="732"/>
      <c r="Q2" s="732"/>
      <c r="R2" s="732"/>
      <c r="S2" s="732"/>
    </row>
    <row r="3" spans="1:19" ht="20.25">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746</v>
      </c>
      <c r="C5" s="1124"/>
      <c r="D5" s="1124"/>
      <c r="E5" s="1124"/>
      <c r="F5" s="1124"/>
      <c r="G5" s="1125" t="s">
        <v>491</v>
      </c>
      <c r="H5" s="778"/>
      <c r="I5" s="1126"/>
      <c r="J5" s="778"/>
      <c r="K5" s="1126"/>
      <c r="L5" s="778"/>
      <c r="M5" s="1126"/>
      <c r="N5" s="778"/>
      <c r="O5" s="1126"/>
      <c r="P5" s="778"/>
      <c r="Q5" s="1126"/>
      <c r="R5" s="778"/>
      <c r="S5" s="1126"/>
    </row>
    <row r="6" spans="1:19">
      <c r="A6" s="627" t="s">
        <v>493</v>
      </c>
      <c r="B6" s="1127" t="s">
        <v>747</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c r="A8" s="414" t="s">
        <v>499</v>
      </c>
      <c r="B8" s="295"/>
      <c r="C8" s="184"/>
      <c r="D8" s="184"/>
      <c r="E8" s="184"/>
      <c r="F8" s="184"/>
      <c r="G8" s="419" t="s">
        <v>499</v>
      </c>
      <c r="H8" s="774">
        <f>I46</f>
        <v>0</v>
      </c>
      <c r="I8" s="775"/>
      <c r="J8" s="774">
        <f>K46</f>
        <v>0</v>
      </c>
      <c r="K8" s="775"/>
      <c r="L8" s="774">
        <f>M46</f>
        <v>0</v>
      </c>
      <c r="M8" s="775"/>
      <c r="N8" s="774">
        <f>O46</f>
        <v>0</v>
      </c>
      <c r="O8" s="775"/>
      <c r="P8" s="774">
        <f>Q46</f>
        <v>0</v>
      </c>
      <c r="Q8" s="775"/>
      <c r="R8" s="774">
        <f>S46</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469"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1383"/>
      <c r="B21" s="1136" t="s">
        <v>746</v>
      </c>
      <c r="C21" s="1134"/>
      <c r="D21" s="1124"/>
      <c r="E21" s="1124"/>
      <c r="F21" s="1124"/>
      <c r="G21" s="1133"/>
      <c r="H21" s="590"/>
      <c r="I21" s="1470"/>
      <c r="J21" s="590"/>
      <c r="K21" s="1470"/>
      <c r="L21" s="590"/>
      <c r="M21" s="1470"/>
      <c r="N21" s="590"/>
      <c r="O21" s="1470"/>
      <c r="P21" s="590"/>
      <c r="Q21" s="1470"/>
      <c r="R21" s="590"/>
      <c r="S21" s="1470"/>
    </row>
    <row r="22" spans="1:19" ht="15.75">
      <c r="A22" s="1471"/>
      <c r="B22" s="1420" t="s">
        <v>512</v>
      </c>
      <c r="C22" s="1138"/>
      <c r="D22" s="1124"/>
      <c r="E22" s="1124"/>
      <c r="F22" s="1124"/>
      <c r="G22" s="1133"/>
      <c r="H22" s="590"/>
      <c r="I22" s="1472"/>
      <c r="J22" s="590"/>
      <c r="K22" s="1470"/>
      <c r="L22" s="590"/>
      <c r="M22" s="1470"/>
      <c r="N22" s="590"/>
      <c r="O22" s="1470"/>
      <c r="P22" s="590"/>
      <c r="Q22" s="1470"/>
      <c r="R22" s="590"/>
      <c r="S22" s="1470"/>
    </row>
    <row r="23" spans="1:19" ht="15.75" customHeight="1">
      <c r="A23" s="1383"/>
      <c r="B23" s="1422" t="s">
        <v>513</v>
      </c>
      <c r="C23" s="1134"/>
      <c r="D23" s="1124"/>
      <c r="E23" s="1124"/>
      <c r="F23" s="1124"/>
      <c r="G23" s="1133"/>
      <c r="H23" s="590"/>
      <c r="I23" s="1470"/>
      <c r="J23" s="590"/>
      <c r="K23" s="1470"/>
      <c r="L23" s="590"/>
      <c r="M23" s="1470"/>
      <c r="N23" s="590"/>
      <c r="O23" s="1470"/>
      <c r="P23" s="590"/>
      <c r="Q23" s="1470"/>
      <c r="R23" s="590"/>
      <c r="S23" s="1470"/>
    </row>
    <row r="24" spans="1:19">
      <c r="A24" s="1383"/>
      <c r="B24" s="1423" t="s">
        <v>514</v>
      </c>
      <c r="C24" s="1134"/>
      <c r="D24" s="1124"/>
      <c r="E24" s="1124"/>
      <c r="F24" s="1124"/>
      <c r="G24" s="1133"/>
      <c r="H24" s="590"/>
      <c r="I24" s="1424"/>
      <c r="J24" s="590"/>
      <c r="K24" s="1424"/>
      <c r="L24" s="590"/>
      <c r="M24" s="1424"/>
      <c r="N24" s="590"/>
      <c r="O24" s="1424"/>
      <c r="P24" s="590"/>
      <c r="Q24" s="1424"/>
      <c r="R24" s="590"/>
      <c r="S24" s="1424"/>
    </row>
    <row r="25" spans="1:19" ht="15.75" customHeight="1">
      <c r="A25" s="1383"/>
      <c r="B25" s="1425" t="s">
        <v>515</v>
      </c>
      <c r="C25" s="1134"/>
      <c r="D25" s="1124"/>
      <c r="E25" s="1124"/>
      <c r="F25" s="1124"/>
      <c r="G25" s="1133"/>
      <c r="H25" s="590"/>
      <c r="I25" s="1424"/>
      <c r="J25" s="590"/>
      <c r="K25" s="1424"/>
      <c r="L25" s="590"/>
      <c r="M25" s="629"/>
      <c r="N25" s="590"/>
      <c r="O25" s="1424"/>
      <c r="P25" s="590"/>
      <c r="Q25" s="629"/>
      <c r="R25" s="590"/>
      <c r="S25" s="1424"/>
    </row>
    <row r="26" spans="1:19">
      <c r="A26" s="1383"/>
      <c r="B26" s="1425" t="s">
        <v>516</v>
      </c>
      <c r="C26" s="1228"/>
      <c r="D26" s="1426"/>
      <c r="E26" s="1124"/>
      <c r="F26" s="1124"/>
      <c r="G26" s="1133"/>
      <c r="H26" s="590"/>
      <c r="I26" s="1424"/>
      <c r="J26" s="590"/>
      <c r="K26" s="1470"/>
      <c r="L26" s="590"/>
      <c r="M26" s="618"/>
      <c r="N26" s="590"/>
      <c r="O26" s="1470"/>
      <c r="P26" s="590"/>
      <c r="Q26" s="618"/>
      <c r="R26" s="590"/>
      <c r="S26" s="1470"/>
    </row>
    <row r="27" spans="1:19">
      <c r="A27" s="1383"/>
      <c r="B27" s="1425" t="s">
        <v>517</v>
      </c>
      <c r="C27" s="1228"/>
      <c r="D27" s="1426"/>
      <c r="E27" s="1124"/>
      <c r="F27" s="1124"/>
      <c r="G27" s="1133"/>
      <c r="H27" s="590"/>
      <c r="I27" s="1424"/>
      <c r="J27" s="590"/>
      <c r="K27" s="1470"/>
      <c r="L27" s="590"/>
      <c r="M27" s="618"/>
      <c r="N27" s="590"/>
      <c r="O27" s="1470"/>
      <c r="P27" s="590"/>
      <c r="Q27" s="618"/>
      <c r="R27" s="590"/>
      <c r="S27" s="1470"/>
    </row>
    <row r="28" spans="1:19">
      <c r="A28" s="1383"/>
      <c r="B28" s="1425" t="s">
        <v>518</v>
      </c>
      <c r="C28" s="1228"/>
      <c r="D28" s="1426"/>
      <c r="E28" s="1124"/>
      <c r="F28" s="1124"/>
      <c r="G28" s="1133"/>
      <c r="H28" s="590"/>
      <c r="I28" s="1424"/>
      <c r="J28" s="590"/>
      <c r="K28" s="1470"/>
      <c r="L28" s="590"/>
      <c r="M28" s="618"/>
      <c r="N28" s="590"/>
      <c r="O28" s="1470"/>
      <c r="P28" s="590"/>
      <c r="Q28" s="618"/>
      <c r="R28" s="590"/>
      <c r="S28" s="1470"/>
    </row>
    <row r="29" spans="1:19">
      <c r="A29" s="1383"/>
      <c r="B29" s="1425" t="s">
        <v>693</v>
      </c>
      <c r="C29" s="1228"/>
      <c r="D29" s="1426"/>
      <c r="E29" s="1124"/>
      <c r="F29" s="1124"/>
      <c r="G29" s="1133"/>
      <c r="H29" s="590"/>
      <c r="I29" s="1424"/>
      <c r="J29" s="590"/>
      <c r="K29" s="1470"/>
      <c r="L29" s="590"/>
      <c r="M29" s="618"/>
      <c r="N29" s="590"/>
      <c r="O29" s="1470"/>
      <c r="P29" s="590"/>
      <c r="Q29" s="618"/>
      <c r="R29" s="590"/>
      <c r="S29" s="1470"/>
    </row>
    <row r="30" spans="1:19">
      <c r="A30" s="1383"/>
      <c r="B30" s="1427" t="s">
        <v>519</v>
      </c>
      <c r="C30" s="1228"/>
      <c r="D30" s="1426"/>
      <c r="E30" s="1124"/>
      <c r="F30" s="1124"/>
      <c r="G30" s="1133"/>
      <c r="H30" s="590"/>
      <c r="I30" s="1424"/>
      <c r="J30" s="590"/>
      <c r="K30" s="1470"/>
      <c r="L30" s="590"/>
      <c r="M30" s="618"/>
      <c r="N30" s="590"/>
      <c r="O30" s="1470"/>
      <c r="P30" s="590"/>
      <c r="Q30" s="618"/>
      <c r="R30" s="590"/>
      <c r="S30" s="1470"/>
    </row>
    <row r="31" spans="1:19">
      <c r="A31" s="1383"/>
      <c r="B31" s="1473" t="s">
        <v>520</v>
      </c>
      <c r="C31" s="1474"/>
      <c r="D31" s="1475"/>
      <c r="E31" s="1145"/>
      <c r="F31" s="1145"/>
      <c r="G31" s="1147"/>
      <c r="H31" s="619"/>
      <c r="I31" s="1476"/>
      <c r="J31" s="619"/>
      <c r="K31" s="1477"/>
      <c r="L31" s="1478"/>
      <c r="M31" s="635"/>
      <c r="N31" s="1479"/>
      <c r="O31" s="1477"/>
      <c r="P31" s="1478"/>
      <c r="Q31" s="635"/>
      <c r="R31" s="1479"/>
      <c r="S31" s="1477"/>
    </row>
    <row r="32" spans="1:19">
      <c r="A32" s="1383"/>
      <c r="B32" s="1480" t="s">
        <v>748</v>
      </c>
      <c r="C32" s="1228"/>
      <c r="D32" s="1426"/>
      <c r="E32" s="1124"/>
      <c r="F32" s="1124"/>
      <c r="G32" s="1133"/>
      <c r="H32" s="590"/>
      <c r="I32" s="1424"/>
      <c r="J32" s="590"/>
      <c r="K32" s="1470"/>
      <c r="L32" s="590"/>
      <c r="M32" s="618"/>
      <c r="N32" s="590"/>
      <c r="O32" s="1470"/>
      <c r="P32" s="590"/>
      <c r="Q32" s="618"/>
      <c r="R32" s="590"/>
      <c r="S32" s="1470"/>
    </row>
    <row r="33" spans="1:19">
      <c r="A33" s="1383"/>
      <c r="B33" s="1481"/>
      <c r="C33" s="1228"/>
      <c r="D33" s="1426"/>
      <c r="E33" s="1124"/>
      <c r="F33" s="1124"/>
      <c r="G33" s="1133"/>
      <c r="H33" s="590"/>
      <c r="I33" s="1424"/>
      <c r="J33" s="590"/>
      <c r="K33" s="1470"/>
      <c r="L33" s="590"/>
      <c r="M33" s="618"/>
      <c r="N33" s="590"/>
      <c r="O33" s="1470"/>
      <c r="P33" s="590"/>
      <c r="Q33" s="618"/>
      <c r="R33" s="590"/>
      <c r="S33" s="1470"/>
    </row>
    <row r="34" spans="1:19">
      <c r="A34" s="1383"/>
      <c r="B34" s="1482"/>
      <c r="C34" s="1228"/>
      <c r="D34" s="1426"/>
      <c r="E34" s="1124"/>
      <c r="F34" s="1124"/>
      <c r="G34" s="1133"/>
      <c r="H34" s="590"/>
      <c r="I34" s="1424"/>
      <c r="J34" s="590"/>
      <c r="K34" s="1470"/>
      <c r="L34" s="590" t="s">
        <v>710</v>
      </c>
      <c r="M34" s="618"/>
      <c r="N34" s="590"/>
      <c r="O34" s="1470"/>
      <c r="P34" s="590"/>
      <c r="Q34" s="618"/>
      <c r="R34" s="590"/>
      <c r="S34" s="1470"/>
    </row>
    <row r="35" spans="1:19">
      <c r="A35" s="1383"/>
      <c r="B35" s="1483"/>
      <c r="C35" s="1228"/>
      <c r="D35" s="1426"/>
      <c r="E35" s="1124"/>
      <c r="F35" s="1124"/>
      <c r="G35" s="1133"/>
      <c r="H35" s="590"/>
      <c r="I35" s="1424"/>
      <c r="J35" s="590"/>
      <c r="K35" s="1470"/>
      <c r="L35" s="590"/>
      <c r="M35" s="618"/>
      <c r="N35" s="590"/>
      <c r="O35" s="1470"/>
      <c r="P35" s="590"/>
      <c r="Q35" s="618"/>
      <c r="R35" s="590"/>
      <c r="S35" s="1470"/>
    </row>
    <row r="36" spans="1:19">
      <c r="A36" s="1383"/>
      <c r="B36" s="1483"/>
      <c r="C36" s="1228"/>
      <c r="D36" s="1426"/>
      <c r="E36" s="1124"/>
      <c r="F36" s="1124"/>
      <c r="G36" s="1133"/>
      <c r="H36" s="590"/>
      <c r="I36" s="1424"/>
      <c r="J36" s="590"/>
      <c r="K36" s="1470"/>
      <c r="L36" s="590"/>
      <c r="M36" s="618"/>
      <c r="N36" s="590"/>
      <c r="O36" s="1470"/>
      <c r="P36" s="590"/>
      <c r="Q36" s="618"/>
      <c r="R36" s="590"/>
      <c r="S36" s="1470"/>
    </row>
    <row r="37" spans="1:19">
      <c r="A37" s="1383"/>
      <c r="B37" s="1483"/>
      <c r="C37" s="1228"/>
      <c r="D37" s="1426"/>
      <c r="E37" s="1124"/>
      <c r="F37" s="1124"/>
      <c r="G37" s="1133"/>
      <c r="H37" s="590"/>
      <c r="I37" s="1424"/>
      <c r="J37" s="590"/>
      <c r="K37" s="1470"/>
      <c r="L37" s="590"/>
      <c r="M37" s="618"/>
      <c r="N37" s="590"/>
      <c r="O37" s="1470"/>
      <c r="P37" s="590"/>
      <c r="Q37" s="618"/>
      <c r="R37" s="590"/>
      <c r="S37" s="1470"/>
    </row>
    <row r="38" spans="1:19">
      <c r="A38" s="1383"/>
      <c r="B38" s="1483"/>
      <c r="C38" s="1228"/>
      <c r="D38" s="1426"/>
      <c r="E38" s="1124"/>
      <c r="F38" s="1124"/>
      <c r="G38" s="1133"/>
      <c r="H38" s="590"/>
      <c r="I38" s="1424"/>
      <c r="J38" s="590"/>
      <c r="K38" s="1470"/>
      <c r="L38" s="590"/>
      <c r="M38" s="618"/>
      <c r="N38" s="590"/>
      <c r="O38" s="1470"/>
      <c r="P38" s="590"/>
      <c r="Q38" s="618"/>
      <c r="R38" s="590"/>
      <c r="S38" s="1470"/>
    </row>
    <row r="39" spans="1:19">
      <c r="A39" s="1383"/>
      <c r="B39" s="425"/>
      <c r="C39" s="1124"/>
      <c r="D39" s="1426"/>
      <c r="E39" s="1124"/>
      <c r="F39" s="1124"/>
      <c r="G39" s="1133"/>
      <c r="H39" s="590"/>
      <c r="I39" s="1424"/>
      <c r="J39" s="590"/>
      <c r="K39" s="1424"/>
      <c r="L39" s="590"/>
      <c r="M39" s="629"/>
      <c r="N39" s="590"/>
      <c r="O39" s="1470"/>
      <c r="P39" s="590"/>
      <c r="Q39" s="629"/>
      <c r="R39" s="590"/>
      <c r="S39" s="1470"/>
    </row>
    <row r="40" spans="1:19">
      <c r="A40" s="1383"/>
      <c r="B40" s="425"/>
      <c r="C40" s="296"/>
      <c r="D40" s="184"/>
      <c r="E40" s="184"/>
      <c r="F40" s="184"/>
      <c r="G40" s="296"/>
      <c r="H40" s="590"/>
      <c r="I40" s="1424"/>
      <c r="J40" s="590"/>
      <c r="K40" s="1424"/>
      <c r="L40" s="590"/>
      <c r="M40" s="629"/>
      <c r="N40" s="590"/>
      <c r="O40" s="1424"/>
      <c r="P40" s="590"/>
      <c r="Q40" s="629"/>
      <c r="R40" s="590"/>
      <c r="S40" s="1424"/>
    </row>
    <row r="41" spans="1:19">
      <c r="A41" s="1450"/>
      <c r="B41" s="425"/>
      <c r="C41" s="1451"/>
      <c r="D41" s="1452"/>
      <c r="E41" s="1452"/>
      <c r="F41" s="1452"/>
      <c r="G41" s="1451"/>
      <c r="H41" s="590"/>
      <c r="I41" s="1453"/>
      <c r="J41" s="590"/>
      <c r="K41" s="1453"/>
      <c r="L41" s="590"/>
      <c r="M41" s="1484"/>
      <c r="N41" s="590"/>
      <c r="O41" s="1453"/>
      <c r="P41" s="590"/>
      <c r="Q41" s="1484"/>
      <c r="R41" s="590"/>
      <c r="S41" s="1453"/>
    </row>
    <row r="42" spans="1:19">
      <c r="A42" s="14"/>
      <c r="B42" s="15"/>
      <c r="C42" s="16"/>
      <c r="D42" s="16"/>
      <c r="E42" s="17"/>
      <c r="F42" s="18" t="s">
        <v>567</v>
      </c>
      <c r="G42" s="19"/>
      <c r="H42" s="20"/>
      <c r="I42" s="61">
        <f>SUM(I24:I41)</f>
        <v>0</v>
      </c>
      <c r="J42" s="20"/>
      <c r="K42" s="61">
        <f>SUM(K24:K41)</f>
        <v>0</v>
      </c>
      <c r="L42" s="20"/>
      <c r="M42" s="61">
        <f>SUM(M24:M41)</f>
        <v>0</v>
      </c>
      <c r="N42" s="20"/>
      <c r="O42" s="61">
        <f>SUM(O24:O41)</f>
        <v>0</v>
      </c>
      <c r="P42" s="20"/>
      <c r="Q42" s="61">
        <f>SUM(Q24:Q41)</f>
        <v>0</v>
      </c>
      <c r="R42" s="20"/>
      <c r="S42" s="61">
        <f>SUM(S24:S41)</f>
        <v>0</v>
      </c>
    </row>
    <row r="43" spans="1:19">
      <c r="A43" s="624"/>
      <c r="B43" s="1156"/>
      <c r="C43" s="1157"/>
      <c r="D43" s="1157"/>
      <c r="E43" s="1158"/>
      <c r="F43" s="1159" t="s">
        <v>568</v>
      </c>
      <c r="G43" s="1160"/>
      <c r="H43" s="593">
        <v>0</v>
      </c>
      <c r="I43" s="592"/>
      <c r="J43" s="593">
        <v>0</v>
      </c>
      <c r="K43" s="592"/>
      <c r="L43" s="591">
        <v>0</v>
      </c>
      <c r="M43" s="592"/>
      <c r="N43" s="593">
        <v>0</v>
      </c>
      <c r="O43" s="592"/>
      <c r="P43" s="591">
        <v>0</v>
      </c>
      <c r="Q43" s="592"/>
      <c r="R43" s="593">
        <v>0</v>
      </c>
      <c r="S43" s="592"/>
    </row>
    <row r="44" spans="1:19">
      <c r="A44" s="624"/>
      <c r="B44" s="1156"/>
      <c r="C44" s="1157"/>
      <c r="D44" s="1157"/>
      <c r="E44" s="1158"/>
      <c r="F44" s="1159" t="s">
        <v>569</v>
      </c>
      <c r="G44" s="1160"/>
      <c r="H44" s="594"/>
      <c r="I44" s="595">
        <f>H43*I42</f>
        <v>0</v>
      </c>
      <c r="J44" s="594"/>
      <c r="K44" s="595">
        <f>J43*K42</f>
        <v>0</v>
      </c>
      <c r="L44" s="594"/>
      <c r="M44" s="595">
        <f>L43*M42</f>
        <v>0</v>
      </c>
      <c r="N44" s="594"/>
      <c r="O44" s="595">
        <f>N43*O42</f>
        <v>0</v>
      </c>
      <c r="P44" s="594"/>
      <c r="Q44" s="595">
        <f>P43*Q42</f>
        <v>0</v>
      </c>
      <c r="R44" s="594"/>
      <c r="S44" s="595">
        <f>R43*S42</f>
        <v>0</v>
      </c>
    </row>
    <row r="45" spans="1:19">
      <c r="A45" s="624"/>
      <c r="B45" s="1156"/>
      <c r="C45" s="1157"/>
      <c r="D45" s="1157"/>
      <c r="E45" s="1158"/>
      <c r="F45" s="1159"/>
      <c r="G45" s="1160"/>
      <c r="H45" s="594"/>
      <c r="I45" s="596"/>
      <c r="J45" s="594"/>
      <c r="K45" s="596"/>
      <c r="L45" s="594"/>
      <c r="M45" s="596"/>
      <c r="N45" s="594"/>
      <c r="O45" s="596"/>
      <c r="P45" s="594"/>
      <c r="Q45" s="596"/>
      <c r="R45" s="594"/>
      <c r="S45" s="596"/>
    </row>
    <row r="46" spans="1:19">
      <c r="A46" s="624"/>
      <c r="B46" s="1156"/>
      <c r="C46" s="1157"/>
      <c r="D46" s="1157"/>
      <c r="E46" s="1158"/>
      <c r="F46" s="1159" t="s">
        <v>570</v>
      </c>
      <c r="G46" s="1160"/>
      <c r="H46" s="597"/>
      <c r="I46" s="598">
        <f>SUM(I42:I44)</f>
        <v>0</v>
      </c>
      <c r="J46" s="597"/>
      <c r="K46" s="598">
        <f>SUM(K42:K44)</f>
        <v>0</v>
      </c>
      <c r="L46" s="597"/>
      <c r="M46" s="598">
        <f>SUM(M42:M44)</f>
        <v>0</v>
      </c>
      <c r="N46" s="597"/>
      <c r="O46" s="598">
        <f>SUM(O42:O44)</f>
        <v>0</v>
      </c>
      <c r="P46" s="597"/>
      <c r="Q46" s="598">
        <f>SUM(Q42:Q44)</f>
        <v>0</v>
      </c>
      <c r="R46" s="597"/>
      <c r="S46" s="598">
        <f>SUM(S42:S44)</f>
        <v>0</v>
      </c>
    </row>
    <row r="47" spans="1:19">
      <c r="A47" s="624"/>
      <c r="B47" s="1156"/>
      <c r="C47" s="1157"/>
      <c r="D47" s="1157"/>
      <c r="E47" s="1158"/>
      <c r="F47" s="1161" t="s">
        <v>571</v>
      </c>
      <c r="G47" s="1162"/>
      <c r="H47" s="599"/>
      <c r="I47" s="600" t="e">
        <f>I46/'Area Calculations'!$J$4</f>
        <v>#DIV/0!</v>
      </c>
      <c r="J47" s="599"/>
      <c r="K47" s="600" t="e">
        <f>K46/'Area Calculations'!$J$4</f>
        <v>#DIV/0!</v>
      </c>
      <c r="L47" s="599"/>
      <c r="M47" s="600" t="e">
        <f>M46/'Area Calculations'!$J$4</f>
        <v>#DIV/0!</v>
      </c>
      <c r="N47" s="599"/>
      <c r="O47" s="600" t="e">
        <f>O46/'Area Calculations'!$J$4</f>
        <v>#DIV/0!</v>
      </c>
      <c r="P47" s="599"/>
      <c r="Q47" s="600" t="e">
        <f>Q46/'Area Calculations'!$J$4</f>
        <v>#DIV/0!</v>
      </c>
      <c r="R47" s="599"/>
      <c r="S47" s="600" t="e">
        <f>S46/'Area Calculations'!$J$4</f>
        <v>#DIV/0!</v>
      </c>
    </row>
    <row r="48" spans="1:19">
      <c r="A48" s="624"/>
      <c r="B48" s="1156"/>
      <c r="C48" s="1157"/>
      <c r="D48" s="1157"/>
      <c r="E48" s="1158"/>
      <c r="F48" s="1161" t="s">
        <v>572</v>
      </c>
      <c r="G48" s="1163"/>
      <c r="H48" s="599"/>
      <c r="I48" s="600" t="e">
        <f>I46/'Area Calculations'!#REF!</f>
        <v>#REF!</v>
      </c>
      <c r="J48" s="599"/>
      <c r="K48" s="600" t="e">
        <f>K46/'Area Calculations'!#REF!</f>
        <v>#REF!</v>
      </c>
      <c r="L48" s="599"/>
      <c r="M48" s="600" t="e">
        <f>M46/'Area Calculations'!#REF!</f>
        <v>#REF!</v>
      </c>
      <c r="N48" s="599"/>
      <c r="O48" s="600" t="e">
        <f>O46/'Area Calculations'!#REF!</f>
        <v>#REF!</v>
      </c>
      <c r="P48" s="599"/>
      <c r="Q48" s="600" t="e">
        <f>Q46/'Area Calculations'!#REF!</f>
        <v>#REF!</v>
      </c>
      <c r="R48" s="599"/>
      <c r="S48" s="600" t="e">
        <f>S46/'Area Calculations'!#REF!</f>
        <v>#REF!</v>
      </c>
    </row>
    <row r="49" spans="1:19">
      <c r="A49" s="176"/>
      <c r="B49" s="177"/>
      <c r="C49" s="178"/>
      <c r="D49" s="178"/>
      <c r="E49" s="179"/>
      <c r="F49" s="180"/>
      <c r="G49" s="249"/>
      <c r="H49" s="183"/>
      <c r="I49" s="182"/>
      <c r="J49" s="183"/>
      <c r="K49" s="182"/>
      <c r="L49" s="183"/>
      <c r="M49" s="182"/>
      <c r="N49" s="183"/>
      <c r="O49" s="182"/>
      <c r="P49" s="183"/>
      <c r="Q49" s="182"/>
      <c r="R49" s="183"/>
      <c r="S49" s="182"/>
    </row>
    <row r="50" spans="1:19">
      <c r="A50" s="726" t="s">
        <v>573</v>
      </c>
      <c r="B50" s="727"/>
      <c r="C50" s="12"/>
      <c r="D50" s="12"/>
      <c r="E50" s="12"/>
      <c r="F50" s="12"/>
      <c r="G50" s="13"/>
      <c r="H50" s="21"/>
      <c r="I50" s="21"/>
      <c r="J50" s="21"/>
      <c r="K50" s="21"/>
      <c r="L50" s="21"/>
      <c r="M50" s="21"/>
      <c r="N50" s="21"/>
      <c r="O50" s="21"/>
      <c r="P50" s="21"/>
      <c r="Q50" s="21"/>
      <c r="R50" s="21"/>
      <c r="S50" s="21"/>
    </row>
    <row r="51" spans="1:19">
      <c r="A51" s="1485"/>
      <c r="B51" s="862"/>
      <c r="C51" s="1486"/>
      <c r="D51" s="1486"/>
      <c r="E51" s="1486"/>
      <c r="F51" s="1486"/>
      <c r="G51" s="1461"/>
      <c r="H51" s="1409"/>
      <c r="I51" s="1409"/>
      <c r="J51" s="1409"/>
      <c r="K51" s="1409"/>
      <c r="L51" s="1409"/>
      <c r="M51" s="1409"/>
      <c r="N51" s="1409"/>
      <c r="O51" s="1409"/>
      <c r="P51" s="1409"/>
      <c r="Q51" s="1409"/>
      <c r="R51" s="1409"/>
      <c r="S51" s="1409"/>
    </row>
    <row r="52" spans="1:19">
      <c r="A52" s="1485"/>
      <c r="B52" s="862"/>
      <c r="C52" s="1486"/>
      <c r="D52" s="1486"/>
      <c r="E52" s="1486"/>
      <c r="F52" s="1486"/>
      <c r="G52" s="1461"/>
      <c r="H52" s="1409"/>
      <c r="I52" s="1409"/>
      <c r="J52" s="1409"/>
      <c r="K52" s="1409"/>
      <c r="L52" s="1409"/>
      <c r="M52" s="1409"/>
      <c r="N52" s="1409"/>
      <c r="O52" s="1409"/>
      <c r="P52" s="1409"/>
      <c r="Q52" s="1409"/>
      <c r="R52" s="1409"/>
      <c r="S52" s="1409"/>
    </row>
    <row r="53" spans="1:19" s="2" customFormat="1">
      <c r="A53" s="1485"/>
      <c r="B53" s="862"/>
      <c r="C53" s="1486"/>
      <c r="D53" s="1486"/>
      <c r="E53" s="1486"/>
      <c r="F53" s="1486"/>
      <c r="G53" s="1461"/>
      <c r="H53" s="1409"/>
      <c r="I53" s="1409"/>
      <c r="J53" s="1409"/>
      <c r="K53" s="1409"/>
      <c r="L53" s="1409"/>
      <c r="M53" s="1409"/>
      <c r="N53" s="1409"/>
      <c r="O53" s="1409"/>
      <c r="P53" s="1409"/>
      <c r="Q53" s="1409"/>
      <c r="R53" s="1409"/>
      <c r="S53" s="1409"/>
    </row>
    <row r="54" spans="1:19">
      <c r="A54" s="726" t="s">
        <v>574</v>
      </c>
      <c r="B54" s="727"/>
      <c r="C54" s="12"/>
      <c r="D54" s="12"/>
      <c r="E54" s="12"/>
      <c r="F54" s="12"/>
      <c r="G54" s="13"/>
      <c r="H54" s="21"/>
      <c r="I54" s="21"/>
      <c r="J54" s="21"/>
      <c r="K54" s="21"/>
      <c r="L54" s="21"/>
      <c r="M54" s="21"/>
      <c r="N54" s="21"/>
      <c r="O54" s="21"/>
      <c r="P54" s="21"/>
      <c r="Q54" s="21"/>
      <c r="R54" s="21"/>
      <c r="S54" s="21"/>
    </row>
    <row r="55" spans="1:19" s="2" customFormat="1">
      <c r="A55" s="1485"/>
      <c r="B55" s="862"/>
      <c r="C55" s="1486"/>
      <c r="D55" s="1486"/>
      <c r="E55" s="1486"/>
      <c r="F55" s="1486"/>
      <c r="G55" s="1461"/>
      <c r="H55" s="1409"/>
      <c r="I55" s="1409"/>
      <c r="J55" s="1409"/>
      <c r="K55" s="1409"/>
      <c r="L55" s="1409"/>
      <c r="M55" s="1409"/>
      <c r="N55" s="1409"/>
      <c r="O55" s="1409"/>
      <c r="P55" s="1409"/>
      <c r="Q55" s="1409"/>
      <c r="R55" s="1409"/>
      <c r="S55" s="1409"/>
    </row>
    <row r="56" spans="1:19" s="2" customFormat="1">
      <c r="A56" s="1485"/>
      <c r="B56" s="862"/>
      <c r="C56" s="1486"/>
      <c r="D56" s="1486"/>
      <c r="E56" s="1486"/>
      <c r="F56" s="1486"/>
      <c r="G56" s="1461"/>
      <c r="H56" s="1409"/>
      <c r="I56" s="1409"/>
      <c r="J56" s="1409"/>
      <c r="K56" s="1409"/>
      <c r="L56" s="1409"/>
      <c r="M56" s="1409"/>
      <c r="N56" s="1409"/>
      <c r="O56" s="1409"/>
      <c r="P56" s="1409"/>
      <c r="Q56" s="1409"/>
      <c r="R56" s="1409"/>
      <c r="S56" s="1409"/>
    </row>
    <row r="57" spans="1:19" s="2" customFormat="1">
      <c r="A57" s="1485"/>
      <c r="B57" s="862"/>
      <c r="C57" s="1486"/>
      <c r="D57" s="1486"/>
      <c r="E57" s="1486"/>
      <c r="F57" s="1486"/>
      <c r="G57" s="1461"/>
      <c r="H57" s="1409"/>
      <c r="I57" s="1409"/>
      <c r="J57" s="1409"/>
      <c r="K57" s="1409"/>
      <c r="L57" s="1409"/>
      <c r="M57" s="1409"/>
      <c r="N57" s="1409"/>
      <c r="O57" s="1409"/>
      <c r="P57" s="1409"/>
      <c r="Q57" s="1409"/>
      <c r="R57" s="1409"/>
      <c r="S57" s="1409"/>
    </row>
    <row r="58" spans="1:19">
      <c r="A58" s="726" t="s">
        <v>575</v>
      </c>
      <c r="B58" s="727"/>
      <c r="C58" s="12"/>
      <c r="D58" s="12"/>
      <c r="E58" s="12"/>
      <c r="F58" s="12"/>
      <c r="G58" s="13"/>
      <c r="H58" s="21"/>
      <c r="I58" s="21"/>
      <c r="J58" s="21"/>
      <c r="K58" s="21"/>
      <c r="L58" s="21"/>
      <c r="M58" s="21"/>
      <c r="N58" s="21"/>
      <c r="O58" s="21"/>
      <c r="P58" s="21"/>
      <c r="Q58" s="21"/>
      <c r="R58" s="21"/>
      <c r="S58" s="21"/>
    </row>
    <row r="59" spans="1:19">
      <c r="A59" s="1485"/>
      <c r="B59" s="862"/>
      <c r="C59" s="1486"/>
      <c r="D59" s="1486"/>
      <c r="E59" s="1486"/>
      <c r="F59" s="1486"/>
      <c r="G59" s="1461"/>
      <c r="H59" s="1409"/>
      <c r="I59" s="1409"/>
      <c r="J59" s="1409"/>
      <c r="K59" s="1409"/>
      <c r="L59" s="1409"/>
      <c r="M59" s="1409"/>
      <c r="N59" s="1409"/>
      <c r="O59" s="1409"/>
      <c r="P59" s="1409"/>
      <c r="Q59" s="1409"/>
      <c r="R59" s="1409"/>
      <c r="S59" s="1409"/>
    </row>
    <row r="60" spans="1:19">
      <c r="A60" s="628"/>
      <c r="B60" s="862"/>
      <c r="C60" s="1124"/>
      <c r="D60" s="1124"/>
      <c r="E60" s="1124"/>
      <c r="F60" s="1124"/>
      <c r="G60" s="1133"/>
      <c r="H60" s="604"/>
      <c r="I60" s="604"/>
      <c r="J60" s="604"/>
      <c r="K60" s="604"/>
      <c r="L60" s="604"/>
      <c r="M60" s="604"/>
      <c r="N60" s="604"/>
      <c r="O60" s="604"/>
      <c r="P60" s="604"/>
      <c r="Q60" s="604"/>
      <c r="R60" s="604"/>
      <c r="S60" s="604"/>
    </row>
    <row r="61" spans="1:19">
      <c r="A61" s="625"/>
      <c r="B61" s="1171"/>
      <c r="C61" s="1124"/>
      <c r="D61" s="1124"/>
      <c r="E61" s="1124"/>
      <c r="F61" s="1124"/>
      <c r="G61" s="1133"/>
      <c r="H61" s="605"/>
      <c r="I61" s="605"/>
      <c r="J61" s="605"/>
      <c r="K61" s="605"/>
      <c r="L61" s="605"/>
      <c r="M61" s="605"/>
      <c r="N61" s="605"/>
      <c r="O61" s="605"/>
      <c r="P61" s="605"/>
      <c r="Q61" s="605"/>
      <c r="R61" s="605"/>
      <c r="S61" s="605"/>
    </row>
    <row r="62" spans="1:19">
      <c r="A62" s="726" t="s">
        <v>576</v>
      </c>
      <c r="B62" s="727"/>
      <c r="C62" s="12"/>
      <c r="D62" s="12"/>
      <c r="E62" s="12"/>
      <c r="F62" s="12"/>
      <c r="G62" s="13"/>
      <c r="H62" s="21"/>
      <c r="I62" s="21"/>
      <c r="J62" s="21"/>
      <c r="K62" s="21"/>
      <c r="L62" s="21"/>
      <c r="M62" s="21"/>
      <c r="N62" s="21"/>
      <c r="O62" s="21"/>
      <c r="P62" s="21"/>
      <c r="Q62" s="21"/>
      <c r="R62" s="21"/>
      <c r="S62" s="21"/>
    </row>
    <row r="63" spans="1:19">
      <c r="A63" s="1463"/>
      <c r="B63" s="1464"/>
      <c r="C63" s="1486"/>
      <c r="D63" s="1486"/>
      <c r="E63" s="1486"/>
      <c r="F63" s="1486"/>
      <c r="G63" s="1461"/>
      <c r="H63" s="1409"/>
      <c r="I63" s="1409"/>
      <c r="J63" s="1409"/>
      <c r="K63" s="1409"/>
      <c r="L63" s="1409"/>
      <c r="M63" s="1409"/>
      <c r="N63" s="1409"/>
      <c r="O63" s="1409"/>
      <c r="P63" s="1409"/>
      <c r="Q63" s="1409"/>
      <c r="R63" s="1409"/>
      <c r="S63" s="1409"/>
    </row>
    <row r="64" spans="1:19">
      <c r="A64" s="625"/>
      <c r="B64" s="1171"/>
      <c r="C64" s="1124"/>
      <c r="D64" s="1124"/>
      <c r="E64" s="1124"/>
      <c r="F64" s="1124"/>
      <c r="G64" s="1133"/>
      <c r="H64" s="606"/>
      <c r="I64" s="606"/>
      <c r="J64" s="606"/>
      <c r="K64" s="606"/>
      <c r="L64" s="606"/>
      <c r="M64" s="606"/>
      <c r="N64" s="606"/>
      <c r="O64" s="606"/>
      <c r="P64" s="606"/>
      <c r="Q64" s="606"/>
      <c r="R64" s="606"/>
      <c r="S64" s="606"/>
    </row>
    <row r="65" spans="1:19">
      <c r="A65" s="625"/>
      <c r="B65" s="1171"/>
      <c r="C65" s="1124"/>
      <c r="D65" s="1124"/>
      <c r="E65" s="1124"/>
      <c r="F65" s="1124"/>
      <c r="G65" s="1133"/>
      <c r="H65" s="606"/>
      <c r="I65" s="606"/>
      <c r="J65" s="606"/>
      <c r="K65" s="606"/>
      <c r="L65" s="606"/>
      <c r="M65" s="606"/>
      <c r="N65" s="606"/>
      <c r="O65" s="606"/>
      <c r="P65" s="606"/>
      <c r="Q65" s="606"/>
      <c r="R65" s="606"/>
      <c r="S65" s="606"/>
    </row>
    <row r="66" spans="1:19">
      <c r="A66" s="726" t="s">
        <v>577</v>
      </c>
      <c r="B66" s="727"/>
      <c r="C66" s="12"/>
      <c r="D66" s="12"/>
      <c r="E66" s="12"/>
      <c r="F66" s="12"/>
      <c r="G66" s="13"/>
      <c r="H66" s="21"/>
      <c r="I66" s="21"/>
      <c r="J66" s="21"/>
      <c r="K66" s="21"/>
      <c r="L66" s="21"/>
      <c r="M66" s="21"/>
      <c r="N66" s="21"/>
      <c r="O66" s="21"/>
      <c r="P66" s="1465"/>
      <c r="Q66" s="1465"/>
      <c r="R66" s="1465"/>
      <c r="S66" s="1465"/>
    </row>
    <row r="67" spans="1:19">
      <c r="A67" s="628"/>
      <c r="B67" s="862" t="s">
        <v>578</v>
      </c>
      <c r="C67" s="1124"/>
      <c r="D67" s="1124"/>
      <c r="E67" s="1124"/>
      <c r="F67" s="1124"/>
      <c r="G67" s="1133"/>
      <c r="H67" s="606"/>
      <c r="I67" s="606"/>
      <c r="J67" s="606"/>
      <c r="K67" s="606"/>
      <c r="L67" s="606"/>
      <c r="M67" s="606"/>
      <c r="N67" s="606"/>
      <c r="O67" s="606"/>
      <c r="P67" s="606"/>
      <c r="Q67" s="606"/>
      <c r="R67" s="606"/>
      <c r="S67" s="606"/>
    </row>
    <row r="68" spans="1:19">
      <c r="A68" s="628"/>
      <c r="B68" s="862" t="s">
        <v>579</v>
      </c>
      <c r="C68" s="1124"/>
      <c r="D68" s="1124"/>
      <c r="E68" s="1124"/>
      <c r="F68" s="1124"/>
      <c r="G68" s="1133"/>
      <c r="H68" s="606"/>
      <c r="I68" s="606"/>
      <c r="J68" s="606"/>
      <c r="K68" s="606"/>
      <c r="L68" s="606"/>
      <c r="M68" s="606"/>
      <c r="N68" s="606"/>
      <c r="O68" s="606"/>
      <c r="P68" s="606"/>
      <c r="Q68" s="606"/>
      <c r="R68" s="606"/>
      <c r="S68" s="606"/>
    </row>
    <row r="69" spans="1:19">
      <c r="A69" s="628"/>
      <c r="B69" s="862" t="s">
        <v>580</v>
      </c>
      <c r="C69" s="1124"/>
      <c r="D69" s="1124"/>
      <c r="E69" s="1124"/>
      <c r="F69" s="1124"/>
      <c r="G69" s="1133"/>
      <c r="H69" s="606"/>
      <c r="I69" s="606"/>
      <c r="J69" s="606"/>
      <c r="K69" s="606"/>
      <c r="L69" s="606"/>
      <c r="M69" s="606"/>
      <c r="N69" s="606"/>
      <c r="O69" s="606"/>
      <c r="P69" s="606"/>
      <c r="Q69" s="606"/>
      <c r="R69" s="606"/>
      <c r="S69" s="606"/>
    </row>
    <row r="70" spans="1:19">
      <c r="A70" s="628"/>
      <c r="B70" s="862" t="s">
        <v>581</v>
      </c>
      <c r="C70" s="1124"/>
      <c r="D70" s="1124"/>
      <c r="E70" s="1124"/>
      <c r="F70" s="1124"/>
      <c r="G70" s="1133"/>
      <c r="H70" s="606"/>
      <c r="I70" s="606"/>
      <c r="J70" s="606"/>
      <c r="K70" s="606"/>
      <c r="L70" s="606"/>
      <c r="M70" s="606"/>
      <c r="N70" s="606"/>
      <c r="O70" s="606"/>
      <c r="P70" s="606"/>
      <c r="Q70" s="606"/>
      <c r="R70" s="606"/>
      <c r="S70" s="606"/>
    </row>
    <row r="71" spans="1:19">
      <c r="A71" s="416"/>
      <c r="B71" s="295"/>
      <c r="C71" s="184"/>
      <c r="D71" s="184"/>
      <c r="E71" s="184"/>
      <c r="F71" s="184"/>
      <c r="G71" s="296"/>
      <c r="H71" s="418"/>
      <c r="I71" s="418"/>
      <c r="J71" s="418"/>
      <c r="K71" s="418"/>
      <c r="L71" s="418"/>
      <c r="M71" s="418"/>
      <c r="N71" s="418"/>
      <c r="O71" s="418"/>
      <c r="P71" s="418"/>
      <c r="Q71" s="418"/>
      <c r="R71" s="418"/>
      <c r="S71" s="418"/>
    </row>
    <row r="72" spans="1:19">
      <c r="A72" s="7" t="s">
        <v>582</v>
      </c>
      <c r="B72" s="8"/>
      <c r="C72" s="12"/>
      <c r="D72" s="12"/>
      <c r="E72" s="12"/>
      <c r="F72" s="12"/>
      <c r="G72" s="13"/>
      <c r="H72" s="21"/>
      <c r="I72" s="21"/>
      <c r="J72" s="21"/>
      <c r="K72" s="21"/>
      <c r="L72" s="21"/>
      <c r="M72" s="21"/>
      <c r="N72" s="21"/>
      <c r="O72" s="21"/>
      <c r="P72" s="21"/>
      <c r="Q72" s="21"/>
      <c r="R72" s="21"/>
      <c r="S72" s="21"/>
    </row>
    <row r="73" spans="1:19">
      <c r="A73" s="1485"/>
      <c r="B73" s="1467" t="s">
        <v>583</v>
      </c>
      <c r="C73" s="1486"/>
      <c r="D73" s="1486"/>
      <c r="E73" s="1486"/>
      <c r="F73" s="1486"/>
      <c r="G73" s="1461"/>
      <c r="H73" s="1413"/>
      <c r="I73" s="1413"/>
      <c r="J73" s="1413"/>
      <c r="K73" s="1413"/>
      <c r="L73" s="1413"/>
      <c r="M73" s="1413"/>
      <c r="N73" s="1413"/>
      <c r="O73" s="1413"/>
      <c r="P73" s="1413"/>
      <c r="Q73" s="1413"/>
      <c r="R73" s="1413"/>
      <c r="S73" s="1413"/>
    </row>
    <row r="74" spans="1:19">
      <c r="A74" s="628"/>
      <c r="B74" s="862" t="s">
        <v>584</v>
      </c>
      <c r="C74" s="1124"/>
      <c r="D74" s="1124"/>
      <c r="E74" s="1124"/>
      <c r="F74" s="1124"/>
      <c r="G74" s="1133"/>
      <c r="H74" s="618"/>
      <c r="I74" s="618"/>
      <c r="J74" s="618"/>
      <c r="K74" s="618"/>
      <c r="L74" s="618"/>
      <c r="M74" s="618"/>
      <c r="N74" s="618"/>
      <c r="O74" s="618"/>
      <c r="P74" s="618"/>
      <c r="Q74" s="618"/>
      <c r="R74" s="618"/>
      <c r="S74" s="618"/>
    </row>
    <row r="75" spans="1:19">
      <c r="A75" s="607"/>
      <c r="B75" s="608" t="s">
        <v>585</v>
      </c>
      <c r="C75" s="609"/>
      <c r="D75" s="609"/>
      <c r="E75" s="609"/>
      <c r="F75" s="609"/>
      <c r="G75" s="610"/>
      <c r="H75" s="611"/>
      <c r="I75" s="611"/>
      <c r="J75" s="611"/>
      <c r="K75" s="611"/>
      <c r="L75" s="611"/>
      <c r="M75" s="611"/>
      <c r="N75" s="611"/>
      <c r="O75" s="611"/>
      <c r="P75" s="611"/>
      <c r="Q75" s="611"/>
      <c r="R75" s="611"/>
      <c r="S75" s="611"/>
    </row>
    <row r="77" spans="1:19">
      <c r="A77" s="92" t="s">
        <v>586</v>
      </c>
      <c r="B77" s="94"/>
    </row>
    <row r="78" spans="1:19">
      <c r="A78" s="93" t="s">
        <v>487</v>
      </c>
      <c r="B78" s="612"/>
    </row>
    <row r="79" spans="1:19">
      <c r="A79" s="626" t="s">
        <v>491</v>
      </c>
      <c r="B79" s="612"/>
    </row>
    <row r="80" spans="1:19">
      <c r="A80" s="613" t="s">
        <v>494</v>
      </c>
      <c r="B80" s="614"/>
    </row>
    <row r="81" spans="1:2">
      <c r="A81" s="613" t="s">
        <v>497</v>
      </c>
      <c r="B81" s="622"/>
    </row>
    <row r="82" spans="1:2">
      <c r="A82" s="615" t="s">
        <v>587</v>
      </c>
      <c r="B82" s="616"/>
    </row>
    <row r="84" spans="1:2">
      <c r="A84" s="95"/>
      <c r="B84" s="1" t="s">
        <v>588</v>
      </c>
    </row>
    <row r="85" spans="1:2">
      <c r="A85" s="96"/>
      <c r="B85"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0:B50"/>
    <mergeCell ref="A54:B54"/>
    <mergeCell ref="A58:B58"/>
    <mergeCell ref="A62:B62"/>
    <mergeCell ref="A66:B66"/>
  </mergeCells>
  <conditionalFormatting sqref="H20:H30">
    <cfRule type="cellIs" dxfId="1705" priority="3" operator="equal">
      <formula>"X"</formula>
    </cfRule>
    <cfRule type="cellIs" dxfId="1704" priority="4" operator="equal">
      <formula>"I"</formula>
    </cfRule>
  </conditionalFormatting>
  <conditionalFormatting sqref="H32:H41">
    <cfRule type="cellIs" dxfId="1703" priority="1" operator="equal">
      <formula>"X"</formula>
    </cfRule>
    <cfRule type="cellIs" dxfId="1702" priority="2" operator="equal">
      <formula>"I"</formula>
    </cfRule>
  </conditionalFormatting>
  <conditionalFormatting sqref="J20:J30">
    <cfRule type="cellIs" dxfId="1701" priority="7" operator="equal">
      <formula>"X"</formula>
    </cfRule>
    <cfRule type="cellIs" dxfId="1700" priority="8" operator="equal">
      <formula>"I"</formula>
    </cfRule>
  </conditionalFormatting>
  <conditionalFormatting sqref="J32:J41">
    <cfRule type="cellIs" dxfId="1699" priority="5" operator="equal">
      <formula>"X"</formula>
    </cfRule>
    <cfRule type="cellIs" dxfId="1698" priority="6" operator="equal">
      <formula>"I"</formula>
    </cfRule>
  </conditionalFormatting>
  <conditionalFormatting sqref="L20:L30">
    <cfRule type="cellIs" dxfId="1697" priority="11" operator="equal">
      <formula>"X"</formula>
    </cfRule>
    <cfRule type="cellIs" dxfId="1696" priority="12" operator="equal">
      <formula>"I"</formula>
    </cfRule>
  </conditionalFormatting>
  <conditionalFormatting sqref="L32:L41">
    <cfRule type="cellIs" dxfId="1695" priority="9" operator="equal">
      <formula>"X"</formula>
    </cfRule>
    <cfRule type="cellIs" dxfId="1694" priority="10" operator="equal">
      <formula>"I"</formula>
    </cfRule>
  </conditionalFormatting>
  <conditionalFormatting sqref="N20:N30">
    <cfRule type="cellIs" dxfId="1693" priority="15" operator="equal">
      <formula>"X"</formula>
    </cfRule>
    <cfRule type="cellIs" dxfId="1692" priority="16" operator="equal">
      <formula>"I"</formula>
    </cfRule>
  </conditionalFormatting>
  <conditionalFormatting sqref="N32:N41">
    <cfRule type="cellIs" dxfId="1691" priority="13" operator="equal">
      <formula>"X"</formula>
    </cfRule>
    <cfRule type="cellIs" dxfId="1690" priority="14" operator="equal">
      <formula>"I"</formula>
    </cfRule>
  </conditionalFormatting>
  <conditionalFormatting sqref="P20:P30">
    <cfRule type="cellIs" dxfId="1689" priority="19" operator="equal">
      <formula>"X"</formula>
    </cfRule>
    <cfRule type="cellIs" dxfId="1688" priority="20" operator="equal">
      <formula>"I"</formula>
    </cfRule>
  </conditionalFormatting>
  <conditionalFormatting sqref="P32:P41">
    <cfRule type="cellIs" dxfId="1687" priority="17" operator="equal">
      <formula>"X"</formula>
    </cfRule>
    <cfRule type="cellIs" dxfId="1686" priority="18" operator="equal">
      <formula>"I"</formula>
    </cfRule>
  </conditionalFormatting>
  <conditionalFormatting sqref="R20:R30">
    <cfRule type="cellIs" dxfId="1685" priority="23" operator="equal">
      <formula>"X"</formula>
    </cfRule>
    <cfRule type="cellIs" dxfId="1684" priority="24" operator="equal">
      <formula>"I"</formula>
    </cfRule>
  </conditionalFormatting>
  <conditionalFormatting sqref="R32:R41">
    <cfRule type="cellIs" dxfId="1683" priority="21" operator="equal">
      <formula>"X"</formula>
    </cfRule>
    <cfRule type="cellIs" dxfId="1682" priority="22" operator="equal">
      <formula>"I"</formula>
    </cfRule>
  </conditionalFormatting>
  <hyperlinks>
    <hyperlink ref="B3" location="'Cost Summary'!A1" display="BACK TO SUMMARY SHEET" xr:uid="{282CA93C-C9EA-442C-B76C-33596225F58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F892-E0D9-449E-9AD4-6E287B15F442}">
  <sheetPr>
    <tabColor rgb="FF92D050"/>
  </sheetPr>
  <dimension ref="A1:S89"/>
  <sheetViews>
    <sheetView zoomScale="85" zoomScaleNormal="8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50"/>
      <c r="I2" s="750"/>
      <c r="J2" s="732"/>
      <c r="K2" s="732"/>
      <c r="L2" s="732"/>
      <c r="M2" s="732"/>
      <c r="N2" s="732"/>
      <c r="O2" s="732"/>
      <c r="P2" s="732"/>
      <c r="Q2" s="732"/>
      <c r="R2" s="732"/>
      <c r="S2" s="732"/>
    </row>
    <row r="3" spans="1:19" ht="21" thickBot="1">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749</v>
      </c>
      <c r="C5" s="1124"/>
      <c r="D5" s="1124"/>
      <c r="E5" s="1124"/>
      <c r="F5" s="1124"/>
      <c r="G5" s="1125" t="s">
        <v>491</v>
      </c>
      <c r="H5" s="778"/>
      <c r="I5" s="1126"/>
      <c r="J5" s="778"/>
      <c r="K5" s="1126"/>
      <c r="L5" s="778"/>
      <c r="M5" s="1126"/>
      <c r="N5" s="778"/>
      <c r="O5" s="1126"/>
      <c r="P5" s="778"/>
      <c r="Q5" s="1126"/>
      <c r="R5" s="778"/>
      <c r="S5" s="1126"/>
    </row>
    <row r="6" spans="1:19">
      <c r="A6" s="627" t="s">
        <v>493</v>
      </c>
      <c r="B6" s="1127" t="s">
        <v>750</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I50</f>
        <v>0</v>
      </c>
      <c r="I8" s="775"/>
      <c r="J8" s="774">
        <f>K50</f>
        <v>0</v>
      </c>
      <c r="K8" s="775"/>
      <c r="L8" s="774">
        <f>M50</f>
        <v>0</v>
      </c>
      <c r="M8" s="775"/>
      <c r="N8" s="774">
        <f>O50</f>
        <v>0</v>
      </c>
      <c r="O8" s="775"/>
      <c r="P8" s="774">
        <f>Q50</f>
        <v>0</v>
      </c>
      <c r="Q8" s="775"/>
      <c r="R8" s="774">
        <f>S50</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469"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thickTop="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thickTop="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383"/>
      <c r="B21" s="1136" t="s">
        <v>749</v>
      </c>
      <c r="C21" s="1134"/>
      <c r="D21" s="1124"/>
      <c r="E21" s="1124"/>
      <c r="F21" s="1124"/>
      <c r="G21" s="1133"/>
      <c r="H21" s="590"/>
      <c r="I21" s="1470"/>
      <c r="J21" s="590"/>
      <c r="K21" s="1470"/>
      <c r="L21" s="590"/>
      <c r="M21" s="1470"/>
      <c r="N21" s="590"/>
      <c r="O21" s="1470"/>
      <c r="P21" s="590"/>
      <c r="Q21" s="1470"/>
      <c r="R21" s="590"/>
      <c r="S21" s="1470"/>
    </row>
    <row r="22" spans="1:19" ht="16.5" thickBot="1">
      <c r="A22" s="1487"/>
      <c r="B22" s="374" t="s">
        <v>512</v>
      </c>
      <c r="C22" s="1134"/>
      <c r="D22" s="1124"/>
      <c r="E22" s="1124"/>
      <c r="F22" s="1124"/>
      <c r="G22" s="1133"/>
      <c r="H22" s="590"/>
      <c r="I22" s="1472"/>
      <c r="J22" s="590"/>
      <c r="K22" s="1470"/>
      <c r="L22" s="590"/>
      <c r="M22" s="1470"/>
      <c r="N22" s="590"/>
      <c r="O22" s="1470"/>
      <c r="P22" s="590"/>
      <c r="Q22" s="1470"/>
      <c r="R22" s="590"/>
      <c r="S22" s="1470"/>
    </row>
    <row r="23" spans="1:19" ht="15.75" customHeight="1">
      <c r="A23" s="1383"/>
      <c r="B23" s="1422" t="s">
        <v>513</v>
      </c>
      <c r="C23" s="1134"/>
      <c r="D23" s="1124"/>
      <c r="E23" s="1124"/>
      <c r="F23" s="1124"/>
      <c r="G23" s="1133"/>
      <c r="H23" s="590"/>
      <c r="I23" s="1470"/>
      <c r="J23" s="590"/>
      <c r="K23" s="1470"/>
      <c r="L23" s="590"/>
      <c r="M23" s="1470"/>
      <c r="N23" s="590"/>
      <c r="O23" s="1470"/>
      <c r="P23" s="590"/>
      <c r="Q23" s="1470"/>
      <c r="R23" s="590"/>
      <c r="S23" s="1470"/>
    </row>
    <row r="24" spans="1:19">
      <c r="A24" s="1383"/>
      <c r="B24" s="1488" t="s">
        <v>514</v>
      </c>
      <c r="C24" s="1134"/>
      <c r="D24" s="1124"/>
      <c r="E24" s="1124"/>
      <c r="F24" s="1124"/>
      <c r="G24" s="1133"/>
      <c r="H24" s="590"/>
      <c r="I24" s="1489"/>
      <c r="J24" s="590"/>
      <c r="K24" s="1489"/>
      <c r="L24" s="590"/>
      <c r="M24" s="1489"/>
      <c r="N24" s="590"/>
      <c r="O24" s="1489"/>
      <c r="P24" s="590"/>
      <c r="Q24" s="1489"/>
      <c r="R24" s="590"/>
      <c r="S24" s="1489"/>
    </row>
    <row r="25" spans="1:19" ht="15.75" customHeight="1">
      <c r="A25" s="1383"/>
      <c r="B25" s="1490" t="s">
        <v>515</v>
      </c>
      <c r="C25" s="1134"/>
      <c r="D25" s="1124"/>
      <c r="E25" s="1124"/>
      <c r="F25" s="1124"/>
      <c r="G25" s="1133"/>
      <c r="H25" s="590"/>
      <c r="I25" s="1489"/>
      <c r="J25" s="590"/>
      <c r="K25" s="1489"/>
      <c r="L25" s="590"/>
      <c r="M25" s="1489"/>
      <c r="N25" s="590"/>
      <c r="O25" s="1489"/>
      <c r="P25" s="590"/>
      <c r="Q25" s="1489"/>
      <c r="R25" s="590"/>
      <c r="S25" s="1489"/>
    </row>
    <row r="26" spans="1:19">
      <c r="A26" s="1383"/>
      <c r="B26" s="1490" t="s">
        <v>516</v>
      </c>
      <c r="C26" s="1228"/>
      <c r="D26" s="1426"/>
      <c r="E26" s="1124"/>
      <c r="F26" s="1124"/>
      <c r="G26" s="1133"/>
      <c r="H26" s="590"/>
      <c r="I26" s="1489"/>
      <c r="J26" s="590"/>
      <c r="K26" s="1470"/>
      <c r="L26" s="590"/>
      <c r="M26" s="618"/>
      <c r="N26" s="590"/>
      <c r="O26" s="1470"/>
      <c r="P26" s="590"/>
      <c r="Q26" s="618"/>
      <c r="R26" s="590"/>
      <c r="S26" s="1470"/>
    </row>
    <row r="27" spans="1:19">
      <c r="A27" s="1383"/>
      <c r="B27" s="1490" t="s">
        <v>517</v>
      </c>
      <c r="C27" s="1228"/>
      <c r="D27" s="1426"/>
      <c r="E27" s="1124"/>
      <c r="F27" s="1124"/>
      <c r="G27" s="1133"/>
      <c r="H27" s="590"/>
      <c r="I27" s="1489"/>
      <c r="J27" s="590"/>
      <c r="K27" s="1470"/>
      <c r="L27" s="590"/>
      <c r="M27" s="618"/>
      <c r="N27" s="590"/>
      <c r="O27" s="1470"/>
      <c r="P27" s="590"/>
      <c r="Q27" s="618"/>
      <c r="R27" s="590"/>
      <c r="S27" s="1470"/>
    </row>
    <row r="28" spans="1:19">
      <c r="A28" s="1383"/>
      <c r="B28" s="1490" t="s">
        <v>518</v>
      </c>
      <c r="C28" s="1228"/>
      <c r="D28" s="1426"/>
      <c r="E28" s="1124"/>
      <c r="F28" s="1124"/>
      <c r="G28" s="1133"/>
      <c r="H28" s="590"/>
      <c r="I28" s="1489"/>
      <c r="J28" s="590"/>
      <c r="K28" s="1470"/>
      <c r="L28" s="590"/>
      <c r="M28" s="618"/>
      <c r="N28" s="590"/>
      <c r="O28" s="1470"/>
      <c r="P28" s="590"/>
      <c r="Q28" s="618"/>
      <c r="R28" s="590"/>
      <c r="S28" s="1470"/>
    </row>
    <row r="29" spans="1:19">
      <c r="A29" s="1383"/>
      <c r="B29" s="1490" t="s">
        <v>693</v>
      </c>
      <c r="C29" s="1228"/>
      <c r="D29" s="1426"/>
      <c r="E29" s="1124"/>
      <c r="F29" s="1124"/>
      <c r="G29" s="1133"/>
      <c r="H29" s="590"/>
      <c r="I29" s="1489"/>
      <c r="J29" s="590"/>
      <c r="K29" s="1470"/>
      <c r="L29" s="590"/>
      <c r="M29" s="618"/>
      <c r="N29" s="590"/>
      <c r="O29" s="1470"/>
      <c r="P29" s="590"/>
      <c r="Q29" s="618"/>
      <c r="R29" s="590"/>
      <c r="S29" s="1470"/>
    </row>
    <row r="30" spans="1:19">
      <c r="A30" s="1383"/>
      <c r="B30" s="1491" t="s">
        <v>519</v>
      </c>
      <c r="C30" s="1228"/>
      <c r="D30" s="1426"/>
      <c r="E30" s="1124"/>
      <c r="F30" s="1124"/>
      <c r="G30" s="1133"/>
      <c r="H30" s="590"/>
      <c r="I30" s="1489"/>
      <c r="J30" s="590"/>
      <c r="K30" s="1470"/>
      <c r="L30" s="590"/>
      <c r="M30" s="618"/>
      <c r="N30" s="590"/>
      <c r="O30" s="1470"/>
      <c r="P30" s="590"/>
      <c r="Q30" s="618"/>
      <c r="R30" s="590"/>
      <c r="S30" s="1470"/>
    </row>
    <row r="31" spans="1:19">
      <c r="A31" s="1383"/>
      <c r="B31" s="1492" t="s">
        <v>520</v>
      </c>
      <c r="C31" s="1474"/>
      <c r="D31" s="1475"/>
      <c r="E31" s="1145"/>
      <c r="F31" s="1145"/>
      <c r="G31" s="1147"/>
      <c r="H31" s="619"/>
      <c r="I31" s="1493"/>
      <c r="J31" s="619"/>
      <c r="K31" s="1494"/>
      <c r="L31" s="619"/>
      <c r="M31" s="635"/>
      <c r="N31" s="619"/>
      <c r="O31" s="1494"/>
      <c r="P31" s="619"/>
      <c r="Q31" s="635"/>
      <c r="R31" s="619"/>
      <c r="S31" s="1494"/>
    </row>
    <row r="32" spans="1:19">
      <c r="A32" s="1383"/>
      <c r="B32" s="1495" t="s">
        <v>748</v>
      </c>
      <c r="C32" s="1228"/>
      <c r="D32" s="1426"/>
      <c r="E32" s="1124"/>
      <c r="F32" s="1124"/>
      <c r="G32" s="1133"/>
      <c r="H32" s="590"/>
      <c r="I32" s="1489"/>
      <c r="J32" s="590"/>
      <c r="K32" s="1470"/>
      <c r="L32" s="590"/>
      <c r="M32" s="618"/>
      <c r="N32" s="590"/>
      <c r="O32" s="1470"/>
      <c r="P32" s="590"/>
      <c r="Q32" s="618"/>
      <c r="R32" s="590"/>
      <c r="S32" s="1470"/>
    </row>
    <row r="33" spans="1:19">
      <c r="A33" s="1383"/>
      <c r="B33" s="1481"/>
      <c r="C33" s="1228"/>
      <c r="D33" s="1426"/>
      <c r="E33" s="1124"/>
      <c r="F33" s="1124"/>
      <c r="G33" s="1133"/>
      <c r="H33" s="590"/>
      <c r="I33" s="1489"/>
      <c r="J33" s="590"/>
      <c r="K33" s="1470"/>
      <c r="L33" s="590"/>
      <c r="M33" s="618"/>
      <c r="N33" s="590"/>
      <c r="O33" s="1470"/>
      <c r="P33" s="590"/>
      <c r="Q33" s="618"/>
      <c r="R33" s="590"/>
      <c r="S33" s="1470"/>
    </row>
    <row r="34" spans="1:19">
      <c r="A34" s="1383"/>
      <c r="B34" s="1481"/>
      <c r="C34" s="1228"/>
      <c r="D34" s="1426"/>
      <c r="E34" s="1124"/>
      <c r="F34" s="1124"/>
      <c r="G34" s="1133"/>
      <c r="H34" s="590"/>
      <c r="I34" s="1489"/>
      <c r="J34" s="590"/>
      <c r="K34" s="1470"/>
      <c r="L34" s="590"/>
      <c r="M34" s="618"/>
      <c r="N34" s="590"/>
      <c r="O34" s="1470"/>
      <c r="P34" s="590"/>
      <c r="Q34" s="618"/>
      <c r="R34" s="590"/>
      <c r="S34" s="1470"/>
    </row>
    <row r="35" spans="1:19">
      <c r="A35" s="1383"/>
      <c r="B35" s="1481"/>
      <c r="C35" s="1228"/>
      <c r="D35" s="1426"/>
      <c r="E35" s="1124"/>
      <c r="F35" s="1124"/>
      <c r="G35" s="1133"/>
      <c r="H35" s="590"/>
      <c r="I35" s="1489"/>
      <c r="J35" s="590"/>
      <c r="K35" s="1470"/>
      <c r="L35" s="590"/>
      <c r="M35" s="618"/>
      <c r="N35" s="590"/>
      <c r="O35" s="1470"/>
      <c r="P35" s="590"/>
      <c r="Q35" s="618"/>
      <c r="R35" s="590"/>
      <c r="S35" s="1470"/>
    </row>
    <row r="36" spans="1:19">
      <c r="A36" s="1383"/>
      <c r="B36" s="1481"/>
      <c r="C36" s="1228"/>
      <c r="D36" s="1426"/>
      <c r="E36" s="1124"/>
      <c r="F36" s="1124"/>
      <c r="G36" s="1133"/>
      <c r="H36" s="590"/>
      <c r="I36" s="1489"/>
      <c r="J36" s="590"/>
      <c r="K36" s="1470"/>
      <c r="L36" s="590"/>
      <c r="M36" s="618"/>
      <c r="N36" s="590"/>
      <c r="O36" s="1470"/>
      <c r="P36" s="590"/>
      <c r="Q36" s="618"/>
      <c r="R36" s="590"/>
      <c r="S36" s="1470"/>
    </row>
    <row r="37" spans="1:19">
      <c r="A37" s="1383"/>
      <c r="B37" s="1481"/>
      <c r="C37" s="1228"/>
      <c r="D37" s="1426"/>
      <c r="E37" s="1124"/>
      <c r="F37" s="1124"/>
      <c r="G37" s="1133"/>
      <c r="H37" s="590"/>
      <c r="I37" s="1489"/>
      <c r="J37" s="590"/>
      <c r="K37" s="1470"/>
      <c r="L37" s="590"/>
      <c r="M37" s="618"/>
      <c r="N37" s="590"/>
      <c r="O37" s="1470"/>
      <c r="P37" s="590"/>
      <c r="Q37" s="618"/>
      <c r="R37" s="590"/>
      <c r="S37" s="1470"/>
    </row>
    <row r="38" spans="1:19">
      <c r="A38" s="1383"/>
      <c r="B38" s="1481"/>
      <c r="C38" s="1228"/>
      <c r="D38" s="1426"/>
      <c r="E38" s="1124"/>
      <c r="F38" s="1124"/>
      <c r="G38" s="1133"/>
      <c r="H38" s="590" t="s">
        <v>710</v>
      </c>
      <c r="I38" s="1489"/>
      <c r="J38" s="590"/>
      <c r="K38" s="1470"/>
      <c r="L38" s="590"/>
      <c r="M38" s="618"/>
      <c r="N38" s="590"/>
      <c r="O38" s="1470"/>
      <c r="P38" s="590"/>
      <c r="Q38" s="618"/>
      <c r="R38" s="590"/>
      <c r="S38" s="1470"/>
    </row>
    <row r="39" spans="1:19">
      <c r="A39" s="1383"/>
      <c r="B39" s="1482"/>
      <c r="C39" s="1228"/>
      <c r="D39" s="1426"/>
      <c r="E39" s="1124"/>
      <c r="F39" s="1124"/>
      <c r="G39" s="1133"/>
      <c r="H39" s="590"/>
      <c r="I39" s="1489"/>
      <c r="J39" s="590"/>
      <c r="K39" s="1470"/>
      <c r="L39" s="590"/>
      <c r="M39" s="618"/>
      <c r="N39" s="590"/>
      <c r="O39" s="1470"/>
      <c r="P39" s="590"/>
      <c r="Q39" s="618"/>
      <c r="R39" s="590"/>
      <c r="S39" s="1470"/>
    </row>
    <row r="40" spans="1:19">
      <c r="A40" s="1383"/>
      <c r="B40" s="1483"/>
      <c r="C40" s="1228"/>
      <c r="D40" s="1426"/>
      <c r="E40" s="1124"/>
      <c r="F40" s="1124"/>
      <c r="G40" s="1133"/>
      <c r="H40" s="590"/>
      <c r="I40" s="1489"/>
      <c r="J40" s="590"/>
      <c r="K40" s="1470"/>
      <c r="L40" s="590"/>
      <c r="M40" s="618"/>
      <c r="N40" s="590"/>
      <c r="O40" s="1470"/>
      <c r="P40" s="590"/>
      <c r="Q40" s="618"/>
      <c r="R40" s="590"/>
      <c r="S40" s="1470"/>
    </row>
    <row r="41" spans="1:19">
      <c r="A41" s="1383"/>
      <c r="B41" s="1483"/>
      <c r="C41" s="1228"/>
      <c r="D41" s="1426"/>
      <c r="E41" s="1124"/>
      <c r="F41" s="1124"/>
      <c r="G41" s="1133"/>
      <c r="H41" s="590"/>
      <c r="I41" s="1489"/>
      <c r="J41" s="590"/>
      <c r="K41" s="1470"/>
      <c r="L41" s="590"/>
      <c r="M41" s="618"/>
      <c r="N41" s="590"/>
      <c r="O41" s="1470"/>
      <c r="P41" s="590"/>
      <c r="Q41" s="618"/>
      <c r="R41" s="590"/>
      <c r="S41" s="1470"/>
    </row>
    <row r="42" spans="1:19">
      <c r="A42" s="1383"/>
      <c r="B42" s="1483"/>
      <c r="C42" s="1228"/>
      <c r="D42" s="1426"/>
      <c r="E42" s="1124"/>
      <c r="F42" s="1124"/>
      <c r="G42" s="1133"/>
      <c r="H42" s="590"/>
      <c r="I42" s="1489"/>
      <c r="J42" s="590"/>
      <c r="K42" s="1470"/>
      <c r="L42" s="590"/>
      <c r="M42" s="618"/>
      <c r="N42" s="590"/>
      <c r="O42" s="1470"/>
      <c r="P42" s="590"/>
      <c r="Q42" s="618"/>
      <c r="R42" s="590"/>
      <c r="S42" s="1470"/>
    </row>
    <row r="43" spans="1:19">
      <c r="A43" s="1383"/>
      <c r="B43" s="1483"/>
      <c r="C43" s="1228"/>
      <c r="D43" s="1426"/>
      <c r="E43" s="1124"/>
      <c r="F43" s="1124"/>
      <c r="G43" s="1133"/>
      <c r="H43" s="590"/>
      <c r="I43" s="1489"/>
      <c r="J43" s="590"/>
      <c r="K43" s="1470"/>
      <c r="L43" s="590"/>
      <c r="M43" s="618"/>
      <c r="N43" s="590"/>
      <c r="O43" s="1470"/>
      <c r="P43" s="590"/>
      <c r="Q43" s="618"/>
      <c r="R43" s="590"/>
      <c r="S43" s="1470"/>
    </row>
    <row r="44" spans="1:19">
      <c r="A44" s="1383"/>
      <c r="B44" s="1483"/>
      <c r="C44" s="1228"/>
      <c r="D44" s="1426"/>
      <c r="E44" s="1124"/>
      <c r="F44" s="1124"/>
      <c r="G44" s="1133"/>
      <c r="H44" s="590"/>
      <c r="I44" s="1489"/>
      <c r="J44" s="590"/>
      <c r="K44" s="1470"/>
      <c r="L44" s="590"/>
      <c r="M44" s="629"/>
      <c r="N44" s="590"/>
      <c r="O44" s="1470"/>
      <c r="P44" s="590"/>
      <c r="Q44" s="629"/>
      <c r="R44" s="590"/>
      <c r="S44" s="1470"/>
    </row>
    <row r="45" spans="1:19" ht="15.75" thickBot="1">
      <c r="A45" s="1450"/>
      <c r="B45" s="425"/>
      <c r="C45" s="1451"/>
      <c r="D45" s="1452"/>
      <c r="E45" s="1452"/>
      <c r="F45" s="1452"/>
      <c r="G45" s="1451"/>
      <c r="H45" s="590"/>
      <c r="I45" s="1453"/>
      <c r="J45" s="590"/>
      <c r="K45" s="1453"/>
      <c r="L45" s="590"/>
      <c r="M45" s="1496"/>
      <c r="N45" s="590"/>
      <c r="O45" s="1453"/>
      <c r="P45" s="590"/>
      <c r="Q45" s="1496"/>
      <c r="R45" s="590"/>
      <c r="S45" s="1453"/>
    </row>
    <row r="46" spans="1:19" ht="15.75" thickTop="1">
      <c r="A46" s="14"/>
      <c r="B46" s="15"/>
      <c r="C46" s="16"/>
      <c r="D46" s="16"/>
      <c r="E46" s="17"/>
      <c r="F46" s="18" t="s">
        <v>567</v>
      </c>
      <c r="G46" s="19"/>
      <c r="H46" s="20"/>
      <c r="I46" s="61">
        <f>SUM(I24:I45)</f>
        <v>0</v>
      </c>
      <c r="J46" s="20"/>
      <c r="K46" s="61">
        <f>SUM(K24:K45)</f>
        <v>0</v>
      </c>
      <c r="L46" s="20"/>
      <c r="M46" s="61">
        <f>SUM(M24:M45)</f>
        <v>0</v>
      </c>
      <c r="N46" s="20"/>
      <c r="O46" s="61">
        <f>SUM(O24:O45)</f>
        <v>0</v>
      </c>
      <c r="P46" s="20"/>
      <c r="Q46" s="61">
        <f>SUM(Q24:Q45)</f>
        <v>0</v>
      </c>
      <c r="R46" s="20"/>
      <c r="S46" s="61">
        <f>SUM(S24:S45)</f>
        <v>0</v>
      </c>
    </row>
    <row r="47" spans="1:19">
      <c r="A47" s="624"/>
      <c r="B47" s="1156"/>
      <c r="C47" s="1157"/>
      <c r="D47" s="1157"/>
      <c r="E47" s="1158"/>
      <c r="F47" s="1159" t="s">
        <v>568</v>
      </c>
      <c r="G47" s="1160"/>
      <c r="H47" s="593">
        <v>0</v>
      </c>
      <c r="I47" s="592"/>
      <c r="J47" s="593">
        <v>0</v>
      </c>
      <c r="K47" s="592"/>
      <c r="L47" s="591">
        <v>0</v>
      </c>
      <c r="M47" s="592"/>
      <c r="N47" s="593">
        <v>0</v>
      </c>
      <c r="O47" s="592"/>
      <c r="P47" s="591">
        <v>0</v>
      </c>
      <c r="Q47" s="592"/>
      <c r="R47" s="593">
        <v>0</v>
      </c>
      <c r="S47" s="592"/>
    </row>
    <row r="48" spans="1:19">
      <c r="A48" s="624"/>
      <c r="B48" s="1156"/>
      <c r="C48" s="1157"/>
      <c r="D48" s="1157"/>
      <c r="E48" s="1158"/>
      <c r="F48" s="1159" t="s">
        <v>569</v>
      </c>
      <c r="G48" s="1160"/>
      <c r="H48" s="594"/>
      <c r="I48" s="595">
        <f>H47*I46</f>
        <v>0</v>
      </c>
      <c r="J48" s="594"/>
      <c r="K48" s="595">
        <f>J47*K46</f>
        <v>0</v>
      </c>
      <c r="L48" s="594"/>
      <c r="M48" s="595">
        <f>L47*M46</f>
        <v>0</v>
      </c>
      <c r="N48" s="594"/>
      <c r="O48" s="595">
        <f>N47*O46</f>
        <v>0</v>
      </c>
      <c r="P48" s="594"/>
      <c r="Q48" s="595">
        <f>P47*Q46</f>
        <v>0</v>
      </c>
      <c r="R48" s="594"/>
      <c r="S48" s="595">
        <f>R47*S46</f>
        <v>0</v>
      </c>
    </row>
    <row r="49" spans="1:19">
      <c r="A49" s="624"/>
      <c r="B49" s="1156"/>
      <c r="C49" s="1157"/>
      <c r="D49" s="1157"/>
      <c r="E49" s="1158"/>
      <c r="F49" s="1159"/>
      <c r="G49" s="1160"/>
      <c r="H49" s="594"/>
      <c r="I49" s="596"/>
      <c r="J49" s="594"/>
      <c r="K49" s="596"/>
      <c r="L49" s="594"/>
      <c r="M49" s="596"/>
      <c r="N49" s="594"/>
      <c r="O49" s="596"/>
      <c r="P49" s="594"/>
      <c r="Q49" s="596"/>
      <c r="R49" s="594"/>
      <c r="S49" s="596"/>
    </row>
    <row r="50" spans="1:19">
      <c r="A50" s="624"/>
      <c r="B50" s="1156"/>
      <c r="C50" s="1157"/>
      <c r="D50" s="1157"/>
      <c r="E50" s="1158"/>
      <c r="F50" s="1159" t="s">
        <v>570</v>
      </c>
      <c r="G50" s="1160"/>
      <c r="H50" s="597"/>
      <c r="I50" s="598">
        <f>SUM(I46:I48)</f>
        <v>0</v>
      </c>
      <c r="J50" s="597"/>
      <c r="K50" s="598">
        <f>SUM(K46:K48)</f>
        <v>0</v>
      </c>
      <c r="L50" s="597"/>
      <c r="M50" s="598">
        <f>SUM(M46:M48)</f>
        <v>0</v>
      </c>
      <c r="N50" s="597"/>
      <c r="O50" s="598">
        <f>SUM(O46:O48)</f>
        <v>0</v>
      </c>
      <c r="P50" s="597"/>
      <c r="Q50" s="598">
        <f>SUM(Q46:Q48)</f>
        <v>0</v>
      </c>
      <c r="R50" s="597"/>
      <c r="S50" s="598">
        <f>SUM(S46:S48)</f>
        <v>0</v>
      </c>
    </row>
    <row r="51" spans="1:19">
      <c r="A51" s="624"/>
      <c r="B51" s="1156"/>
      <c r="C51" s="1157"/>
      <c r="D51" s="1157"/>
      <c r="E51" s="1158"/>
      <c r="F51" s="1161" t="s">
        <v>571</v>
      </c>
      <c r="G51" s="1162"/>
      <c r="H51" s="599"/>
      <c r="I51" s="600" t="e">
        <f>I50/'Area Calculations'!$J$4</f>
        <v>#DIV/0!</v>
      </c>
      <c r="J51" s="599"/>
      <c r="K51" s="600" t="e">
        <f>K50/'Area Calculations'!$J$4</f>
        <v>#DIV/0!</v>
      </c>
      <c r="L51" s="599"/>
      <c r="M51" s="600" t="e">
        <f>M50/'Area Calculations'!$J$4</f>
        <v>#DIV/0!</v>
      </c>
      <c r="N51" s="599"/>
      <c r="O51" s="600" t="e">
        <f>O50/'Area Calculations'!$J$4</f>
        <v>#DIV/0!</v>
      </c>
      <c r="P51" s="599"/>
      <c r="Q51" s="600" t="e">
        <f>Q50/'Area Calculations'!$J$4</f>
        <v>#DIV/0!</v>
      </c>
      <c r="R51" s="599"/>
      <c r="S51" s="600" t="e">
        <f>S50/'Area Calculations'!$J$4</f>
        <v>#DIV/0!</v>
      </c>
    </row>
    <row r="52" spans="1:19">
      <c r="A52" s="624"/>
      <c r="B52" s="1156"/>
      <c r="C52" s="1157"/>
      <c r="D52" s="1157"/>
      <c r="E52" s="1158"/>
      <c r="F52" s="1161" t="s">
        <v>572</v>
      </c>
      <c r="G52" s="1163"/>
      <c r="H52" s="599"/>
      <c r="I52" s="600" t="e">
        <f>I50/'Area Calculations'!#REF!</f>
        <v>#REF!</v>
      </c>
      <c r="J52" s="599"/>
      <c r="K52" s="600" t="e">
        <f>K50/'Area Calculations'!#REF!</f>
        <v>#REF!</v>
      </c>
      <c r="L52" s="599"/>
      <c r="M52" s="600" t="e">
        <f>M50/'Area Calculations'!#REF!</f>
        <v>#REF!</v>
      </c>
      <c r="N52" s="599"/>
      <c r="O52" s="600" t="e">
        <f>O50/'Area Calculations'!#REF!</f>
        <v>#REF!</v>
      </c>
      <c r="P52" s="599"/>
      <c r="Q52" s="600" t="e">
        <f>Q50/'Area Calculations'!#REF!</f>
        <v>#REF!</v>
      </c>
      <c r="R52" s="599"/>
      <c r="S52" s="600" t="e">
        <f>S50/'Area Calculations'!#REF!</f>
        <v>#REF!</v>
      </c>
    </row>
    <row r="53" spans="1:19" ht="15.75" thickBot="1">
      <c r="A53" s="176"/>
      <c r="B53" s="177"/>
      <c r="C53" s="178"/>
      <c r="D53" s="178"/>
      <c r="E53" s="179"/>
      <c r="F53" s="180"/>
      <c r="G53" s="249"/>
      <c r="H53" s="183"/>
      <c r="I53" s="182"/>
      <c r="J53" s="183"/>
      <c r="K53" s="182"/>
      <c r="L53" s="183"/>
      <c r="M53" s="182"/>
      <c r="N53" s="183"/>
      <c r="O53" s="182"/>
      <c r="P53" s="183"/>
      <c r="Q53" s="182"/>
      <c r="R53" s="183"/>
      <c r="S53" s="182"/>
    </row>
    <row r="54" spans="1:19" ht="16.5" thickTop="1" thickBot="1">
      <c r="A54" s="726" t="s">
        <v>573</v>
      </c>
      <c r="B54" s="727"/>
      <c r="C54" s="12"/>
      <c r="D54" s="12"/>
      <c r="E54" s="12"/>
      <c r="F54" s="12"/>
      <c r="G54" s="13"/>
      <c r="H54" s="21"/>
      <c r="I54" s="21"/>
      <c r="J54" s="21"/>
      <c r="K54" s="21"/>
      <c r="L54" s="21"/>
      <c r="M54" s="21"/>
      <c r="N54" s="21"/>
      <c r="O54" s="21"/>
      <c r="P54" s="21"/>
      <c r="Q54" s="21"/>
      <c r="R54" s="21"/>
      <c r="S54" s="21"/>
    </row>
    <row r="55" spans="1:19" ht="15.75" thickTop="1">
      <c r="A55" s="1497"/>
      <c r="B55" s="862"/>
      <c r="C55" s="1498"/>
      <c r="D55" s="1498"/>
      <c r="E55" s="1498"/>
      <c r="F55" s="1498"/>
      <c r="G55" s="1499"/>
      <c r="H55" s="1500"/>
      <c r="I55" s="1500"/>
      <c r="J55" s="1500"/>
      <c r="K55" s="1500"/>
      <c r="L55" s="1500"/>
      <c r="M55" s="1500"/>
      <c r="N55" s="1500"/>
      <c r="O55" s="1500"/>
      <c r="P55" s="1500"/>
      <c r="Q55" s="1500"/>
      <c r="R55" s="1500"/>
      <c r="S55" s="1500"/>
    </row>
    <row r="56" spans="1:19">
      <c r="A56" s="1497"/>
      <c r="B56" s="862"/>
      <c r="C56" s="1498"/>
      <c r="D56" s="1498"/>
      <c r="E56" s="1498"/>
      <c r="F56" s="1498"/>
      <c r="G56" s="1499"/>
      <c r="H56" s="1500"/>
      <c r="I56" s="1500"/>
      <c r="J56" s="1500"/>
      <c r="K56" s="1500"/>
      <c r="L56" s="1500"/>
      <c r="M56" s="1500"/>
      <c r="N56" s="1500"/>
      <c r="O56" s="1500"/>
      <c r="P56" s="1500"/>
      <c r="Q56" s="1500"/>
      <c r="R56" s="1500"/>
      <c r="S56" s="1500"/>
    </row>
    <row r="57" spans="1:19" s="2" customFormat="1" ht="15.75" thickBot="1">
      <c r="A57" s="1497"/>
      <c r="B57" s="862"/>
      <c r="C57" s="1498"/>
      <c r="D57" s="1498"/>
      <c r="E57" s="1498"/>
      <c r="F57" s="1498"/>
      <c r="G57" s="1499"/>
      <c r="H57" s="1500"/>
      <c r="I57" s="1500"/>
      <c r="J57" s="1500"/>
      <c r="K57" s="1500"/>
      <c r="L57" s="1500"/>
      <c r="M57" s="1500"/>
      <c r="N57" s="1500"/>
      <c r="O57" s="1500"/>
      <c r="P57" s="1500"/>
      <c r="Q57" s="1500"/>
      <c r="R57" s="1500"/>
      <c r="S57" s="1500"/>
    </row>
    <row r="58" spans="1:19" ht="16.5" thickTop="1" thickBot="1">
      <c r="A58" s="726" t="s">
        <v>574</v>
      </c>
      <c r="B58" s="727"/>
      <c r="C58" s="12"/>
      <c r="D58" s="12"/>
      <c r="E58" s="12"/>
      <c r="F58" s="12"/>
      <c r="G58" s="13"/>
      <c r="H58" s="21"/>
      <c r="I58" s="21"/>
      <c r="J58" s="21"/>
      <c r="K58" s="21"/>
      <c r="L58" s="21"/>
      <c r="M58" s="21"/>
      <c r="N58" s="21"/>
      <c r="O58" s="21"/>
      <c r="P58" s="21"/>
      <c r="Q58" s="21"/>
      <c r="R58" s="21"/>
      <c r="S58" s="21"/>
    </row>
    <row r="59" spans="1:19" s="2" customFormat="1" ht="15.75" thickTop="1">
      <c r="A59" s="1497"/>
      <c r="B59" s="862"/>
      <c r="C59" s="1498"/>
      <c r="D59" s="1498"/>
      <c r="E59" s="1498"/>
      <c r="F59" s="1498"/>
      <c r="G59" s="1499"/>
      <c r="H59" s="1500"/>
      <c r="I59" s="1500"/>
      <c r="J59" s="1500"/>
      <c r="K59" s="1500"/>
      <c r="L59" s="1500"/>
      <c r="M59" s="1500"/>
      <c r="N59" s="1500"/>
      <c r="O59" s="1500"/>
      <c r="P59" s="1500"/>
      <c r="Q59" s="1500"/>
      <c r="R59" s="1500"/>
      <c r="S59" s="1500"/>
    </row>
    <row r="60" spans="1:19" s="2" customFormat="1">
      <c r="A60" s="1497"/>
      <c r="B60" s="862"/>
      <c r="C60" s="1498"/>
      <c r="D60" s="1498"/>
      <c r="E60" s="1498"/>
      <c r="F60" s="1498"/>
      <c r="G60" s="1499"/>
      <c r="H60" s="1500"/>
      <c r="I60" s="1500"/>
      <c r="J60" s="1500"/>
      <c r="K60" s="1500"/>
      <c r="L60" s="1500"/>
      <c r="M60" s="1500"/>
      <c r="N60" s="1500"/>
      <c r="O60" s="1500"/>
      <c r="P60" s="1500"/>
      <c r="Q60" s="1500"/>
      <c r="R60" s="1500"/>
      <c r="S60" s="1500"/>
    </row>
    <row r="61" spans="1:19" s="2" customFormat="1" ht="15.75" thickBot="1">
      <c r="A61" s="1497"/>
      <c r="B61" s="862"/>
      <c r="C61" s="1498"/>
      <c r="D61" s="1498"/>
      <c r="E61" s="1498"/>
      <c r="F61" s="1498"/>
      <c r="G61" s="1499"/>
      <c r="H61" s="1500"/>
      <c r="I61" s="1500"/>
      <c r="J61" s="1500"/>
      <c r="K61" s="1500"/>
      <c r="L61" s="1500"/>
      <c r="M61" s="1500"/>
      <c r="N61" s="1500"/>
      <c r="O61" s="1500"/>
      <c r="P61" s="1500"/>
      <c r="Q61" s="1500"/>
      <c r="R61" s="1500"/>
      <c r="S61" s="1500"/>
    </row>
    <row r="62" spans="1:19" ht="16.5" thickTop="1" thickBot="1">
      <c r="A62" s="726" t="s">
        <v>575</v>
      </c>
      <c r="B62" s="727"/>
      <c r="C62" s="12"/>
      <c r="D62" s="12"/>
      <c r="E62" s="12"/>
      <c r="F62" s="12"/>
      <c r="G62" s="13"/>
      <c r="H62" s="21"/>
      <c r="I62" s="21"/>
      <c r="J62" s="21"/>
      <c r="K62" s="21"/>
      <c r="L62" s="21"/>
      <c r="M62" s="21"/>
      <c r="N62" s="21"/>
      <c r="O62" s="21"/>
      <c r="P62" s="21"/>
      <c r="Q62" s="21"/>
      <c r="R62" s="21"/>
      <c r="S62" s="21"/>
    </row>
    <row r="63" spans="1:19" ht="15.75" thickTop="1">
      <c r="A63" s="1497"/>
      <c r="B63" s="862"/>
      <c r="C63" s="1498"/>
      <c r="D63" s="1498"/>
      <c r="E63" s="1498"/>
      <c r="F63" s="1498"/>
      <c r="G63" s="1499"/>
      <c r="H63" s="1500"/>
      <c r="I63" s="1500"/>
      <c r="J63" s="1500"/>
      <c r="K63" s="1500"/>
      <c r="L63" s="1500"/>
      <c r="M63" s="1500"/>
      <c r="N63" s="1500"/>
      <c r="O63" s="1500"/>
      <c r="P63" s="1500"/>
      <c r="Q63" s="1500"/>
      <c r="R63" s="1500"/>
      <c r="S63" s="1500"/>
    </row>
    <row r="64" spans="1:19">
      <c r="A64" s="628"/>
      <c r="B64" s="862"/>
      <c r="C64" s="1124"/>
      <c r="D64" s="1124"/>
      <c r="E64" s="1124"/>
      <c r="F64" s="1124"/>
      <c r="G64" s="1133"/>
      <c r="H64" s="604"/>
      <c r="I64" s="604"/>
      <c r="J64" s="604"/>
      <c r="K64" s="604"/>
      <c r="L64" s="604"/>
      <c r="M64" s="604"/>
      <c r="N64" s="604"/>
      <c r="O64" s="604"/>
      <c r="P64" s="604"/>
      <c r="Q64" s="604"/>
      <c r="R64" s="604"/>
      <c r="S64" s="604"/>
    </row>
    <row r="65" spans="1:19" ht="15.75" thickBot="1">
      <c r="A65" s="625"/>
      <c r="B65" s="1171"/>
      <c r="C65" s="1124"/>
      <c r="D65" s="1124"/>
      <c r="E65" s="1124"/>
      <c r="F65" s="1124"/>
      <c r="G65" s="1133"/>
      <c r="H65" s="605"/>
      <c r="I65" s="605"/>
      <c r="J65" s="605"/>
      <c r="K65" s="605"/>
      <c r="L65" s="605"/>
      <c r="M65" s="605"/>
      <c r="N65" s="605"/>
      <c r="O65" s="605"/>
      <c r="P65" s="605"/>
      <c r="Q65" s="605"/>
      <c r="R65" s="605"/>
      <c r="S65" s="605"/>
    </row>
    <row r="66" spans="1:19" ht="16.5" thickTop="1" thickBot="1">
      <c r="A66" s="726" t="s">
        <v>576</v>
      </c>
      <c r="B66" s="727"/>
      <c r="C66" s="12"/>
      <c r="D66" s="12"/>
      <c r="E66" s="12"/>
      <c r="F66" s="12"/>
      <c r="G66" s="13"/>
      <c r="H66" s="21"/>
      <c r="I66" s="21"/>
      <c r="J66" s="21"/>
      <c r="K66" s="21"/>
      <c r="L66" s="21"/>
      <c r="M66" s="21"/>
      <c r="N66" s="21"/>
      <c r="O66" s="21"/>
      <c r="P66" s="21"/>
      <c r="Q66" s="21"/>
      <c r="R66" s="21"/>
      <c r="S66" s="21"/>
    </row>
    <row r="67" spans="1:19" ht="15.75" thickTop="1">
      <c r="A67" s="1501"/>
      <c r="B67" s="1502"/>
      <c r="C67" s="1498"/>
      <c r="D67" s="1498"/>
      <c r="E67" s="1498"/>
      <c r="F67" s="1498"/>
      <c r="G67" s="1499"/>
      <c r="H67" s="1500"/>
      <c r="I67" s="1500"/>
      <c r="J67" s="1500"/>
      <c r="K67" s="1500"/>
      <c r="L67" s="1500"/>
      <c r="M67" s="1500"/>
      <c r="N67" s="1500"/>
      <c r="O67" s="1500"/>
      <c r="P67" s="1500"/>
      <c r="Q67" s="1500"/>
      <c r="R67" s="1500"/>
      <c r="S67" s="1500"/>
    </row>
    <row r="68" spans="1:19">
      <c r="A68" s="625"/>
      <c r="B68" s="1171"/>
      <c r="C68" s="1124"/>
      <c r="D68" s="1124"/>
      <c r="E68" s="1124"/>
      <c r="F68" s="1124"/>
      <c r="G68" s="1133"/>
      <c r="H68" s="606"/>
      <c r="I68" s="606"/>
      <c r="J68" s="606"/>
      <c r="K68" s="606"/>
      <c r="L68" s="606"/>
      <c r="M68" s="606"/>
      <c r="N68" s="606"/>
      <c r="O68" s="606"/>
      <c r="P68" s="606"/>
      <c r="Q68" s="606"/>
      <c r="R68" s="606"/>
      <c r="S68" s="606"/>
    </row>
    <row r="69" spans="1:19" ht="15.75" thickBot="1">
      <c r="A69" s="625"/>
      <c r="B69" s="1171"/>
      <c r="C69" s="1124"/>
      <c r="D69" s="1124"/>
      <c r="E69" s="1124"/>
      <c r="F69" s="1124"/>
      <c r="G69" s="1133"/>
      <c r="H69" s="606"/>
      <c r="I69" s="606"/>
      <c r="J69" s="606"/>
      <c r="K69" s="606"/>
      <c r="L69" s="606"/>
      <c r="M69" s="606"/>
      <c r="N69" s="606"/>
      <c r="O69" s="606"/>
      <c r="P69" s="606"/>
      <c r="Q69" s="606"/>
      <c r="R69" s="606"/>
      <c r="S69" s="606"/>
    </row>
    <row r="70" spans="1:19" ht="16.5" thickTop="1" thickBot="1">
      <c r="A70" s="726" t="s">
        <v>577</v>
      </c>
      <c r="B70" s="727"/>
      <c r="C70" s="12"/>
      <c r="D70" s="12"/>
      <c r="E70" s="12"/>
      <c r="F70" s="12"/>
      <c r="G70" s="13"/>
      <c r="H70" s="21"/>
      <c r="I70" s="21"/>
      <c r="J70" s="21"/>
      <c r="K70" s="21"/>
      <c r="L70" s="21"/>
      <c r="M70" s="21"/>
      <c r="N70" s="21"/>
      <c r="O70" s="21"/>
      <c r="P70" s="1465"/>
      <c r="Q70" s="1465"/>
      <c r="R70" s="1465"/>
      <c r="S70" s="1465"/>
    </row>
    <row r="71" spans="1:19" ht="15.75" thickTop="1">
      <c r="A71" s="628"/>
      <c r="B71" s="862" t="s">
        <v>578</v>
      </c>
      <c r="C71" s="1124"/>
      <c r="D71" s="1124"/>
      <c r="E71" s="1124"/>
      <c r="F71" s="1124"/>
      <c r="G71" s="1133"/>
      <c r="H71" s="606"/>
      <c r="I71" s="606"/>
      <c r="J71" s="606"/>
      <c r="K71" s="606"/>
      <c r="L71" s="606"/>
      <c r="M71" s="606"/>
      <c r="N71" s="606"/>
      <c r="O71" s="606"/>
      <c r="P71" s="606"/>
      <c r="Q71" s="606"/>
      <c r="R71" s="606"/>
      <c r="S71" s="606"/>
    </row>
    <row r="72" spans="1:19">
      <c r="A72" s="628"/>
      <c r="B72" s="862" t="s">
        <v>579</v>
      </c>
      <c r="C72" s="1124"/>
      <c r="D72" s="1124"/>
      <c r="E72" s="1124"/>
      <c r="F72" s="1124"/>
      <c r="G72" s="1133"/>
      <c r="H72" s="606"/>
      <c r="I72" s="606"/>
      <c r="J72" s="606"/>
      <c r="K72" s="606"/>
      <c r="L72" s="606"/>
      <c r="M72" s="606"/>
      <c r="N72" s="606"/>
      <c r="O72" s="606"/>
      <c r="P72" s="606"/>
      <c r="Q72" s="606"/>
      <c r="R72" s="606"/>
      <c r="S72" s="606"/>
    </row>
    <row r="73" spans="1:19">
      <c r="A73" s="628"/>
      <c r="B73" s="862" t="s">
        <v>580</v>
      </c>
      <c r="C73" s="1124"/>
      <c r="D73" s="1124"/>
      <c r="E73" s="1124"/>
      <c r="F73" s="1124"/>
      <c r="G73" s="1133"/>
      <c r="H73" s="606"/>
      <c r="I73" s="606"/>
      <c r="J73" s="606"/>
      <c r="K73" s="606"/>
      <c r="L73" s="606"/>
      <c r="M73" s="606"/>
      <c r="N73" s="606"/>
      <c r="O73" s="606"/>
      <c r="P73" s="606"/>
      <c r="Q73" s="606"/>
      <c r="R73" s="606"/>
      <c r="S73" s="606"/>
    </row>
    <row r="74" spans="1:19">
      <c r="A74" s="628"/>
      <c r="B74" s="862" t="s">
        <v>581</v>
      </c>
      <c r="C74" s="1124"/>
      <c r="D74" s="1124"/>
      <c r="E74" s="1124"/>
      <c r="F74" s="1124"/>
      <c r="G74" s="1133"/>
      <c r="H74" s="606"/>
      <c r="I74" s="606"/>
      <c r="J74" s="606"/>
      <c r="K74" s="606"/>
      <c r="L74" s="606"/>
      <c r="M74" s="606"/>
      <c r="N74" s="606"/>
      <c r="O74" s="606"/>
      <c r="P74" s="606"/>
      <c r="Q74" s="606"/>
      <c r="R74" s="606"/>
      <c r="S74" s="606"/>
    </row>
    <row r="75" spans="1:19" ht="15.75" thickBot="1">
      <c r="A75" s="416"/>
      <c r="B75" s="295"/>
      <c r="C75" s="184"/>
      <c r="D75" s="184"/>
      <c r="E75" s="184"/>
      <c r="F75" s="184"/>
      <c r="G75" s="296"/>
      <c r="H75" s="418"/>
      <c r="I75" s="418"/>
      <c r="J75" s="418"/>
      <c r="K75" s="418"/>
      <c r="L75" s="418"/>
      <c r="M75" s="418"/>
      <c r="N75" s="418"/>
      <c r="O75" s="418"/>
      <c r="P75" s="418"/>
      <c r="Q75" s="418"/>
      <c r="R75" s="418"/>
      <c r="S75" s="418"/>
    </row>
    <row r="76" spans="1:19" ht="16.5" thickTop="1" thickBot="1">
      <c r="A76" s="7" t="s">
        <v>582</v>
      </c>
      <c r="B76" s="8"/>
      <c r="C76" s="12"/>
      <c r="D76" s="12"/>
      <c r="E76" s="12"/>
      <c r="F76" s="12"/>
      <c r="G76" s="13"/>
      <c r="H76" s="21"/>
      <c r="I76" s="21"/>
      <c r="J76" s="21"/>
      <c r="K76" s="21"/>
      <c r="L76" s="21"/>
      <c r="M76" s="21"/>
      <c r="N76" s="21"/>
      <c r="O76" s="21"/>
      <c r="P76" s="21"/>
      <c r="Q76" s="21"/>
      <c r="R76" s="21"/>
      <c r="S76" s="21"/>
    </row>
    <row r="77" spans="1:19" ht="15.75" thickTop="1">
      <c r="A77" s="1497"/>
      <c r="B77" s="1503" t="s">
        <v>583</v>
      </c>
      <c r="C77" s="1498"/>
      <c r="D77" s="1498"/>
      <c r="E77" s="1498"/>
      <c r="F77" s="1498"/>
      <c r="G77" s="1499"/>
      <c r="H77" s="1504"/>
      <c r="I77" s="1504"/>
      <c r="J77" s="1504"/>
      <c r="K77" s="1504"/>
      <c r="L77" s="1504"/>
      <c r="M77" s="1504"/>
      <c r="N77" s="1504"/>
      <c r="O77" s="1504"/>
      <c r="P77" s="1504"/>
      <c r="Q77" s="1504"/>
      <c r="R77" s="1504"/>
      <c r="S77" s="1504"/>
    </row>
    <row r="78" spans="1:19">
      <c r="A78" s="628"/>
      <c r="B78" s="862" t="s">
        <v>584</v>
      </c>
      <c r="C78" s="1124"/>
      <c r="D78" s="1124"/>
      <c r="E78" s="1124"/>
      <c r="F78" s="1124"/>
      <c r="G78" s="1133"/>
      <c r="H78" s="618"/>
      <c r="I78" s="618"/>
      <c r="J78" s="618"/>
      <c r="K78" s="618"/>
      <c r="L78" s="618"/>
      <c r="M78" s="618"/>
      <c r="N78" s="618"/>
      <c r="O78" s="618"/>
      <c r="P78" s="618"/>
      <c r="Q78" s="618"/>
      <c r="R78" s="618"/>
      <c r="S78" s="618"/>
    </row>
    <row r="79" spans="1:19" ht="15.75" thickBot="1">
      <c r="A79" s="607"/>
      <c r="B79" s="608" t="s">
        <v>585</v>
      </c>
      <c r="C79" s="609"/>
      <c r="D79" s="609"/>
      <c r="E79" s="609"/>
      <c r="F79" s="609"/>
      <c r="G79" s="610"/>
      <c r="H79" s="611"/>
      <c r="I79" s="611"/>
      <c r="J79" s="611"/>
      <c r="K79" s="611"/>
      <c r="L79" s="611"/>
      <c r="M79" s="611"/>
      <c r="N79" s="611"/>
      <c r="O79" s="611"/>
      <c r="P79" s="611"/>
      <c r="Q79" s="611"/>
      <c r="R79" s="611"/>
      <c r="S79" s="611"/>
    </row>
    <row r="80" spans="1:19" ht="16.5" thickTop="1" thickBot="1"/>
    <row r="81" spans="1:2" ht="16.5" thickTop="1" thickBot="1">
      <c r="A81" s="92" t="s">
        <v>586</v>
      </c>
      <c r="B81" s="94"/>
    </row>
    <row r="82" spans="1:2" ht="16.5" thickTop="1" thickBot="1">
      <c r="A82" s="93" t="s">
        <v>487</v>
      </c>
      <c r="B82" s="94"/>
    </row>
    <row r="83" spans="1:2" ht="15.75" thickTop="1">
      <c r="A83" s="626" t="s">
        <v>491</v>
      </c>
      <c r="B83" s="612"/>
    </row>
    <row r="84" spans="1:2">
      <c r="A84" s="613" t="s">
        <v>494</v>
      </c>
      <c r="B84" s="614"/>
    </row>
    <row r="85" spans="1:2">
      <c r="A85" s="613" t="s">
        <v>497</v>
      </c>
      <c r="B85" s="622"/>
    </row>
    <row r="86" spans="1:2" ht="15.75" thickBot="1">
      <c r="A86" s="615" t="s">
        <v>587</v>
      </c>
      <c r="B86" s="616"/>
    </row>
    <row r="87" spans="1:2" ht="15.75" thickTop="1"/>
    <row r="88" spans="1:2">
      <c r="A88" s="95"/>
      <c r="B88" s="1" t="s">
        <v>588</v>
      </c>
    </row>
    <row r="89" spans="1:2">
      <c r="A89" s="96"/>
      <c r="B89" s="1" t="s">
        <v>589</v>
      </c>
    </row>
  </sheetData>
  <mergeCells count="47">
    <mergeCell ref="R7:S7"/>
    <mergeCell ref="P8:Q8"/>
    <mergeCell ref="R8:S8"/>
    <mergeCell ref="R2:S2"/>
    <mergeCell ref="P3:Q3"/>
    <mergeCell ref="R3:S3"/>
    <mergeCell ref="P4:Q4"/>
    <mergeCell ref="R4:S4"/>
    <mergeCell ref="P5:Q5"/>
    <mergeCell ref="R5:S5"/>
    <mergeCell ref="P6:Q6"/>
    <mergeCell ref="R6:S6"/>
    <mergeCell ref="P2:Q2"/>
    <mergeCell ref="P7:Q7"/>
    <mergeCell ref="H8:I8"/>
    <mergeCell ref="J8:K8"/>
    <mergeCell ref="L8:M8"/>
    <mergeCell ref="N8:O8"/>
    <mergeCell ref="H7:I7"/>
    <mergeCell ref="J7:K7"/>
    <mergeCell ref="L7:M7"/>
    <mergeCell ref="N7:O7"/>
    <mergeCell ref="H6:I6"/>
    <mergeCell ref="J6:K6"/>
    <mergeCell ref="L6:M6"/>
    <mergeCell ref="N6:O6"/>
    <mergeCell ref="H5:I5"/>
    <mergeCell ref="J5:K5"/>
    <mergeCell ref="L5:M5"/>
    <mergeCell ref="N5:O5"/>
    <mergeCell ref="N2:O2"/>
    <mergeCell ref="H4:I4"/>
    <mergeCell ref="J4:K4"/>
    <mergeCell ref="L4:M4"/>
    <mergeCell ref="N4:O4"/>
    <mergeCell ref="H3:I3"/>
    <mergeCell ref="J3:K3"/>
    <mergeCell ref="L3:M3"/>
    <mergeCell ref="N3:O3"/>
    <mergeCell ref="H2:I2"/>
    <mergeCell ref="J2:K2"/>
    <mergeCell ref="L2:M2"/>
    <mergeCell ref="A54:B54"/>
    <mergeCell ref="A58:B58"/>
    <mergeCell ref="A62:B62"/>
    <mergeCell ref="A66:B66"/>
    <mergeCell ref="A70:B70"/>
  </mergeCells>
  <conditionalFormatting sqref="H20:H30">
    <cfRule type="cellIs" dxfId="1681" priority="3" operator="equal">
      <formula>"X"</formula>
    </cfRule>
    <cfRule type="cellIs" dxfId="1680" priority="4" operator="equal">
      <formula>"I"</formula>
    </cfRule>
  </conditionalFormatting>
  <conditionalFormatting sqref="H32:H45">
    <cfRule type="cellIs" dxfId="1679" priority="1" operator="equal">
      <formula>"X"</formula>
    </cfRule>
    <cfRule type="cellIs" dxfId="1678" priority="2" operator="equal">
      <formula>"I"</formula>
    </cfRule>
  </conditionalFormatting>
  <conditionalFormatting sqref="J20:J30">
    <cfRule type="cellIs" dxfId="1677" priority="7" operator="equal">
      <formula>"X"</formula>
    </cfRule>
    <cfRule type="cellIs" dxfId="1676" priority="8" operator="equal">
      <formula>"I"</formula>
    </cfRule>
  </conditionalFormatting>
  <conditionalFormatting sqref="J32:J45">
    <cfRule type="cellIs" dxfId="1675" priority="5" operator="equal">
      <formula>"X"</formula>
    </cfRule>
    <cfRule type="cellIs" dxfId="1674" priority="6" operator="equal">
      <formula>"I"</formula>
    </cfRule>
  </conditionalFormatting>
  <conditionalFormatting sqref="L20:L30">
    <cfRule type="cellIs" dxfId="1673" priority="11" operator="equal">
      <formula>"X"</formula>
    </cfRule>
    <cfRule type="cellIs" dxfId="1672" priority="12" operator="equal">
      <formula>"I"</formula>
    </cfRule>
  </conditionalFormatting>
  <conditionalFormatting sqref="L32:L45">
    <cfRule type="cellIs" dxfId="1671" priority="9" operator="equal">
      <formula>"X"</formula>
    </cfRule>
    <cfRule type="cellIs" dxfId="1670" priority="10" operator="equal">
      <formula>"I"</formula>
    </cfRule>
  </conditionalFormatting>
  <conditionalFormatting sqref="N20:N30">
    <cfRule type="cellIs" dxfId="1669" priority="15" operator="equal">
      <formula>"X"</formula>
    </cfRule>
    <cfRule type="cellIs" dxfId="1668" priority="16" operator="equal">
      <formula>"I"</formula>
    </cfRule>
  </conditionalFormatting>
  <conditionalFormatting sqref="N32:N45">
    <cfRule type="cellIs" dxfId="1667" priority="13" operator="equal">
      <formula>"X"</formula>
    </cfRule>
    <cfRule type="cellIs" dxfId="1666" priority="14" operator="equal">
      <formula>"I"</formula>
    </cfRule>
  </conditionalFormatting>
  <conditionalFormatting sqref="P20:P30">
    <cfRule type="cellIs" dxfId="1665" priority="19" operator="equal">
      <formula>"X"</formula>
    </cfRule>
    <cfRule type="cellIs" dxfId="1664" priority="20" operator="equal">
      <formula>"I"</formula>
    </cfRule>
  </conditionalFormatting>
  <conditionalFormatting sqref="P32:P45">
    <cfRule type="cellIs" dxfId="1663" priority="17" operator="equal">
      <formula>"X"</formula>
    </cfRule>
    <cfRule type="cellIs" dxfId="1662" priority="18" operator="equal">
      <formula>"I"</formula>
    </cfRule>
  </conditionalFormatting>
  <conditionalFormatting sqref="R20:R30">
    <cfRule type="cellIs" dxfId="1661" priority="23" operator="equal">
      <formula>"X"</formula>
    </cfRule>
    <cfRule type="cellIs" dxfId="1660" priority="24" operator="equal">
      <formula>"I"</formula>
    </cfRule>
  </conditionalFormatting>
  <conditionalFormatting sqref="R32:R45">
    <cfRule type="cellIs" dxfId="1659" priority="21" operator="equal">
      <formula>"X"</formula>
    </cfRule>
    <cfRule type="cellIs" dxfId="1658" priority="22" operator="equal">
      <formula>"I"</formula>
    </cfRule>
  </conditionalFormatting>
  <hyperlinks>
    <hyperlink ref="B3" location="'Cost Summary'!A1" display="BACK TO SUMMARY SHEET" xr:uid="{DFE08542-DB84-4819-A9AF-5DC4BFE52024}"/>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F979-116E-4F4F-ACC0-DB38A8DCA7E4}">
  <sheetPr>
    <tabColor rgb="FF92D050"/>
  </sheetPr>
  <dimension ref="A1:S85"/>
  <sheetViews>
    <sheetView zoomScale="91" zoomScaleNormal="91" workbookViewId="0">
      <pane xSplit="2" ySplit="19" topLeftCell="C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50"/>
      <c r="I2" s="750"/>
      <c r="J2" s="732"/>
      <c r="K2" s="732"/>
      <c r="L2" s="732"/>
      <c r="M2" s="732"/>
      <c r="N2" s="732"/>
      <c r="O2" s="732"/>
      <c r="P2" s="732"/>
      <c r="Q2" s="732"/>
      <c r="R2" s="732"/>
      <c r="S2" s="732"/>
    </row>
    <row r="3" spans="1:19" ht="21" thickBot="1">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751</v>
      </c>
      <c r="C5" s="1124"/>
      <c r="D5" s="1124"/>
      <c r="E5" s="1124"/>
      <c r="F5" s="1124"/>
      <c r="G5" s="1125" t="s">
        <v>491</v>
      </c>
      <c r="H5" s="778"/>
      <c r="I5" s="1126"/>
      <c r="J5" s="778"/>
      <c r="K5" s="1126"/>
      <c r="L5" s="778"/>
      <c r="M5" s="1126"/>
      <c r="N5" s="778"/>
      <c r="O5" s="1126"/>
      <c r="P5" s="778"/>
      <c r="Q5" s="1126"/>
      <c r="R5" s="778"/>
      <c r="S5" s="1126"/>
    </row>
    <row r="6" spans="1:19">
      <c r="A6" s="627" t="s">
        <v>493</v>
      </c>
      <c r="B6" s="1127" t="s">
        <v>750</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I46</f>
        <v>0</v>
      </c>
      <c r="I8" s="775"/>
      <c r="J8" s="774">
        <f>K46</f>
        <v>0</v>
      </c>
      <c r="K8" s="775"/>
      <c r="L8" s="774">
        <f>M46</f>
        <v>0</v>
      </c>
      <c r="M8" s="775"/>
      <c r="N8" s="774">
        <f>O46</f>
        <v>0</v>
      </c>
      <c r="O8" s="775"/>
      <c r="P8" s="774">
        <f>Q46</f>
        <v>0</v>
      </c>
      <c r="Q8" s="775"/>
      <c r="R8" s="774">
        <f>S46</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05"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thickTop="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thickTop="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379"/>
      <c r="B21" s="1136" t="s">
        <v>751</v>
      </c>
      <c r="C21" s="1134"/>
      <c r="D21" s="1124"/>
      <c r="E21" s="1124"/>
      <c r="F21" s="1124"/>
      <c r="G21" s="1133"/>
      <c r="H21" s="590"/>
      <c r="I21" s="1366"/>
      <c r="J21" s="590"/>
      <c r="K21" s="1366"/>
      <c r="L21" s="590"/>
      <c r="M21" s="1366"/>
      <c r="N21" s="590"/>
      <c r="O21" s="1366"/>
      <c r="P21" s="590"/>
      <c r="Q21" s="1366"/>
      <c r="R21" s="590"/>
      <c r="S21" s="1366"/>
    </row>
    <row r="22" spans="1:19" ht="16.5" thickBot="1">
      <c r="A22" s="1506"/>
      <c r="B22" s="1420" t="s">
        <v>512</v>
      </c>
      <c r="C22" s="1138"/>
      <c r="D22" s="1124"/>
      <c r="E22" s="1124"/>
      <c r="F22" s="1124"/>
      <c r="G22" s="1133"/>
      <c r="H22" s="590"/>
      <c r="I22" s="1507"/>
      <c r="J22" s="590"/>
      <c r="K22" s="1366"/>
      <c r="L22" s="590"/>
      <c r="M22" s="1366"/>
      <c r="N22" s="590"/>
      <c r="O22" s="1366"/>
      <c r="P22" s="590"/>
      <c r="Q22" s="1366"/>
      <c r="R22" s="590"/>
      <c r="S22" s="1366"/>
    </row>
    <row r="23" spans="1:19" ht="15.75" customHeight="1">
      <c r="A23" s="1379"/>
      <c r="B23" s="1422" t="s">
        <v>513</v>
      </c>
      <c r="C23" s="1134"/>
      <c r="D23" s="1124"/>
      <c r="E23" s="1124"/>
      <c r="F23" s="1124"/>
      <c r="G23" s="1133"/>
      <c r="H23" s="590"/>
      <c r="I23" s="1366"/>
      <c r="J23" s="590"/>
      <c r="K23" s="1366"/>
      <c r="L23" s="590"/>
      <c r="M23" s="1366"/>
      <c r="N23" s="590"/>
      <c r="O23" s="1366"/>
      <c r="P23" s="590"/>
      <c r="Q23" s="1366"/>
      <c r="R23" s="590"/>
      <c r="S23" s="1366"/>
    </row>
    <row r="24" spans="1:19">
      <c r="A24" s="1379"/>
      <c r="B24" s="1508" t="s">
        <v>514</v>
      </c>
      <c r="C24" s="1134"/>
      <c r="D24" s="1124"/>
      <c r="E24" s="1124"/>
      <c r="F24" s="1124"/>
      <c r="G24" s="1133"/>
      <c r="H24" s="590"/>
      <c r="I24" s="1365"/>
      <c r="J24" s="590"/>
      <c r="K24" s="1365"/>
      <c r="L24" s="590"/>
      <c r="M24" s="1365"/>
      <c r="N24" s="590"/>
      <c r="O24" s="1365"/>
      <c r="P24" s="590"/>
      <c r="Q24" s="1365"/>
      <c r="R24" s="590"/>
      <c r="S24" s="1365"/>
    </row>
    <row r="25" spans="1:19" ht="15.75" customHeight="1">
      <c r="A25" s="1379"/>
      <c r="B25" s="1509" t="s">
        <v>515</v>
      </c>
      <c r="C25" s="1134"/>
      <c r="D25" s="1124"/>
      <c r="E25" s="1124"/>
      <c r="F25" s="1124"/>
      <c r="G25" s="1133"/>
      <c r="H25" s="590"/>
      <c r="I25" s="1365"/>
      <c r="J25" s="590"/>
      <c r="K25" s="1365"/>
      <c r="L25" s="590"/>
      <c r="M25" s="629"/>
      <c r="N25" s="590"/>
      <c r="O25" s="1365"/>
      <c r="P25" s="590"/>
      <c r="Q25" s="629"/>
      <c r="R25" s="590"/>
      <c r="S25" s="1365"/>
    </row>
    <row r="26" spans="1:19">
      <c r="A26" s="1379"/>
      <c r="B26" s="1509" t="s">
        <v>516</v>
      </c>
      <c r="C26" s="1228"/>
      <c r="D26" s="1426"/>
      <c r="E26" s="1124"/>
      <c r="F26" s="1124"/>
      <c r="G26" s="1133"/>
      <c r="H26" s="590"/>
      <c r="I26" s="1365"/>
      <c r="J26" s="590"/>
      <c r="K26" s="1366"/>
      <c r="L26" s="590"/>
      <c r="M26" s="618"/>
      <c r="N26" s="590"/>
      <c r="O26" s="1366"/>
      <c r="P26" s="590"/>
      <c r="Q26" s="618"/>
      <c r="R26" s="590"/>
      <c r="S26" s="1366"/>
    </row>
    <row r="27" spans="1:19">
      <c r="A27" s="1379"/>
      <c r="B27" s="1509" t="s">
        <v>517</v>
      </c>
      <c r="C27" s="1228"/>
      <c r="D27" s="1426"/>
      <c r="E27" s="1124"/>
      <c r="F27" s="1124"/>
      <c r="G27" s="1133"/>
      <c r="H27" s="590"/>
      <c r="I27" s="1365"/>
      <c r="J27" s="590"/>
      <c r="K27" s="1366"/>
      <c r="L27" s="590"/>
      <c r="M27" s="618"/>
      <c r="N27" s="590"/>
      <c r="O27" s="1366"/>
      <c r="P27" s="590"/>
      <c r="Q27" s="618"/>
      <c r="R27" s="590"/>
      <c r="S27" s="1366"/>
    </row>
    <row r="28" spans="1:19">
      <c r="A28" s="1379"/>
      <c r="B28" s="1509" t="s">
        <v>518</v>
      </c>
      <c r="C28" s="1228"/>
      <c r="D28" s="1426"/>
      <c r="E28" s="1124"/>
      <c r="F28" s="1124"/>
      <c r="G28" s="1133"/>
      <c r="H28" s="590"/>
      <c r="I28" s="1365"/>
      <c r="J28" s="590"/>
      <c r="K28" s="1366"/>
      <c r="L28" s="590"/>
      <c r="M28" s="618"/>
      <c r="N28" s="590"/>
      <c r="O28" s="1366"/>
      <c r="P28" s="590"/>
      <c r="Q28" s="618"/>
      <c r="R28" s="590"/>
      <c r="S28" s="1366"/>
    </row>
    <row r="29" spans="1:19">
      <c r="A29" s="1379"/>
      <c r="B29" s="1509" t="s">
        <v>693</v>
      </c>
      <c r="C29" s="1228"/>
      <c r="D29" s="1426"/>
      <c r="E29" s="1124"/>
      <c r="F29" s="1124"/>
      <c r="G29" s="1133"/>
      <c r="H29" s="590"/>
      <c r="I29" s="1365"/>
      <c r="J29" s="590"/>
      <c r="K29" s="1366"/>
      <c r="L29" s="590"/>
      <c r="M29" s="618"/>
      <c r="N29" s="590"/>
      <c r="O29" s="1366"/>
      <c r="P29" s="590"/>
      <c r="Q29" s="618"/>
      <c r="R29" s="590"/>
      <c r="S29" s="1366"/>
    </row>
    <row r="30" spans="1:19">
      <c r="A30" s="1379"/>
      <c r="B30" s="1510" t="s">
        <v>519</v>
      </c>
      <c r="C30" s="1228"/>
      <c r="D30" s="1426"/>
      <c r="E30" s="1124"/>
      <c r="F30" s="1124"/>
      <c r="G30" s="1133"/>
      <c r="H30" s="590"/>
      <c r="I30" s="1365"/>
      <c r="J30" s="590"/>
      <c r="K30" s="1366"/>
      <c r="L30" s="590"/>
      <c r="M30" s="618"/>
      <c r="N30" s="590"/>
      <c r="O30" s="1366"/>
      <c r="P30" s="590"/>
      <c r="Q30" s="618"/>
      <c r="R30" s="590"/>
      <c r="S30" s="1366"/>
    </row>
    <row r="31" spans="1:19">
      <c r="A31" s="1379"/>
      <c r="B31" s="1511" t="s">
        <v>520</v>
      </c>
      <c r="C31" s="1474"/>
      <c r="D31" s="1475"/>
      <c r="E31" s="1145"/>
      <c r="F31" s="1145"/>
      <c r="G31" s="1147"/>
      <c r="H31" s="619"/>
      <c r="I31" s="1512"/>
      <c r="J31" s="619"/>
      <c r="K31" s="1513"/>
      <c r="L31" s="1478"/>
      <c r="M31" s="635"/>
      <c r="N31" s="1479"/>
      <c r="O31" s="1513"/>
      <c r="P31" s="1478"/>
      <c r="Q31" s="635"/>
      <c r="R31" s="1479"/>
      <c r="S31" s="1513"/>
    </row>
    <row r="32" spans="1:19">
      <c r="A32" s="1379"/>
      <c r="B32" s="1514" t="s">
        <v>748</v>
      </c>
      <c r="C32" s="1228"/>
      <c r="D32" s="1426"/>
      <c r="E32" s="1124"/>
      <c r="F32" s="1124"/>
      <c r="G32" s="1133"/>
      <c r="H32" s="590"/>
      <c r="I32" s="1365"/>
      <c r="J32" s="590"/>
      <c r="K32" s="1366"/>
      <c r="L32" s="590"/>
      <c r="M32" s="618"/>
      <c r="N32" s="590"/>
      <c r="O32" s="1366"/>
      <c r="P32" s="590"/>
      <c r="Q32" s="618"/>
      <c r="R32" s="590"/>
      <c r="S32" s="1366"/>
    </row>
    <row r="33" spans="1:19">
      <c r="A33" s="1379"/>
      <c r="B33" s="1481"/>
      <c r="C33" s="1228"/>
      <c r="D33" s="1426"/>
      <c r="E33" s="1124"/>
      <c r="F33" s="1124"/>
      <c r="G33" s="1133"/>
      <c r="H33" s="590"/>
      <c r="I33" s="1365"/>
      <c r="J33" s="590"/>
      <c r="K33" s="1366"/>
      <c r="L33" s="590"/>
      <c r="M33" s="618"/>
      <c r="N33" s="590"/>
      <c r="O33" s="1366"/>
      <c r="P33" s="590"/>
      <c r="Q33" s="618"/>
      <c r="R33" s="590"/>
      <c r="S33" s="1366"/>
    </row>
    <row r="34" spans="1:19">
      <c r="A34" s="1379"/>
      <c r="B34" s="1482"/>
      <c r="C34" s="1228"/>
      <c r="D34" s="1426"/>
      <c r="E34" s="1124"/>
      <c r="F34" s="1124"/>
      <c r="G34" s="1133"/>
      <c r="H34" s="590"/>
      <c r="I34" s="1365"/>
      <c r="J34" s="590"/>
      <c r="K34" s="1366"/>
      <c r="L34" s="590" t="s">
        <v>710</v>
      </c>
      <c r="M34" s="618"/>
      <c r="N34" s="590"/>
      <c r="O34" s="1366"/>
      <c r="P34" s="590"/>
      <c r="Q34" s="618"/>
      <c r="R34" s="590"/>
      <c r="S34" s="1366"/>
    </row>
    <row r="35" spans="1:19">
      <c r="A35" s="1379"/>
      <c r="B35" s="1483"/>
      <c r="C35" s="1228"/>
      <c r="D35" s="1426"/>
      <c r="E35" s="1124"/>
      <c r="F35" s="1124"/>
      <c r="G35" s="1133"/>
      <c r="H35" s="590"/>
      <c r="I35" s="1365"/>
      <c r="J35" s="590"/>
      <c r="K35" s="1366"/>
      <c r="L35" s="590"/>
      <c r="M35" s="618"/>
      <c r="N35" s="590"/>
      <c r="O35" s="1366"/>
      <c r="P35" s="590"/>
      <c r="Q35" s="618"/>
      <c r="R35" s="590"/>
      <c r="S35" s="1366"/>
    </row>
    <row r="36" spans="1:19">
      <c r="A36" s="1379"/>
      <c r="B36" s="1483"/>
      <c r="C36" s="1228"/>
      <c r="D36" s="1426"/>
      <c r="E36" s="1124"/>
      <c r="F36" s="1124"/>
      <c r="G36" s="1133"/>
      <c r="H36" s="590"/>
      <c r="I36" s="1365"/>
      <c r="J36" s="590"/>
      <c r="K36" s="1366"/>
      <c r="L36" s="590"/>
      <c r="M36" s="618"/>
      <c r="N36" s="590"/>
      <c r="O36" s="1366"/>
      <c r="P36" s="590"/>
      <c r="Q36" s="618"/>
      <c r="R36" s="590"/>
      <c r="S36" s="1366"/>
    </row>
    <row r="37" spans="1:19">
      <c r="A37" s="1379"/>
      <c r="B37" s="1483"/>
      <c r="C37" s="1228"/>
      <c r="D37" s="1426"/>
      <c r="E37" s="1124"/>
      <c r="F37" s="1124"/>
      <c r="G37" s="1133"/>
      <c r="H37" s="590"/>
      <c r="I37" s="1365"/>
      <c r="J37" s="590"/>
      <c r="K37" s="1366"/>
      <c r="L37" s="590"/>
      <c r="M37" s="618"/>
      <c r="N37" s="590"/>
      <c r="O37" s="1366"/>
      <c r="P37" s="590"/>
      <c r="Q37" s="618"/>
      <c r="R37" s="590"/>
      <c r="S37" s="1366"/>
    </row>
    <row r="38" spans="1:19">
      <c r="A38" s="1379"/>
      <c r="B38" s="1483"/>
      <c r="C38" s="1228"/>
      <c r="D38" s="1426"/>
      <c r="E38" s="1124"/>
      <c r="F38" s="1124"/>
      <c r="G38" s="1133"/>
      <c r="H38" s="590"/>
      <c r="I38" s="1365"/>
      <c r="J38" s="590"/>
      <c r="K38" s="1366"/>
      <c r="L38" s="590"/>
      <c r="M38" s="618"/>
      <c r="N38" s="590"/>
      <c r="O38" s="1366"/>
      <c r="P38" s="590"/>
      <c r="Q38" s="618"/>
      <c r="R38" s="590"/>
      <c r="S38" s="1366"/>
    </row>
    <row r="39" spans="1:19">
      <c r="A39" s="1379"/>
      <c r="B39" s="425"/>
      <c r="C39" s="1124"/>
      <c r="D39" s="1426"/>
      <c r="E39" s="1124"/>
      <c r="F39" s="1124"/>
      <c r="G39" s="1133"/>
      <c r="H39" s="590"/>
      <c r="I39" s="1365"/>
      <c r="J39" s="590"/>
      <c r="K39" s="1365"/>
      <c r="L39" s="590"/>
      <c r="M39" s="629"/>
      <c r="N39" s="590"/>
      <c r="O39" s="1366"/>
      <c r="P39" s="590"/>
      <c r="Q39" s="629"/>
      <c r="R39" s="590"/>
      <c r="S39" s="1366"/>
    </row>
    <row r="40" spans="1:19">
      <c r="A40" s="1379"/>
      <c r="B40" s="425"/>
      <c r="C40" s="296"/>
      <c r="D40" s="184"/>
      <c r="E40" s="184"/>
      <c r="F40" s="184"/>
      <c r="G40" s="296"/>
      <c r="H40" s="590"/>
      <c r="I40" s="1365"/>
      <c r="J40" s="590"/>
      <c r="K40" s="1365"/>
      <c r="L40" s="590"/>
      <c r="M40" s="629"/>
      <c r="N40" s="590"/>
      <c r="O40" s="1365"/>
      <c r="P40" s="590"/>
      <c r="Q40" s="629"/>
      <c r="R40" s="590"/>
      <c r="S40" s="1365"/>
    </row>
    <row r="41" spans="1:19" ht="15.75" thickBot="1">
      <c r="A41" s="1450"/>
      <c r="B41" s="425"/>
      <c r="C41" s="1451"/>
      <c r="D41" s="1452"/>
      <c r="E41" s="1452"/>
      <c r="F41" s="1452"/>
      <c r="G41" s="1451"/>
      <c r="H41" s="590"/>
      <c r="I41" s="1453"/>
      <c r="J41" s="590"/>
      <c r="K41" s="1453"/>
      <c r="L41" s="590"/>
      <c r="M41" s="1484"/>
      <c r="N41" s="590"/>
      <c r="O41" s="1453"/>
      <c r="P41" s="590"/>
      <c r="Q41" s="1484"/>
      <c r="R41" s="590"/>
      <c r="S41" s="1453"/>
    </row>
    <row r="42" spans="1:19" ht="15.75" thickTop="1">
      <c r="A42" s="14"/>
      <c r="B42" s="15"/>
      <c r="C42" s="16"/>
      <c r="D42" s="16"/>
      <c r="E42" s="17"/>
      <c r="F42" s="18" t="s">
        <v>567</v>
      </c>
      <c r="G42" s="19"/>
      <c r="H42" s="20"/>
      <c r="I42" s="61">
        <f>SUM(I24:I41)</f>
        <v>0</v>
      </c>
      <c r="J42" s="20"/>
      <c r="K42" s="61">
        <f>SUM(K24:K41)</f>
        <v>0</v>
      </c>
      <c r="L42" s="20"/>
      <c r="M42" s="61">
        <f>SUM(M24:M41)</f>
        <v>0</v>
      </c>
      <c r="N42" s="20"/>
      <c r="O42" s="61">
        <f>SUM(O24:O41)</f>
        <v>0</v>
      </c>
      <c r="P42" s="20"/>
      <c r="Q42" s="61">
        <f>SUM(Q24:Q41)</f>
        <v>0</v>
      </c>
      <c r="R42" s="20"/>
      <c r="S42" s="61">
        <f>SUM(S24:S41)</f>
        <v>0</v>
      </c>
    </row>
    <row r="43" spans="1:19">
      <c r="A43" s="624"/>
      <c r="B43" s="1156"/>
      <c r="C43" s="1157"/>
      <c r="D43" s="1157"/>
      <c r="E43" s="1158"/>
      <c r="F43" s="1159" t="s">
        <v>568</v>
      </c>
      <c r="G43" s="1160"/>
      <c r="H43" s="593">
        <v>0</v>
      </c>
      <c r="I43" s="592"/>
      <c r="J43" s="593">
        <v>0</v>
      </c>
      <c r="K43" s="592"/>
      <c r="L43" s="591">
        <v>0</v>
      </c>
      <c r="M43" s="592"/>
      <c r="N43" s="593">
        <v>0</v>
      </c>
      <c r="O43" s="592"/>
      <c r="P43" s="591">
        <v>0</v>
      </c>
      <c r="Q43" s="592"/>
      <c r="R43" s="593">
        <v>0</v>
      </c>
      <c r="S43" s="592"/>
    </row>
    <row r="44" spans="1:19">
      <c r="A44" s="624"/>
      <c r="B44" s="1156"/>
      <c r="C44" s="1157"/>
      <c r="D44" s="1157"/>
      <c r="E44" s="1158"/>
      <c r="F44" s="1159" t="s">
        <v>569</v>
      </c>
      <c r="G44" s="1160"/>
      <c r="H44" s="594"/>
      <c r="I44" s="595">
        <f>H43*I42</f>
        <v>0</v>
      </c>
      <c r="J44" s="594"/>
      <c r="K44" s="595">
        <f>J43*K42</f>
        <v>0</v>
      </c>
      <c r="L44" s="594"/>
      <c r="M44" s="595">
        <f>L43*M42</f>
        <v>0</v>
      </c>
      <c r="N44" s="594"/>
      <c r="O44" s="595">
        <f>N43*O42</f>
        <v>0</v>
      </c>
      <c r="P44" s="594"/>
      <c r="Q44" s="595">
        <f>P43*Q42</f>
        <v>0</v>
      </c>
      <c r="R44" s="594"/>
      <c r="S44" s="595">
        <f>R43*S42</f>
        <v>0</v>
      </c>
    </row>
    <row r="45" spans="1:19">
      <c r="A45" s="624"/>
      <c r="B45" s="1156"/>
      <c r="C45" s="1157"/>
      <c r="D45" s="1157"/>
      <c r="E45" s="1158"/>
      <c r="F45" s="1159"/>
      <c r="G45" s="1160"/>
      <c r="H45" s="594"/>
      <c r="I45" s="596"/>
      <c r="J45" s="594"/>
      <c r="K45" s="596"/>
      <c r="L45" s="594"/>
      <c r="M45" s="596"/>
      <c r="N45" s="594"/>
      <c r="O45" s="596"/>
      <c r="P45" s="594"/>
      <c r="Q45" s="596"/>
      <c r="R45" s="594"/>
      <c r="S45" s="596"/>
    </row>
    <row r="46" spans="1:19">
      <c r="A46" s="624"/>
      <c r="B46" s="1156"/>
      <c r="C46" s="1157"/>
      <c r="D46" s="1157"/>
      <c r="E46" s="1158"/>
      <c r="F46" s="1159" t="s">
        <v>570</v>
      </c>
      <c r="G46" s="1160"/>
      <c r="H46" s="597"/>
      <c r="I46" s="598">
        <f>SUM(I42:I44)</f>
        <v>0</v>
      </c>
      <c r="J46" s="597"/>
      <c r="K46" s="598">
        <f>SUM(K42:K44)</f>
        <v>0</v>
      </c>
      <c r="L46" s="597"/>
      <c r="M46" s="598">
        <f>SUM(M42:M44)</f>
        <v>0</v>
      </c>
      <c r="N46" s="597"/>
      <c r="O46" s="598">
        <f>SUM(O42:O44)</f>
        <v>0</v>
      </c>
      <c r="P46" s="597"/>
      <c r="Q46" s="598">
        <f>SUM(Q42:Q44)</f>
        <v>0</v>
      </c>
      <c r="R46" s="597"/>
      <c r="S46" s="598">
        <f>SUM(S42:S44)</f>
        <v>0</v>
      </c>
    </row>
    <row r="47" spans="1:19">
      <c r="A47" s="624"/>
      <c r="B47" s="1156"/>
      <c r="C47" s="1157"/>
      <c r="D47" s="1157"/>
      <c r="E47" s="1158"/>
      <c r="F47" s="1161" t="s">
        <v>571</v>
      </c>
      <c r="G47" s="1162"/>
      <c r="H47" s="599"/>
      <c r="I47" s="600" t="e">
        <f>I46/'Area Calculations'!$J$4</f>
        <v>#DIV/0!</v>
      </c>
      <c r="J47" s="599"/>
      <c r="K47" s="600" t="e">
        <f>K46/'Area Calculations'!$J$4</f>
        <v>#DIV/0!</v>
      </c>
      <c r="L47" s="599"/>
      <c r="M47" s="600" t="e">
        <f>M46/'Area Calculations'!$J$4</f>
        <v>#DIV/0!</v>
      </c>
      <c r="N47" s="599"/>
      <c r="O47" s="600" t="e">
        <f>O46/'Area Calculations'!$J$4</f>
        <v>#DIV/0!</v>
      </c>
      <c r="P47" s="599"/>
      <c r="Q47" s="600" t="e">
        <f>Q46/'Area Calculations'!$J$4</f>
        <v>#DIV/0!</v>
      </c>
      <c r="R47" s="599"/>
      <c r="S47" s="600" t="e">
        <f>S46/'Area Calculations'!$J$4</f>
        <v>#DIV/0!</v>
      </c>
    </row>
    <row r="48" spans="1:19">
      <c r="A48" s="624"/>
      <c r="B48" s="1156"/>
      <c r="C48" s="1157"/>
      <c r="D48" s="1157"/>
      <c r="E48" s="1158"/>
      <c r="F48" s="1161" t="s">
        <v>572</v>
      </c>
      <c r="G48" s="1163"/>
      <c r="H48" s="599"/>
      <c r="I48" s="600" t="e">
        <f>I46/'Area Calculations'!#REF!</f>
        <v>#REF!</v>
      </c>
      <c r="J48" s="599"/>
      <c r="K48" s="600" t="e">
        <f>K46/'Area Calculations'!#REF!</f>
        <v>#REF!</v>
      </c>
      <c r="L48" s="599"/>
      <c r="M48" s="600" t="e">
        <f>M46/'Area Calculations'!#REF!</f>
        <v>#REF!</v>
      </c>
      <c r="N48" s="599"/>
      <c r="O48" s="600" t="e">
        <f>O46/'Area Calculations'!#REF!</f>
        <v>#REF!</v>
      </c>
      <c r="P48" s="599"/>
      <c r="Q48" s="600" t="e">
        <f>Q46/'Area Calculations'!#REF!</f>
        <v>#REF!</v>
      </c>
      <c r="R48" s="599"/>
      <c r="S48" s="600" t="e">
        <f>S46/'Area Calculations'!#REF!</f>
        <v>#REF!</v>
      </c>
    </row>
    <row r="49" spans="1:19" ht="15.75" thickBot="1">
      <c r="A49" s="176"/>
      <c r="B49" s="177"/>
      <c r="C49" s="178"/>
      <c r="D49" s="178"/>
      <c r="E49" s="179"/>
      <c r="F49" s="180"/>
      <c r="G49" s="249"/>
      <c r="H49" s="183"/>
      <c r="I49" s="182"/>
      <c r="J49" s="183"/>
      <c r="K49" s="182"/>
      <c r="L49" s="183"/>
      <c r="M49" s="182"/>
      <c r="N49" s="183"/>
      <c r="O49" s="182"/>
      <c r="P49" s="183"/>
      <c r="Q49" s="182"/>
      <c r="R49" s="183"/>
      <c r="S49" s="182"/>
    </row>
    <row r="50" spans="1:19" ht="16.5" thickTop="1" thickBot="1">
      <c r="A50" s="726" t="s">
        <v>573</v>
      </c>
      <c r="B50" s="727"/>
      <c r="C50" s="12"/>
      <c r="D50" s="12"/>
      <c r="E50" s="12"/>
      <c r="F50" s="12"/>
      <c r="G50" s="13"/>
      <c r="H50" s="21"/>
      <c r="I50" s="21"/>
      <c r="J50" s="21"/>
      <c r="K50" s="21"/>
      <c r="L50" s="21"/>
      <c r="M50" s="21"/>
      <c r="N50" s="21"/>
      <c r="O50" s="21"/>
      <c r="P50" s="21"/>
      <c r="Q50" s="21"/>
      <c r="R50" s="21"/>
      <c r="S50" s="21"/>
    </row>
    <row r="51" spans="1:19" ht="15.75" thickTop="1">
      <c r="A51" s="1515"/>
      <c r="B51" s="862"/>
      <c r="C51" s="1516"/>
      <c r="D51" s="1516"/>
      <c r="E51" s="1516"/>
      <c r="F51" s="1516"/>
      <c r="G51" s="1517"/>
      <c r="H51" s="1518"/>
      <c r="I51" s="1518"/>
      <c r="J51" s="1518"/>
      <c r="K51" s="1518"/>
      <c r="L51" s="1518"/>
      <c r="M51" s="1518"/>
      <c r="N51" s="1518"/>
      <c r="O51" s="1518"/>
      <c r="P51" s="1518"/>
      <c r="Q51" s="1518"/>
      <c r="R51" s="1518"/>
      <c r="S51" s="1518"/>
    </row>
    <row r="52" spans="1:19">
      <c r="A52" s="1515"/>
      <c r="B52" s="862"/>
      <c r="C52" s="1516"/>
      <c r="D52" s="1516"/>
      <c r="E52" s="1516"/>
      <c r="F52" s="1516"/>
      <c r="G52" s="1517"/>
      <c r="H52" s="1518"/>
      <c r="I52" s="1518"/>
      <c r="J52" s="1518"/>
      <c r="K52" s="1518"/>
      <c r="L52" s="1518"/>
      <c r="M52" s="1518"/>
      <c r="N52" s="1518"/>
      <c r="O52" s="1518"/>
      <c r="P52" s="1518"/>
      <c r="Q52" s="1518"/>
      <c r="R52" s="1518"/>
      <c r="S52" s="1518"/>
    </row>
    <row r="53" spans="1:19" s="2" customFormat="1" ht="15.75" thickBot="1">
      <c r="A53" s="1515"/>
      <c r="B53" s="862"/>
      <c r="C53" s="1516"/>
      <c r="D53" s="1516"/>
      <c r="E53" s="1516"/>
      <c r="F53" s="1516"/>
      <c r="G53" s="1517"/>
      <c r="H53" s="1518"/>
      <c r="I53" s="1518"/>
      <c r="J53" s="1518"/>
      <c r="K53" s="1518"/>
      <c r="L53" s="1518"/>
      <c r="M53" s="1518"/>
      <c r="N53" s="1518"/>
      <c r="O53" s="1518"/>
      <c r="P53" s="1518"/>
      <c r="Q53" s="1518"/>
      <c r="R53" s="1518"/>
      <c r="S53" s="1518"/>
    </row>
    <row r="54" spans="1:19" ht="16.5" thickTop="1" thickBot="1">
      <c r="A54" s="726" t="s">
        <v>574</v>
      </c>
      <c r="B54" s="727"/>
      <c r="C54" s="12"/>
      <c r="D54" s="12"/>
      <c r="E54" s="12"/>
      <c r="F54" s="12"/>
      <c r="G54" s="13"/>
      <c r="H54" s="21"/>
      <c r="I54" s="21"/>
      <c r="J54" s="21"/>
      <c r="K54" s="21"/>
      <c r="L54" s="21"/>
      <c r="M54" s="21"/>
      <c r="N54" s="21"/>
      <c r="O54" s="21"/>
      <c r="P54" s="21"/>
      <c r="Q54" s="21"/>
      <c r="R54" s="21"/>
      <c r="S54" s="21"/>
    </row>
    <row r="55" spans="1:19" s="2" customFormat="1" ht="15.75" thickTop="1">
      <c r="A55" s="1515"/>
      <c r="B55" s="862"/>
      <c r="C55" s="1516"/>
      <c r="D55" s="1516"/>
      <c r="E55" s="1516"/>
      <c r="F55" s="1516"/>
      <c r="G55" s="1517"/>
      <c r="H55" s="1518"/>
      <c r="I55" s="1518"/>
      <c r="J55" s="1518"/>
      <c r="K55" s="1518"/>
      <c r="L55" s="1518"/>
      <c r="M55" s="1518"/>
      <c r="N55" s="1518"/>
      <c r="O55" s="1518"/>
      <c r="P55" s="1518"/>
      <c r="Q55" s="1518"/>
      <c r="R55" s="1518"/>
      <c r="S55" s="1518"/>
    </row>
    <row r="56" spans="1:19" s="2" customFormat="1">
      <c r="A56" s="1515"/>
      <c r="B56" s="862"/>
      <c r="C56" s="1516"/>
      <c r="D56" s="1516"/>
      <c r="E56" s="1516"/>
      <c r="F56" s="1516"/>
      <c r="G56" s="1517"/>
      <c r="H56" s="1518"/>
      <c r="I56" s="1518"/>
      <c r="J56" s="1518"/>
      <c r="K56" s="1518"/>
      <c r="L56" s="1518"/>
      <c r="M56" s="1518"/>
      <c r="N56" s="1518"/>
      <c r="O56" s="1518"/>
      <c r="P56" s="1518"/>
      <c r="Q56" s="1518"/>
      <c r="R56" s="1518"/>
      <c r="S56" s="1518"/>
    </row>
    <row r="57" spans="1:19" s="2" customFormat="1" ht="15.75" thickBot="1">
      <c r="A57" s="1515"/>
      <c r="B57" s="862"/>
      <c r="C57" s="1516"/>
      <c r="D57" s="1516"/>
      <c r="E57" s="1516"/>
      <c r="F57" s="1516"/>
      <c r="G57" s="1517"/>
      <c r="H57" s="1518"/>
      <c r="I57" s="1518"/>
      <c r="J57" s="1518"/>
      <c r="K57" s="1518"/>
      <c r="L57" s="1518"/>
      <c r="M57" s="1518"/>
      <c r="N57" s="1518"/>
      <c r="O57" s="1518"/>
      <c r="P57" s="1518"/>
      <c r="Q57" s="1518"/>
      <c r="R57" s="1518"/>
      <c r="S57" s="1518"/>
    </row>
    <row r="58" spans="1:19" ht="16.5" thickTop="1" thickBot="1">
      <c r="A58" s="726" t="s">
        <v>575</v>
      </c>
      <c r="B58" s="727"/>
      <c r="C58" s="12"/>
      <c r="D58" s="12"/>
      <c r="E58" s="12"/>
      <c r="F58" s="12"/>
      <c r="G58" s="13"/>
      <c r="H58" s="21"/>
      <c r="I58" s="21"/>
      <c r="J58" s="21"/>
      <c r="K58" s="21"/>
      <c r="L58" s="21"/>
      <c r="M58" s="21"/>
      <c r="N58" s="21"/>
      <c r="O58" s="21"/>
      <c r="P58" s="21"/>
      <c r="Q58" s="21"/>
      <c r="R58" s="21"/>
      <c r="S58" s="21"/>
    </row>
    <row r="59" spans="1:19" ht="15.75" thickTop="1">
      <c r="A59" s="1515"/>
      <c r="B59" s="862"/>
      <c r="C59" s="1516"/>
      <c r="D59" s="1516"/>
      <c r="E59" s="1516"/>
      <c r="F59" s="1516"/>
      <c r="G59" s="1517"/>
      <c r="H59" s="1518"/>
      <c r="I59" s="1518"/>
      <c r="J59" s="1518"/>
      <c r="K59" s="1518"/>
      <c r="L59" s="1518"/>
      <c r="M59" s="1518"/>
      <c r="N59" s="1518"/>
      <c r="O59" s="1518"/>
      <c r="P59" s="1518"/>
      <c r="Q59" s="1518"/>
      <c r="R59" s="1518"/>
      <c r="S59" s="1518"/>
    </row>
    <row r="60" spans="1:19">
      <c r="A60" s="628"/>
      <c r="B60" s="862"/>
      <c r="C60" s="1124"/>
      <c r="D60" s="1124"/>
      <c r="E60" s="1124"/>
      <c r="F60" s="1124"/>
      <c r="G60" s="1133"/>
      <c r="H60" s="604"/>
      <c r="I60" s="604"/>
      <c r="J60" s="604"/>
      <c r="K60" s="604"/>
      <c r="L60" s="604"/>
      <c r="M60" s="604"/>
      <c r="N60" s="604"/>
      <c r="O60" s="604"/>
      <c r="P60" s="604"/>
      <c r="Q60" s="604"/>
      <c r="R60" s="604"/>
      <c r="S60" s="604"/>
    </row>
    <row r="61" spans="1:19" ht="15.75" thickBot="1">
      <c r="A61" s="625"/>
      <c r="B61" s="1171"/>
      <c r="C61" s="1124"/>
      <c r="D61" s="1124"/>
      <c r="E61" s="1124"/>
      <c r="F61" s="1124"/>
      <c r="G61" s="1133"/>
      <c r="H61" s="605"/>
      <c r="I61" s="605"/>
      <c r="J61" s="605"/>
      <c r="K61" s="605"/>
      <c r="L61" s="605"/>
      <c r="M61" s="605"/>
      <c r="N61" s="605"/>
      <c r="O61" s="605"/>
      <c r="P61" s="605"/>
      <c r="Q61" s="605"/>
      <c r="R61" s="605"/>
      <c r="S61" s="605"/>
    </row>
    <row r="62" spans="1:19" ht="16.5" thickTop="1" thickBot="1">
      <c r="A62" s="726" t="s">
        <v>576</v>
      </c>
      <c r="B62" s="727"/>
      <c r="C62" s="12"/>
      <c r="D62" s="12"/>
      <c r="E62" s="12"/>
      <c r="F62" s="12"/>
      <c r="G62" s="13"/>
      <c r="H62" s="21"/>
      <c r="I62" s="21"/>
      <c r="J62" s="21"/>
      <c r="K62" s="21"/>
      <c r="L62" s="21"/>
      <c r="M62" s="21"/>
      <c r="N62" s="21"/>
      <c r="O62" s="21"/>
      <c r="P62" s="21"/>
      <c r="Q62" s="21"/>
      <c r="R62" s="21"/>
      <c r="S62" s="21"/>
    </row>
    <row r="63" spans="1:19" ht="15.75" thickTop="1">
      <c r="A63" s="1519"/>
      <c r="B63" s="1520"/>
      <c r="C63" s="1516"/>
      <c r="D63" s="1516"/>
      <c r="E63" s="1516"/>
      <c r="F63" s="1516"/>
      <c r="G63" s="1517"/>
      <c r="H63" s="1518"/>
      <c r="I63" s="1518"/>
      <c r="J63" s="1518"/>
      <c r="K63" s="1518"/>
      <c r="L63" s="1518"/>
      <c r="M63" s="1518"/>
      <c r="N63" s="1518"/>
      <c r="O63" s="1518"/>
      <c r="P63" s="1518"/>
      <c r="Q63" s="1518"/>
      <c r="R63" s="1518"/>
      <c r="S63" s="1518"/>
    </row>
    <row r="64" spans="1:19">
      <c r="A64" s="625"/>
      <c r="B64" s="1171"/>
      <c r="C64" s="1124"/>
      <c r="D64" s="1124"/>
      <c r="E64" s="1124"/>
      <c r="F64" s="1124"/>
      <c r="G64" s="1133"/>
      <c r="H64" s="606"/>
      <c r="I64" s="606"/>
      <c r="J64" s="606"/>
      <c r="K64" s="606"/>
      <c r="L64" s="606"/>
      <c r="M64" s="606"/>
      <c r="N64" s="606"/>
      <c r="O64" s="606"/>
      <c r="P64" s="606"/>
      <c r="Q64" s="606"/>
      <c r="R64" s="606"/>
      <c r="S64" s="606"/>
    </row>
    <row r="65" spans="1:19" ht="15.75" thickBot="1">
      <c r="A65" s="625"/>
      <c r="B65" s="1171"/>
      <c r="C65" s="1124"/>
      <c r="D65" s="1124"/>
      <c r="E65" s="1124"/>
      <c r="F65" s="1124"/>
      <c r="G65" s="1133"/>
      <c r="H65" s="606"/>
      <c r="I65" s="606"/>
      <c r="J65" s="606"/>
      <c r="K65" s="606"/>
      <c r="L65" s="606"/>
      <c r="M65" s="606"/>
      <c r="N65" s="606"/>
      <c r="O65" s="606"/>
      <c r="P65" s="606"/>
      <c r="Q65" s="606"/>
      <c r="R65" s="606"/>
      <c r="S65" s="606"/>
    </row>
    <row r="66" spans="1:19" ht="16.5" thickTop="1" thickBot="1">
      <c r="A66" s="726" t="s">
        <v>577</v>
      </c>
      <c r="B66" s="727"/>
      <c r="C66" s="12"/>
      <c r="D66" s="12"/>
      <c r="E66" s="12"/>
      <c r="F66" s="12"/>
      <c r="G66" s="13"/>
      <c r="H66" s="21"/>
      <c r="I66" s="21"/>
      <c r="J66" s="21"/>
      <c r="K66" s="21"/>
      <c r="L66" s="21"/>
      <c r="M66" s="21"/>
      <c r="N66" s="21"/>
      <c r="O66" s="21"/>
      <c r="P66" s="1465"/>
      <c r="Q66" s="1465"/>
      <c r="R66" s="1465"/>
      <c r="S66" s="1465"/>
    </row>
    <row r="67" spans="1:19" ht="15.75" thickTop="1">
      <c r="A67" s="628"/>
      <c r="B67" s="862" t="s">
        <v>578</v>
      </c>
      <c r="C67" s="1124"/>
      <c r="D67" s="1124"/>
      <c r="E67" s="1124"/>
      <c r="F67" s="1124"/>
      <c r="G67" s="1133"/>
      <c r="H67" s="606"/>
      <c r="I67" s="606"/>
      <c r="J67" s="606"/>
      <c r="K67" s="606"/>
      <c r="L67" s="606"/>
      <c r="M67" s="606"/>
      <c r="N67" s="606"/>
      <c r="O67" s="606"/>
      <c r="P67" s="606"/>
      <c r="Q67" s="606"/>
      <c r="R67" s="606"/>
      <c r="S67" s="606"/>
    </row>
    <row r="68" spans="1:19">
      <c r="A68" s="628"/>
      <c r="B68" s="862" t="s">
        <v>579</v>
      </c>
      <c r="C68" s="1124"/>
      <c r="D68" s="1124"/>
      <c r="E68" s="1124"/>
      <c r="F68" s="1124"/>
      <c r="G68" s="1133"/>
      <c r="H68" s="606"/>
      <c r="I68" s="606"/>
      <c r="J68" s="606"/>
      <c r="K68" s="606"/>
      <c r="L68" s="606"/>
      <c r="M68" s="606"/>
      <c r="N68" s="606"/>
      <c r="O68" s="606"/>
      <c r="P68" s="606"/>
      <c r="Q68" s="606"/>
      <c r="R68" s="606"/>
      <c r="S68" s="606"/>
    </row>
    <row r="69" spans="1:19">
      <c r="A69" s="628"/>
      <c r="B69" s="862" t="s">
        <v>580</v>
      </c>
      <c r="C69" s="1124"/>
      <c r="D69" s="1124"/>
      <c r="E69" s="1124"/>
      <c r="F69" s="1124"/>
      <c r="G69" s="1133"/>
      <c r="H69" s="606"/>
      <c r="I69" s="606"/>
      <c r="J69" s="606"/>
      <c r="K69" s="606"/>
      <c r="L69" s="606"/>
      <c r="M69" s="606"/>
      <c r="N69" s="606"/>
      <c r="O69" s="606"/>
      <c r="P69" s="606"/>
      <c r="Q69" s="606"/>
      <c r="R69" s="606"/>
      <c r="S69" s="606"/>
    </row>
    <row r="70" spans="1:19">
      <c r="A70" s="628"/>
      <c r="B70" s="862" t="s">
        <v>581</v>
      </c>
      <c r="C70" s="1124"/>
      <c r="D70" s="1124"/>
      <c r="E70" s="1124"/>
      <c r="F70" s="1124"/>
      <c r="G70" s="1133"/>
      <c r="H70" s="606"/>
      <c r="I70" s="606"/>
      <c r="J70" s="606"/>
      <c r="K70" s="606"/>
      <c r="L70" s="606"/>
      <c r="M70" s="606"/>
      <c r="N70" s="606"/>
      <c r="O70" s="606"/>
      <c r="P70" s="606"/>
      <c r="Q70" s="606"/>
      <c r="R70" s="606"/>
      <c r="S70" s="606"/>
    </row>
    <row r="71" spans="1:19" ht="15.75" thickBot="1">
      <c r="A71" s="416"/>
      <c r="B71" s="295"/>
      <c r="C71" s="184"/>
      <c r="D71" s="184"/>
      <c r="E71" s="184"/>
      <c r="F71" s="184"/>
      <c r="G71" s="296"/>
      <c r="H71" s="418"/>
      <c r="I71" s="418"/>
      <c r="J71" s="418"/>
      <c r="K71" s="418"/>
      <c r="L71" s="418"/>
      <c r="M71" s="418"/>
      <c r="N71" s="418"/>
      <c r="O71" s="418"/>
      <c r="P71" s="418"/>
      <c r="Q71" s="418"/>
      <c r="R71" s="418"/>
      <c r="S71" s="418"/>
    </row>
    <row r="72" spans="1:19" ht="16.5" thickTop="1" thickBot="1">
      <c r="A72" s="7" t="s">
        <v>582</v>
      </c>
      <c r="B72" s="8"/>
      <c r="C72" s="12"/>
      <c r="D72" s="12"/>
      <c r="E72" s="12"/>
      <c r="F72" s="12"/>
      <c r="G72" s="13"/>
      <c r="H72" s="21"/>
      <c r="I72" s="21"/>
      <c r="J72" s="21"/>
      <c r="K72" s="21"/>
      <c r="L72" s="21"/>
      <c r="M72" s="21"/>
      <c r="N72" s="21"/>
      <c r="O72" s="21"/>
      <c r="P72" s="21"/>
      <c r="Q72" s="21"/>
      <c r="R72" s="21"/>
      <c r="S72" s="21"/>
    </row>
    <row r="73" spans="1:19" ht="15.75" thickTop="1">
      <c r="A73" s="1515"/>
      <c r="B73" s="1521" t="s">
        <v>583</v>
      </c>
      <c r="C73" s="1516"/>
      <c r="D73" s="1516"/>
      <c r="E73" s="1516"/>
      <c r="F73" s="1516"/>
      <c r="G73" s="1517"/>
      <c r="H73" s="1522"/>
      <c r="I73" s="1522"/>
      <c r="J73" s="1522"/>
      <c r="K73" s="1522"/>
      <c r="L73" s="1522"/>
      <c r="M73" s="1522"/>
      <c r="N73" s="1522"/>
      <c r="O73" s="1522"/>
      <c r="P73" s="1522"/>
      <c r="Q73" s="1522"/>
      <c r="R73" s="1522"/>
      <c r="S73" s="1522"/>
    </row>
    <row r="74" spans="1:19">
      <c r="A74" s="628"/>
      <c r="B74" s="862" t="s">
        <v>584</v>
      </c>
      <c r="C74" s="1124"/>
      <c r="D74" s="1124"/>
      <c r="E74" s="1124"/>
      <c r="F74" s="1124"/>
      <c r="G74" s="1133"/>
      <c r="H74" s="618"/>
      <c r="I74" s="618"/>
      <c r="J74" s="618"/>
      <c r="K74" s="618"/>
      <c r="L74" s="618"/>
      <c r="M74" s="618"/>
      <c r="N74" s="618"/>
      <c r="O74" s="618"/>
      <c r="P74" s="618"/>
      <c r="Q74" s="618"/>
      <c r="R74" s="618"/>
      <c r="S74" s="618"/>
    </row>
    <row r="75" spans="1:19" ht="15.75" thickBot="1">
      <c r="A75" s="607"/>
      <c r="B75" s="608" t="s">
        <v>585</v>
      </c>
      <c r="C75" s="609"/>
      <c r="D75" s="609"/>
      <c r="E75" s="609"/>
      <c r="F75" s="609"/>
      <c r="G75" s="610"/>
      <c r="H75" s="611"/>
      <c r="I75" s="611"/>
      <c r="J75" s="611"/>
      <c r="K75" s="611"/>
      <c r="L75" s="611"/>
      <c r="M75" s="611"/>
      <c r="N75" s="611"/>
      <c r="O75" s="611"/>
      <c r="P75" s="611"/>
      <c r="Q75" s="611"/>
      <c r="R75" s="611"/>
      <c r="S75" s="611"/>
    </row>
    <row r="76" spans="1:19" ht="16.5" thickTop="1" thickBot="1"/>
    <row r="77" spans="1:19" ht="16.5" thickTop="1" thickBot="1">
      <c r="A77" s="92" t="s">
        <v>586</v>
      </c>
      <c r="B77" s="94"/>
    </row>
    <row r="78" spans="1:19" ht="15.75" thickTop="1">
      <c r="A78" s="93" t="s">
        <v>487</v>
      </c>
      <c r="B78" s="612"/>
    </row>
    <row r="79" spans="1:19">
      <c r="A79" s="626" t="s">
        <v>491</v>
      </c>
      <c r="B79" s="612"/>
    </row>
    <row r="80" spans="1:19">
      <c r="A80" s="613" t="s">
        <v>494</v>
      </c>
      <c r="B80" s="614"/>
    </row>
    <row r="81" spans="1:2">
      <c r="A81" s="613" t="s">
        <v>497</v>
      </c>
      <c r="B81" s="622"/>
    </row>
    <row r="82" spans="1:2" ht="15.75" thickBot="1">
      <c r="A82" s="615" t="s">
        <v>587</v>
      </c>
      <c r="B82" s="616"/>
    </row>
    <row r="83" spans="1:2" ht="15.75" thickTop="1"/>
    <row r="84" spans="1:2">
      <c r="A84" s="95"/>
      <c r="B84" s="1" t="s">
        <v>588</v>
      </c>
    </row>
    <row r="85" spans="1:2">
      <c r="A85" s="96"/>
      <c r="B85" s="1" t="s">
        <v>589</v>
      </c>
    </row>
  </sheetData>
  <mergeCells count="47">
    <mergeCell ref="R7:S7"/>
    <mergeCell ref="P8:Q8"/>
    <mergeCell ref="R8:S8"/>
    <mergeCell ref="R2:S2"/>
    <mergeCell ref="P3:Q3"/>
    <mergeCell ref="R3:S3"/>
    <mergeCell ref="P4:Q4"/>
    <mergeCell ref="R4:S4"/>
    <mergeCell ref="P5:Q5"/>
    <mergeCell ref="R5:S5"/>
    <mergeCell ref="P6:Q6"/>
    <mergeCell ref="R6:S6"/>
    <mergeCell ref="P2:Q2"/>
    <mergeCell ref="P7:Q7"/>
    <mergeCell ref="H8:I8"/>
    <mergeCell ref="J8:K8"/>
    <mergeCell ref="L8:M8"/>
    <mergeCell ref="N8:O8"/>
    <mergeCell ref="H7:I7"/>
    <mergeCell ref="J7:K7"/>
    <mergeCell ref="L7:M7"/>
    <mergeCell ref="N7:O7"/>
    <mergeCell ref="H6:I6"/>
    <mergeCell ref="J6:K6"/>
    <mergeCell ref="L6:M6"/>
    <mergeCell ref="N6:O6"/>
    <mergeCell ref="H5:I5"/>
    <mergeCell ref="J5:K5"/>
    <mergeCell ref="L5:M5"/>
    <mergeCell ref="N5:O5"/>
    <mergeCell ref="N2:O2"/>
    <mergeCell ref="H4:I4"/>
    <mergeCell ref="J4:K4"/>
    <mergeCell ref="L4:M4"/>
    <mergeCell ref="N4:O4"/>
    <mergeCell ref="H3:I3"/>
    <mergeCell ref="J3:K3"/>
    <mergeCell ref="L3:M3"/>
    <mergeCell ref="N3:O3"/>
    <mergeCell ref="H2:I2"/>
    <mergeCell ref="J2:K2"/>
    <mergeCell ref="L2:M2"/>
    <mergeCell ref="A50:B50"/>
    <mergeCell ref="A54:B54"/>
    <mergeCell ref="A58:B58"/>
    <mergeCell ref="A62:B62"/>
    <mergeCell ref="A66:B66"/>
  </mergeCells>
  <conditionalFormatting sqref="H20:H30">
    <cfRule type="cellIs" dxfId="1657" priority="3" operator="equal">
      <formula>"X"</formula>
    </cfRule>
    <cfRule type="cellIs" dxfId="1656" priority="4" operator="equal">
      <formula>"I"</formula>
    </cfRule>
  </conditionalFormatting>
  <conditionalFormatting sqref="H32:H41">
    <cfRule type="cellIs" dxfId="1655" priority="1" operator="equal">
      <formula>"X"</formula>
    </cfRule>
    <cfRule type="cellIs" dxfId="1654" priority="2" operator="equal">
      <formula>"I"</formula>
    </cfRule>
  </conditionalFormatting>
  <conditionalFormatting sqref="J20:J30">
    <cfRule type="cellIs" dxfId="1653" priority="7" operator="equal">
      <formula>"X"</formula>
    </cfRule>
    <cfRule type="cellIs" dxfId="1652" priority="8" operator="equal">
      <formula>"I"</formula>
    </cfRule>
  </conditionalFormatting>
  <conditionalFormatting sqref="J32:J41">
    <cfRule type="cellIs" dxfId="1651" priority="5" operator="equal">
      <formula>"X"</formula>
    </cfRule>
    <cfRule type="cellIs" dxfId="1650" priority="6" operator="equal">
      <formula>"I"</formula>
    </cfRule>
  </conditionalFormatting>
  <conditionalFormatting sqref="L20:L30">
    <cfRule type="cellIs" dxfId="1649" priority="11" operator="equal">
      <formula>"X"</formula>
    </cfRule>
    <cfRule type="cellIs" dxfId="1648" priority="12" operator="equal">
      <formula>"I"</formula>
    </cfRule>
  </conditionalFormatting>
  <conditionalFormatting sqref="L32:L41">
    <cfRule type="cellIs" dxfId="1647" priority="9" operator="equal">
      <formula>"X"</formula>
    </cfRule>
    <cfRule type="cellIs" dxfId="1646" priority="10" operator="equal">
      <formula>"I"</formula>
    </cfRule>
  </conditionalFormatting>
  <conditionalFormatting sqref="N20:N30">
    <cfRule type="cellIs" dxfId="1645" priority="15" operator="equal">
      <formula>"X"</formula>
    </cfRule>
    <cfRule type="cellIs" dxfId="1644" priority="16" operator="equal">
      <formula>"I"</formula>
    </cfRule>
  </conditionalFormatting>
  <conditionalFormatting sqref="N32:N41">
    <cfRule type="cellIs" dxfId="1643" priority="13" operator="equal">
      <formula>"X"</formula>
    </cfRule>
    <cfRule type="cellIs" dxfId="1642" priority="14" operator="equal">
      <formula>"I"</formula>
    </cfRule>
  </conditionalFormatting>
  <conditionalFormatting sqref="P20:P30">
    <cfRule type="cellIs" dxfId="1641" priority="19" operator="equal">
      <formula>"X"</formula>
    </cfRule>
    <cfRule type="cellIs" dxfId="1640" priority="20" operator="equal">
      <formula>"I"</formula>
    </cfRule>
  </conditionalFormatting>
  <conditionalFormatting sqref="P32:P41">
    <cfRule type="cellIs" dxfId="1639" priority="17" operator="equal">
      <formula>"X"</formula>
    </cfRule>
    <cfRule type="cellIs" dxfId="1638" priority="18" operator="equal">
      <formula>"I"</formula>
    </cfRule>
  </conditionalFormatting>
  <conditionalFormatting sqref="R20:R30">
    <cfRule type="cellIs" dxfId="1637" priority="23" operator="equal">
      <formula>"X"</formula>
    </cfRule>
    <cfRule type="cellIs" dxfId="1636" priority="24" operator="equal">
      <formula>"I"</formula>
    </cfRule>
  </conditionalFormatting>
  <conditionalFormatting sqref="R32:R41">
    <cfRule type="cellIs" dxfId="1635" priority="21" operator="equal">
      <formula>"X"</formula>
    </cfRule>
    <cfRule type="cellIs" dxfId="1634" priority="22" operator="equal">
      <formula>"I"</formula>
    </cfRule>
  </conditionalFormatting>
  <hyperlinks>
    <hyperlink ref="B3" location="'Cost Summary'!A1" display="BACK TO SUMMARY SHEET" xr:uid="{1008E6F8-37B3-41C5-87BA-27B7A59CAE36}"/>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0A71-F448-453D-BC28-DF572E3568E1}">
  <sheetPr>
    <tabColor rgb="FF92D050"/>
  </sheetPr>
  <dimension ref="A1:S135"/>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50"/>
      <c r="I2" s="750"/>
      <c r="J2" s="732"/>
      <c r="K2" s="732"/>
      <c r="L2" s="732"/>
      <c r="M2" s="732"/>
      <c r="N2" s="732"/>
      <c r="O2" s="732"/>
      <c r="P2" s="732"/>
      <c r="Q2" s="732"/>
      <c r="R2" s="732"/>
      <c r="S2" s="732"/>
    </row>
    <row r="3" spans="1:19" ht="21" thickBot="1">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752</v>
      </c>
      <c r="C5" s="1124"/>
      <c r="D5" s="1124"/>
      <c r="E5" s="1124"/>
      <c r="F5" s="1124"/>
      <c r="G5" s="1125" t="s">
        <v>491</v>
      </c>
      <c r="H5" s="778"/>
      <c r="I5" s="1126"/>
      <c r="J5" s="778"/>
      <c r="K5" s="1126"/>
      <c r="L5" s="778"/>
      <c r="M5" s="1126"/>
      <c r="N5" s="778"/>
      <c r="O5" s="1126"/>
      <c r="P5" s="778"/>
      <c r="Q5" s="1126"/>
      <c r="R5" s="778"/>
      <c r="S5" s="1126"/>
    </row>
    <row r="6" spans="1:19">
      <c r="A6" s="627" t="s">
        <v>493</v>
      </c>
      <c r="B6" s="1127" t="s">
        <v>753</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I96</f>
        <v>0</v>
      </c>
      <c r="I8" s="775"/>
      <c r="J8" s="774">
        <f>K96</f>
        <v>0</v>
      </c>
      <c r="K8" s="775"/>
      <c r="L8" s="774">
        <f>M96</f>
        <v>0</v>
      </c>
      <c r="M8" s="775"/>
      <c r="N8" s="774">
        <f>O96</f>
        <v>0</v>
      </c>
      <c r="O8" s="775"/>
      <c r="P8" s="774">
        <f>Q96</f>
        <v>0</v>
      </c>
      <c r="Q8" s="775"/>
      <c r="R8" s="774">
        <f>S96</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23"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thickTop="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thickTop="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363"/>
      <c r="B21" s="1136" t="s">
        <v>752</v>
      </c>
      <c r="C21" s="1134"/>
      <c r="D21" s="1124"/>
      <c r="E21" s="1124"/>
      <c r="F21" s="1124"/>
      <c r="G21" s="1133"/>
      <c r="H21" s="590"/>
      <c r="I21" s="1351"/>
      <c r="J21" s="590"/>
      <c r="K21" s="1351"/>
      <c r="L21" s="590"/>
      <c r="M21" s="1351"/>
      <c r="N21" s="590"/>
      <c r="O21" s="1351"/>
      <c r="P21" s="590"/>
      <c r="Q21" s="1351"/>
      <c r="R21" s="590"/>
      <c r="S21" s="1351"/>
    </row>
    <row r="22" spans="1:19" ht="16.5" thickBot="1">
      <c r="A22" s="1524"/>
      <c r="B22" s="374" t="s">
        <v>512</v>
      </c>
      <c r="C22" s="1134"/>
      <c r="D22" s="1124"/>
      <c r="E22" s="1124"/>
      <c r="F22" s="1124"/>
      <c r="G22" s="1133"/>
      <c r="H22" s="590"/>
      <c r="I22" s="1525"/>
      <c r="J22" s="590"/>
      <c r="K22" s="1351"/>
      <c r="L22" s="590"/>
      <c r="M22" s="1351"/>
      <c r="N22" s="590"/>
      <c r="O22" s="1351"/>
      <c r="P22" s="590"/>
      <c r="Q22" s="1351"/>
      <c r="R22" s="590"/>
      <c r="S22" s="1351"/>
    </row>
    <row r="23" spans="1:19" ht="15.75" customHeight="1">
      <c r="A23" s="1363"/>
      <c r="B23" s="1422" t="s">
        <v>513</v>
      </c>
      <c r="C23" s="1134"/>
      <c r="D23" s="1124"/>
      <c r="E23" s="1124"/>
      <c r="F23" s="1124"/>
      <c r="G23" s="1133"/>
      <c r="H23" s="590"/>
      <c r="I23" s="1351"/>
      <c r="J23" s="590"/>
      <c r="K23" s="1351"/>
      <c r="L23" s="590"/>
      <c r="M23" s="1351"/>
      <c r="N23" s="590"/>
      <c r="O23" s="1351"/>
      <c r="P23" s="590"/>
      <c r="Q23" s="1351"/>
      <c r="R23" s="590"/>
      <c r="S23" s="1351"/>
    </row>
    <row r="24" spans="1:19">
      <c r="A24" s="1363"/>
      <c r="B24" s="1526" t="s">
        <v>514</v>
      </c>
      <c r="C24" s="1134"/>
      <c r="D24" s="1124"/>
      <c r="E24" s="1124"/>
      <c r="F24" s="1124"/>
      <c r="G24" s="1133"/>
      <c r="H24" s="590"/>
      <c r="I24" s="1350"/>
      <c r="J24" s="590"/>
      <c r="K24" s="1350"/>
      <c r="L24" s="590"/>
      <c r="M24" s="629"/>
      <c r="N24" s="590"/>
      <c r="O24" s="1350"/>
      <c r="P24" s="590"/>
      <c r="Q24" s="629"/>
      <c r="R24" s="590"/>
      <c r="S24" s="1350"/>
    </row>
    <row r="25" spans="1:19" ht="15.75" customHeight="1">
      <c r="A25" s="1363"/>
      <c r="B25" s="1527" t="s">
        <v>515</v>
      </c>
      <c r="C25" s="1134"/>
      <c r="D25" s="1124"/>
      <c r="E25" s="1124"/>
      <c r="F25" s="1124"/>
      <c r="G25" s="1133"/>
      <c r="H25" s="590"/>
      <c r="I25" s="1350"/>
      <c r="J25" s="590"/>
      <c r="K25" s="1350"/>
      <c r="L25" s="590"/>
      <c r="M25" s="160"/>
      <c r="N25" s="590"/>
      <c r="O25" s="1350"/>
      <c r="P25" s="590"/>
      <c r="Q25" s="160"/>
      <c r="R25" s="590"/>
      <c r="S25" s="1350"/>
    </row>
    <row r="26" spans="1:19">
      <c r="A26" s="1363"/>
      <c r="B26" s="1527" t="s">
        <v>516</v>
      </c>
      <c r="C26" s="1228"/>
      <c r="D26" s="1426"/>
      <c r="E26" s="1124"/>
      <c r="F26" s="1124"/>
      <c r="G26" s="1133"/>
      <c r="H26" s="590"/>
      <c r="I26" s="1350"/>
      <c r="J26" s="590"/>
      <c r="K26" s="1351"/>
      <c r="L26" s="590"/>
      <c r="M26" s="618"/>
      <c r="N26" s="590"/>
      <c r="O26" s="1351"/>
      <c r="P26" s="590"/>
      <c r="Q26" s="618"/>
      <c r="R26" s="590"/>
      <c r="S26" s="1351"/>
    </row>
    <row r="27" spans="1:19">
      <c r="A27" s="1363"/>
      <c r="B27" s="1527" t="s">
        <v>517</v>
      </c>
      <c r="C27" s="1228"/>
      <c r="D27" s="1426"/>
      <c r="E27" s="1124"/>
      <c r="F27" s="1124"/>
      <c r="G27" s="1133"/>
      <c r="H27" s="590"/>
      <c r="I27" s="1350"/>
      <c r="J27" s="590"/>
      <c r="K27" s="1351"/>
      <c r="L27" s="590"/>
      <c r="M27" s="618"/>
      <c r="N27" s="590"/>
      <c r="O27" s="1351"/>
      <c r="P27" s="590"/>
      <c r="Q27" s="618"/>
      <c r="R27" s="590"/>
      <c r="S27" s="1351"/>
    </row>
    <row r="28" spans="1:19">
      <c r="A28" s="1363"/>
      <c r="B28" s="1527" t="s">
        <v>518</v>
      </c>
      <c r="C28" s="1228"/>
      <c r="D28" s="1426"/>
      <c r="E28" s="1124"/>
      <c r="F28" s="1124"/>
      <c r="G28" s="1133"/>
      <c r="H28" s="590"/>
      <c r="I28" s="1350"/>
      <c r="J28" s="590"/>
      <c r="K28" s="1351"/>
      <c r="L28" s="590"/>
      <c r="M28" s="618"/>
      <c r="N28" s="590"/>
      <c r="O28" s="1351"/>
      <c r="P28" s="590"/>
      <c r="Q28" s="618"/>
      <c r="R28" s="590"/>
      <c r="S28" s="1351"/>
    </row>
    <row r="29" spans="1:19">
      <c r="A29" s="1363"/>
      <c r="B29" s="1527" t="s">
        <v>693</v>
      </c>
      <c r="C29" s="1228"/>
      <c r="D29" s="1426"/>
      <c r="E29" s="1124"/>
      <c r="F29" s="1124"/>
      <c r="G29" s="1133"/>
      <c r="H29" s="590"/>
      <c r="I29" s="1350"/>
      <c r="J29" s="590"/>
      <c r="K29" s="1351"/>
      <c r="L29" s="590"/>
      <c r="M29" s="618"/>
      <c r="N29" s="590"/>
      <c r="O29" s="1351"/>
      <c r="P29" s="590"/>
      <c r="Q29" s="618"/>
      <c r="R29" s="590"/>
      <c r="S29" s="1351"/>
    </row>
    <row r="30" spans="1:19">
      <c r="A30" s="1363"/>
      <c r="B30" s="1528" t="s">
        <v>519</v>
      </c>
      <c r="C30" s="1228"/>
      <c r="D30" s="1426"/>
      <c r="E30" s="1124"/>
      <c r="F30" s="1124"/>
      <c r="G30" s="1133"/>
      <c r="H30" s="590"/>
      <c r="I30" s="1350"/>
      <c r="J30" s="590"/>
      <c r="K30" s="1351"/>
      <c r="L30" s="590"/>
      <c r="M30" s="618"/>
      <c r="N30" s="590"/>
      <c r="O30" s="1351"/>
      <c r="P30" s="590"/>
      <c r="Q30" s="618"/>
      <c r="R30" s="590"/>
      <c r="S30" s="1351"/>
    </row>
    <row r="31" spans="1:19">
      <c r="A31" s="1363"/>
      <c r="B31" s="1529" t="s">
        <v>520</v>
      </c>
      <c r="C31" s="1474"/>
      <c r="D31" s="1475"/>
      <c r="E31" s="1145"/>
      <c r="F31" s="1145"/>
      <c r="G31" s="1147"/>
      <c r="H31" s="619"/>
      <c r="I31" s="1530"/>
      <c r="J31" s="619"/>
      <c r="K31" s="1531"/>
      <c r="L31" s="1478"/>
      <c r="M31" s="635"/>
      <c r="N31" s="1479"/>
      <c r="O31" s="1531"/>
      <c r="P31" s="1478"/>
      <c r="Q31" s="635"/>
      <c r="R31" s="1479"/>
      <c r="S31" s="1531"/>
    </row>
    <row r="32" spans="1:19">
      <c r="A32" s="1363"/>
      <c r="B32" s="1532" t="s">
        <v>748</v>
      </c>
      <c r="C32" s="1228"/>
      <c r="D32" s="1426"/>
      <c r="E32" s="1124"/>
      <c r="F32" s="1124"/>
      <c r="G32" s="1133"/>
      <c r="H32" s="590"/>
      <c r="I32" s="1350"/>
      <c r="J32" s="590"/>
      <c r="K32" s="1351"/>
      <c r="L32" s="590"/>
      <c r="M32" s="618"/>
      <c r="N32" s="590"/>
      <c r="O32" s="1351"/>
      <c r="P32" s="590"/>
      <c r="Q32" s="618"/>
      <c r="R32" s="590"/>
      <c r="S32" s="1351"/>
    </row>
    <row r="33" spans="1:19">
      <c r="A33" s="1363"/>
      <c r="B33" s="1481"/>
      <c r="C33" s="1228"/>
      <c r="D33" s="1426"/>
      <c r="E33" s="1124"/>
      <c r="F33" s="1124"/>
      <c r="G33" s="1133"/>
      <c r="H33" s="590"/>
      <c r="I33" s="1350"/>
      <c r="J33" s="590"/>
      <c r="K33" s="1351"/>
      <c r="L33" s="590"/>
      <c r="M33" s="618"/>
      <c r="N33" s="590"/>
      <c r="O33" s="1351"/>
      <c r="P33" s="590"/>
      <c r="Q33" s="618"/>
      <c r="R33" s="590"/>
      <c r="S33" s="1351"/>
    </row>
    <row r="34" spans="1:19">
      <c r="A34" s="1363"/>
      <c r="B34" s="1482" t="s">
        <v>754</v>
      </c>
      <c r="C34" s="1228"/>
      <c r="D34" s="1426"/>
      <c r="E34" s="1124"/>
      <c r="F34" s="1124"/>
      <c r="G34" s="1133"/>
      <c r="H34" s="590"/>
      <c r="I34" s="1350"/>
      <c r="J34" s="590"/>
      <c r="K34" s="1351"/>
      <c r="L34" s="590"/>
      <c r="M34" s="618"/>
      <c r="N34" s="590"/>
      <c r="O34" s="1351"/>
      <c r="P34" s="590"/>
      <c r="Q34" s="618"/>
      <c r="R34" s="590"/>
      <c r="S34" s="1351"/>
    </row>
    <row r="35" spans="1:19">
      <c r="A35" s="1363"/>
      <c r="B35" s="1483" t="s">
        <v>755</v>
      </c>
      <c r="C35" s="1228"/>
      <c r="D35" s="1426"/>
      <c r="E35" s="1124"/>
      <c r="F35" s="1124"/>
      <c r="G35" s="1133"/>
      <c r="H35" s="590"/>
      <c r="I35" s="1350"/>
      <c r="J35" s="590"/>
      <c r="K35" s="1351"/>
      <c r="L35" s="590"/>
      <c r="M35" s="618"/>
      <c r="N35" s="590"/>
      <c r="O35" s="1351"/>
      <c r="P35" s="590"/>
      <c r="Q35" s="618"/>
      <c r="R35" s="590"/>
      <c r="S35" s="1351"/>
    </row>
    <row r="36" spans="1:19">
      <c r="A36" s="1363"/>
      <c r="B36" s="1483" t="s">
        <v>756</v>
      </c>
      <c r="C36" s="1228"/>
      <c r="D36" s="1426"/>
      <c r="E36" s="1124"/>
      <c r="F36" s="1124"/>
      <c r="G36" s="1133"/>
      <c r="H36" s="590"/>
      <c r="I36" s="1350"/>
      <c r="J36" s="590"/>
      <c r="K36" s="1351"/>
      <c r="L36" s="590"/>
      <c r="M36" s="618"/>
      <c r="N36" s="590"/>
      <c r="O36" s="1351"/>
      <c r="P36" s="590"/>
      <c r="Q36" s="618"/>
      <c r="R36" s="590"/>
      <c r="S36" s="1351"/>
    </row>
    <row r="37" spans="1:19">
      <c r="A37" s="1363"/>
      <c r="B37" s="1483" t="s">
        <v>757</v>
      </c>
      <c r="C37" s="1228"/>
      <c r="D37" s="1426"/>
      <c r="E37" s="1124"/>
      <c r="F37" s="1124"/>
      <c r="G37" s="1133"/>
      <c r="H37" s="590"/>
      <c r="I37" s="1350"/>
      <c r="J37" s="590"/>
      <c r="K37" s="1351"/>
      <c r="L37" s="590"/>
      <c r="M37" s="618"/>
      <c r="N37" s="590"/>
      <c r="O37" s="1351"/>
      <c r="P37" s="590"/>
      <c r="Q37" s="618"/>
      <c r="R37" s="590"/>
      <c r="S37" s="1351"/>
    </row>
    <row r="38" spans="1:19">
      <c r="A38" s="1363"/>
      <c r="B38" s="1483" t="s">
        <v>758</v>
      </c>
      <c r="C38" s="1228"/>
      <c r="D38" s="1426"/>
      <c r="E38" s="1124"/>
      <c r="F38" s="1124"/>
      <c r="G38" s="1133"/>
      <c r="H38" s="590"/>
      <c r="I38" s="1350"/>
      <c r="J38" s="590"/>
      <c r="K38" s="1351"/>
      <c r="L38" s="590"/>
      <c r="M38" s="618"/>
      <c r="N38" s="590"/>
      <c r="O38" s="1351"/>
      <c r="P38" s="590"/>
      <c r="Q38" s="618"/>
      <c r="R38" s="590"/>
      <c r="S38" s="1351"/>
    </row>
    <row r="39" spans="1:19">
      <c r="A39" s="1363"/>
      <c r="B39" s="1483" t="s">
        <v>759</v>
      </c>
      <c r="C39" s="1228"/>
      <c r="D39" s="1426"/>
      <c r="E39" s="1124"/>
      <c r="F39" s="1124"/>
      <c r="G39" s="1133"/>
      <c r="H39" s="590"/>
      <c r="I39" s="1350"/>
      <c r="J39" s="590"/>
      <c r="K39" s="1351"/>
      <c r="L39" s="590"/>
      <c r="M39" s="618"/>
      <c r="N39" s="590"/>
      <c r="O39" s="1351"/>
      <c r="P39" s="590"/>
      <c r="Q39" s="618"/>
      <c r="R39" s="590"/>
      <c r="S39" s="1351"/>
    </row>
    <row r="40" spans="1:19">
      <c r="A40" s="1363"/>
      <c r="B40" s="1483" t="s">
        <v>760</v>
      </c>
      <c r="C40" s="1228"/>
      <c r="D40" s="1426"/>
      <c r="E40" s="1124"/>
      <c r="F40" s="1124"/>
      <c r="G40" s="1133"/>
      <c r="H40" s="590"/>
      <c r="I40" s="1350"/>
      <c r="J40" s="590"/>
      <c r="K40" s="1351"/>
      <c r="L40" s="590"/>
      <c r="M40" s="618"/>
      <c r="N40" s="590"/>
      <c r="O40" s="1351"/>
      <c r="P40" s="590"/>
      <c r="Q40" s="618"/>
      <c r="R40" s="590"/>
      <c r="S40" s="1351"/>
    </row>
    <row r="41" spans="1:19">
      <c r="A41" s="1363"/>
      <c r="B41" s="1483" t="s">
        <v>761</v>
      </c>
      <c r="C41" s="1228"/>
      <c r="D41" s="1426"/>
      <c r="E41" s="1124"/>
      <c r="F41" s="1124"/>
      <c r="G41" s="1133"/>
      <c r="H41" s="590"/>
      <c r="I41" s="1350"/>
      <c r="J41" s="590"/>
      <c r="K41" s="1351"/>
      <c r="L41" s="590"/>
      <c r="M41" s="618"/>
      <c r="N41" s="590"/>
      <c r="O41" s="1351"/>
      <c r="P41" s="590"/>
      <c r="Q41" s="618"/>
      <c r="R41" s="590"/>
      <c r="S41" s="1351"/>
    </row>
    <row r="42" spans="1:19">
      <c r="A42" s="1363"/>
      <c r="B42" s="1483" t="s">
        <v>762</v>
      </c>
      <c r="C42" s="1228"/>
      <c r="D42" s="1426"/>
      <c r="E42" s="1124"/>
      <c r="F42" s="1124"/>
      <c r="G42" s="1133"/>
      <c r="H42" s="590" t="s">
        <v>710</v>
      </c>
      <c r="I42" s="1350"/>
      <c r="J42" s="590"/>
      <c r="K42" s="1351"/>
      <c r="L42" s="590"/>
      <c r="M42" s="618"/>
      <c r="N42" s="590"/>
      <c r="O42" s="1351"/>
      <c r="P42" s="590"/>
      <c r="Q42" s="618"/>
      <c r="R42" s="590"/>
      <c r="S42" s="1351"/>
    </row>
    <row r="43" spans="1:19">
      <c r="A43" s="1363"/>
      <c r="B43" s="1483"/>
      <c r="C43" s="1228"/>
      <c r="D43" s="1426"/>
      <c r="E43" s="1124"/>
      <c r="F43" s="1124"/>
      <c r="G43" s="1133"/>
      <c r="H43" s="590"/>
      <c r="I43" s="1350"/>
      <c r="J43" s="590"/>
      <c r="K43" s="1351"/>
      <c r="L43" s="590"/>
      <c r="M43" s="618"/>
      <c r="N43" s="590"/>
      <c r="O43" s="1351"/>
      <c r="P43" s="590"/>
      <c r="Q43" s="618"/>
      <c r="R43" s="590"/>
      <c r="S43" s="1351"/>
    </row>
    <row r="44" spans="1:19">
      <c r="A44" s="1363"/>
      <c r="B44" s="1482" t="s">
        <v>763</v>
      </c>
      <c r="C44" s="1228"/>
      <c r="D44" s="1426"/>
      <c r="E44" s="1124"/>
      <c r="F44" s="1124"/>
      <c r="G44" s="1133"/>
      <c r="H44" s="590"/>
      <c r="I44" s="1350"/>
      <c r="J44" s="590"/>
      <c r="K44" s="1351"/>
      <c r="L44" s="590"/>
      <c r="M44" s="618"/>
      <c r="N44" s="590"/>
      <c r="O44" s="1351"/>
      <c r="P44" s="590"/>
      <c r="Q44" s="618"/>
      <c r="R44" s="590"/>
      <c r="S44" s="1351"/>
    </row>
    <row r="45" spans="1:19">
      <c r="A45" s="1363"/>
      <c r="B45" s="1483" t="s">
        <v>764</v>
      </c>
      <c r="C45" s="1228"/>
      <c r="D45" s="1426"/>
      <c r="E45" s="1124"/>
      <c r="F45" s="1124"/>
      <c r="G45" s="1133"/>
      <c r="H45" s="590"/>
      <c r="I45" s="1350"/>
      <c r="J45" s="590"/>
      <c r="K45" s="1351"/>
      <c r="L45" s="590"/>
      <c r="M45" s="618"/>
      <c r="N45" s="590"/>
      <c r="O45" s="1351"/>
      <c r="P45" s="590"/>
      <c r="Q45" s="618"/>
      <c r="R45" s="590"/>
      <c r="S45" s="1351"/>
    </row>
    <row r="46" spans="1:19">
      <c r="A46" s="1363"/>
      <c r="B46" s="1483" t="s">
        <v>765</v>
      </c>
      <c r="C46" s="1228"/>
      <c r="D46" s="1426"/>
      <c r="E46" s="1124"/>
      <c r="F46" s="1124"/>
      <c r="G46" s="1133"/>
      <c r="H46" s="590"/>
      <c r="I46" s="1350"/>
      <c r="J46" s="590"/>
      <c r="K46" s="1351"/>
      <c r="L46" s="590"/>
      <c r="M46" s="618"/>
      <c r="N46" s="590"/>
      <c r="O46" s="1351"/>
      <c r="P46" s="590"/>
      <c r="Q46" s="618"/>
      <c r="R46" s="590"/>
      <c r="S46" s="1351"/>
    </row>
    <row r="47" spans="1:19">
      <c r="A47" s="1363"/>
      <c r="B47" s="1483" t="s">
        <v>766</v>
      </c>
      <c r="C47" s="1228"/>
      <c r="D47" s="1426"/>
      <c r="E47" s="1124"/>
      <c r="F47" s="1124"/>
      <c r="G47" s="1133"/>
      <c r="H47" s="590"/>
      <c r="I47" s="1350"/>
      <c r="J47" s="590"/>
      <c r="K47" s="1351"/>
      <c r="L47" s="590"/>
      <c r="M47" s="618"/>
      <c r="N47" s="590"/>
      <c r="O47" s="1351"/>
      <c r="P47" s="590"/>
      <c r="Q47" s="618"/>
      <c r="R47" s="590"/>
      <c r="S47" s="1351"/>
    </row>
    <row r="48" spans="1:19">
      <c r="A48" s="1363"/>
      <c r="B48" s="1483" t="s">
        <v>767</v>
      </c>
      <c r="C48" s="1228"/>
      <c r="D48" s="1426"/>
      <c r="E48" s="1124"/>
      <c r="F48" s="1124"/>
      <c r="G48" s="1133"/>
      <c r="H48" s="590"/>
      <c r="I48" s="1350"/>
      <c r="J48" s="590"/>
      <c r="K48" s="1351"/>
      <c r="L48" s="590"/>
      <c r="M48" s="618"/>
      <c r="N48" s="590"/>
      <c r="O48" s="1351"/>
      <c r="P48" s="590"/>
      <c r="Q48" s="618"/>
      <c r="R48" s="590"/>
      <c r="S48" s="1351"/>
    </row>
    <row r="49" spans="1:19">
      <c r="A49" s="1363"/>
      <c r="B49" s="1483" t="s">
        <v>768</v>
      </c>
      <c r="C49" s="1228"/>
      <c r="D49" s="1426"/>
      <c r="E49" s="1124"/>
      <c r="F49" s="1124"/>
      <c r="G49" s="1133"/>
      <c r="H49" s="590"/>
      <c r="I49" s="1350"/>
      <c r="J49" s="590"/>
      <c r="K49" s="1351"/>
      <c r="L49" s="590"/>
      <c r="M49" s="618"/>
      <c r="N49" s="590"/>
      <c r="O49" s="1351"/>
      <c r="P49" s="590"/>
      <c r="Q49" s="618"/>
      <c r="R49" s="590"/>
      <c r="S49" s="1351"/>
    </row>
    <row r="50" spans="1:19">
      <c r="A50" s="1363"/>
      <c r="B50" s="1483" t="s">
        <v>769</v>
      </c>
      <c r="C50" s="1228"/>
      <c r="D50" s="1426"/>
      <c r="E50" s="1124"/>
      <c r="F50" s="1124"/>
      <c r="G50" s="1133"/>
      <c r="H50" s="590"/>
      <c r="I50" s="1350"/>
      <c r="J50" s="590"/>
      <c r="K50" s="1351"/>
      <c r="L50" s="590"/>
      <c r="M50" s="618"/>
      <c r="N50" s="590"/>
      <c r="O50" s="1351"/>
      <c r="P50" s="590"/>
      <c r="Q50" s="618"/>
      <c r="R50" s="590"/>
      <c r="S50" s="1351"/>
    </row>
    <row r="51" spans="1:19">
      <c r="A51" s="1363"/>
      <c r="B51" s="1483" t="s">
        <v>770</v>
      </c>
      <c r="C51" s="1228"/>
      <c r="D51" s="1426"/>
      <c r="E51" s="1124"/>
      <c r="F51" s="1124"/>
      <c r="G51" s="1133"/>
      <c r="H51" s="590"/>
      <c r="I51" s="1350"/>
      <c r="J51" s="590"/>
      <c r="K51" s="1351"/>
      <c r="L51" s="590"/>
      <c r="M51" s="618"/>
      <c r="N51" s="590"/>
      <c r="O51" s="1351"/>
      <c r="P51" s="590"/>
      <c r="Q51" s="618"/>
      <c r="R51" s="590"/>
      <c r="S51" s="1351"/>
    </row>
    <row r="52" spans="1:19">
      <c r="A52" s="1363"/>
      <c r="B52" s="1483" t="s">
        <v>771</v>
      </c>
      <c r="C52" s="1228"/>
      <c r="D52" s="1426"/>
      <c r="E52" s="1124"/>
      <c r="F52" s="1124"/>
      <c r="G52" s="1133"/>
      <c r="H52" s="590"/>
      <c r="I52" s="1350"/>
      <c r="J52" s="590"/>
      <c r="K52" s="1351"/>
      <c r="L52" s="590"/>
      <c r="M52" s="618"/>
      <c r="N52" s="590"/>
      <c r="O52" s="1351"/>
      <c r="P52" s="590"/>
      <c r="Q52" s="618"/>
      <c r="R52" s="590"/>
      <c r="S52" s="1351"/>
    </row>
    <row r="53" spans="1:19">
      <c r="A53" s="1363"/>
      <c r="B53" s="1483" t="s">
        <v>772</v>
      </c>
      <c r="C53" s="1228"/>
      <c r="D53" s="1426"/>
      <c r="E53" s="1124"/>
      <c r="F53" s="1124"/>
      <c r="G53" s="1133"/>
      <c r="H53" s="590"/>
      <c r="I53" s="1350"/>
      <c r="J53" s="590"/>
      <c r="K53" s="1351"/>
      <c r="L53" s="590"/>
      <c r="M53" s="618"/>
      <c r="N53" s="590"/>
      <c r="O53" s="1351"/>
      <c r="P53" s="590"/>
      <c r="Q53" s="618"/>
      <c r="R53" s="590"/>
      <c r="S53" s="1351"/>
    </row>
    <row r="54" spans="1:19">
      <c r="A54" s="1363"/>
      <c r="B54" s="1483" t="s">
        <v>773</v>
      </c>
      <c r="C54" s="1228"/>
      <c r="D54" s="1426"/>
      <c r="E54" s="1124"/>
      <c r="F54" s="1124"/>
      <c r="G54" s="1133"/>
      <c r="H54" s="590"/>
      <c r="I54" s="1350"/>
      <c r="J54" s="590"/>
      <c r="K54" s="1351"/>
      <c r="L54" s="590"/>
      <c r="M54" s="618"/>
      <c r="N54" s="590"/>
      <c r="O54" s="1351"/>
      <c r="P54" s="590"/>
      <c r="Q54" s="618"/>
      <c r="R54" s="590"/>
      <c r="S54" s="1351"/>
    </row>
    <row r="55" spans="1:19">
      <c r="A55" s="1363"/>
      <c r="B55" s="1483" t="s">
        <v>774</v>
      </c>
      <c r="C55" s="1228"/>
      <c r="D55" s="1426"/>
      <c r="E55" s="1124"/>
      <c r="F55" s="1124"/>
      <c r="G55" s="1133"/>
      <c r="H55" s="590"/>
      <c r="I55" s="1350"/>
      <c r="J55" s="590"/>
      <c r="K55" s="1351"/>
      <c r="L55" s="590"/>
      <c r="M55" s="618"/>
      <c r="N55" s="590"/>
      <c r="O55" s="1351"/>
      <c r="P55" s="590"/>
      <c r="Q55" s="618"/>
      <c r="R55" s="590"/>
      <c r="S55" s="1351"/>
    </row>
    <row r="56" spans="1:19">
      <c r="A56" s="1363"/>
      <c r="B56" s="1483"/>
      <c r="C56" s="1228"/>
      <c r="D56" s="1426"/>
      <c r="E56" s="1124"/>
      <c r="F56" s="1124"/>
      <c r="G56" s="1133"/>
      <c r="H56" s="590"/>
      <c r="I56" s="1350"/>
      <c r="J56" s="590"/>
      <c r="K56" s="1351"/>
      <c r="L56" s="590"/>
      <c r="M56" s="618"/>
      <c r="N56" s="590"/>
      <c r="O56" s="1351"/>
      <c r="P56" s="590"/>
      <c r="Q56" s="618"/>
      <c r="R56" s="590"/>
      <c r="S56" s="1351"/>
    </row>
    <row r="57" spans="1:19">
      <c r="A57" s="1363"/>
      <c r="B57" s="1482" t="s">
        <v>775</v>
      </c>
      <c r="C57" s="1228"/>
      <c r="D57" s="1426"/>
      <c r="E57" s="1124"/>
      <c r="F57" s="1124"/>
      <c r="G57" s="1133"/>
      <c r="H57" s="590"/>
      <c r="I57" s="1351"/>
      <c r="J57" s="590"/>
      <c r="K57" s="1351"/>
      <c r="L57" s="590"/>
      <c r="M57" s="618"/>
      <c r="N57" s="590"/>
      <c r="O57" s="1351"/>
      <c r="P57" s="590"/>
      <c r="Q57" s="618"/>
      <c r="R57" s="590"/>
      <c r="S57" s="1351"/>
    </row>
    <row r="58" spans="1:19">
      <c r="A58" s="1363"/>
      <c r="B58" s="1483" t="s">
        <v>776</v>
      </c>
      <c r="C58" s="1228"/>
      <c r="D58" s="1426"/>
      <c r="E58" s="1124"/>
      <c r="F58" s="1124"/>
      <c r="G58" s="1133"/>
      <c r="H58" s="590"/>
      <c r="I58" s="1351"/>
      <c r="J58" s="590"/>
      <c r="K58" s="1351"/>
      <c r="L58" s="590"/>
      <c r="M58" s="618"/>
      <c r="N58" s="590"/>
      <c r="O58" s="1351"/>
      <c r="P58" s="590"/>
      <c r="Q58" s="618"/>
      <c r="R58" s="590"/>
      <c r="S58" s="1351"/>
    </row>
    <row r="59" spans="1:19">
      <c r="A59" s="1363"/>
      <c r="B59" s="1483" t="s">
        <v>777</v>
      </c>
      <c r="C59" s="1228"/>
      <c r="D59" s="1426"/>
      <c r="E59" s="1124"/>
      <c r="F59" s="1124"/>
      <c r="G59" s="1133"/>
      <c r="H59" s="590"/>
      <c r="I59" s="1351"/>
      <c r="J59" s="590"/>
      <c r="K59" s="1351"/>
      <c r="L59" s="590"/>
      <c r="M59" s="618"/>
      <c r="N59" s="590"/>
      <c r="O59" s="1351"/>
      <c r="P59" s="590"/>
      <c r="Q59" s="618"/>
      <c r="R59" s="590"/>
      <c r="S59" s="1351"/>
    </row>
    <row r="60" spans="1:19">
      <c r="A60" s="1363"/>
      <c r="B60" s="1483" t="s">
        <v>778</v>
      </c>
      <c r="C60" s="1228"/>
      <c r="D60" s="1426"/>
      <c r="E60" s="1124"/>
      <c r="F60" s="1124"/>
      <c r="G60" s="1133"/>
      <c r="H60" s="590"/>
      <c r="I60" s="1351"/>
      <c r="J60" s="590"/>
      <c r="K60" s="1351"/>
      <c r="L60" s="590"/>
      <c r="M60" s="618"/>
      <c r="N60" s="590"/>
      <c r="O60" s="1351"/>
      <c r="P60" s="590"/>
      <c r="Q60" s="618"/>
      <c r="R60" s="590"/>
      <c r="S60" s="1351"/>
    </row>
    <row r="61" spans="1:19">
      <c r="A61" s="1363"/>
      <c r="B61" s="1483" t="s">
        <v>779</v>
      </c>
      <c r="C61" s="1228"/>
      <c r="D61" s="1426"/>
      <c r="E61" s="1124"/>
      <c r="F61" s="1124"/>
      <c r="G61" s="1133"/>
      <c r="H61" s="590"/>
      <c r="I61" s="1351"/>
      <c r="J61" s="590"/>
      <c r="K61" s="1351"/>
      <c r="L61" s="590"/>
      <c r="M61" s="618"/>
      <c r="N61" s="590"/>
      <c r="O61" s="1351"/>
      <c r="P61" s="590"/>
      <c r="Q61" s="618"/>
      <c r="R61" s="590"/>
      <c r="S61" s="1351"/>
    </row>
    <row r="62" spans="1:19">
      <c r="A62" s="1363"/>
      <c r="B62" s="1483" t="s">
        <v>780</v>
      </c>
      <c r="C62" s="1228"/>
      <c r="D62" s="1426"/>
      <c r="E62" s="1124"/>
      <c r="F62" s="1124"/>
      <c r="G62" s="1133"/>
      <c r="H62" s="590"/>
      <c r="I62" s="1351"/>
      <c r="J62" s="590"/>
      <c r="K62" s="1351"/>
      <c r="L62" s="590"/>
      <c r="M62" s="618"/>
      <c r="N62" s="590"/>
      <c r="O62" s="1351"/>
      <c r="P62" s="590"/>
      <c r="Q62" s="618"/>
      <c r="R62" s="590"/>
      <c r="S62" s="1351"/>
    </row>
    <row r="63" spans="1:19">
      <c r="A63" s="1363"/>
      <c r="B63" s="1483" t="s">
        <v>781</v>
      </c>
      <c r="C63" s="1228"/>
      <c r="D63" s="1426"/>
      <c r="E63" s="1124"/>
      <c r="F63" s="1124"/>
      <c r="G63" s="1133"/>
      <c r="H63" s="590"/>
      <c r="I63" s="1351"/>
      <c r="J63" s="590"/>
      <c r="K63" s="1351"/>
      <c r="L63" s="590"/>
      <c r="M63" s="618"/>
      <c r="N63" s="590"/>
      <c r="O63" s="1351"/>
      <c r="P63" s="590"/>
      <c r="Q63" s="618"/>
      <c r="R63" s="590"/>
      <c r="S63" s="1351"/>
    </row>
    <row r="64" spans="1:19">
      <c r="A64" s="1363"/>
      <c r="B64" s="1483" t="s">
        <v>782</v>
      </c>
      <c r="C64" s="1228"/>
      <c r="D64" s="1426"/>
      <c r="E64" s="1124"/>
      <c r="F64" s="1124"/>
      <c r="G64" s="1133"/>
      <c r="H64" s="590"/>
      <c r="I64" s="1351"/>
      <c r="J64" s="590"/>
      <c r="K64" s="1351"/>
      <c r="L64" s="590"/>
      <c r="M64" s="618"/>
      <c r="N64" s="590"/>
      <c r="O64" s="1351"/>
      <c r="P64" s="590"/>
      <c r="Q64" s="618"/>
      <c r="R64" s="590"/>
      <c r="S64" s="1351"/>
    </row>
    <row r="65" spans="1:19">
      <c r="A65" s="1363"/>
      <c r="B65" s="1483" t="s">
        <v>783</v>
      </c>
      <c r="C65" s="1228"/>
      <c r="D65" s="1426"/>
      <c r="E65" s="1124"/>
      <c r="F65" s="1124"/>
      <c r="G65" s="1133"/>
      <c r="H65" s="590"/>
      <c r="I65" s="1351"/>
      <c r="J65" s="590"/>
      <c r="K65" s="1351"/>
      <c r="L65" s="590"/>
      <c r="M65" s="618"/>
      <c r="N65" s="590"/>
      <c r="O65" s="1351"/>
      <c r="P65" s="590"/>
      <c r="Q65" s="618"/>
      <c r="R65" s="590"/>
      <c r="S65" s="1351"/>
    </row>
    <row r="66" spans="1:19">
      <c r="A66" s="1363"/>
      <c r="B66" s="1483" t="s">
        <v>784</v>
      </c>
      <c r="C66" s="1228"/>
      <c r="D66" s="1426"/>
      <c r="E66" s="1124"/>
      <c r="F66" s="1124"/>
      <c r="G66" s="1133"/>
      <c r="H66" s="590"/>
      <c r="I66" s="1351"/>
      <c r="J66" s="590"/>
      <c r="K66" s="1351"/>
      <c r="L66" s="590"/>
      <c r="M66" s="618"/>
      <c r="N66" s="590"/>
      <c r="O66" s="1351"/>
      <c r="P66" s="590"/>
      <c r="Q66" s="618"/>
      <c r="R66" s="590"/>
      <c r="S66" s="1351"/>
    </row>
    <row r="67" spans="1:19">
      <c r="A67" s="1363"/>
      <c r="B67" s="1483" t="s">
        <v>785</v>
      </c>
      <c r="C67" s="1228"/>
      <c r="D67" s="1426"/>
      <c r="E67" s="1124"/>
      <c r="F67" s="1124"/>
      <c r="G67" s="1133"/>
      <c r="H67" s="590"/>
      <c r="I67" s="1351"/>
      <c r="J67" s="590"/>
      <c r="K67" s="1351"/>
      <c r="L67" s="590"/>
      <c r="M67" s="618"/>
      <c r="N67" s="590"/>
      <c r="O67" s="1351"/>
      <c r="P67" s="590"/>
      <c r="Q67" s="618"/>
      <c r="R67" s="590"/>
      <c r="S67" s="1351"/>
    </row>
    <row r="68" spans="1:19">
      <c r="A68" s="1363"/>
      <c r="B68" s="1483" t="s">
        <v>786</v>
      </c>
      <c r="C68" s="1228"/>
      <c r="D68" s="1426"/>
      <c r="E68" s="1124"/>
      <c r="F68" s="1124"/>
      <c r="G68" s="1133"/>
      <c r="H68" s="590"/>
      <c r="I68" s="1351"/>
      <c r="J68" s="590"/>
      <c r="K68" s="1351"/>
      <c r="L68" s="590"/>
      <c r="M68" s="618"/>
      <c r="N68" s="590"/>
      <c r="O68" s="1351"/>
      <c r="P68" s="590"/>
      <c r="Q68" s="618"/>
      <c r="R68" s="590"/>
      <c r="S68" s="1351"/>
    </row>
    <row r="69" spans="1:19">
      <c r="A69" s="1363"/>
      <c r="B69" s="1483" t="s">
        <v>787</v>
      </c>
      <c r="C69" s="1228"/>
      <c r="D69" s="1426"/>
      <c r="E69" s="1124"/>
      <c r="F69" s="1124"/>
      <c r="G69" s="1133"/>
      <c r="H69" s="590"/>
      <c r="I69" s="1351"/>
      <c r="J69" s="590"/>
      <c r="K69" s="1351"/>
      <c r="L69" s="590"/>
      <c r="M69" s="618"/>
      <c r="N69" s="590"/>
      <c r="O69" s="1351"/>
      <c r="P69" s="590"/>
      <c r="Q69" s="618"/>
      <c r="R69" s="590"/>
      <c r="S69" s="1351"/>
    </row>
    <row r="70" spans="1:19">
      <c r="A70" s="1363"/>
      <c r="B70" s="1483" t="s">
        <v>788</v>
      </c>
      <c r="C70" s="1228"/>
      <c r="D70" s="1426"/>
      <c r="E70" s="1124"/>
      <c r="F70" s="1124"/>
      <c r="G70" s="1133"/>
      <c r="H70" s="590"/>
      <c r="I70" s="1351"/>
      <c r="J70" s="590"/>
      <c r="K70" s="1351"/>
      <c r="L70" s="590"/>
      <c r="M70" s="618"/>
      <c r="N70" s="590"/>
      <c r="O70" s="1351"/>
      <c r="P70" s="590"/>
      <c r="Q70" s="618"/>
      <c r="R70" s="590"/>
      <c r="S70" s="1351"/>
    </row>
    <row r="71" spans="1:19">
      <c r="A71" s="1363"/>
      <c r="B71" s="1483" t="s">
        <v>789</v>
      </c>
      <c r="C71" s="1228"/>
      <c r="D71" s="1426"/>
      <c r="E71" s="1124"/>
      <c r="F71" s="1124"/>
      <c r="G71" s="1133"/>
      <c r="H71" s="590"/>
      <c r="I71" s="1351"/>
      <c r="J71" s="590"/>
      <c r="K71" s="1351"/>
      <c r="L71" s="590"/>
      <c r="M71" s="618"/>
      <c r="N71" s="590"/>
      <c r="O71" s="1351"/>
      <c r="P71" s="590"/>
      <c r="Q71" s="618"/>
      <c r="R71" s="590"/>
      <c r="S71" s="1351"/>
    </row>
    <row r="72" spans="1:19">
      <c r="A72" s="1363"/>
      <c r="B72" s="1483" t="s">
        <v>790</v>
      </c>
      <c r="C72" s="1228"/>
      <c r="D72" s="1426"/>
      <c r="E72" s="1124"/>
      <c r="F72" s="1124"/>
      <c r="G72" s="1133"/>
      <c r="H72" s="590"/>
      <c r="I72" s="1351"/>
      <c r="J72" s="590"/>
      <c r="K72" s="1351"/>
      <c r="L72" s="590"/>
      <c r="M72" s="618"/>
      <c r="N72" s="590"/>
      <c r="O72" s="1351"/>
      <c r="P72" s="590"/>
      <c r="Q72" s="618"/>
      <c r="R72" s="590"/>
      <c r="S72" s="1351"/>
    </row>
    <row r="73" spans="1:19">
      <c r="A73" s="1363"/>
      <c r="B73" s="1483" t="s">
        <v>791</v>
      </c>
      <c r="C73" s="1228"/>
      <c r="D73" s="1426"/>
      <c r="E73" s="1124"/>
      <c r="F73" s="1124"/>
      <c r="G73" s="1133"/>
      <c r="H73" s="590"/>
      <c r="I73" s="1351"/>
      <c r="J73" s="590"/>
      <c r="K73" s="1351"/>
      <c r="L73" s="590"/>
      <c r="M73" s="618"/>
      <c r="N73" s="590"/>
      <c r="O73" s="1351"/>
      <c r="P73" s="590"/>
      <c r="Q73" s="618"/>
      <c r="R73" s="590"/>
      <c r="S73" s="1351"/>
    </row>
    <row r="74" spans="1:19">
      <c r="A74" s="1363"/>
      <c r="B74" s="1483" t="s">
        <v>792</v>
      </c>
      <c r="C74" s="1228"/>
      <c r="D74" s="1426"/>
      <c r="E74" s="1124"/>
      <c r="F74" s="1124"/>
      <c r="G74" s="1133"/>
      <c r="H74" s="590"/>
      <c r="I74" s="1351"/>
      <c r="J74" s="590"/>
      <c r="K74" s="1351"/>
      <c r="L74" s="590"/>
      <c r="M74" s="618"/>
      <c r="N74" s="590"/>
      <c r="O74" s="1351"/>
      <c r="P74" s="590"/>
      <c r="Q74" s="618"/>
      <c r="R74" s="590"/>
      <c r="S74" s="1351"/>
    </row>
    <row r="75" spans="1:19">
      <c r="A75" s="1363"/>
      <c r="B75" s="1483" t="s">
        <v>793</v>
      </c>
      <c r="C75" s="1228"/>
      <c r="D75" s="1426"/>
      <c r="E75" s="1124"/>
      <c r="F75" s="1124"/>
      <c r="G75" s="1133"/>
      <c r="H75" s="590"/>
      <c r="I75" s="1351"/>
      <c r="J75" s="590"/>
      <c r="K75" s="1351"/>
      <c r="L75" s="590"/>
      <c r="M75" s="1351"/>
      <c r="N75" s="590"/>
      <c r="O75" s="1351"/>
      <c r="P75" s="590"/>
      <c r="Q75" s="1351"/>
      <c r="R75" s="590"/>
      <c r="S75" s="1351"/>
    </row>
    <row r="76" spans="1:19">
      <c r="A76" s="1363"/>
      <c r="B76" s="1483" t="s">
        <v>794</v>
      </c>
      <c r="C76" s="1228"/>
      <c r="D76" s="1426"/>
      <c r="E76" s="1124"/>
      <c r="F76" s="1124"/>
      <c r="G76" s="1133"/>
      <c r="H76" s="590"/>
      <c r="I76" s="1351"/>
      <c r="J76" s="590"/>
      <c r="K76" s="1351"/>
      <c r="L76" s="590"/>
      <c r="M76" s="1351"/>
      <c r="N76" s="590"/>
      <c r="O76" s="1351"/>
      <c r="P76" s="590"/>
      <c r="Q76" s="1351"/>
      <c r="R76" s="590"/>
      <c r="S76" s="1351"/>
    </row>
    <row r="77" spans="1:19">
      <c r="A77" s="1363"/>
      <c r="B77" s="1483" t="s">
        <v>795</v>
      </c>
      <c r="C77" s="1228"/>
      <c r="D77" s="1426"/>
      <c r="E77" s="1124"/>
      <c r="F77" s="1124"/>
      <c r="G77" s="1133"/>
      <c r="H77" s="590"/>
      <c r="I77" s="1351"/>
      <c r="J77" s="590"/>
      <c r="K77" s="1351"/>
      <c r="L77" s="590"/>
      <c r="M77" s="1351"/>
      <c r="N77" s="590"/>
      <c r="O77" s="1351"/>
      <c r="P77" s="590"/>
      <c r="Q77" s="1351"/>
      <c r="R77" s="590"/>
      <c r="S77" s="1351"/>
    </row>
    <row r="78" spans="1:19">
      <c r="A78" s="1363"/>
      <c r="B78" s="1483" t="s">
        <v>796</v>
      </c>
      <c r="C78" s="1228"/>
      <c r="D78" s="1426"/>
      <c r="E78" s="1124"/>
      <c r="F78" s="1124"/>
      <c r="G78" s="1133"/>
      <c r="H78" s="590"/>
      <c r="I78" s="1351"/>
      <c r="J78" s="590"/>
      <c r="K78" s="1351"/>
      <c r="L78" s="590"/>
      <c r="M78" s="1351"/>
      <c r="N78" s="590"/>
      <c r="O78" s="1351"/>
      <c r="P78" s="590"/>
      <c r="Q78" s="1351"/>
      <c r="R78" s="590"/>
      <c r="S78" s="1351"/>
    </row>
    <row r="79" spans="1:19">
      <c r="A79" s="1363"/>
      <c r="B79" s="1483" t="s">
        <v>797</v>
      </c>
      <c r="C79" s="1228"/>
      <c r="D79" s="1426"/>
      <c r="E79" s="1124"/>
      <c r="F79" s="1124"/>
      <c r="G79" s="1133"/>
      <c r="H79" s="590"/>
      <c r="I79" s="1351"/>
      <c r="J79" s="590"/>
      <c r="K79" s="1351"/>
      <c r="L79" s="590"/>
      <c r="M79" s="1351"/>
      <c r="N79" s="590"/>
      <c r="O79" s="1351"/>
      <c r="P79" s="590"/>
      <c r="Q79" s="1351"/>
      <c r="R79" s="590"/>
      <c r="S79" s="1351"/>
    </row>
    <row r="80" spans="1:19">
      <c r="A80" s="1363"/>
      <c r="B80" s="1483" t="s">
        <v>798</v>
      </c>
      <c r="C80" s="1228"/>
      <c r="D80" s="1426"/>
      <c r="E80" s="1124"/>
      <c r="F80" s="1124"/>
      <c r="G80" s="1133"/>
      <c r="H80" s="590"/>
      <c r="I80" s="1351"/>
      <c r="J80" s="590"/>
      <c r="K80" s="1351"/>
      <c r="L80" s="590"/>
      <c r="M80" s="1351"/>
      <c r="N80" s="590"/>
      <c r="O80" s="1351"/>
      <c r="P80" s="590"/>
      <c r="Q80" s="1351"/>
      <c r="R80" s="590"/>
      <c r="S80" s="1351"/>
    </row>
    <row r="81" spans="1:19">
      <c r="A81" s="1363"/>
      <c r="B81" s="1483"/>
      <c r="C81" s="1228"/>
      <c r="D81" s="1426"/>
      <c r="E81" s="1124"/>
      <c r="F81" s="1124"/>
      <c r="G81" s="1133"/>
      <c r="H81" s="590"/>
      <c r="I81" s="1351"/>
      <c r="J81" s="590"/>
      <c r="K81" s="1351"/>
      <c r="L81" s="590"/>
      <c r="M81" s="1351"/>
      <c r="N81" s="590"/>
      <c r="O81" s="1351"/>
      <c r="P81" s="590"/>
      <c r="Q81" s="1351"/>
      <c r="R81" s="590"/>
      <c r="S81" s="1351"/>
    </row>
    <row r="82" spans="1:19">
      <c r="A82" s="1363"/>
      <c r="B82" s="1483" t="s">
        <v>799</v>
      </c>
      <c r="C82" s="1228"/>
      <c r="D82" s="1426"/>
      <c r="E82" s="1124"/>
      <c r="F82" s="1124"/>
      <c r="G82" s="1133"/>
      <c r="H82" s="590"/>
      <c r="I82" s="1351"/>
      <c r="J82" s="590"/>
      <c r="K82" s="1351"/>
      <c r="L82" s="590"/>
      <c r="M82" s="1351"/>
      <c r="N82" s="590"/>
      <c r="O82" s="1351"/>
      <c r="P82" s="590"/>
      <c r="Q82" s="1351"/>
      <c r="R82" s="590"/>
      <c r="S82" s="1351"/>
    </row>
    <row r="83" spans="1:19">
      <c r="A83" s="1363"/>
      <c r="B83" s="1483" t="s">
        <v>800</v>
      </c>
      <c r="C83" s="1228"/>
      <c r="D83" s="1426"/>
      <c r="E83" s="1124"/>
      <c r="F83" s="1124"/>
      <c r="G83" s="1133"/>
      <c r="H83" s="590"/>
      <c r="I83" s="1351"/>
      <c r="J83" s="590"/>
      <c r="K83" s="1351"/>
      <c r="L83" s="590"/>
      <c r="M83" s="1351"/>
      <c r="N83" s="590"/>
      <c r="O83" s="1351"/>
      <c r="P83" s="590"/>
      <c r="Q83" s="1351"/>
      <c r="R83" s="590"/>
      <c r="S83" s="1351"/>
    </row>
    <row r="84" spans="1:19">
      <c r="A84" s="1363"/>
      <c r="B84" s="1483"/>
      <c r="C84" s="1228"/>
      <c r="D84" s="1426"/>
      <c r="E84" s="1124"/>
      <c r="F84" s="1124"/>
      <c r="G84" s="1133"/>
      <c r="H84" s="590"/>
      <c r="I84" s="1351"/>
      <c r="J84" s="590"/>
      <c r="K84" s="1351"/>
      <c r="L84" s="590"/>
      <c r="M84" s="1351"/>
      <c r="N84" s="590"/>
      <c r="O84" s="1351"/>
      <c r="P84" s="590"/>
      <c r="Q84" s="1351"/>
      <c r="R84" s="590"/>
      <c r="S84" s="1351"/>
    </row>
    <row r="85" spans="1:19">
      <c r="A85" s="1363"/>
      <c r="B85" s="1483" t="s">
        <v>801</v>
      </c>
      <c r="C85" s="1228"/>
      <c r="D85" s="1426"/>
      <c r="E85" s="1124"/>
      <c r="F85" s="1124"/>
      <c r="G85" s="1133"/>
      <c r="H85" s="590"/>
      <c r="I85" s="1351"/>
      <c r="J85" s="590"/>
      <c r="K85" s="1351"/>
      <c r="L85" s="590"/>
      <c r="M85" s="1351"/>
      <c r="N85" s="590"/>
      <c r="O85" s="1351"/>
      <c r="P85" s="590"/>
      <c r="Q85" s="1351"/>
      <c r="R85" s="590"/>
      <c r="S85" s="1351"/>
    </row>
    <row r="86" spans="1:19">
      <c r="A86" s="1363"/>
      <c r="B86" s="424"/>
      <c r="C86" s="1228"/>
      <c r="D86" s="1426"/>
      <c r="E86" s="1124"/>
      <c r="F86" s="1124"/>
      <c r="G86" s="1133"/>
      <c r="H86" s="590"/>
      <c r="I86" s="1351"/>
      <c r="J86" s="590"/>
      <c r="K86" s="1351"/>
      <c r="L86" s="590"/>
      <c r="M86" s="1351"/>
      <c r="N86" s="590"/>
      <c r="O86" s="1351"/>
      <c r="P86" s="590"/>
      <c r="Q86" s="1351"/>
      <c r="R86" s="590"/>
      <c r="S86" s="1351"/>
    </row>
    <row r="87" spans="1:19">
      <c r="A87" s="1363"/>
      <c r="B87" s="424"/>
      <c r="C87" s="1228"/>
      <c r="D87" s="1426"/>
      <c r="E87" s="1124"/>
      <c r="F87" s="1124"/>
      <c r="G87" s="1133"/>
      <c r="H87" s="590"/>
      <c r="I87" s="1351"/>
      <c r="J87" s="590"/>
      <c r="K87" s="1351"/>
      <c r="L87" s="590"/>
      <c r="M87" s="1351"/>
      <c r="N87" s="590"/>
      <c r="O87" s="1351"/>
      <c r="P87" s="590"/>
      <c r="Q87" s="1351"/>
      <c r="R87" s="590"/>
      <c r="S87" s="1351"/>
    </row>
    <row r="88" spans="1:19">
      <c r="A88" s="1363"/>
      <c r="B88" s="424"/>
      <c r="C88" s="1228"/>
      <c r="D88" s="1426"/>
      <c r="E88" s="1124"/>
      <c r="F88" s="1124"/>
      <c r="G88" s="1133"/>
      <c r="H88" s="590"/>
      <c r="I88" s="1351"/>
      <c r="J88" s="590"/>
      <c r="K88" s="1351"/>
      <c r="L88" s="590"/>
      <c r="M88" s="1351"/>
      <c r="N88" s="590"/>
      <c r="O88" s="1351"/>
      <c r="P88" s="590"/>
      <c r="Q88" s="1351"/>
      <c r="R88" s="590"/>
      <c r="S88" s="1351"/>
    </row>
    <row r="89" spans="1:19">
      <c r="A89" s="1363"/>
      <c r="B89" s="423"/>
      <c r="C89" s="1228"/>
      <c r="D89" s="1426"/>
      <c r="E89" s="1124"/>
      <c r="F89" s="1124"/>
      <c r="G89" s="1133"/>
      <c r="H89" s="590"/>
      <c r="I89" s="1351"/>
      <c r="J89" s="590"/>
      <c r="K89" s="1351"/>
      <c r="L89" s="590"/>
      <c r="M89" s="1351"/>
      <c r="N89" s="590"/>
      <c r="O89" s="1351"/>
      <c r="P89" s="590"/>
      <c r="Q89" s="1351"/>
      <c r="R89" s="590"/>
      <c r="S89" s="1351"/>
    </row>
    <row r="90" spans="1:19">
      <c r="A90" s="1363"/>
      <c r="B90" s="425"/>
      <c r="C90" s="1124"/>
      <c r="D90" s="1426"/>
      <c r="E90" s="1124"/>
      <c r="F90" s="1124"/>
      <c r="G90" s="1133"/>
      <c r="H90" s="590"/>
      <c r="I90" s="1350"/>
      <c r="J90" s="590"/>
      <c r="K90" s="1350"/>
      <c r="L90" s="590"/>
      <c r="M90" s="1350"/>
      <c r="N90" s="590"/>
      <c r="O90" s="1351"/>
      <c r="P90" s="590"/>
      <c r="Q90" s="1350"/>
      <c r="R90" s="590"/>
      <c r="S90" s="1351"/>
    </row>
    <row r="91" spans="1:19" ht="15.75" thickBot="1">
      <c r="A91" s="1363"/>
      <c r="B91" s="425"/>
      <c r="C91" s="296"/>
      <c r="D91" s="184"/>
      <c r="E91" s="184"/>
      <c r="F91" s="184"/>
      <c r="G91" s="296"/>
      <c r="H91" s="590"/>
      <c r="I91" s="1350"/>
      <c r="J91" s="590"/>
      <c r="K91" s="1350"/>
      <c r="L91" s="590"/>
      <c r="M91" s="1350"/>
      <c r="N91" s="590"/>
      <c r="O91" s="1350"/>
      <c r="P91" s="590"/>
      <c r="Q91" s="1350"/>
      <c r="R91" s="590"/>
      <c r="S91" s="1350"/>
    </row>
    <row r="92" spans="1:19" ht="15.75" thickTop="1">
      <c r="A92" s="14"/>
      <c r="B92" s="15"/>
      <c r="C92" s="16"/>
      <c r="D92" s="16"/>
      <c r="E92" s="17"/>
      <c r="F92" s="18" t="s">
        <v>567</v>
      </c>
      <c r="G92" s="19"/>
      <c r="H92" s="20"/>
      <c r="I92" s="61">
        <f>SUM(I24:I91)</f>
        <v>0</v>
      </c>
      <c r="J92" s="20"/>
      <c r="K92" s="61">
        <f>SUM(K24:K91)</f>
        <v>0</v>
      </c>
      <c r="L92" s="20"/>
      <c r="M92" s="61">
        <f>SUM(M24:M91)</f>
        <v>0</v>
      </c>
      <c r="N92" s="20"/>
      <c r="O92" s="61">
        <f>SUM(O24:O91)</f>
        <v>0</v>
      </c>
      <c r="P92" s="20"/>
      <c r="Q92" s="61">
        <f>SUM(Q24:Q91)</f>
        <v>0</v>
      </c>
      <c r="R92" s="20"/>
      <c r="S92" s="61">
        <f>SUM(S24:S91)</f>
        <v>0</v>
      </c>
    </row>
    <row r="93" spans="1:19">
      <c r="A93" s="624"/>
      <c r="B93" s="1156"/>
      <c r="C93" s="1157"/>
      <c r="D93" s="1157"/>
      <c r="E93" s="1158"/>
      <c r="F93" s="1159" t="s">
        <v>568</v>
      </c>
      <c r="G93" s="1160"/>
      <c r="H93" s="593">
        <v>0</v>
      </c>
      <c r="I93" s="592"/>
      <c r="J93" s="593">
        <v>0</v>
      </c>
      <c r="K93" s="592"/>
      <c r="L93" s="591">
        <v>0</v>
      </c>
      <c r="M93" s="592"/>
      <c r="N93" s="593">
        <v>0</v>
      </c>
      <c r="O93" s="592"/>
      <c r="P93" s="591">
        <v>0</v>
      </c>
      <c r="Q93" s="592"/>
      <c r="R93" s="593">
        <v>0</v>
      </c>
      <c r="S93" s="592"/>
    </row>
    <row r="94" spans="1:19">
      <c r="A94" s="624"/>
      <c r="B94" s="1156"/>
      <c r="C94" s="1157"/>
      <c r="D94" s="1157"/>
      <c r="E94" s="1158"/>
      <c r="F94" s="1159" t="s">
        <v>569</v>
      </c>
      <c r="G94" s="1160"/>
      <c r="H94" s="594"/>
      <c r="I94" s="595">
        <f>H93*I92</f>
        <v>0</v>
      </c>
      <c r="J94" s="594"/>
      <c r="K94" s="595">
        <f>J93*K92</f>
        <v>0</v>
      </c>
      <c r="L94" s="594"/>
      <c r="M94" s="595">
        <f>L93*M92</f>
        <v>0</v>
      </c>
      <c r="N94" s="594"/>
      <c r="O94" s="595">
        <f>N93*O92</f>
        <v>0</v>
      </c>
      <c r="P94" s="594"/>
      <c r="Q94" s="595">
        <f>P93*Q92</f>
        <v>0</v>
      </c>
      <c r="R94" s="594"/>
      <c r="S94" s="595">
        <f>R93*S92</f>
        <v>0</v>
      </c>
    </row>
    <row r="95" spans="1:19">
      <c r="A95" s="624"/>
      <c r="B95" s="1156"/>
      <c r="C95" s="1157"/>
      <c r="D95" s="1157"/>
      <c r="E95" s="1158"/>
      <c r="F95" s="1159"/>
      <c r="G95" s="1160"/>
      <c r="H95" s="594"/>
      <c r="I95" s="596"/>
      <c r="J95" s="594"/>
      <c r="K95" s="596"/>
      <c r="L95" s="594"/>
      <c r="M95" s="596"/>
      <c r="N95" s="594"/>
      <c r="O95" s="596"/>
      <c r="P95" s="594"/>
      <c r="Q95" s="596"/>
      <c r="R95" s="594"/>
      <c r="S95" s="596"/>
    </row>
    <row r="96" spans="1:19">
      <c r="A96" s="624"/>
      <c r="B96" s="1156"/>
      <c r="C96" s="1157"/>
      <c r="D96" s="1157"/>
      <c r="E96" s="1158"/>
      <c r="F96" s="1159" t="s">
        <v>570</v>
      </c>
      <c r="G96" s="1160"/>
      <c r="H96" s="597"/>
      <c r="I96" s="598">
        <f>SUM(I92:I94)</f>
        <v>0</v>
      </c>
      <c r="J96" s="597"/>
      <c r="K96" s="598">
        <f>SUM(K92:K94)</f>
        <v>0</v>
      </c>
      <c r="L96" s="597"/>
      <c r="M96" s="598">
        <f>SUM(M92:M94)</f>
        <v>0</v>
      </c>
      <c r="N96" s="597"/>
      <c r="O96" s="598">
        <f>SUM(O92:O94)</f>
        <v>0</v>
      </c>
      <c r="P96" s="597"/>
      <c r="Q96" s="598">
        <f>SUM(Q92:Q94)</f>
        <v>0</v>
      </c>
      <c r="R96" s="597"/>
      <c r="S96" s="598">
        <f>SUM(S92:S94)</f>
        <v>0</v>
      </c>
    </row>
    <row r="97" spans="1:19">
      <c r="A97" s="624"/>
      <c r="B97" s="1156"/>
      <c r="C97" s="1157"/>
      <c r="D97" s="1157"/>
      <c r="E97" s="1158"/>
      <c r="F97" s="1161" t="s">
        <v>571</v>
      </c>
      <c r="G97" s="1162"/>
      <c r="H97" s="599"/>
      <c r="I97" s="600" t="e">
        <f>I96/'Area Calculations'!$J$4</f>
        <v>#DIV/0!</v>
      </c>
      <c r="J97" s="599"/>
      <c r="K97" s="600" t="e">
        <f>K96/'Area Calculations'!$J$4</f>
        <v>#DIV/0!</v>
      </c>
      <c r="L97" s="599"/>
      <c r="M97" s="600" t="e">
        <f>M96/'Area Calculations'!$J$4</f>
        <v>#DIV/0!</v>
      </c>
      <c r="N97" s="599"/>
      <c r="O97" s="600" t="e">
        <f>O96/'Area Calculations'!$J$4</f>
        <v>#DIV/0!</v>
      </c>
      <c r="P97" s="599"/>
      <c r="Q97" s="600" t="e">
        <f>Q96/'Area Calculations'!$J$4</f>
        <v>#DIV/0!</v>
      </c>
      <c r="R97" s="599"/>
      <c r="S97" s="600" t="e">
        <f>S96/'Area Calculations'!$J$4</f>
        <v>#DIV/0!</v>
      </c>
    </row>
    <row r="98" spans="1:19">
      <c r="A98" s="624"/>
      <c r="B98" s="1156"/>
      <c r="C98" s="1157"/>
      <c r="D98" s="1157"/>
      <c r="E98" s="1158"/>
      <c r="F98" s="1161" t="s">
        <v>572</v>
      </c>
      <c r="G98" s="1163"/>
      <c r="H98" s="599"/>
      <c r="I98" s="600" t="e">
        <f>I96/'Area Calculations'!#REF!</f>
        <v>#REF!</v>
      </c>
      <c r="J98" s="599"/>
      <c r="K98" s="600" t="e">
        <f>K96/'Area Calculations'!#REF!</f>
        <v>#REF!</v>
      </c>
      <c r="L98" s="599"/>
      <c r="M98" s="600" t="e">
        <f>M96/'Area Calculations'!#REF!</f>
        <v>#REF!</v>
      </c>
      <c r="N98" s="599"/>
      <c r="O98" s="600" t="e">
        <f>O96/'Area Calculations'!#REF!</f>
        <v>#REF!</v>
      </c>
      <c r="P98" s="599"/>
      <c r="Q98" s="600" t="e">
        <f>Q96/'Area Calculations'!#REF!</f>
        <v>#REF!</v>
      </c>
      <c r="R98" s="599"/>
      <c r="S98" s="600" t="e">
        <f>S96/'Area Calculations'!#REF!</f>
        <v>#REF!</v>
      </c>
    </row>
    <row r="99" spans="1:19" ht="15.75" thickBot="1">
      <c r="A99" s="624"/>
      <c r="B99" s="1156"/>
      <c r="C99" s="1157"/>
      <c r="D99" s="1157"/>
      <c r="E99" s="1158"/>
      <c r="F99" s="1159"/>
      <c r="G99" s="1533"/>
      <c r="H99" s="601"/>
      <c r="I99" s="602"/>
      <c r="J99" s="603"/>
      <c r="K99" s="603"/>
      <c r="L99" s="603"/>
      <c r="M99" s="603"/>
      <c r="N99" s="603"/>
      <c r="O99" s="603"/>
      <c r="P99" s="603"/>
      <c r="Q99" s="603"/>
      <c r="R99" s="603"/>
      <c r="S99" s="603"/>
    </row>
    <row r="100" spans="1:19" ht="16.5" thickTop="1" thickBot="1">
      <c r="A100" s="726" t="s">
        <v>573</v>
      </c>
      <c r="B100" s="727"/>
      <c r="C100" s="12"/>
      <c r="D100" s="12"/>
      <c r="E100" s="12"/>
      <c r="F100" s="12"/>
      <c r="G100" s="13"/>
      <c r="H100" s="21"/>
      <c r="I100" s="21"/>
      <c r="J100" s="21"/>
      <c r="K100" s="21"/>
      <c r="L100" s="21"/>
      <c r="M100" s="21"/>
      <c r="N100" s="21"/>
      <c r="O100" s="21"/>
      <c r="P100" s="21"/>
      <c r="Q100" s="21"/>
      <c r="R100" s="21"/>
      <c r="S100" s="21"/>
    </row>
    <row r="101" spans="1:19" ht="15.75" thickTop="1">
      <c r="A101" s="1515"/>
      <c r="B101" s="862"/>
      <c r="C101" s="1516"/>
      <c r="D101" s="1516"/>
      <c r="E101" s="1516"/>
      <c r="F101" s="1516"/>
      <c r="G101" s="1517"/>
      <c r="H101" s="1518"/>
      <c r="I101" s="1518"/>
      <c r="J101" s="1518"/>
      <c r="K101" s="1518"/>
      <c r="L101" s="1518"/>
      <c r="M101" s="1518"/>
      <c r="N101" s="1518"/>
      <c r="O101" s="1518"/>
      <c r="P101" s="1518"/>
      <c r="Q101" s="1518"/>
      <c r="R101" s="1518"/>
      <c r="S101" s="1518"/>
    </row>
    <row r="102" spans="1:19">
      <c r="A102" s="1515"/>
      <c r="B102" s="862"/>
      <c r="C102" s="1516"/>
      <c r="D102" s="1516"/>
      <c r="E102" s="1516"/>
      <c r="F102" s="1516"/>
      <c r="G102" s="1517"/>
      <c r="H102" s="1518"/>
      <c r="I102" s="1518"/>
      <c r="J102" s="1518"/>
      <c r="K102" s="1518"/>
      <c r="L102" s="1518"/>
      <c r="M102" s="1518"/>
      <c r="N102" s="1518"/>
      <c r="O102" s="1518"/>
      <c r="P102" s="1518"/>
      <c r="Q102" s="1518"/>
      <c r="R102" s="1518"/>
      <c r="S102" s="1518"/>
    </row>
    <row r="103" spans="1:19" s="2" customFormat="1" ht="15.75" thickBot="1">
      <c r="A103" s="1515"/>
      <c r="B103" s="862"/>
      <c r="C103" s="1516"/>
      <c r="D103" s="1516"/>
      <c r="E103" s="1516"/>
      <c r="F103" s="1516"/>
      <c r="G103" s="1517"/>
      <c r="H103" s="1518"/>
      <c r="I103" s="1518"/>
      <c r="J103" s="1518"/>
      <c r="K103" s="1518"/>
      <c r="L103" s="1518"/>
      <c r="M103" s="1518"/>
      <c r="N103" s="1518"/>
      <c r="O103" s="1518"/>
      <c r="P103" s="1518"/>
      <c r="Q103" s="1518"/>
      <c r="R103" s="1518"/>
      <c r="S103" s="1518"/>
    </row>
    <row r="104" spans="1:19" ht="16.5" thickTop="1" thickBot="1">
      <c r="A104" s="726" t="s">
        <v>574</v>
      </c>
      <c r="B104" s="727"/>
      <c r="C104" s="12"/>
      <c r="D104" s="12"/>
      <c r="E104" s="12"/>
      <c r="F104" s="12"/>
      <c r="G104" s="13"/>
      <c r="H104" s="21"/>
      <c r="I104" s="21"/>
      <c r="J104" s="21"/>
      <c r="K104" s="21"/>
      <c r="L104" s="21"/>
      <c r="M104" s="21"/>
      <c r="N104" s="21"/>
      <c r="O104" s="21"/>
      <c r="P104" s="21"/>
      <c r="Q104" s="21"/>
      <c r="R104" s="21"/>
      <c r="S104" s="21"/>
    </row>
    <row r="105" spans="1:19" s="2" customFormat="1" ht="15.75" thickTop="1">
      <c r="A105" s="1515"/>
      <c r="B105" s="862"/>
      <c r="C105" s="1516"/>
      <c r="D105" s="1516"/>
      <c r="E105" s="1516"/>
      <c r="F105" s="1516"/>
      <c r="G105" s="1517"/>
      <c r="H105" s="1518"/>
      <c r="I105" s="1518"/>
      <c r="J105" s="1518"/>
      <c r="K105" s="1518"/>
      <c r="L105" s="1518"/>
      <c r="M105" s="1518"/>
      <c r="N105" s="1518"/>
      <c r="O105" s="1518"/>
      <c r="P105" s="1518"/>
      <c r="Q105" s="1518"/>
      <c r="R105" s="1518"/>
      <c r="S105" s="1518"/>
    </row>
    <row r="106" spans="1:19" s="2" customFormat="1">
      <c r="A106" s="1515"/>
      <c r="B106" s="862"/>
      <c r="C106" s="1516"/>
      <c r="D106" s="1516"/>
      <c r="E106" s="1516"/>
      <c r="F106" s="1516"/>
      <c r="G106" s="1517"/>
      <c r="H106" s="1518"/>
      <c r="I106" s="1518"/>
      <c r="J106" s="1518"/>
      <c r="K106" s="1518"/>
      <c r="L106" s="1518"/>
      <c r="M106" s="1518"/>
      <c r="N106" s="1518"/>
      <c r="O106" s="1518"/>
      <c r="P106" s="1518"/>
      <c r="Q106" s="1518"/>
      <c r="R106" s="1518"/>
      <c r="S106" s="1518"/>
    </row>
    <row r="107" spans="1:19" s="2" customFormat="1" ht="15.75" thickBot="1">
      <c r="A107" s="1515"/>
      <c r="B107" s="862"/>
      <c r="C107" s="1516"/>
      <c r="D107" s="1516"/>
      <c r="E107" s="1516"/>
      <c r="F107" s="1516"/>
      <c r="G107" s="1517"/>
      <c r="H107" s="1518"/>
      <c r="I107" s="1518"/>
      <c r="J107" s="1518"/>
      <c r="K107" s="1518"/>
      <c r="L107" s="1518"/>
      <c r="M107" s="1518"/>
      <c r="N107" s="1518"/>
      <c r="O107" s="1518"/>
      <c r="P107" s="1518"/>
      <c r="Q107" s="1518"/>
      <c r="R107" s="1518"/>
      <c r="S107" s="1518"/>
    </row>
    <row r="108" spans="1:19" ht="16.5" thickTop="1" thickBot="1">
      <c r="A108" s="726" t="s">
        <v>575</v>
      </c>
      <c r="B108" s="727"/>
      <c r="C108" s="12"/>
      <c r="D108" s="12"/>
      <c r="E108" s="12"/>
      <c r="F108" s="12"/>
      <c r="G108" s="13"/>
      <c r="H108" s="21"/>
      <c r="I108" s="21"/>
      <c r="J108" s="21"/>
      <c r="K108" s="21"/>
      <c r="L108" s="21"/>
      <c r="M108" s="21"/>
      <c r="N108" s="21"/>
      <c r="O108" s="21"/>
      <c r="P108" s="21"/>
      <c r="Q108" s="21"/>
      <c r="R108" s="21"/>
      <c r="S108" s="21"/>
    </row>
    <row r="109" spans="1:19" ht="15.75" thickTop="1">
      <c r="A109" s="1515"/>
      <c r="B109" s="862"/>
      <c r="C109" s="1516"/>
      <c r="D109" s="1516"/>
      <c r="E109" s="1516"/>
      <c r="F109" s="1516"/>
      <c r="G109" s="1517"/>
      <c r="H109" s="1518"/>
      <c r="I109" s="1518"/>
      <c r="J109" s="1518"/>
      <c r="K109" s="1518"/>
      <c r="L109" s="1518"/>
      <c r="M109" s="1518"/>
      <c r="N109" s="1518"/>
      <c r="O109" s="1518"/>
      <c r="P109" s="1518"/>
      <c r="Q109" s="1518"/>
      <c r="R109" s="1518"/>
      <c r="S109" s="1518"/>
    </row>
    <row r="110" spans="1:19">
      <c r="A110" s="628"/>
      <c r="B110" s="862"/>
      <c r="C110" s="1124"/>
      <c r="D110" s="1124"/>
      <c r="E110" s="1124"/>
      <c r="F110" s="1124"/>
      <c r="G110" s="1133"/>
      <c r="H110" s="604"/>
      <c r="I110" s="604"/>
      <c r="J110" s="604"/>
      <c r="K110" s="604"/>
      <c r="L110" s="604"/>
      <c r="M110" s="604"/>
      <c r="N110" s="604"/>
      <c r="O110" s="604"/>
      <c r="P110" s="604"/>
      <c r="Q110" s="604"/>
      <c r="R110" s="604"/>
      <c r="S110" s="604"/>
    </row>
    <row r="111" spans="1:19" ht="15.75" thickBot="1">
      <c r="A111" s="625"/>
      <c r="B111" s="1171"/>
      <c r="C111" s="1124"/>
      <c r="D111" s="1124"/>
      <c r="E111" s="1124"/>
      <c r="F111" s="1124"/>
      <c r="G111" s="1133"/>
      <c r="H111" s="605"/>
      <c r="I111" s="605"/>
      <c r="J111" s="605"/>
      <c r="K111" s="605"/>
      <c r="L111" s="605"/>
      <c r="M111" s="605"/>
      <c r="N111" s="605"/>
      <c r="O111" s="605"/>
      <c r="P111" s="605"/>
      <c r="Q111" s="605"/>
      <c r="R111" s="605"/>
      <c r="S111" s="605"/>
    </row>
    <row r="112" spans="1:19" ht="16.5" thickTop="1" thickBot="1">
      <c r="A112" s="726" t="s">
        <v>576</v>
      </c>
      <c r="B112" s="727"/>
      <c r="C112" s="12"/>
      <c r="D112" s="12"/>
      <c r="E112" s="12"/>
      <c r="F112" s="12"/>
      <c r="G112" s="13"/>
      <c r="H112" s="21"/>
      <c r="I112" s="21"/>
      <c r="J112" s="21"/>
      <c r="K112" s="21"/>
      <c r="L112" s="21"/>
      <c r="M112" s="21"/>
      <c r="N112" s="21"/>
      <c r="O112" s="21"/>
      <c r="P112" s="21"/>
      <c r="Q112" s="21"/>
      <c r="R112" s="21"/>
      <c r="S112" s="21"/>
    </row>
    <row r="113" spans="1:19" ht="15.75" thickTop="1">
      <c r="A113" s="1519"/>
      <c r="B113" s="1520"/>
      <c r="C113" s="1516"/>
      <c r="D113" s="1516"/>
      <c r="E113" s="1516"/>
      <c r="F113" s="1516"/>
      <c r="G113" s="1517"/>
      <c r="H113" s="1518"/>
      <c r="I113" s="1518"/>
      <c r="J113" s="1518"/>
      <c r="K113" s="1518"/>
      <c r="L113" s="1518"/>
      <c r="M113" s="1518"/>
      <c r="N113" s="1518"/>
      <c r="O113" s="1518"/>
      <c r="P113" s="1518"/>
      <c r="Q113" s="1518"/>
      <c r="R113" s="1518"/>
      <c r="S113" s="1518"/>
    </row>
    <row r="114" spans="1:19">
      <c r="A114" s="625"/>
      <c r="B114" s="1171"/>
      <c r="C114" s="1124"/>
      <c r="D114" s="1124"/>
      <c r="E114" s="1124"/>
      <c r="F114" s="1124"/>
      <c r="G114" s="1133"/>
      <c r="H114" s="606"/>
      <c r="I114" s="606"/>
      <c r="J114" s="606"/>
      <c r="K114" s="606"/>
      <c r="L114" s="606"/>
      <c r="M114" s="606"/>
      <c r="N114" s="606"/>
      <c r="O114" s="606"/>
      <c r="P114" s="606"/>
      <c r="Q114" s="606"/>
      <c r="R114" s="606"/>
      <c r="S114" s="606"/>
    </row>
    <row r="115" spans="1:19" ht="15.75" thickBot="1">
      <c r="A115" s="625"/>
      <c r="B115" s="1171"/>
      <c r="C115" s="1124"/>
      <c r="D115" s="1124"/>
      <c r="E115" s="1124"/>
      <c r="F115" s="1124"/>
      <c r="G115" s="1133"/>
      <c r="H115" s="606"/>
      <c r="I115" s="606"/>
      <c r="J115" s="606"/>
      <c r="K115" s="606"/>
      <c r="L115" s="606"/>
      <c r="M115" s="606"/>
      <c r="N115" s="606"/>
      <c r="O115" s="606"/>
      <c r="P115" s="606"/>
      <c r="Q115" s="606"/>
      <c r="R115" s="606"/>
      <c r="S115" s="606"/>
    </row>
    <row r="116" spans="1:19" ht="16.5" thickTop="1" thickBot="1">
      <c r="A116" s="726" t="s">
        <v>577</v>
      </c>
      <c r="B116" s="727"/>
      <c r="C116" s="12"/>
      <c r="D116" s="12"/>
      <c r="E116" s="12"/>
      <c r="F116" s="12"/>
      <c r="G116" s="13"/>
      <c r="H116" s="21"/>
      <c r="I116" s="21"/>
      <c r="J116" s="21"/>
      <c r="K116" s="21"/>
      <c r="L116" s="21"/>
      <c r="M116" s="21"/>
      <c r="N116" s="21"/>
      <c r="O116" s="21"/>
      <c r="P116" s="1465"/>
      <c r="Q116" s="1465"/>
      <c r="R116" s="1465"/>
      <c r="S116" s="1465"/>
    </row>
    <row r="117" spans="1:19" ht="15.75" thickTop="1">
      <c r="A117" s="628"/>
      <c r="B117" s="862" t="s">
        <v>578</v>
      </c>
      <c r="C117" s="1124"/>
      <c r="D117" s="1124"/>
      <c r="E117" s="1124"/>
      <c r="F117" s="1124"/>
      <c r="G117" s="1133"/>
      <c r="H117" s="606"/>
      <c r="I117" s="606"/>
      <c r="J117" s="606"/>
      <c r="K117" s="606"/>
      <c r="L117" s="606"/>
      <c r="M117" s="606"/>
      <c r="N117" s="606"/>
      <c r="O117" s="606"/>
      <c r="P117" s="606"/>
      <c r="Q117" s="606"/>
      <c r="R117" s="606"/>
      <c r="S117" s="606"/>
    </row>
    <row r="118" spans="1:19">
      <c r="A118" s="628"/>
      <c r="B118" s="862" t="s">
        <v>579</v>
      </c>
      <c r="C118" s="1124"/>
      <c r="D118" s="1124"/>
      <c r="E118" s="1124"/>
      <c r="F118" s="1124"/>
      <c r="G118" s="1133"/>
      <c r="H118" s="606"/>
      <c r="I118" s="606"/>
      <c r="J118" s="606"/>
      <c r="K118" s="606"/>
      <c r="L118" s="606"/>
      <c r="M118" s="606"/>
      <c r="N118" s="606"/>
      <c r="O118" s="606"/>
      <c r="P118" s="606"/>
      <c r="Q118" s="606"/>
      <c r="R118" s="606"/>
      <c r="S118" s="606"/>
    </row>
    <row r="119" spans="1:19">
      <c r="A119" s="628"/>
      <c r="B119" s="862" t="s">
        <v>580</v>
      </c>
      <c r="C119" s="1124"/>
      <c r="D119" s="1124"/>
      <c r="E119" s="1124"/>
      <c r="F119" s="1124"/>
      <c r="G119" s="1133"/>
      <c r="H119" s="606"/>
      <c r="I119" s="606"/>
      <c r="J119" s="606"/>
      <c r="K119" s="606"/>
      <c r="L119" s="606"/>
      <c r="M119" s="606"/>
      <c r="N119" s="606"/>
      <c r="O119" s="606"/>
      <c r="P119" s="606"/>
      <c r="Q119" s="606"/>
      <c r="R119" s="606"/>
      <c r="S119" s="606"/>
    </row>
    <row r="120" spans="1:19">
      <c r="A120" s="628"/>
      <c r="B120" s="862" t="s">
        <v>581</v>
      </c>
      <c r="C120" s="1124"/>
      <c r="D120" s="1124"/>
      <c r="E120" s="1124"/>
      <c r="F120" s="1124"/>
      <c r="G120" s="1133"/>
      <c r="H120" s="606"/>
      <c r="I120" s="606"/>
      <c r="J120" s="606"/>
      <c r="K120" s="606"/>
      <c r="L120" s="606"/>
      <c r="M120" s="606"/>
      <c r="N120" s="606"/>
      <c r="O120" s="606"/>
      <c r="P120" s="606"/>
      <c r="Q120" s="606"/>
      <c r="R120" s="606"/>
      <c r="S120" s="606"/>
    </row>
    <row r="121" spans="1:19" ht="15.75" thickBot="1">
      <c r="A121" s="416"/>
      <c r="B121" s="295"/>
      <c r="C121" s="184"/>
      <c r="D121" s="184"/>
      <c r="E121" s="184"/>
      <c r="F121" s="184"/>
      <c r="G121" s="296"/>
      <c r="H121" s="418"/>
      <c r="I121" s="418"/>
      <c r="J121" s="418"/>
      <c r="K121" s="418"/>
      <c r="L121" s="418"/>
      <c r="M121" s="418"/>
      <c r="N121" s="418"/>
      <c r="O121" s="418"/>
      <c r="P121" s="418"/>
      <c r="Q121" s="418"/>
      <c r="R121" s="418"/>
      <c r="S121" s="418"/>
    </row>
    <row r="122" spans="1:19" ht="16.5" thickTop="1" thickBot="1">
      <c r="A122" s="7" t="s">
        <v>582</v>
      </c>
      <c r="B122" s="8"/>
      <c r="C122" s="12"/>
      <c r="D122" s="12"/>
      <c r="E122" s="12"/>
      <c r="F122" s="12"/>
      <c r="G122" s="13"/>
      <c r="H122" s="21"/>
      <c r="I122" s="21"/>
      <c r="J122" s="21"/>
      <c r="K122" s="21"/>
      <c r="L122" s="21"/>
      <c r="M122" s="21"/>
      <c r="N122" s="21"/>
      <c r="O122" s="21"/>
      <c r="P122" s="21"/>
      <c r="Q122" s="21"/>
      <c r="R122" s="21"/>
      <c r="S122" s="21"/>
    </row>
    <row r="123" spans="1:19" ht="15.75" thickTop="1">
      <c r="A123" s="1515"/>
      <c r="B123" s="1521" t="s">
        <v>583</v>
      </c>
      <c r="C123" s="1516"/>
      <c r="D123" s="1516"/>
      <c r="E123" s="1516"/>
      <c r="F123" s="1516"/>
      <c r="G123" s="1517"/>
      <c r="H123" s="1522"/>
      <c r="I123" s="1522"/>
      <c r="J123" s="1522"/>
      <c r="K123" s="1522"/>
      <c r="L123" s="1522"/>
      <c r="M123" s="1522"/>
      <c r="N123" s="1522"/>
      <c r="O123" s="1522"/>
      <c r="P123" s="1522"/>
      <c r="Q123" s="1522"/>
      <c r="R123" s="1522"/>
      <c r="S123" s="1522"/>
    </row>
    <row r="124" spans="1:19">
      <c r="A124" s="628"/>
      <c r="B124" s="862" t="s">
        <v>584</v>
      </c>
      <c r="C124" s="1124"/>
      <c r="D124" s="1124"/>
      <c r="E124" s="1124"/>
      <c r="F124" s="1124"/>
      <c r="G124" s="1133"/>
      <c r="H124" s="618"/>
      <c r="I124" s="618"/>
      <c r="J124" s="618"/>
      <c r="K124" s="618"/>
      <c r="L124" s="618"/>
      <c r="M124" s="618"/>
      <c r="N124" s="618"/>
      <c r="O124" s="618"/>
      <c r="P124" s="618"/>
      <c r="Q124" s="618"/>
      <c r="R124" s="618"/>
      <c r="S124" s="618"/>
    </row>
    <row r="125" spans="1:19" ht="15.75" thickBot="1">
      <c r="A125" s="607"/>
      <c r="B125" s="608" t="s">
        <v>585</v>
      </c>
      <c r="C125" s="609"/>
      <c r="D125" s="609"/>
      <c r="E125" s="609"/>
      <c r="F125" s="609"/>
      <c r="G125" s="610"/>
      <c r="H125" s="611"/>
      <c r="I125" s="611"/>
      <c r="J125" s="611"/>
      <c r="K125" s="611"/>
      <c r="L125" s="611"/>
      <c r="M125" s="611"/>
      <c r="N125" s="611"/>
      <c r="O125" s="611"/>
      <c r="P125" s="611"/>
      <c r="Q125" s="611"/>
      <c r="R125" s="611"/>
      <c r="S125" s="611"/>
    </row>
    <row r="126" spans="1:19" ht="16.5" thickTop="1" thickBot="1"/>
    <row r="127" spans="1:19" ht="16.5" thickTop="1" thickBot="1">
      <c r="A127" s="92" t="s">
        <v>586</v>
      </c>
      <c r="B127" s="94"/>
    </row>
    <row r="128" spans="1:19" ht="15.75" thickTop="1">
      <c r="A128" s="93" t="s">
        <v>487</v>
      </c>
      <c r="B128" s="612"/>
    </row>
    <row r="129" spans="1:2">
      <c r="A129" s="626" t="s">
        <v>491</v>
      </c>
      <c r="B129" s="612"/>
    </row>
    <row r="130" spans="1:2">
      <c r="A130" s="613" t="s">
        <v>494</v>
      </c>
      <c r="B130" s="614"/>
    </row>
    <row r="131" spans="1:2">
      <c r="A131" s="613" t="s">
        <v>497</v>
      </c>
      <c r="B131" s="622"/>
    </row>
    <row r="132" spans="1:2" ht="15.75" thickBot="1">
      <c r="A132" s="615" t="s">
        <v>587</v>
      </c>
      <c r="B132" s="616"/>
    </row>
    <row r="133" spans="1:2" ht="15.75" thickTop="1"/>
    <row r="134" spans="1:2">
      <c r="A134" s="95"/>
      <c r="B134" s="1" t="s">
        <v>588</v>
      </c>
    </row>
    <row r="135" spans="1:2">
      <c r="A135" s="96"/>
      <c r="B135" s="1" t="s">
        <v>589</v>
      </c>
    </row>
  </sheetData>
  <mergeCells count="47">
    <mergeCell ref="R7:S7"/>
    <mergeCell ref="P8:Q8"/>
    <mergeCell ref="R8:S8"/>
    <mergeCell ref="R2:S2"/>
    <mergeCell ref="P3:Q3"/>
    <mergeCell ref="R3:S3"/>
    <mergeCell ref="P4:Q4"/>
    <mergeCell ref="R4:S4"/>
    <mergeCell ref="P5:Q5"/>
    <mergeCell ref="R5:S5"/>
    <mergeCell ref="P6:Q6"/>
    <mergeCell ref="R6:S6"/>
    <mergeCell ref="P2:Q2"/>
    <mergeCell ref="P7:Q7"/>
    <mergeCell ref="H8:I8"/>
    <mergeCell ref="J8:K8"/>
    <mergeCell ref="L8:M8"/>
    <mergeCell ref="N8:O8"/>
    <mergeCell ref="H7:I7"/>
    <mergeCell ref="J7:K7"/>
    <mergeCell ref="L7:M7"/>
    <mergeCell ref="N7:O7"/>
    <mergeCell ref="H6:I6"/>
    <mergeCell ref="J6:K6"/>
    <mergeCell ref="L6:M6"/>
    <mergeCell ref="N6:O6"/>
    <mergeCell ref="H5:I5"/>
    <mergeCell ref="J5:K5"/>
    <mergeCell ref="L5:M5"/>
    <mergeCell ref="N5:O5"/>
    <mergeCell ref="N2:O2"/>
    <mergeCell ref="H4:I4"/>
    <mergeCell ref="J4:K4"/>
    <mergeCell ref="L4:M4"/>
    <mergeCell ref="N4:O4"/>
    <mergeCell ref="H3:I3"/>
    <mergeCell ref="J3:K3"/>
    <mergeCell ref="L3:M3"/>
    <mergeCell ref="N3:O3"/>
    <mergeCell ref="H2:I2"/>
    <mergeCell ref="J2:K2"/>
    <mergeCell ref="L2:M2"/>
    <mergeCell ref="A100:B100"/>
    <mergeCell ref="A104:B104"/>
    <mergeCell ref="A108:B108"/>
    <mergeCell ref="A112:B112"/>
    <mergeCell ref="A116:B116"/>
  </mergeCells>
  <conditionalFormatting sqref="H20:H30">
    <cfRule type="cellIs" dxfId="1633" priority="15" operator="equal">
      <formula>"X"</formula>
    </cfRule>
    <cfRule type="cellIs" dxfId="1632" priority="16" operator="equal">
      <formula>"I"</formula>
    </cfRule>
  </conditionalFormatting>
  <conditionalFormatting sqref="H32:H91">
    <cfRule type="cellIs" dxfId="1631" priority="1" operator="equal">
      <formula>"X"</formula>
    </cfRule>
    <cfRule type="cellIs" dxfId="1630" priority="2" operator="equal">
      <formula>"I"</formula>
    </cfRule>
  </conditionalFormatting>
  <conditionalFormatting sqref="J20:J30">
    <cfRule type="cellIs" dxfId="1629" priority="17" operator="equal">
      <formula>"X"</formula>
    </cfRule>
    <cfRule type="cellIs" dxfId="1628" priority="18" operator="equal">
      <formula>"I"</formula>
    </cfRule>
  </conditionalFormatting>
  <conditionalFormatting sqref="J32:J91">
    <cfRule type="cellIs" dxfId="1627" priority="3" operator="equal">
      <formula>"X"</formula>
    </cfRule>
    <cfRule type="cellIs" dxfId="1626" priority="4" operator="equal">
      <formula>"I"</formula>
    </cfRule>
  </conditionalFormatting>
  <conditionalFormatting sqref="L20:L30">
    <cfRule type="cellIs" dxfId="1625" priority="19" operator="equal">
      <formula>"X"</formula>
    </cfRule>
    <cfRule type="cellIs" dxfId="1624" priority="20" operator="equal">
      <formula>"I"</formula>
    </cfRule>
  </conditionalFormatting>
  <conditionalFormatting sqref="L32:L91">
    <cfRule type="cellIs" dxfId="1623" priority="5" operator="equal">
      <formula>"X"</formula>
    </cfRule>
    <cfRule type="cellIs" dxfId="1622" priority="6" operator="equal">
      <formula>"I"</formula>
    </cfRule>
  </conditionalFormatting>
  <conditionalFormatting sqref="N20:N30">
    <cfRule type="cellIs" dxfId="1621" priority="21" operator="equal">
      <formula>"X"</formula>
    </cfRule>
    <cfRule type="cellIs" dxfId="1620" priority="22" operator="equal">
      <formula>"I"</formula>
    </cfRule>
  </conditionalFormatting>
  <conditionalFormatting sqref="N32:N91">
    <cfRule type="cellIs" dxfId="1619" priority="7" operator="equal">
      <formula>"X"</formula>
    </cfRule>
    <cfRule type="cellIs" dxfId="1618" priority="8" operator="equal">
      <formula>"I"</formula>
    </cfRule>
  </conditionalFormatting>
  <conditionalFormatting sqref="P20:P30">
    <cfRule type="cellIs" dxfId="1617" priority="23" operator="equal">
      <formula>"X"</formula>
    </cfRule>
    <cfRule type="cellIs" dxfId="1616" priority="24" operator="equal">
      <formula>"I"</formula>
    </cfRule>
  </conditionalFormatting>
  <conditionalFormatting sqref="P32:P91">
    <cfRule type="cellIs" dxfId="1615" priority="9" operator="equal">
      <formula>"X"</formula>
    </cfRule>
    <cfRule type="cellIs" dxfId="1614" priority="10" operator="equal">
      <formula>"I"</formula>
    </cfRule>
  </conditionalFormatting>
  <conditionalFormatting sqref="R20:R30">
    <cfRule type="cellIs" dxfId="1613" priority="25" operator="equal">
      <formula>"X"</formula>
    </cfRule>
    <cfRule type="cellIs" dxfId="1612" priority="26" operator="equal">
      <formula>"I"</formula>
    </cfRule>
  </conditionalFormatting>
  <conditionalFormatting sqref="R32:R91">
    <cfRule type="cellIs" dxfId="1611" priority="13" operator="equal">
      <formula>"X"</formula>
    </cfRule>
    <cfRule type="cellIs" dxfId="1610" priority="14" operator="equal">
      <formula>"I"</formula>
    </cfRule>
  </conditionalFormatting>
  <hyperlinks>
    <hyperlink ref="B3" location="'Cost Summary'!A1" display="BACK TO SUMMARY SHEET" xr:uid="{EF159137-9392-4EFE-89D8-93DF1B7DA2F6}"/>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B44B-8D38-4059-ABFF-02F5CEF84F5D}">
  <sheetPr>
    <tabColor rgb="FF92D050"/>
  </sheetPr>
  <dimension ref="A1:S135"/>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50"/>
      <c r="I2" s="750"/>
      <c r="J2" s="732"/>
      <c r="K2" s="732"/>
      <c r="L2" s="732"/>
      <c r="M2" s="732"/>
      <c r="N2" s="732"/>
      <c r="O2" s="732"/>
      <c r="P2" s="732"/>
      <c r="Q2" s="732"/>
      <c r="R2" s="732"/>
      <c r="S2" s="732"/>
    </row>
    <row r="3" spans="1:19" ht="20.25">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802</v>
      </c>
      <c r="C5" s="1124"/>
      <c r="D5" s="1124"/>
      <c r="E5" s="1124"/>
      <c r="F5" s="1124"/>
      <c r="G5" s="1125" t="s">
        <v>491</v>
      </c>
      <c r="H5" s="778"/>
      <c r="I5" s="1126"/>
      <c r="J5" s="778"/>
      <c r="K5" s="1126"/>
      <c r="L5" s="778"/>
      <c r="M5" s="1126"/>
      <c r="N5" s="778"/>
      <c r="O5" s="1126"/>
      <c r="P5" s="778"/>
      <c r="Q5" s="1126"/>
      <c r="R5" s="778"/>
      <c r="S5" s="1126"/>
    </row>
    <row r="6" spans="1:19">
      <c r="A6" s="627" t="s">
        <v>493</v>
      </c>
      <c r="B6" s="1127" t="s">
        <v>803</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c r="A8" s="414" t="s">
        <v>499</v>
      </c>
      <c r="B8" s="295"/>
      <c r="C8" s="184"/>
      <c r="D8" s="184"/>
      <c r="E8" s="184"/>
      <c r="F8" s="184"/>
      <c r="G8" s="419" t="s">
        <v>499</v>
      </c>
      <c r="H8" s="774">
        <f>I96</f>
        <v>0</v>
      </c>
      <c r="I8" s="775"/>
      <c r="J8" s="774">
        <f>K96</f>
        <v>0</v>
      </c>
      <c r="K8" s="775"/>
      <c r="L8" s="774">
        <f>M96</f>
        <v>0</v>
      </c>
      <c r="M8" s="775"/>
      <c r="N8" s="774">
        <f>O96</f>
        <v>0</v>
      </c>
      <c r="O8" s="775"/>
      <c r="P8" s="774">
        <f>Q96</f>
        <v>0</v>
      </c>
      <c r="Q8" s="775"/>
      <c r="R8" s="774">
        <f>S96</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523"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1363"/>
      <c r="B21" s="1136" t="s">
        <v>802</v>
      </c>
      <c r="C21" s="1134"/>
      <c r="D21" s="1124"/>
      <c r="E21" s="1124"/>
      <c r="F21" s="1124"/>
      <c r="G21" s="1133"/>
      <c r="H21" s="590"/>
      <c r="I21" s="1351"/>
      <c r="J21" s="590"/>
      <c r="K21" s="1351"/>
      <c r="L21" s="590"/>
      <c r="M21" s="1351"/>
      <c r="N21" s="590"/>
      <c r="O21" s="1351"/>
      <c r="P21" s="590"/>
      <c r="Q21" s="1351"/>
      <c r="R21" s="590"/>
      <c r="S21" s="1351"/>
    </row>
    <row r="22" spans="1:19" ht="15.75">
      <c r="A22" s="1524"/>
      <c r="B22" s="374" t="s">
        <v>512</v>
      </c>
      <c r="C22" s="1134"/>
      <c r="D22" s="1124"/>
      <c r="E22" s="1124"/>
      <c r="F22" s="1124"/>
      <c r="G22" s="1133"/>
      <c r="H22" s="590"/>
      <c r="I22" s="1525"/>
      <c r="J22" s="590"/>
      <c r="K22" s="1351"/>
      <c r="L22" s="590"/>
      <c r="M22" s="1351"/>
      <c r="N22" s="590"/>
      <c r="O22" s="1351"/>
      <c r="P22" s="590"/>
      <c r="Q22" s="1351"/>
      <c r="R22" s="590"/>
      <c r="S22" s="1351"/>
    </row>
    <row r="23" spans="1:19" ht="15.75" customHeight="1">
      <c r="A23" s="1363"/>
      <c r="B23" s="1422" t="s">
        <v>513</v>
      </c>
      <c r="C23" s="1134"/>
      <c r="D23" s="1124"/>
      <c r="E23" s="1124"/>
      <c r="F23" s="1124"/>
      <c r="G23" s="1133"/>
      <c r="H23" s="590"/>
      <c r="I23" s="1351"/>
      <c r="J23" s="590"/>
      <c r="K23" s="1351"/>
      <c r="L23" s="590"/>
      <c r="M23" s="1351"/>
      <c r="N23" s="590"/>
      <c r="O23" s="1351"/>
      <c r="P23" s="590"/>
      <c r="Q23" s="1351"/>
      <c r="R23" s="590"/>
      <c r="S23" s="1351"/>
    </row>
    <row r="24" spans="1:19">
      <c r="A24" s="1363"/>
      <c r="B24" s="1526" t="s">
        <v>514</v>
      </c>
      <c r="C24" s="1134"/>
      <c r="D24" s="1124"/>
      <c r="E24" s="1124"/>
      <c r="F24" s="1124"/>
      <c r="G24" s="1133"/>
      <c r="H24" s="590"/>
      <c r="I24" s="1350"/>
      <c r="J24" s="590"/>
      <c r="K24" s="1350"/>
      <c r="L24" s="590"/>
      <c r="M24" s="629"/>
      <c r="N24" s="590"/>
      <c r="O24" s="1350"/>
      <c r="P24" s="590"/>
      <c r="Q24" s="629"/>
      <c r="R24" s="590"/>
      <c r="S24" s="1350"/>
    </row>
    <row r="25" spans="1:19" ht="15.75" customHeight="1">
      <c r="A25" s="1363"/>
      <c r="B25" s="1527" t="s">
        <v>515</v>
      </c>
      <c r="C25" s="1134"/>
      <c r="D25" s="1124"/>
      <c r="E25" s="1124"/>
      <c r="F25" s="1124"/>
      <c r="G25" s="1133"/>
      <c r="H25" s="590"/>
      <c r="I25" s="1350"/>
      <c r="J25" s="590"/>
      <c r="K25" s="1350"/>
      <c r="L25" s="590"/>
      <c r="M25" s="160"/>
      <c r="N25" s="590"/>
      <c r="O25" s="1350"/>
      <c r="P25" s="590"/>
      <c r="Q25" s="160"/>
      <c r="R25" s="590"/>
      <c r="S25" s="1350"/>
    </row>
    <row r="26" spans="1:19">
      <c r="A26" s="1363"/>
      <c r="B26" s="1527" t="s">
        <v>516</v>
      </c>
      <c r="C26" s="1228"/>
      <c r="D26" s="1426"/>
      <c r="E26" s="1124"/>
      <c r="F26" s="1124"/>
      <c r="G26" s="1133"/>
      <c r="H26" s="590"/>
      <c r="I26" s="1350"/>
      <c r="J26" s="590"/>
      <c r="K26" s="1351"/>
      <c r="L26" s="590"/>
      <c r="M26" s="618"/>
      <c r="N26" s="590"/>
      <c r="O26" s="1351"/>
      <c r="P26" s="590"/>
      <c r="Q26" s="618"/>
      <c r="R26" s="590"/>
      <c r="S26" s="1351"/>
    </row>
    <row r="27" spans="1:19">
      <c r="A27" s="1363"/>
      <c r="B27" s="1527" t="s">
        <v>517</v>
      </c>
      <c r="C27" s="1228"/>
      <c r="D27" s="1426"/>
      <c r="E27" s="1124"/>
      <c r="F27" s="1124"/>
      <c r="G27" s="1133"/>
      <c r="H27" s="590"/>
      <c r="I27" s="1350"/>
      <c r="J27" s="590"/>
      <c r="K27" s="1351"/>
      <c r="L27" s="590"/>
      <c r="M27" s="618"/>
      <c r="N27" s="590"/>
      <c r="O27" s="1351"/>
      <c r="P27" s="590"/>
      <c r="Q27" s="618"/>
      <c r="R27" s="590"/>
      <c r="S27" s="1351"/>
    </row>
    <row r="28" spans="1:19">
      <c r="A28" s="1363"/>
      <c r="B28" s="1527" t="s">
        <v>518</v>
      </c>
      <c r="C28" s="1228"/>
      <c r="D28" s="1426"/>
      <c r="E28" s="1124"/>
      <c r="F28" s="1124"/>
      <c r="G28" s="1133"/>
      <c r="H28" s="590"/>
      <c r="I28" s="1350"/>
      <c r="J28" s="590"/>
      <c r="K28" s="1351"/>
      <c r="L28" s="590"/>
      <c r="M28" s="618"/>
      <c r="N28" s="590"/>
      <c r="O28" s="1351"/>
      <c r="P28" s="590"/>
      <c r="Q28" s="618"/>
      <c r="R28" s="590"/>
      <c r="S28" s="1351"/>
    </row>
    <row r="29" spans="1:19">
      <c r="A29" s="1363"/>
      <c r="B29" s="1527" t="s">
        <v>693</v>
      </c>
      <c r="C29" s="1228"/>
      <c r="D29" s="1426"/>
      <c r="E29" s="1124"/>
      <c r="F29" s="1124"/>
      <c r="G29" s="1133"/>
      <c r="H29" s="590"/>
      <c r="I29" s="1350"/>
      <c r="J29" s="590"/>
      <c r="K29" s="1351"/>
      <c r="L29" s="590"/>
      <c r="M29" s="618"/>
      <c r="N29" s="590"/>
      <c r="O29" s="1351"/>
      <c r="P29" s="590"/>
      <c r="Q29" s="618"/>
      <c r="R29" s="590"/>
      <c r="S29" s="1351"/>
    </row>
    <row r="30" spans="1:19">
      <c r="A30" s="1363"/>
      <c r="B30" s="1510" t="s">
        <v>519</v>
      </c>
      <c r="C30" s="1228"/>
      <c r="D30" s="1426"/>
      <c r="E30" s="1124"/>
      <c r="F30" s="1124"/>
      <c r="G30" s="1133"/>
      <c r="H30" s="590"/>
      <c r="I30" s="1350"/>
      <c r="J30" s="590"/>
      <c r="K30" s="1351"/>
      <c r="L30" s="590"/>
      <c r="M30" s="618"/>
      <c r="N30" s="590"/>
      <c r="O30" s="1351"/>
      <c r="P30" s="590"/>
      <c r="Q30" s="618"/>
      <c r="R30" s="590"/>
      <c r="S30" s="1351"/>
    </row>
    <row r="31" spans="1:19">
      <c r="A31" s="1363"/>
      <c r="B31" s="1511" t="s">
        <v>520</v>
      </c>
      <c r="C31" s="1474"/>
      <c r="D31" s="1475"/>
      <c r="E31" s="1145"/>
      <c r="F31" s="1145"/>
      <c r="G31" s="1147"/>
      <c r="H31" s="619"/>
      <c r="I31" s="1512"/>
      <c r="J31" s="619"/>
      <c r="K31" s="1513"/>
      <c r="L31" s="1478"/>
      <c r="M31" s="635"/>
      <c r="N31" s="1479"/>
      <c r="O31" s="1513"/>
      <c r="P31" s="1478"/>
      <c r="Q31" s="635"/>
      <c r="R31" s="1479"/>
      <c r="S31" s="1513"/>
    </row>
    <row r="32" spans="1:19">
      <c r="A32" s="1363"/>
      <c r="B32" s="1532" t="s">
        <v>748</v>
      </c>
      <c r="C32" s="1228"/>
      <c r="D32" s="1426"/>
      <c r="E32" s="1124"/>
      <c r="F32" s="1124"/>
      <c r="G32" s="1133"/>
      <c r="H32" s="590"/>
      <c r="I32" s="1350"/>
      <c r="J32" s="590"/>
      <c r="K32" s="1351"/>
      <c r="L32" s="590"/>
      <c r="M32" s="618"/>
      <c r="N32" s="590"/>
      <c r="O32" s="1351"/>
      <c r="P32" s="590"/>
      <c r="Q32" s="618"/>
      <c r="R32" s="590"/>
      <c r="S32" s="1351"/>
    </row>
    <row r="33" spans="1:19">
      <c r="A33" s="1363"/>
      <c r="B33" s="1481"/>
      <c r="C33" s="1228"/>
      <c r="D33" s="1426"/>
      <c r="E33" s="1124"/>
      <c r="F33" s="1124"/>
      <c r="G33" s="1133"/>
      <c r="H33" s="590"/>
      <c r="I33" s="1350"/>
      <c r="J33" s="590"/>
      <c r="K33" s="1351"/>
      <c r="L33" s="590"/>
      <c r="M33" s="618"/>
      <c r="N33" s="590"/>
      <c r="O33" s="1351"/>
      <c r="P33" s="590"/>
      <c r="Q33" s="618"/>
      <c r="R33" s="590"/>
      <c r="S33" s="1351"/>
    </row>
    <row r="34" spans="1:19">
      <c r="A34" s="1363"/>
      <c r="B34" s="1482" t="s">
        <v>754</v>
      </c>
      <c r="C34" s="1228"/>
      <c r="D34" s="1426"/>
      <c r="E34" s="1124"/>
      <c r="F34" s="1124"/>
      <c r="G34" s="1133"/>
      <c r="H34" s="590"/>
      <c r="I34" s="1350"/>
      <c r="J34" s="590"/>
      <c r="K34" s="1351"/>
      <c r="L34" s="590"/>
      <c r="M34" s="618"/>
      <c r="N34" s="590"/>
      <c r="O34" s="1351"/>
      <c r="P34" s="590"/>
      <c r="Q34" s="618"/>
      <c r="R34" s="590"/>
      <c r="S34" s="1351"/>
    </row>
    <row r="35" spans="1:19">
      <c r="A35" s="1363"/>
      <c r="B35" s="1483" t="s">
        <v>755</v>
      </c>
      <c r="C35" s="1228"/>
      <c r="D35" s="1426"/>
      <c r="E35" s="1124"/>
      <c r="F35" s="1124"/>
      <c r="G35" s="1133"/>
      <c r="H35" s="590"/>
      <c r="I35" s="1350"/>
      <c r="J35" s="590"/>
      <c r="K35" s="1351"/>
      <c r="L35" s="590"/>
      <c r="M35" s="618"/>
      <c r="N35" s="590"/>
      <c r="O35" s="1351"/>
      <c r="P35" s="590"/>
      <c r="Q35" s="618"/>
      <c r="R35" s="590"/>
      <c r="S35" s="1351"/>
    </row>
    <row r="36" spans="1:19">
      <c r="A36" s="1363"/>
      <c r="B36" s="1483" t="s">
        <v>756</v>
      </c>
      <c r="C36" s="1228"/>
      <c r="D36" s="1426"/>
      <c r="E36" s="1124"/>
      <c r="F36" s="1124"/>
      <c r="G36" s="1133"/>
      <c r="H36" s="590"/>
      <c r="I36" s="1350"/>
      <c r="J36" s="590"/>
      <c r="K36" s="1351"/>
      <c r="L36" s="590"/>
      <c r="M36" s="618"/>
      <c r="N36" s="590"/>
      <c r="O36" s="1351"/>
      <c r="P36" s="590"/>
      <c r="Q36" s="618"/>
      <c r="R36" s="590"/>
      <c r="S36" s="1351"/>
    </row>
    <row r="37" spans="1:19">
      <c r="A37" s="1363"/>
      <c r="B37" s="1483" t="s">
        <v>757</v>
      </c>
      <c r="C37" s="1228"/>
      <c r="D37" s="1426"/>
      <c r="E37" s="1124"/>
      <c r="F37" s="1124"/>
      <c r="G37" s="1133"/>
      <c r="H37" s="590"/>
      <c r="I37" s="1350"/>
      <c r="J37" s="590"/>
      <c r="K37" s="1351"/>
      <c r="L37" s="590"/>
      <c r="M37" s="618"/>
      <c r="N37" s="590"/>
      <c r="O37" s="1351"/>
      <c r="P37" s="590"/>
      <c r="Q37" s="618"/>
      <c r="R37" s="590"/>
      <c r="S37" s="1351"/>
    </row>
    <row r="38" spans="1:19">
      <c r="A38" s="1363"/>
      <c r="B38" s="1483" t="s">
        <v>758</v>
      </c>
      <c r="C38" s="1228"/>
      <c r="D38" s="1426"/>
      <c r="E38" s="1124"/>
      <c r="F38" s="1124"/>
      <c r="G38" s="1133"/>
      <c r="H38" s="590"/>
      <c r="I38" s="1350"/>
      <c r="J38" s="590"/>
      <c r="K38" s="1351"/>
      <c r="L38" s="590"/>
      <c r="M38" s="618"/>
      <c r="N38" s="590"/>
      <c r="O38" s="1351"/>
      <c r="P38" s="590"/>
      <c r="Q38" s="618"/>
      <c r="R38" s="590"/>
      <c r="S38" s="1351"/>
    </row>
    <row r="39" spans="1:19">
      <c r="A39" s="1363"/>
      <c r="B39" s="1483" t="s">
        <v>759</v>
      </c>
      <c r="C39" s="1228"/>
      <c r="D39" s="1426"/>
      <c r="E39" s="1124"/>
      <c r="F39" s="1124"/>
      <c r="G39" s="1133"/>
      <c r="H39" s="590"/>
      <c r="I39" s="1350"/>
      <c r="J39" s="590"/>
      <c r="K39" s="1351"/>
      <c r="L39" s="590"/>
      <c r="M39" s="618"/>
      <c r="N39" s="590"/>
      <c r="O39" s="1351"/>
      <c r="P39" s="590"/>
      <c r="Q39" s="618"/>
      <c r="R39" s="590"/>
      <c r="S39" s="1351"/>
    </row>
    <row r="40" spans="1:19">
      <c r="A40" s="1363"/>
      <c r="B40" s="1483" t="s">
        <v>760</v>
      </c>
      <c r="C40" s="1228"/>
      <c r="D40" s="1426"/>
      <c r="E40" s="1124"/>
      <c r="F40" s="1124"/>
      <c r="G40" s="1133"/>
      <c r="H40" s="590"/>
      <c r="I40" s="1350"/>
      <c r="J40" s="590"/>
      <c r="K40" s="1351"/>
      <c r="L40" s="590"/>
      <c r="M40" s="618"/>
      <c r="N40" s="590"/>
      <c r="O40" s="1351"/>
      <c r="P40" s="590"/>
      <c r="Q40" s="618"/>
      <c r="R40" s="590"/>
      <c r="S40" s="1351"/>
    </row>
    <row r="41" spans="1:19">
      <c r="A41" s="1363"/>
      <c r="B41" s="1483" t="s">
        <v>761</v>
      </c>
      <c r="C41" s="1228"/>
      <c r="D41" s="1426"/>
      <c r="E41" s="1124"/>
      <c r="F41" s="1124"/>
      <c r="G41" s="1133"/>
      <c r="H41" s="590"/>
      <c r="I41" s="1350"/>
      <c r="J41" s="590"/>
      <c r="K41" s="1351"/>
      <c r="L41" s="590"/>
      <c r="M41" s="618"/>
      <c r="N41" s="590"/>
      <c r="O41" s="1351"/>
      <c r="P41" s="590"/>
      <c r="Q41" s="618"/>
      <c r="R41" s="590"/>
      <c r="S41" s="1351"/>
    </row>
    <row r="42" spans="1:19">
      <c r="A42" s="1363"/>
      <c r="B42" s="1483" t="s">
        <v>762</v>
      </c>
      <c r="C42" s="1228"/>
      <c r="D42" s="1426"/>
      <c r="E42" s="1124"/>
      <c r="F42" s="1124"/>
      <c r="G42" s="1133"/>
      <c r="H42" s="590" t="s">
        <v>710</v>
      </c>
      <c r="I42" s="1350"/>
      <c r="J42" s="590"/>
      <c r="K42" s="1351"/>
      <c r="L42" s="590"/>
      <c r="M42" s="618"/>
      <c r="N42" s="590"/>
      <c r="O42" s="1351"/>
      <c r="P42" s="590"/>
      <c r="Q42" s="618"/>
      <c r="R42" s="590"/>
      <c r="S42" s="1351"/>
    </row>
    <row r="43" spans="1:19">
      <c r="A43" s="1363"/>
      <c r="B43" s="1483"/>
      <c r="C43" s="1228"/>
      <c r="D43" s="1426"/>
      <c r="E43" s="1124"/>
      <c r="F43" s="1124"/>
      <c r="G43" s="1133"/>
      <c r="H43" s="590"/>
      <c r="I43" s="1350"/>
      <c r="J43" s="590"/>
      <c r="K43" s="1351"/>
      <c r="L43" s="590"/>
      <c r="M43" s="618"/>
      <c r="N43" s="590"/>
      <c r="O43" s="1351"/>
      <c r="P43" s="590"/>
      <c r="Q43" s="618"/>
      <c r="R43" s="590"/>
      <c r="S43" s="1351"/>
    </row>
    <row r="44" spans="1:19">
      <c r="A44" s="1363"/>
      <c r="B44" s="1482" t="s">
        <v>763</v>
      </c>
      <c r="C44" s="1228"/>
      <c r="D44" s="1426"/>
      <c r="E44" s="1124"/>
      <c r="F44" s="1124"/>
      <c r="G44" s="1133"/>
      <c r="H44" s="590"/>
      <c r="I44" s="1350"/>
      <c r="J44" s="590"/>
      <c r="K44" s="1351"/>
      <c r="L44" s="590"/>
      <c r="M44" s="618"/>
      <c r="N44" s="590"/>
      <c r="O44" s="1351"/>
      <c r="P44" s="590"/>
      <c r="Q44" s="618"/>
      <c r="R44" s="590"/>
      <c r="S44" s="1351"/>
    </row>
    <row r="45" spans="1:19">
      <c r="A45" s="1363"/>
      <c r="B45" s="1483" t="s">
        <v>764</v>
      </c>
      <c r="C45" s="1228"/>
      <c r="D45" s="1426"/>
      <c r="E45" s="1124"/>
      <c r="F45" s="1124"/>
      <c r="G45" s="1133"/>
      <c r="H45" s="590"/>
      <c r="I45" s="1350"/>
      <c r="J45" s="590"/>
      <c r="K45" s="1351"/>
      <c r="L45" s="590"/>
      <c r="M45" s="618"/>
      <c r="N45" s="590"/>
      <c r="O45" s="1351"/>
      <c r="P45" s="590"/>
      <c r="Q45" s="618"/>
      <c r="R45" s="590"/>
      <c r="S45" s="1351"/>
    </row>
    <row r="46" spans="1:19">
      <c r="A46" s="1363"/>
      <c r="B46" s="1483" t="s">
        <v>765</v>
      </c>
      <c r="C46" s="1228"/>
      <c r="D46" s="1426"/>
      <c r="E46" s="1124"/>
      <c r="F46" s="1124"/>
      <c r="G46" s="1133"/>
      <c r="H46" s="590"/>
      <c r="I46" s="1350"/>
      <c r="J46" s="590"/>
      <c r="K46" s="1351"/>
      <c r="L46" s="590"/>
      <c r="M46" s="618"/>
      <c r="N46" s="590"/>
      <c r="O46" s="1351"/>
      <c r="P46" s="590"/>
      <c r="Q46" s="618"/>
      <c r="R46" s="590"/>
      <c r="S46" s="1351"/>
    </row>
    <row r="47" spans="1:19">
      <c r="A47" s="1363"/>
      <c r="B47" s="1483" t="s">
        <v>766</v>
      </c>
      <c r="C47" s="1228"/>
      <c r="D47" s="1426"/>
      <c r="E47" s="1124"/>
      <c r="F47" s="1124"/>
      <c r="G47" s="1133"/>
      <c r="H47" s="590"/>
      <c r="I47" s="1350"/>
      <c r="J47" s="590"/>
      <c r="K47" s="1351"/>
      <c r="L47" s="590"/>
      <c r="M47" s="618"/>
      <c r="N47" s="590"/>
      <c r="O47" s="1351"/>
      <c r="P47" s="590"/>
      <c r="Q47" s="618"/>
      <c r="R47" s="590"/>
      <c r="S47" s="1351"/>
    </row>
    <row r="48" spans="1:19">
      <c r="A48" s="1363"/>
      <c r="B48" s="1483" t="s">
        <v>767</v>
      </c>
      <c r="C48" s="1228"/>
      <c r="D48" s="1426"/>
      <c r="E48" s="1124"/>
      <c r="F48" s="1124"/>
      <c r="G48" s="1133"/>
      <c r="H48" s="590"/>
      <c r="I48" s="1350"/>
      <c r="J48" s="590"/>
      <c r="K48" s="1351"/>
      <c r="L48" s="590"/>
      <c r="M48" s="618"/>
      <c r="N48" s="590"/>
      <c r="O48" s="1351"/>
      <c r="P48" s="590"/>
      <c r="Q48" s="618"/>
      <c r="R48" s="590"/>
      <c r="S48" s="1351"/>
    </row>
    <row r="49" spans="1:19">
      <c r="A49" s="1363"/>
      <c r="B49" s="1483" t="s">
        <v>768</v>
      </c>
      <c r="C49" s="1228"/>
      <c r="D49" s="1426"/>
      <c r="E49" s="1124"/>
      <c r="F49" s="1124"/>
      <c r="G49" s="1133"/>
      <c r="H49" s="590"/>
      <c r="I49" s="1350"/>
      <c r="J49" s="590"/>
      <c r="K49" s="1351"/>
      <c r="L49" s="590"/>
      <c r="M49" s="618"/>
      <c r="N49" s="590"/>
      <c r="O49" s="1351"/>
      <c r="P49" s="590"/>
      <c r="Q49" s="618"/>
      <c r="R49" s="590"/>
      <c r="S49" s="1351"/>
    </row>
    <row r="50" spans="1:19">
      <c r="A50" s="1363"/>
      <c r="B50" s="1483" t="s">
        <v>769</v>
      </c>
      <c r="C50" s="1228"/>
      <c r="D50" s="1426"/>
      <c r="E50" s="1124"/>
      <c r="F50" s="1124"/>
      <c r="G50" s="1133"/>
      <c r="H50" s="590"/>
      <c r="I50" s="1350"/>
      <c r="J50" s="590"/>
      <c r="K50" s="1351"/>
      <c r="L50" s="590"/>
      <c r="M50" s="618"/>
      <c r="N50" s="590"/>
      <c r="O50" s="1351"/>
      <c r="P50" s="590"/>
      <c r="Q50" s="618"/>
      <c r="R50" s="590"/>
      <c r="S50" s="1351"/>
    </row>
    <row r="51" spans="1:19">
      <c r="A51" s="1363"/>
      <c r="B51" s="1483" t="s">
        <v>770</v>
      </c>
      <c r="C51" s="1228"/>
      <c r="D51" s="1426"/>
      <c r="E51" s="1124"/>
      <c r="F51" s="1124"/>
      <c r="G51" s="1133"/>
      <c r="H51" s="590"/>
      <c r="I51" s="1350"/>
      <c r="J51" s="590"/>
      <c r="K51" s="1351"/>
      <c r="L51" s="590"/>
      <c r="M51" s="618"/>
      <c r="N51" s="590"/>
      <c r="O51" s="1351"/>
      <c r="P51" s="590"/>
      <c r="Q51" s="618"/>
      <c r="R51" s="590"/>
      <c r="S51" s="1351"/>
    </row>
    <row r="52" spans="1:19">
      <c r="A52" s="1363"/>
      <c r="B52" s="1483" t="s">
        <v>771</v>
      </c>
      <c r="C52" s="1228"/>
      <c r="D52" s="1426"/>
      <c r="E52" s="1124"/>
      <c r="F52" s="1124"/>
      <c r="G52" s="1133"/>
      <c r="H52" s="590"/>
      <c r="I52" s="1350"/>
      <c r="J52" s="590"/>
      <c r="K52" s="1351"/>
      <c r="L52" s="590"/>
      <c r="M52" s="618"/>
      <c r="N52" s="590"/>
      <c r="O52" s="1351"/>
      <c r="P52" s="590"/>
      <c r="Q52" s="618"/>
      <c r="R52" s="590"/>
      <c r="S52" s="1351"/>
    </row>
    <row r="53" spans="1:19">
      <c r="A53" s="1363"/>
      <c r="B53" s="1483" t="s">
        <v>772</v>
      </c>
      <c r="C53" s="1228"/>
      <c r="D53" s="1426"/>
      <c r="E53" s="1124"/>
      <c r="F53" s="1124"/>
      <c r="G53" s="1133"/>
      <c r="H53" s="590"/>
      <c r="I53" s="1350"/>
      <c r="J53" s="590"/>
      <c r="K53" s="1351"/>
      <c r="L53" s="590"/>
      <c r="M53" s="618"/>
      <c r="N53" s="590"/>
      <c r="O53" s="1351"/>
      <c r="P53" s="590"/>
      <c r="Q53" s="618"/>
      <c r="R53" s="590"/>
      <c r="S53" s="1351"/>
    </row>
    <row r="54" spans="1:19">
      <c r="A54" s="1363"/>
      <c r="B54" s="1483" t="s">
        <v>773</v>
      </c>
      <c r="C54" s="1228"/>
      <c r="D54" s="1426"/>
      <c r="E54" s="1124"/>
      <c r="F54" s="1124"/>
      <c r="G54" s="1133"/>
      <c r="H54" s="590"/>
      <c r="I54" s="1350"/>
      <c r="J54" s="590"/>
      <c r="K54" s="1351"/>
      <c r="L54" s="590"/>
      <c r="M54" s="618"/>
      <c r="N54" s="590"/>
      <c r="O54" s="1351"/>
      <c r="P54" s="590"/>
      <c r="Q54" s="618"/>
      <c r="R54" s="590"/>
      <c r="S54" s="1351"/>
    </row>
    <row r="55" spans="1:19">
      <c r="A55" s="1363"/>
      <c r="B55" s="1483" t="s">
        <v>774</v>
      </c>
      <c r="C55" s="1228"/>
      <c r="D55" s="1426"/>
      <c r="E55" s="1124"/>
      <c r="F55" s="1124"/>
      <c r="G55" s="1133"/>
      <c r="H55" s="590"/>
      <c r="I55" s="1350"/>
      <c r="J55" s="590"/>
      <c r="K55" s="1351"/>
      <c r="L55" s="590"/>
      <c r="M55" s="618"/>
      <c r="N55" s="590"/>
      <c r="O55" s="1351"/>
      <c r="P55" s="590"/>
      <c r="Q55" s="618"/>
      <c r="R55" s="590"/>
      <c r="S55" s="1351"/>
    </row>
    <row r="56" spans="1:19">
      <c r="A56" s="1363"/>
      <c r="B56" s="1483"/>
      <c r="C56" s="1228"/>
      <c r="D56" s="1426"/>
      <c r="E56" s="1124"/>
      <c r="F56" s="1124"/>
      <c r="G56" s="1133"/>
      <c r="H56" s="590"/>
      <c r="I56" s="1350"/>
      <c r="J56" s="590"/>
      <c r="K56" s="1351"/>
      <c r="L56" s="590"/>
      <c r="M56" s="618"/>
      <c r="N56" s="590"/>
      <c r="O56" s="1351"/>
      <c r="P56" s="590"/>
      <c r="Q56" s="618"/>
      <c r="R56" s="590"/>
      <c r="S56" s="1351"/>
    </row>
    <row r="57" spans="1:19">
      <c r="A57" s="1363"/>
      <c r="B57" s="1482" t="s">
        <v>775</v>
      </c>
      <c r="C57" s="1228"/>
      <c r="D57" s="1426"/>
      <c r="E57" s="1124"/>
      <c r="F57" s="1124"/>
      <c r="G57" s="1133"/>
      <c r="H57" s="590"/>
      <c r="I57" s="1351"/>
      <c r="J57" s="590"/>
      <c r="K57" s="1351"/>
      <c r="L57" s="590"/>
      <c r="M57" s="618"/>
      <c r="N57" s="590"/>
      <c r="O57" s="1351"/>
      <c r="P57" s="590"/>
      <c r="Q57" s="618"/>
      <c r="R57" s="590"/>
      <c r="S57" s="1351"/>
    </row>
    <row r="58" spans="1:19">
      <c r="A58" s="1363"/>
      <c r="B58" s="1483" t="s">
        <v>776</v>
      </c>
      <c r="C58" s="1228"/>
      <c r="D58" s="1426"/>
      <c r="E58" s="1124"/>
      <c r="F58" s="1124"/>
      <c r="G58" s="1133"/>
      <c r="H58" s="590"/>
      <c r="I58" s="1351"/>
      <c r="J58" s="590"/>
      <c r="K58" s="1351"/>
      <c r="L58" s="590"/>
      <c r="M58" s="618"/>
      <c r="N58" s="590"/>
      <c r="O58" s="1351"/>
      <c r="P58" s="590"/>
      <c r="Q58" s="618"/>
      <c r="R58" s="590"/>
      <c r="S58" s="1351"/>
    </row>
    <row r="59" spans="1:19">
      <c r="A59" s="1363"/>
      <c r="B59" s="1483" t="s">
        <v>777</v>
      </c>
      <c r="C59" s="1228"/>
      <c r="D59" s="1426"/>
      <c r="E59" s="1124"/>
      <c r="F59" s="1124"/>
      <c r="G59" s="1133"/>
      <c r="H59" s="590"/>
      <c r="I59" s="1351"/>
      <c r="J59" s="590"/>
      <c r="K59" s="1351"/>
      <c r="L59" s="590"/>
      <c r="M59" s="618"/>
      <c r="N59" s="590"/>
      <c r="O59" s="1351"/>
      <c r="P59" s="590"/>
      <c r="Q59" s="618"/>
      <c r="R59" s="590"/>
      <c r="S59" s="1351"/>
    </row>
    <row r="60" spans="1:19">
      <c r="A60" s="1363"/>
      <c r="B60" s="1483" t="s">
        <v>778</v>
      </c>
      <c r="C60" s="1228"/>
      <c r="D60" s="1426"/>
      <c r="E60" s="1124"/>
      <c r="F60" s="1124"/>
      <c r="G60" s="1133"/>
      <c r="H60" s="590"/>
      <c r="I60" s="1351"/>
      <c r="J60" s="590"/>
      <c r="K60" s="1351"/>
      <c r="L60" s="590"/>
      <c r="M60" s="618"/>
      <c r="N60" s="590"/>
      <c r="O60" s="1351"/>
      <c r="P60" s="590"/>
      <c r="Q60" s="618"/>
      <c r="R60" s="590"/>
      <c r="S60" s="1351"/>
    </row>
    <row r="61" spans="1:19">
      <c r="A61" s="1363"/>
      <c r="B61" s="1483" t="s">
        <v>779</v>
      </c>
      <c r="C61" s="1228"/>
      <c r="D61" s="1426"/>
      <c r="E61" s="1124"/>
      <c r="F61" s="1124"/>
      <c r="G61" s="1133"/>
      <c r="H61" s="590"/>
      <c r="I61" s="1351"/>
      <c r="J61" s="590"/>
      <c r="K61" s="1351"/>
      <c r="L61" s="590"/>
      <c r="M61" s="618"/>
      <c r="N61" s="590"/>
      <c r="O61" s="1351"/>
      <c r="P61" s="590"/>
      <c r="Q61" s="618"/>
      <c r="R61" s="590"/>
      <c r="S61" s="1351"/>
    </row>
    <row r="62" spans="1:19">
      <c r="A62" s="1363"/>
      <c r="B62" s="1483" t="s">
        <v>780</v>
      </c>
      <c r="C62" s="1228"/>
      <c r="D62" s="1426"/>
      <c r="E62" s="1124"/>
      <c r="F62" s="1124"/>
      <c r="G62" s="1133"/>
      <c r="H62" s="590"/>
      <c r="I62" s="1351"/>
      <c r="J62" s="590"/>
      <c r="K62" s="1351"/>
      <c r="L62" s="590"/>
      <c r="M62" s="618"/>
      <c r="N62" s="590"/>
      <c r="O62" s="1351"/>
      <c r="P62" s="590"/>
      <c r="Q62" s="618"/>
      <c r="R62" s="590"/>
      <c r="S62" s="1351"/>
    </row>
    <row r="63" spans="1:19">
      <c r="A63" s="1363"/>
      <c r="B63" s="1483" t="s">
        <v>781</v>
      </c>
      <c r="C63" s="1228"/>
      <c r="D63" s="1426"/>
      <c r="E63" s="1124"/>
      <c r="F63" s="1124"/>
      <c r="G63" s="1133"/>
      <c r="H63" s="590"/>
      <c r="I63" s="1351"/>
      <c r="J63" s="590"/>
      <c r="K63" s="1351"/>
      <c r="L63" s="590"/>
      <c r="M63" s="618"/>
      <c r="N63" s="590"/>
      <c r="O63" s="1351"/>
      <c r="P63" s="590"/>
      <c r="Q63" s="618"/>
      <c r="R63" s="590"/>
      <c r="S63" s="1351"/>
    </row>
    <row r="64" spans="1:19">
      <c r="A64" s="1363"/>
      <c r="B64" s="1483" t="s">
        <v>782</v>
      </c>
      <c r="C64" s="1228"/>
      <c r="D64" s="1426"/>
      <c r="E64" s="1124"/>
      <c r="F64" s="1124"/>
      <c r="G64" s="1133"/>
      <c r="H64" s="590"/>
      <c r="I64" s="1351"/>
      <c r="J64" s="590"/>
      <c r="K64" s="1351"/>
      <c r="L64" s="590"/>
      <c r="M64" s="618"/>
      <c r="N64" s="590"/>
      <c r="O64" s="1351"/>
      <c r="P64" s="590"/>
      <c r="Q64" s="618"/>
      <c r="R64" s="590"/>
      <c r="S64" s="1351"/>
    </row>
    <row r="65" spans="1:19">
      <c r="A65" s="1363"/>
      <c r="B65" s="1483" t="s">
        <v>783</v>
      </c>
      <c r="C65" s="1228"/>
      <c r="D65" s="1426"/>
      <c r="E65" s="1124"/>
      <c r="F65" s="1124"/>
      <c r="G65" s="1133"/>
      <c r="H65" s="590"/>
      <c r="I65" s="1351"/>
      <c r="J65" s="590"/>
      <c r="K65" s="1351"/>
      <c r="L65" s="590"/>
      <c r="M65" s="618"/>
      <c r="N65" s="590"/>
      <c r="O65" s="1351"/>
      <c r="P65" s="590"/>
      <c r="Q65" s="618"/>
      <c r="R65" s="590"/>
      <c r="S65" s="1351"/>
    </row>
    <row r="66" spans="1:19">
      <c r="A66" s="1363"/>
      <c r="B66" s="1483" t="s">
        <v>784</v>
      </c>
      <c r="C66" s="1228"/>
      <c r="D66" s="1426"/>
      <c r="E66" s="1124"/>
      <c r="F66" s="1124"/>
      <c r="G66" s="1133"/>
      <c r="H66" s="590"/>
      <c r="I66" s="1351"/>
      <c r="J66" s="590"/>
      <c r="K66" s="1351"/>
      <c r="L66" s="590"/>
      <c r="M66" s="618"/>
      <c r="N66" s="590"/>
      <c r="O66" s="1351"/>
      <c r="P66" s="590"/>
      <c r="Q66" s="618"/>
      <c r="R66" s="590"/>
      <c r="S66" s="1351"/>
    </row>
    <row r="67" spans="1:19">
      <c r="A67" s="1363"/>
      <c r="B67" s="1483" t="s">
        <v>785</v>
      </c>
      <c r="C67" s="1228"/>
      <c r="D67" s="1426"/>
      <c r="E67" s="1124"/>
      <c r="F67" s="1124"/>
      <c r="G67" s="1133"/>
      <c r="H67" s="590"/>
      <c r="I67" s="1351"/>
      <c r="J67" s="590"/>
      <c r="K67" s="1351"/>
      <c r="L67" s="590"/>
      <c r="M67" s="618"/>
      <c r="N67" s="590"/>
      <c r="O67" s="1351"/>
      <c r="P67" s="590"/>
      <c r="Q67" s="618"/>
      <c r="R67" s="590"/>
      <c r="S67" s="1351"/>
    </row>
    <row r="68" spans="1:19">
      <c r="A68" s="1363"/>
      <c r="B68" s="1483" t="s">
        <v>786</v>
      </c>
      <c r="C68" s="1228"/>
      <c r="D68" s="1426"/>
      <c r="E68" s="1124"/>
      <c r="F68" s="1124"/>
      <c r="G68" s="1133"/>
      <c r="H68" s="590"/>
      <c r="I68" s="1351"/>
      <c r="J68" s="590"/>
      <c r="K68" s="1351"/>
      <c r="L68" s="590"/>
      <c r="M68" s="618"/>
      <c r="N68" s="590"/>
      <c r="O68" s="1351"/>
      <c r="P68" s="590"/>
      <c r="Q68" s="618"/>
      <c r="R68" s="590"/>
      <c r="S68" s="1351"/>
    </row>
    <row r="69" spans="1:19">
      <c r="A69" s="1363"/>
      <c r="B69" s="1483" t="s">
        <v>787</v>
      </c>
      <c r="C69" s="1228"/>
      <c r="D69" s="1426"/>
      <c r="E69" s="1124"/>
      <c r="F69" s="1124"/>
      <c r="G69" s="1133"/>
      <c r="H69" s="590"/>
      <c r="I69" s="1351"/>
      <c r="J69" s="590"/>
      <c r="K69" s="1351"/>
      <c r="L69" s="590"/>
      <c r="M69" s="618"/>
      <c r="N69" s="590"/>
      <c r="O69" s="1351"/>
      <c r="P69" s="590"/>
      <c r="Q69" s="618"/>
      <c r="R69" s="590"/>
      <c r="S69" s="1351"/>
    </row>
    <row r="70" spans="1:19">
      <c r="A70" s="1363"/>
      <c r="B70" s="1483" t="s">
        <v>788</v>
      </c>
      <c r="C70" s="1228"/>
      <c r="D70" s="1426"/>
      <c r="E70" s="1124"/>
      <c r="F70" s="1124"/>
      <c r="G70" s="1133"/>
      <c r="H70" s="590"/>
      <c r="I70" s="1351"/>
      <c r="J70" s="590"/>
      <c r="K70" s="1351"/>
      <c r="L70" s="590"/>
      <c r="M70" s="618"/>
      <c r="N70" s="590"/>
      <c r="O70" s="1351"/>
      <c r="P70" s="590"/>
      <c r="Q70" s="618"/>
      <c r="R70" s="590"/>
      <c r="S70" s="1351"/>
    </row>
    <row r="71" spans="1:19">
      <c r="A71" s="1363"/>
      <c r="B71" s="1483" t="s">
        <v>789</v>
      </c>
      <c r="C71" s="1228"/>
      <c r="D71" s="1426"/>
      <c r="E71" s="1124"/>
      <c r="F71" s="1124"/>
      <c r="G71" s="1133"/>
      <c r="H71" s="590"/>
      <c r="I71" s="1351"/>
      <c r="J71" s="590"/>
      <c r="K71" s="1351"/>
      <c r="L71" s="590"/>
      <c r="M71" s="618"/>
      <c r="N71" s="590"/>
      <c r="O71" s="1351"/>
      <c r="P71" s="590"/>
      <c r="Q71" s="618"/>
      <c r="R71" s="590"/>
      <c r="S71" s="1351"/>
    </row>
    <row r="72" spans="1:19">
      <c r="A72" s="1363"/>
      <c r="B72" s="1483" t="s">
        <v>790</v>
      </c>
      <c r="C72" s="1228"/>
      <c r="D72" s="1426"/>
      <c r="E72" s="1124"/>
      <c r="F72" s="1124"/>
      <c r="G72" s="1133"/>
      <c r="H72" s="590"/>
      <c r="I72" s="1351"/>
      <c r="J72" s="590"/>
      <c r="K72" s="1351"/>
      <c r="L72" s="590"/>
      <c r="M72" s="618"/>
      <c r="N72" s="590"/>
      <c r="O72" s="1351"/>
      <c r="P72" s="590"/>
      <c r="Q72" s="618"/>
      <c r="R72" s="590"/>
      <c r="S72" s="1351"/>
    </row>
    <row r="73" spans="1:19">
      <c r="A73" s="1363"/>
      <c r="B73" s="1483" t="s">
        <v>791</v>
      </c>
      <c r="C73" s="1228"/>
      <c r="D73" s="1426"/>
      <c r="E73" s="1124"/>
      <c r="F73" s="1124"/>
      <c r="G73" s="1133"/>
      <c r="H73" s="590"/>
      <c r="I73" s="1351"/>
      <c r="J73" s="590"/>
      <c r="K73" s="1351"/>
      <c r="L73" s="590"/>
      <c r="M73" s="618"/>
      <c r="N73" s="590"/>
      <c r="O73" s="1351"/>
      <c r="P73" s="590"/>
      <c r="Q73" s="618"/>
      <c r="R73" s="590"/>
      <c r="S73" s="1351"/>
    </row>
    <row r="74" spans="1:19">
      <c r="A74" s="1363"/>
      <c r="B74" s="1483" t="s">
        <v>792</v>
      </c>
      <c r="C74" s="1228"/>
      <c r="D74" s="1426"/>
      <c r="E74" s="1124"/>
      <c r="F74" s="1124"/>
      <c r="G74" s="1133"/>
      <c r="H74" s="590"/>
      <c r="I74" s="1351"/>
      <c r="J74" s="590"/>
      <c r="K74" s="1351"/>
      <c r="L74" s="590"/>
      <c r="M74" s="618"/>
      <c r="N74" s="590"/>
      <c r="O74" s="1351"/>
      <c r="P74" s="590"/>
      <c r="Q74" s="618"/>
      <c r="R74" s="590"/>
      <c r="S74" s="1351"/>
    </row>
    <row r="75" spans="1:19">
      <c r="A75" s="1363"/>
      <c r="B75" s="1483" t="s">
        <v>793</v>
      </c>
      <c r="C75" s="1228"/>
      <c r="D75" s="1426"/>
      <c r="E75" s="1124"/>
      <c r="F75" s="1124"/>
      <c r="G75" s="1133"/>
      <c r="H75" s="590"/>
      <c r="I75" s="1351"/>
      <c r="J75" s="590"/>
      <c r="K75" s="1351"/>
      <c r="L75" s="590"/>
      <c r="M75" s="1351"/>
      <c r="N75" s="590"/>
      <c r="O75" s="1351"/>
      <c r="P75" s="590"/>
      <c r="Q75" s="1351"/>
      <c r="R75" s="590"/>
      <c r="S75" s="1351"/>
    </row>
    <row r="76" spans="1:19">
      <c r="A76" s="1363"/>
      <c r="B76" s="1483" t="s">
        <v>794</v>
      </c>
      <c r="C76" s="1228"/>
      <c r="D76" s="1426"/>
      <c r="E76" s="1124"/>
      <c r="F76" s="1124"/>
      <c r="G76" s="1133"/>
      <c r="H76" s="590"/>
      <c r="I76" s="1351"/>
      <c r="J76" s="590"/>
      <c r="K76" s="1351"/>
      <c r="L76" s="590"/>
      <c r="M76" s="1351"/>
      <c r="N76" s="590"/>
      <c r="O76" s="1351"/>
      <c r="P76" s="590"/>
      <c r="Q76" s="1351"/>
      <c r="R76" s="590"/>
      <c r="S76" s="1351"/>
    </row>
    <row r="77" spans="1:19">
      <c r="A77" s="1363"/>
      <c r="B77" s="1483" t="s">
        <v>795</v>
      </c>
      <c r="C77" s="1228"/>
      <c r="D77" s="1426"/>
      <c r="E77" s="1124"/>
      <c r="F77" s="1124"/>
      <c r="G77" s="1133"/>
      <c r="H77" s="590"/>
      <c r="I77" s="1351"/>
      <c r="J77" s="590"/>
      <c r="K77" s="1351"/>
      <c r="L77" s="590"/>
      <c r="M77" s="1351"/>
      <c r="N77" s="590"/>
      <c r="O77" s="1351"/>
      <c r="P77" s="590"/>
      <c r="Q77" s="1351"/>
      <c r="R77" s="590"/>
      <c r="S77" s="1351"/>
    </row>
    <row r="78" spans="1:19">
      <c r="A78" s="1363"/>
      <c r="B78" s="1483" t="s">
        <v>796</v>
      </c>
      <c r="C78" s="1228"/>
      <c r="D78" s="1426"/>
      <c r="E78" s="1124"/>
      <c r="F78" s="1124"/>
      <c r="G78" s="1133"/>
      <c r="H78" s="590"/>
      <c r="I78" s="1351"/>
      <c r="J78" s="590"/>
      <c r="K78" s="1351"/>
      <c r="L78" s="590"/>
      <c r="M78" s="1351"/>
      <c r="N78" s="590"/>
      <c r="O78" s="1351"/>
      <c r="P78" s="590"/>
      <c r="Q78" s="1351"/>
      <c r="R78" s="590"/>
      <c r="S78" s="1351"/>
    </row>
    <row r="79" spans="1:19">
      <c r="A79" s="1363"/>
      <c r="B79" s="1483" t="s">
        <v>797</v>
      </c>
      <c r="C79" s="1228"/>
      <c r="D79" s="1426"/>
      <c r="E79" s="1124"/>
      <c r="F79" s="1124"/>
      <c r="G79" s="1133"/>
      <c r="H79" s="590"/>
      <c r="I79" s="1351"/>
      <c r="J79" s="590"/>
      <c r="K79" s="1351"/>
      <c r="L79" s="590"/>
      <c r="M79" s="1351"/>
      <c r="N79" s="590"/>
      <c r="O79" s="1351"/>
      <c r="P79" s="590"/>
      <c r="Q79" s="1351"/>
      <c r="R79" s="590"/>
      <c r="S79" s="1351"/>
    </row>
    <row r="80" spans="1:19">
      <c r="A80" s="1363"/>
      <c r="B80" s="1483" t="s">
        <v>798</v>
      </c>
      <c r="C80" s="1228"/>
      <c r="D80" s="1426"/>
      <c r="E80" s="1124"/>
      <c r="F80" s="1124"/>
      <c r="G80" s="1133"/>
      <c r="H80" s="590"/>
      <c r="I80" s="1351"/>
      <c r="J80" s="590"/>
      <c r="K80" s="1351"/>
      <c r="L80" s="590"/>
      <c r="M80" s="1351"/>
      <c r="N80" s="590"/>
      <c r="O80" s="1351"/>
      <c r="P80" s="590"/>
      <c r="Q80" s="1351"/>
      <c r="R80" s="590"/>
      <c r="S80" s="1351"/>
    </row>
    <row r="81" spans="1:19">
      <c r="A81" s="1363"/>
      <c r="B81" s="1483"/>
      <c r="C81" s="1228"/>
      <c r="D81" s="1426"/>
      <c r="E81" s="1124"/>
      <c r="F81" s="1124"/>
      <c r="G81" s="1133"/>
      <c r="H81" s="590"/>
      <c r="I81" s="1351"/>
      <c r="J81" s="590"/>
      <c r="K81" s="1351"/>
      <c r="L81" s="590"/>
      <c r="M81" s="1351"/>
      <c r="N81" s="590"/>
      <c r="O81" s="1351"/>
      <c r="P81" s="590"/>
      <c r="Q81" s="1351"/>
      <c r="R81" s="590"/>
      <c r="S81" s="1351"/>
    </row>
    <row r="82" spans="1:19">
      <c r="A82" s="1363"/>
      <c r="B82" s="1483" t="s">
        <v>799</v>
      </c>
      <c r="C82" s="1228"/>
      <c r="D82" s="1426"/>
      <c r="E82" s="1124"/>
      <c r="F82" s="1124"/>
      <c r="G82" s="1133"/>
      <c r="H82" s="590"/>
      <c r="I82" s="1351"/>
      <c r="J82" s="590"/>
      <c r="K82" s="1351"/>
      <c r="L82" s="590"/>
      <c r="M82" s="1351"/>
      <c r="N82" s="590"/>
      <c r="O82" s="1351"/>
      <c r="P82" s="590"/>
      <c r="Q82" s="1351"/>
      <c r="R82" s="590"/>
      <c r="S82" s="1351"/>
    </row>
    <row r="83" spans="1:19">
      <c r="A83" s="1363"/>
      <c r="B83" s="1483" t="s">
        <v>800</v>
      </c>
      <c r="C83" s="1228"/>
      <c r="D83" s="1426"/>
      <c r="E83" s="1124"/>
      <c r="F83" s="1124"/>
      <c r="G83" s="1133"/>
      <c r="H83" s="590"/>
      <c r="I83" s="1351"/>
      <c r="J83" s="590"/>
      <c r="K83" s="1351"/>
      <c r="L83" s="590"/>
      <c r="M83" s="1351"/>
      <c r="N83" s="590"/>
      <c r="O83" s="1351"/>
      <c r="P83" s="590"/>
      <c r="Q83" s="1351"/>
      <c r="R83" s="590"/>
      <c r="S83" s="1351"/>
    </row>
    <row r="84" spans="1:19">
      <c r="A84" s="1363"/>
      <c r="B84" s="1483"/>
      <c r="C84" s="1228"/>
      <c r="D84" s="1426"/>
      <c r="E84" s="1124"/>
      <c r="F84" s="1124"/>
      <c r="G84" s="1133"/>
      <c r="H84" s="590"/>
      <c r="I84" s="1351"/>
      <c r="J84" s="590"/>
      <c r="K84" s="1351"/>
      <c r="L84" s="590"/>
      <c r="M84" s="1351"/>
      <c r="N84" s="590"/>
      <c r="O84" s="1351"/>
      <c r="P84" s="590"/>
      <c r="Q84" s="1351"/>
      <c r="R84" s="590"/>
      <c r="S84" s="1351"/>
    </row>
    <row r="85" spans="1:19">
      <c r="A85" s="1363"/>
      <c r="B85" s="1483" t="s">
        <v>801</v>
      </c>
      <c r="C85" s="1228"/>
      <c r="D85" s="1426"/>
      <c r="E85" s="1124"/>
      <c r="F85" s="1124"/>
      <c r="G85" s="1133"/>
      <c r="H85" s="590"/>
      <c r="I85" s="1351"/>
      <c r="J85" s="590"/>
      <c r="K85" s="1351"/>
      <c r="L85" s="590"/>
      <c r="M85" s="1351"/>
      <c r="N85" s="590"/>
      <c r="O85" s="1351"/>
      <c r="P85" s="590"/>
      <c r="Q85" s="1351"/>
      <c r="R85" s="590"/>
      <c r="S85" s="1351"/>
    </row>
    <row r="86" spans="1:19">
      <c r="A86" s="1363"/>
      <c r="B86" s="424"/>
      <c r="C86" s="1228"/>
      <c r="D86" s="1426"/>
      <c r="E86" s="1124"/>
      <c r="F86" s="1124"/>
      <c r="G86" s="1133"/>
      <c r="H86" s="590"/>
      <c r="I86" s="1351"/>
      <c r="J86" s="590"/>
      <c r="K86" s="1351"/>
      <c r="L86" s="590"/>
      <c r="M86" s="1351"/>
      <c r="N86" s="590"/>
      <c r="O86" s="1351"/>
      <c r="P86" s="590"/>
      <c r="Q86" s="1351"/>
      <c r="R86" s="590"/>
      <c r="S86" s="1351"/>
    </row>
    <row r="87" spans="1:19">
      <c r="A87" s="1363"/>
      <c r="B87" s="424"/>
      <c r="C87" s="1228"/>
      <c r="D87" s="1426"/>
      <c r="E87" s="1124"/>
      <c r="F87" s="1124"/>
      <c r="G87" s="1133"/>
      <c r="H87" s="590"/>
      <c r="I87" s="1351"/>
      <c r="J87" s="590"/>
      <c r="K87" s="1351"/>
      <c r="L87" s="590"/>
      <c r="M87" s="1351"/>
      <c r="N87" s="590"/>
      <c r="O87" s="1351"/>
      <c r="P87" s="590"/>
      <c r="Q87" s="1351"/>
      <c r="R87" s="590"/>
      <c r="S87" s="1351"/>
    </row>
    <row r="88" spans="1:19">
      <c r="A88" s="1363"/>
      <c r="B88" s="424"/>
      <c r="C88" s="1228"/>
      <c r="D88" s="1426"/>
      <c r="E88" s="1124"/>
      <c r="F88" s="1124"/>
      <c r="G88" s="1133"/>
      <c r="H88" s="590"/>
      <c r="I88" s="1351"/>
      <c r="J88" s="590"/>
      <c r="K88" s="1351"/>
      <c r="L88" s="590"/>
      <c r="M88" s="1351"/>
      <c r="N88" s="590"/>
      <c r="O88" s="1351"/>
      <c r="P88" s="590"/>
      <c r="Q88" s="1351"/>
      <c r="R88" s="590"/>
      <c r="S88" s="1351"/>
    </row>
    <row r="89" spans="1:19">
      <c r="A89" s="1363"/>
      <c r="B89" s="423"/>
      <c r="C89" s="1228"/>
      <c r="D89" s="1426"/>
      <c r="E89" s="1124"/>
      <c r="F89" s="1124"/>
      <c r="G89" s="1133"/>
      <c r="H89" s="590"/>
      <c r="I89" s="1351"/>
      <c r="J89" s="590"/>
      <c r="K89" s="1351"/>
      <c r="L89" s="590"/>
      <c r="M89" s="1351"/>
      <c r="N89" s="590"/>
      <c r="O89" s="1351"/>
      <c r="P89" s="590"/>
      <c r="Q89" s="1351"/>
      <c r="R89" s="590"/>
      <c r="S89" s="1351"/>
    </row>
    <row r="90" spans="1:19">
      <c r="A90" s="1363"/>
      <c r="B90" s="425"/>
      <c r="C90" s="1124"/>
      <c r="D90" s="1426"/>
      <c r="E90" s="1124"/>
      <c r="F90" s="1124"/>
      <c r="G90" s="1133"/>
      <c r="H90" s="590"/>
      <c r="I90" s="1350"/>
      <c r="J90" s="590"/>
      <c r="K90" s="1350"/>
      <c r="L90" s="590"/>
      <c r="M90" s="1350"/>
      <c r="N90" s="590"/>
      <c r="O90" s="1351"/>
      <c r="P90" s="590"/>
      <c r="Q90" s="1350"/>
      <c r="R90" s="590"/>
      <c r="S90" s="1351"/>
    </row>
    <row r="91" spans="1:19">
      <c r="A91" s="1363"/>
      <c r="B91" s="425"/>
      <c r="C91" s="296"/>
      <c r="D91" s="184"/>
      <c r="E91" s="184"/>
      <c r="F91" s="184"/>
      <c r="G91" s="296"/>
      <c r="H91" s="590"/>
      <c r="I91" s="1350"/>
      <c r="J91" s="590"/>
      <c r="K91" s="1350"/>
      <c r="L91" s="590"/>
      <c r="M91" s="1350"/>
      <c r="N91" s="590"/>
      <c r="O91" s="1350"/>
      <c r="P91" s="590"/>
      <c r="Q91" s="1350"/>
      <c r="R91" s="590"/>
      <c r="S91" s="1350"/>
    </row>
    <row r="92" spans="1:19">
      <c r="A92" s="14"/>
      <c r="B92" s="15"/>
      <c r="C92" s="16"/>
      <c r="D92" s="16"/>
      <c r="E92" s="17"/>
      <c r="F92" s="18" t="s">
        <v>567</v>
      </c>
      <c r="G92" s="19"/>
      <c r="H92" s="20"/>
      <c r="I92" s="61">
        <f>SUM(I24:I91)</f>
        <v>0</v>
      </c>
      <c r="J92" s="20"/>
      <c r="K92" s="61">
        <f>SUM(K24:K91)</f>
        <v>0</v>
      </c>
      <c r="L92" s="20"/>
      <c r="M92" s="61">
        <f>SUM(M24:M91)</f>
        <v>0</v>
      </c>
      <c r="N92" s="20"/>
      <c r="O92" s="61">
        <f>SUM(O24:O91)</f>
        <v>0</v>
      </c>
      <c r="P92" s="20"/>
      <c r="Q92" s="61">
        <f>SUM(Q24:Q91)</f>
        <v>0</v>
      </c>
      <c r="R92" s="20"/>
      <c r="S92" s="61">
        <f>SUM(S24:S91)</f>
        <v>0</v>
      </c>
    </row>
    <row r="93" spans="1:19">
      <c r="A93" s="624"/>
      <c r="B93" s="1156"/>
      <c r="C93" s="1157"/>
      <c r="D93" s="1157"/>
      <c r="E93" s="1158"/>
      <c r="F93" s="1159" t="s">
        <v>568</v>
      </c>
      <c r="G93" s="1160"/>
      <c r="H93" s="593">
        <v>0</v>
      </c>
      <c r="I93" s="592"/>
      <c r="J93" s="593">
        <v>0</v>
      </c>
      <c r="K93" s="592"/>
      <c r="L93" s="591">
        <v>0</v>
      </c>
      <c r="M93" s="592"/>
      <c r="N93" s="593">
        <v>0</v>
      </c>
      <c r="O93" s="592"/>
      <c r="P93" s="591">
        <v>0</v>
      </c>
      <c r="Q93" s="592"/>
      <c r="R93" s="593">
        <v>0</v>
      </c>
      <c r="S93" s="592"/>
    </row>
    <row r="94" spans="1:19">
      <c r="A94" s="624"/>
      <c r="B94" s="1156"/>
      <c r="C94" s="1157"/>
      <c r="D94" s="1157"/>
      <c r="E94" s="1158"/>
      <c r="F94" s="1159" t="s">
        <v>569</v>
      </c>
      <c r="G94" s="1160"/>
      <c r="H94" s="594"/>
      <c r="I94" s="595">
        <f>H93*I92</f>
        <v>0</v>
      </c>
      <c r="J94" s="594"/>
      <c r="K94" s="595">
        <f>J93*K92</f>
        <v>0</v>
      </c>
      <c r="L94" s="594"/>
      <c r="M94" s="595">
        <f>L93*M92</f>
        <v>0</v>
      </c>
      <c r="N94" s="594"/>
      <c r="O94" s="595">
        <f>N93*O92</f>
        <v>0</v>
      </c>
      <c r="P94" s="594"/>
      <c r="Q94" s="595">
        <f>P93*Q92</f>
        <v>0</v>
      </c>
      <c r="R94" s="594"/>
      <c r="S94" s="595">
        <f>R93*S92</f>
        <v>0</v>
      </c>
    </row>
    <row r="95" spans="1:19">
      <c r="A95" s="624"/>
      <c r="B95" s="1156"/>
      <c r="C95" s="1157"/>
      <c r="D95" s="1157"/>
      <c r="E95" s="1158"/>
      <c r="F95" s="1159"/>
      <c r="G95" s="1160"/>
      <c r="H95" s="594"/>
      <c r="I95" s="596"/>
      <c r="J95" s="594"/>
      <c r="K95" s="596"/>
      <c r="L95" s="594"/>
      <c r="M95" s="596"/>
      <c r="N95" s="594"/>
      <c r="O95" s="596"/>
      <c r="P95" s="594"/>
      <c r="Q95" s="596"/>
      <c r="R95" s="594"/>
      <c r="S95" s="596"/>
    </row>
    <row r="96" spans="1:19">
      <c r="A96" s="624"/>
      <c r="B96" s="1156"/>
      <c r="C96" s="1157"/>
      <c r="D96" s="1157"/>
      <c r="E96" s="1158"/>
      <c r="F96" s="1159" t="s">
        <v>570</v>
      </c>
      <c r="G96" s="1160"/>
      <c r="H96" s="597"/>
      <c r="I96" s="598">
        <f>SUM(I92:I94)</f>
        <v>0</v>
      </c>
      <c r="J96" s="597"/>
      <c r="K96" s="598">
        <f>SUM(K92:K94)</f>
        <v>0</v>
      </c>
      <c r="L96" s="597"/>
      <c r="M96" s="598">
        <f>SUM(M92:M94)</f>
        <v>0</v>
      </c>
      <c r="N96" s="597"/>
      <c r="O96" s="598">
        <f>SUM(O92:O94)</f>
        <v>0</v>
      </c>
      <c r="P96" s="597"/>
      <c r="Q96" s="598">
        <f>SUM(Q92:Q94)</f>
        <v>0</v>
      </c>
      <c r="R96" s="597"/>
      <c r="S96" s="598">
        <f>SUM(S92:S94)</f>
        <v>0</v>
      </c>
    </row>
    <row r="97" spans="1:19">
      <c r="A97" s="624"/>
      <c r="B97" s="1156"/>
      <c r="C97" s="1157"/>
      <c r="D97" s="1157"/>
      <c r="E97" s="1158"/>
      <c r="F97" s="1161" t="s">
        <v>571</v>
      </c>
      <c r="G97" s="1162"/>
      <c r="H97" s="599"/>
      <c r="I97" s="600" t="e">
        <f>I96/'Area Calculations'!$J$4</f>
        <v>#DIV/0!</v>
      </c>
      <c r="J97" s="599"/>
      <c r="K97" s="600" t="e">
        <f>K96/'Area Calculations'!$J$4</f>
        <v>#DIV/0!</v>
      </c>
      <c r="L97" s="599"/>
      <c r="M97" s="600" t="e">
        <f>M96/'Area Calculations'!$J$4</f>
        <v>#DIV/0!</v>
      </c>
      <c r="N97" s="599"/>
      <c r="O97" s="600" t="e">
        <f>O96/'Area Calculations'!$J$4</f>
        <v>#DIV/0!</v>
      </c>
      <c r="P97" s="599"/>
      <c r="Q97" s="600" t="e">
        <f>Q96/'Area Calculations'!$J$4</f>
        <v>#DIV/0!</v>
      </c>
      <c r="R97" s="599"/>
      <c r="S97" s="600" t="e">
        <f>S96/'Area Calculations'!$J$4</f>
        <v>#DIV/0!</v>
      </c>
    </row>
    <row r="98" spans="1:19">
      <c r="A98" s="624"/>
      <c r="B98" s="1156"/>
      <c r="C98" s="1157"/>
      <c r="D98" s="1157"/>
      <c r="E98" s="1158"/>
      <c r="F98" s="1161" t="s">
        <v>572</v>
      </c>
      <c r="G98" s="1163"/>
      <c r="H98" s="599"/>
      <c r="I98" s="600" t="e">
        <f>I96/'Area Calculations'!#REF!</f>
        <v>#REF!</v>
      </c>
      <c r="J98" s="599"/>
      <c r="K98" s="600" t="e">
        <f>K96/'Area Calculations'!#REF!</f>
        <v>#REF!</v>
      </c>
      <c r="L98" s="599"/>
      <c r="M98" s="600" t="e">
        <f>M96/'Area Calculations'!#REF!</f>
        <v>#REF!</v>
      </c>
      <c r="N98" s="599"/>
      <c r="O98" s="600" t="e">
        <f>O96/'Area Calculations'!#REF!</f>
        <v>#REF!</v>
      </c>
      <c r="P98" s="599"/>
      <c r="Q98" s="600" t="e">
        <f>Q96/'Area Calculations'!#REF!</f>
        <v>#REF!</v>
      </c>
      <c r="R98" s="599"/>
      <c r="S98" s="600" t="e">
        <f>S96/'Area Calculations'!#REF!</f>
        <v>#REF!</v>
      </c>
    </row>
    <row r="99" spans="1:19">
      <c r="A99" s="624"/>
      <c r="B99" s="1156"/>
      <c r="C99" s="1157"/>
      <c r="D99" s="1157"/>
      <c r="E99" s="1158"/>
      <c r="F99" s="1159"/>
      <c r="G99" s="1533"/>
      <c r="H99" s="601"/>
      <c r="I99" s="602"/>
      <c r="J99" s="603"/>
      <c r="K99" s="603"/>
      <c r="L99" s="603"/>
      <c r="M99" s="603"/>
      <c r="N99" s="603"/>
      <c r="O99" s="603"/>
      <c r="P99" s="603"/>
      <c r="Q99" s="603"/>
      <c r="R99" s="603"/>
      <c r="S99" s="603"/>
    </row>
    <row r="100" spans="1:19">
      <c r="A100" s="726" t="s">
        <v>573</v>
      </c>
      <c r="B100" s="727"/>
      <c r="C100" s="12"/>
      <c r="D100" s="12"/>
      <c r="E100" s="12"/>
      <c r="F100" s="12"/>
      <c r="G100" s="13"/>
      <c r="H100" s="21"/>
      <c r="I100" s="21"/>
      <c r="J100" s="21"/>
      <c r="K100" s="21"/>
      <c r="L100" s="21"/>
      <c r="M100" s="21"/>
      <c r="N100" s="21"/>
      <c r="O100" s="21"/>
      <c r="P100" s="21"/>
      <c r="Q100" s="21"/>
      <c r="R100" s="21"/>
      <c r="S100" s="21"/>
    </row>
    <row r="101" spans="1:19">
      <c r="A101" s="1497"/>
      <c r="B101" s="862"/>
      <c r="C101" s="1498"/>
      <c r="D101" s="1498"/>
      <c r="E101" s="1498"/>
      <c r="F101" s="1498"/>
      <c r="G101" s="1499"/>
      <c r="H101" s="1500"/>
      <c r="I101" s="1500"/>
      <c r="J101" s="1500"/>
      <c r="K101" s="1500"/>
      <c r="L101" s="1500"/>
      <c r="M101" s="1500"/>
      <c r="N101" s="1500"/>
      <c r="O101" s="1500"/>
      <c r="P101" s="1500"/>
      <c r="Q101" s="1500"/>
      <c r="R101" s="1500"/>
      <c r="S101" s="1500"/>
    </row>
    <row r="102" spans="1:19">
      <c r="A102" s="1497"/>
      <c r="B102" s="862"/>
      <c r="C102" s="1498"/>
      <c r="D102" s="1498"/>
      <c r="E102" s="1498"/>
      <c r="F102" s="1498"/>
      <c r="G102" s="1499"/>
      <c r="H102" s="1500"/>
      <c r="I102" s="1500"/>
      <c r="J102" s="1500"/>
      <c r="K102" s="1500"/>
      <c r="L102" s="1500"/>
      <c r="M102" s="1500"/>
      <c r="N102" s="1500"/>
      <c r="O102" s="1500"/>
      <c r="P102" s="1500"/>
      <c r="Q102" s="1500"/>
      <c r="R102" s="1500"/>
      <c r="S102" s="1500"/>
    </row>
    <row r="103" spans="1:19" s="2" customFormat="1">
      <c r="A103" s="1497"/>
      <c r="B103" s="862"/>
      <c r="C103" s="1498"/>
      <c r="D103" s="1498"/>
      <c r="E103" s="1498"/>
      <c r="F103" s="1498"/>
      <c r="G103" s="1499"/>
      <c r="H103" s="1500"/>
      <c r="I103" s="1500"/>
      <c r="J103" s="1500"/>
      <c r="K103" s="1500"/>
      <c r="L103" s="1500"/>
      <c r="M103" s="1500"/>
      <c r="N103" s="1500"/>
      <c r="O103" s="1500"/>
      <c r="P103" s="1500"/>
      <c r="Q103" s="1500"/>
      <c r="R103" s="1500"/>
      <c r="S103" s="1500"/>
    </row>
    <row r="104" spans="1:19">
      <c r="A104" s="726" t="s">
        <v>574</v>
      </c>
      <c r="B104" s="727"/>
      <c r="C104" s="12"/>
      <c r="D104" s="12"/>
      <c r="E104" s="12"/>
      <c r="F104" s="12"/>
      <c r="G104" s="13"/>
      <c r="H104" s="21"/>
      <c r="I104" s="21"/>
      <c r="J104" s="21"/>
      <c r="K104" s="21"/>
      <c r="L104" s="21"/>
      <c r="M104" s="21"/>
      <c r="N104" s="21"/>
      <c r="O104" s="21"/>
      <c r="P104" s="21"/>
      <c r="Q104" s="21"/>
      <c r="R104" s="21"/>
      <c r="S104" s="21"/>
    </row>
    <row r="105" spans="1:19" s="2" customFormat="1">
      <c r="A105" s="1497"/>
      <c r="B105" s="862"/>
      <c r="C105" s="1498"/>
      <c r="D105" s="1498"/>
      <c r="E105" s="1498"/>
      <c r="F105" s="1498"/>
      <c r="G105" s="1499"/>
      <c r="H105" s="1500"/>
      <c r="I105" s="1500"/>
      <c r="J105" s="1500"/>
      <c r="K105" s="1500"/>
      <c r="L105" s="1500"/>
      <c r="M105" s="1500"/>
      <c r="N105" s="1500"/>
      <c r="O105" s="1500"/>
      <c r="P105" s="1500"/>
      <c r="Q105" s="1500"/>
      <c r="R105" s="1500"/>
      <c r="S105" s="1500"/>
    </row>
    <row r="106" spans="1:19" s="2" customFormat="1">
      <c r="A106" s="1497"/>
      <c r="B106" s="862"/>
      <c r="C106" s="1498"/>
      <c r="D106" s="1498"/>
      <c r="E106" s="1498"/>
      <c r="F106" s="1498"/>
      <c r="G106" s="1499"/>
      <c r="H106" s="1500"/>
      <c r="I106" s="1500"/>
      <c r="J106" s="1500"/>
      <c r="K106" s="1500"/>
      <c r="L106" s="1500"/>
      <c r="M106" s="1500"/>
      <c r="N106" s="1500"/>
      <c r="O106" s="1500"/>
      <c r="P106" s="1500"/>
      <c r="Q106" s="1500"/>
      <c r="R106" s="1500"/>
      <c r="S106" s="1500"/>
    </row>
    <row r="107" spans="1:19" s="2" customFormat="1">
      <c r="A107" s="1497"/>
      <c r="B107" s="862"/>
      <c r="C107" s="1498"/>
      <c r="D107" s="1498"/>
      <c r="E107" s="1498"/>
      <c r="F107" s="1498"/>
      <c r="G107" s="1499"/>
      <c r="H107" s="1500"/>
      <c r="I107" s="1500"/>
      <c r="J107" s="1500"/>
      <c r="K107" s="1500"/>
      <c r="L107" s="1500"/>
      <c r="M107" s="1500"/>
      <c r="N107" s="1500"/>
      <c r="O107" s="1500"/>
      <c r="P107" s="1500"/>
      <c r="Q107" s="1500"/>
      <c r="R107" s="1500"/>
      <c r="S107" s="1500"/>
    </row>
    <row r="108" spans="1:19">
      <c r="A108" s="726" t="s">
        <v>575</v>
      </c>
      <c r="B108" s="727"/>
      <c r="C108" s="12"/>
      <c r="D108" s="12"/>
      <c r="E108" s="12"/>
      <c r="F108" s="12"/>
      <c r="G108" s="13"/>
      <c r="H108" s="21"/>
      <c r="I108" s="21"/>
      <c r="J108" s="21"/>
      <c r="K108" s="21"/>
      <c r="L108" s="21"/>
      <c r="M108" s="21"/>
      <c r="N108" s="21"/>
      <c r="O108" s="21"/>
      <c r="P108" s="21"/>
      <c r="Q108" s="21"/>
      <c r="R108" s="21"/>
      <c r="S108" s="21"/>
    </row>
    <row r="109" spans="1:19">
      <c r="A109" s="1497"/>
      <c r="B109" s="862"/>
      <c r="C109" s="1498"/>
      <c r="D109" s="1498"/>
      <c r="E109" s="1498"/>
      <c r="F109" s="1498"/>
      <c r="G109" s="1499"/>
      <c r="H109" s="1500"/>
      <c r="I109" s="1500"/>
      <c r="J109" s="1500"/>
      <c r="K109" s="1500"/>
      <c r="L109" s="1500"/>
      <c r="M109" s="1500"/>
      <c r="N109" s="1500"/>
      <c r="O109" s="1500"/>
      <c r="P109" s="1500"/>
      <c r="Q109" s="1500"/>
      <c r="R109" s="1500"/>
      <c r="S109" s="1500"/>
    </row>
    <row r="110" spans="1:19">
      <c r="A110" s="628"/>
      <c r="B110" s="862"/>
      <c r="C110" s="1124"/>
      <c r="D110" s="1124"/>
      <c r="E110" s="1124"/>
      <c r="F110" s="1124"/>
      <c r="G110" s="1133"/>
      <c r="H110" s="604"/>
      <c r="I110" s="604"/>
      <c r="J110" s="604"/>
      <c r="K110" s="604"/>
      <c r="L110" s="604"/>
      <c r="M110" s="604"/>
      <c r="N110" s="604"/>
      <c r="O110" s="604"/>
      <c r="P110" s="604"/>
      <c r="Q110" s="604"/>
      <c r="R110" s="604"/>
      <c r="S110" s="604"/>
    </row>
    <row r="111" spans="1:19">
      <c r="A111" s="625"/>
      <c r="B111" s="1171"/>
      <c r="C111" s="1124"/>
      <c r="D111" s="1124"/>
      <c r="E111" s="1124"/>
      <c r="F111" s="1124"/>
      <c r="G111" s="1133"/>
      <c r="H111" s="605"/>
      <c r="I111" s="605"/>
      <c r="J111" s="605"/>
      <c r="K111" s="605"/>
      <c r="L111" s="605"/>
      <c r="M111" s="605"/>
      <c r="N111" s="605"/>
      <c r="O111" s="605"/>
      <c r="P111" s="605"/>
      <c r="Q111" s="605"/>
      <c r="R111" s="605"/>
      <c r="S111" s="605"/>
    </row>
    <row r="112" spans="1:19">
      <c r="A112" s="726" t="s">
        <v>576</v>
      </c>
      <c r="B112" s="727"/>
      <c r="C112" s="12"/>
      <c r="D112" s="12"/>
      <c r="E112" s="12"/>
      <c r="F112" s="12"/>
      <c r="G112" s="13"/>
      <c r="H112" s="21"/>
      <c r="I112" s="21"/>
      <c r="J112" s="21"/>
      <c r="K112" s="21"/>
      <c r="L112" s="21"/>
      <c r="M112" s="21"/>
      <c r="N112" s="21"/>
      <c r="O112" s="21"/>
      <c r="P112" s="21"/>
      <c r="Q112" s="21"/>
      <c r="R112" s="21"/>
      <c r="S112" s="21"/>
    </row>
    <row r="113" spans="1:19">
      <c r="A113" s="1501"/>
      <c r="B113" s="1502"/>
      <c r="C113" s="1498"/>
      <c r="D113" s="1498"/>
      <c r="E113" s="1498"/>
      <c r="F113" s="1498"/>
      <c r="G113" s="1499"/>
      <c r="H113" s="1500"/>
      <c r="I113" s="1500"/>
      <c r="J113" s="1500"/>
      <c r="K113" s="1500"/>
      <c r="L113" s="1500"/>
      <c r="M113" s="1500"/>
      <c r="N113" s="1500"/>
      <c r="O113" s="1500"/>
      <c r="P113" s="1500"/>
      <c r="Q113" s="1500"/>
      <c r="R113" s="1500"/>
      <c r="S113" s="1500"/>
    </row>
    <row r="114" spans="1:19">
      <c r="A114" s="625"/>
      <c r="B114" s="1171"/>
      <c r="C114" s="1124"/>
      <c r="D114" s="1124"/>
      <c r="E114" s="1124"/>
      <c r="F114" s="1124"/>
      <c r="G114" s="1133"/>
      <c r="H114" s="606"/>
      <c r="I114" s="606"/>
      <c r="J114" s="606"/>
      <c r="K114" s="606"/>
      <c r="L114" s="606"/>
      <c r="M114" s="606"/>
      <c r="N114" s="606"/>
      <c r="O114" s="606"/>
      <c r="P114" s="606"/>
      <c r="Q114" s="606"/>
      <c r="R114" s="606"/>
      <c r="S114" s="606"/>
    </row>
    <row r="115" spans="1:19">
      <c r="A115" s="625"/>
      <c r="B115" s="1171"/>
      <c r="C115" s="1124"/>
      <c r="D115" s="1124"/>
      <c r="E115" s="1124"/>
      <c r="F115" s="1124"/>
      <c r="G115" s="1133"/>
      <c r="H115" s="606"/>
      <c r="I115" s="606"/>
      <c r="J115" s="606"/>
      <c r="K115" s="606"/>
      <c r="L115" s="606"/>
      <c r="M115" s="606"/>
      <c r="N115" s="606"/>
      <c r="O115" s="606"/>
      <c r="P115" s="606"/>
      <c r="Q115" s="606"/>
      <c r="R115" s="606"/>
      <c r="S115" s="606"/>
    </row>
    <row r="116" spans="1:19">
      <c r="A116" s="726" t="s">
        <v>577</v>
      </c>
      <c r="B116" s="727"/>
      <c r="C116" s="12"/>
      <c r="D116" s="12"/>
      <c r="E116" s="12"/>
      <c r="F116" s="12"/>
      <c r="G116" s="13"/>
      <c r="H116" s="21"/>
      <c r="I116" s="21"/>
      <c r="J116" s="21"/>
      <c r="K116" s="21"/>
      <c r="L116" s="21"/>
      <c r="M116" s="21"/>
      <c r="N116" s="21"/>
      <c r="O116" s="21"/>
      <c r="P116" s="1465"/>
      <c r="Q116" s="1465"/>
      <c r="R116" s="1465"/>
      <c r="S116" s="1465"/>
    </row>
    <row r="117" spans="1:19">
      <c r="A117" s="628"/>
      <c r="B117" s="862" t="s">
        <v>578</v>
      </c>
      <c r="C117" s="1124"/>
      <c r="D117" s="1124"/>
      <c r="E117" s="1124"/>
      <c r="F117" s="1124"/>
      <c r="G117" s="1133"/>
      <c r="H117" s="606"/>
      <c r="I117" s="606"/>
      <c r="J117" s="606"/>
      <c r="K117" s="606"/>
      <c r="L117" s="606"/>
      <c r="M117" s="606"/>
      <c r="N117" s="606"/>
      <c r="O117" s="606"/>
      <c r="P117" s="606"/>
      <c r="Q117" s="606"/>
      <c r="R117" s="606"/>
      <c r="S117" s="606"/>
    </row>
    <row r="118" spans="1:19">
      <c r="A118" s="628"/>
      <c r="B118" s="862" t="s">
        <v>579</v>
      </c>
      <c r="C118" s="1124"/>
      <c r="D118" s="1124"/>
      <c r="E118" s="1124"/>
      <c r="F118" s="1124"/>
      <c r="G118" s="1133"/>
      <c r="H118" s="606"/>
      <c r="I118" s="606"/>
      <c r="J118" s="606"/>
      <c r="K118" s="606"/>
      <c r="L118" s="606"/>
      <c r="M118" s="606"/>
      <c r="N118" s="606"/>
      <c r="O118" s="606"/>
      <c r="P118" s="606"/>
      <c r="Q118" s="606"/>
      <c r="R118" s="606"/>
      <c r="S118" s="606"/>
    </row>
    <row r="119" spans="1:19">
      <c r="A119" s="628"/>
      <c r="B119" s="862" t="s">
        <v>580</v>
      </c>
      <c r="C119" s="1124"/>
      <c r="D119" s="1124"/>
      <c r="E119" s="1124"/>
      <c r="F119" s="1124"/>
      <c r="G119" s="1133"/>
      <c r="H119" s="606"/>
      <c r="I119" s="606"/>
      <c r="J119" s="606"/>
      <c r="K119" s="606"/>
      <c r="L119" s="606"/>
      <c r="M119" s="606"/>
      <c r="N119" s="606"/>
      <c r="O119" s="606"/>
      <c r="P119" s="606"/>
      <c r="Q119" s="606"/>
      <c r="R119" s="606"/>
      <c r="S119" s="606"/>
    </row>
    <row r="120" spans="1:19">
      <c r="A120" s="628"/>
      <c r="B120" s="862" t="s">
        <v>581</v>
      </c>
      <c r="C120" s="1124"/>
      <c r="D120" s="1124"/>
      <c r="E120" s="1124"/>
      <c r="F120" s="1124"/>
      <c r="G120" s="1133"/>
      <c r="H120" s="606"/>
      <c r="I120" s="606"/>
      <c r="J120" s="606"/>
      <c r="K120" s="606"/>
      <c r="L120" s="606"/>
      <c r="M120" s="606"/>
      <c r="N120" s="606"/>
      <c r="O120" s="606"/>
      <c r="P120" s="606"/>
      <c r="Q120" s="606"/>
      <c r="R120" s="606"/>
      <c r="S120" s="606"/>
    </row>
    <row r="121" spans="1:19">
      <c r="A121" s="416"/>
      <c r="B121" s="295"/>
      <c r="C121" s="184"/>
      <c r="D121" s="184"/>
      <c r="E121" s="184"/>
      <c r="F121" s="184"/>
      <c r="G121" s="296"/>
      <c r="H121" s="418"/>
      <c r="I121" s="418"/>
      <c r="J121" s="418"/>
      <c r="K121" s="418"/>
      <c r="L121" s="418"/>
      <c r="M121" s="418"/>
      <c r="N121" s="418"/>
      <c r="O121" s="418"/>
      <c r="P121" s="418"/>
      <c r="Q121" s="418"/>
      <c r="R121" s="418"/>
      <c r="S121" s="418"/>
    </row>
    <row r="122" spans="1:19">
      <c r="A122" s="7" t="s">
        <v>582</v>
      </c>
      <c r="B122" s="8"/>
      <c r="C122" s="12"/>
      <c r="D122" s="12"/>
      <c r="E122" s="12"/>
      <c r="F122" s="12"/>
      <c r="G122" s="13"/>
      <c r="H122" s="21"/>
      <c r="I122" s="21"/>
      <c r="J122" s="21"/>
      <c r="K122" s="21"/>
      <c r="L122" s="21"/>
      <c r="M122" s="21"/>
      <c r="N122" s="21"/>
      <c r="O122" s="21"/>
      <c r="P122" s="21"/>
      <c r="Q122" s="21"/>
      <c r="R122" s="21"/>
      <c r="S122" s="21"/>
    </row>
    <row r="123" spans="1:19">
      <c r="A123" s="1497"/>
      <c r="B123" s="1503" t="s">
        <v>583</v>
      </c>
      <c r="C123" s="1498"/>
      <c r="D123" s="1498"/>
      <c r="E123" s="1498"/>
      <c r="F123" s="1498"/>
      <c r="G123" s="1499"/>
      <c r="H123" s="1504"/>
      <c r="I123" s="1504"/>
      <c r="J123" s="1504"/>
      <c r="K123" s="1504"/>
      <c r="L123" s="1504"/>
      <c r="M123" s="1504"/>
      <c r="N123" s="1504"/>
      <c r="O123" s="1504"/>
      <c r="P123" s="1504"/>
      <c r="Q123" s="1504"/>
      <c r="R123" s="1504"/>
      <c r="S123" s="1504"/>
    </row>
    <row r="124" spans="1:19">
      <c r="A124" s="628"/>
      <c r="B124" s="862" t="s">
        <v>584</v>
      </c>
      <c r="C124" s="1124"/>
      <c r="D124" s="1124"/>
      <c r="E124" s="1124"/>
      <c r="F124" s="1124"/>
      <c r="G124" s="1133"/>
      <c r="H124" s="618"/>
      <c r="I124" s="618"/>
      <c r="J124" s="618"/>
      <c r="K124" s="618"/>
      <c r="L124" s="618"/>
      <c r="M124" s="618"/>
      <c r="N124" s="618"/>
      <c r="O124" s="618"/>
      <c r="P124" s="618"/>
      <c r="Q124" s="618"/>
      <c r="R124" s="618"/>
      <c r="S124" s="618"/>
    </row>
    <row r="125" spans="1:19">
      <c r="A125" s="607"/>
      <c r="B125" s="608" t="s">
        <v>585</v>
      </c>
      <c r="C125" s="609"/>
      <c r="D125" s="609"/>
      <c r="E125" s="609"/>
      <c r="F125" s="609"/>
      <c r="G125" s="610"/>
      <c r="H125" s="611"/>
      <c r="I125" s="611"/>
      <c r="J125" s="611"/>
      <c r="K125" s="611"/>
      <c r="L125" s="611"/>
      <c r="M125" s="611"/>
      <c r="N125" s="611"/>
      <c r="O125" s="611"/>
      <c r="P125" s="611"/>
      <c r="Q125" s="611"/>
      <c r="R125" s="611"/>
      <c r="S125" s="611"/>
    </row>
    <row r="127" spans="1:19">
      <c r="A127" s="92" t="s">
        <v>586</v>
      </c>
      <c r="B127" s="94"/>
    </row>
    <row r="128" spans="1:19">
      <c r="A128" s="93" t="s">
        <v>487</v>
      </c>
      <c r="B128" s="612"/>
    </row>
    <row r="129" spans="1:2">
      <c r="A129" s="626" t="s">
        <v>491</v>
      </c>
      <c r="B129" s="612"/>
    </row>
    <row r="130" spans="1:2">
      <c r="A130" s="613" t="s">
        <v>494</v>
      </c>
      <c r="B130" s="614"/>
    </row>
    <row r="131" spans="1:2">
      <c r="A131" s="613" t="s">
        <v>497</v>
      </c>
      <c r="B131" s="622"/>
    </row>
    <row r="132" spans="1:2">
      <c r="A132" s="615" t="s">
        <v>587</v>
      </c>
      <c r="B132" s="616"/>
    </row>
    <row r="134" spans="1:2">
      <c r="A134" s="95"/>
      <c r="B134" s="1" t="s">
        <v>588</v>
      </c>
    </row>
    <row r="135" spans="1:2">
      <c r="A135" s="96"/>
      <c r="B135"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100:B100"/>
    <mergeCell ref="A104:B104"/>
    <mergeCell ref="A108:B108"/>
    <mergeCell ref="A112:B112"/>
    <mergeCell ref="A116:B116"/>
  </mergeCells>
  <conditionalFormatting sqref="H20:H30">
    <cfRule type="cellIs" dxfId="1609" priority="13" operator="equal">
      <formula>"X"</formula>
    </cfRule>
    <cfRule type="cellIs" dxfId="1608" priority="14" operator="equal">
      <formula>"I"</formula>
    </cfRule>
  </conditionalFormatting>
  <conditionalFormatting sqref="H32:H91">
    <cfRule type="cellIs" dxfId="1607" priority="1" operator="equal">
      <formula>"X"</formula>
    </cfRule>
    <cfRule type="cellIs" dxfId="1606" priority="2" operator="equal">
      <formula>"I"</formula>
    </cfRule>
  </conditionalFormatting>
  <conditionalFormatting sqref="J20:J30">
    <cfRule type="cellIs" dxfId="1605" priority="15" operator="equal">
      <formula>"X"</formula>
    </cfRule>
    <cfRule type="cellIs" dxfId="1604" priority="16" operator="equal">
      <formula>"I"</formula>
    </cfRule>
  </conditionalFormatting>
  <conditionalFormatting sqref="J32:J91">
    <cfRule type="cellIs" dxfId="1603" priority="3" operator="equal">
      <formula>"X"</formula>
    </cfRule>
    <cfRule type="cellIs" dxfId="1602" priority="4" operator="equal">
      <formula>"I"</formula>
    </cfRule>
  </conditionalFormatting>
  <conditionalFormatting sqref="L20:L30">
    <cfRule type="cellIs" dxfId="1601" priority="17" operator="equal">
      <formula>"X"</formula>
    </cfRule>
    <cfRule type="cellIs" dxfId="1600" priority="18" operator="equal">
      <formula>"I"</formula>
    </cfRule>
  </conditionalFormatting>
  <conditionalFormatting sqref="L32:L91">
    <cfRule type="cellIs" dxfId="1599" priority="5" operator="equal">
      <formula>"X"</formula>
    </cfRule>
    <cfRule type="cellIs" dxfId="1598" priority="6" operator="equal">
      <formula>"I"</formula>
    </cfRule>
  </conditionalFormatting>
  <conditionalFormatting sqref="N20:N30">
    <cfRule type="cellIs" dxfId="1597" priority="19" operator="equal">
      <formula>"X"</formula>
    </cfRule>
    <cfRule type="cellIs" dxfId="1596" priority="20" operator="equal">
      <formula>"I"</formula>
    </cfRule>
  </conditionalFormatting>
  <conditionalFormatting sqref="N32:N91">
    <cfRule type="cellIs" dxfId="1595" priority="7" operator="equal">
      <formula>"X"</formula>
    </cfRule>
    <cfRule type="cellIs" dxfId="1594" priority="8" operator="equal">
      <formula>"I"</formula>
    </cfRule>
  </conditionalFormatting>
  <conditionalFormatting sqref="P20:P30">
    <cfRule type="cellIs" dxfId="1593" priority="21" operator="equal">
      <formula>"X"</formula>
    </cfRule>
    <cfRule type="cellIs" dxfId="1592" priority="22" operator="equal">
      <formula>"I"</formula>
    </cfRule>
  </conditionalFormatting>
  <conditionalFormatting sqref="P32:P91">
    <cfRule type="cellIs" dxfId="1591" priority="9" operator="equal">
      <formula>"X"</formula>
    </cfRule>
    <cfRule type="cellIs" dxfId="1590" priority="10" operator="equal">
      <formula>"I"</formula>
    </cfRule>
  </conditionalFormatting>
  <conditionalFormatting sqref="R20:R30">
    <cfRule type="cellIs" dxfId="1589" priority="23" operator="equal">
      <formula>"X"</formula>
    </cfRule>
    <cfRule type="cellIs" dxfId="1588" priority="24" operator="equal">
      <formula>"I"</formula>
    </cfRule>
  </conditionalFormatting>
  <conditionalFormatting sqref="R32:R91">
    <cfRule type="cellIs" dxfId="1587" priority="11" operator="equal">
      <formula>"X"</formula>
    </cfRule>
    <cfRule type="cellIs" dxfId="1586" priority="12" operator="equal">
      <formula>"I"</formula>
    </cfRule>
  </conditionalFormatting>
  <hyperlinks>
    <hyperlink ref="B3" location="'Cost Summary'!A1" display="BACK TO SUMMARY SHEET" xr:uid="{09E2169C-F753-48F3-A722-99070DD1D26E}"/>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658C-8F38-4DCD-BE37-C0DF4A3023A7}">
  <sheetPr>
    <tabColor rgb="FF92D050"/>
  </sheetPr>
  <dimension ref="A1:S135"/>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50"/>
      <c r="I2" s="750"/>
      <c r="J2" s="732"/>
      <c r="K2" s="732"/>
      <c r="L2" s="732"/>
      <c r="M2" s="732"/>
      <c r="N2" s="732"/>
      <c r="O2" s="732"/>
      <c r="P2" s="732"/>
      <c r="Q2" s="732"/>
      <c r="R2" s="732"/>
      <c r="S2" s="732"/>
    </row>
    <row r="3" spans="1:19" ht="20.25">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804</v>
      </c>
      <c r="C5" s="1124"/>
      <c r="D5" s="1124"/>
      <c r="E5" s="1124"/>
      <c r="F5" s="1124"/>
      <c r="G5" s="1125" t="s">
        <v>491</v>
      </c>
      <c r="H5" s="778"/>
      <c r="I5" s="1126"/>
      <c r="J5" s="778"/>
      <c r="K5" s="1126"/>
      <c r="L5" s="778"/>
      <c r="M5" s="1126"/>
      <c r="N5" s="778"/>
      <c r="O5" s="1126"/>
      <c r="P5" s="778"/>
      <c r="Q5" s="1126"/>
      <c r="R5" s="778"/>
      <c r="S5" s="1126"/>
    </row>
    <row r="6" spans="1:19">
      <c r="A6" s="627" t="s">
        <v>493</v>
      </c>
      <c r="B6" s="1127" t="s">
        <v>805</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c r="A8" s="414" t="s">
        <v>499</v>
      </c>
      <c r="B8" s="295"/>
      <c r="C8" s="184"/>
      <c r="D8" s="184"/>
      <c r="E8" s="184"/>
      <c r="F8" s="184"/>
      <c r="G8" s="419" t="s">
        <v>499</v>
      </c>
      <c r="H8" s="774">
        <f>I96</f>
        <v>0</v>
      </c>
      <c r="I8" s="775"/>
      <c r="J8" s="774">
        <f>K96</f>
        <v>0</v>
      </c>
      <c r="K8" s="775"/>
      <c r="L8" s="774">
        <f>M96</f>
        <v>0</v>
      </c>
      <c r="M8" s="775"/>
      <c r="N8" s="774">
        <f>O96</f>
        <v>0</v>
      </c>
      <c r="O8" s="775"/>
      <c r="P8" s="774">
        <f>Q96</f>
        <v>0</v>
      </c>
      <c r="Q8" s="775"/>
      <c r="R8" s="774">
        <f>S96</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505"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1379"/>
      <c r="B21" s="1136" t="s">
        <v>804</v>
      </c>
      <c r="C21" s="1134"/>
      <c r="D21" s="1124"/>
      <c r="E21" s="1124"/>
      <c r="F21" s="1124"/>
      <c r="G21" s="1133"/>
      <c r="H21" s="590"/>
      <c r="I21" s="1366"/>
      <c r="J21" s="590"/>
      <c r="K21" s="1366"/>
      <c r="L21" s="590"/>
      <c r="M21" s="1366"/>
      <c r="N21" s="590"/>
      <c r="O21" s="1366"/>
      <c r="P21" s="590"/>
      <c r="Q21" s="1366"/>
      <c r="R21" s="590"/>
      <c r="S21" s="1366"/>
    </row>
    <row r="22" spans="1:19" ht="15.75">
      <c r="A22" s="1534"/>
      <c r="B22" s="374" t="s">
        <v>512</v>
      </c>
      <c r="C22" s="1134"/>
      <c r="D22" s="1124"/>
      <c r="E22" s="1124"/>
      <c r="F22" s="1124"/>
      <c r="G22" s="1133"/>
      <c r="H22" s="590"/>
      <c r="I22" s="1507"/>
      <c r="J22" s="590"/>
      <c r="K22" s="1366"/>
      <c r="L22" s="590"/>
      <c r="M22" s="1366"/>
      <c r="N22" s="590"/>
      <c r="O22" s="1366"/>
      <c r="P22" s="590"/>
      <c r="Q22" s="1366"/>
      <c r="R22" s="590"/>
      <c r="S22" s="1366"/>
    </row>
    <row r="23" spans="1:19" ht="15.75" customHeight="1">
      <c r="A23" s="1379"/>
      <c r="B23" s="1422" t="s">
        <v>513</v>
      </c>
      <c r="C23" s="1134"/>
      <c r="D23" s="1124"/>
      <c r="E23" s="1124"/>
      <c r="F23" s="1124"/>
      <c r="G23" s="1133"/>
      <c r="H23" s="590"/>
      <c r="I23" s="1366"/>
      <c r="J23" s="590"/>
      <c r="K23" s="1366"/>
      <c r="L23" s="590"/>
      <c r="M23" s="1366"/>
      <c r="N23" s="590"/>
      <c r="O23" s="1366"/>
      <c r="P23" s="590"/>
      <c r="Q23" s="1366"/>
      <c r="R23" s="590"/>
      <c r="S23" s="1366"/>
    </row>
    <row r="24" spans="1:19">
      <c r="A24" s="1379"/>
      <c r="B24" s="1508" t="s">
        <v>514</v>
      </c>
      <c r="C24" s="1134"/>
      <c r="D24" s="1124"/>
      <c r="E24" s="1124"/>
      <c r="F24" s="1124"/>
      <c r="G24" s="1133"/>
      <c r="H24" s="590"/>
      <c r="I24" s="1365"/>
      <c r="J24" s="590"/>
      <c r="K24" s="1365"/>
      <c r="L24" s="590"/>
      <c r="M24" s="629"/>
      <c r="N24" s="590"/>
      <c r="O24" s="1365"/>
      <c r="P24" s="590"/>
      <c r="Q24" s="629"/>
      <c r="R24" s="590"/>
      <c r="S24" s="1365"/>
    </row>
    <row r="25" spans="1:19" ht="15.75" customHeight="1">
      <c r="A25" s="1379"/>
      <c r="B25" s="1509" t="s">
        <v>515</v>
      </c>
      <c r="C25" s="1134"/>
      <c r="D25" s="1124"/>
      <c r="E25" s="1124"/>
      <c r="F25" s="1124"/>
      <c r="G25" s="1133"/>
      <c r="H25" s="590"/>
      <c r="I25" s="1365"/>
      <c r="J25" s="590"/>
      <c r="K25" s="1365"/>
      <c r="L25" s="590"/>
      <c r="M25" s="160"/>
      <c r="N25" s="590"/>
      <c r="O25" s="1365"/>
      <c r="P25" s="590"/>
      <c r="Q25" s="160"/>
      <c r="R25" s="590"/>
      <c r="S25" s="1365"/>
    </row>
    <row r="26" spans="1:19">
      <c r="A26" s="1379"/>
      <c r="B26" s="1509" t="s">
        <v>516</v>
      </c>
      <c r="C26" s="1228"/>
      <c r="D26" s="1426"/>
      <c r="E26" s="1124"/>
      <c r="F26" s="1124"/>
      <c r="G26" s="1133"/>
      <c r="H26" s="590"/>
      <c r="I26" s="1365"/>
      <c r="J26" s="590"/>
      <c r="K26" s="1366"/>
      <c r="L26" s="590"/>
      <c r="M26" s="618"/>
      <c r="N26" s="590"/>
      <c r="O26" s="1366"/>
      <c r="P26" s="590"/>
      <c r="Q26" s="618"/>
      <c r="R26" s="590"/>
      <c r="S26" s="1366"/>
    </row>
    <row r="27" spans="1:19">
      <c r="A27" s="1379"/>
      <c r="B27" s="1509" t="s">
        <v>517</v>
      </c>
      <c r="C27" s="1228"/>
      <c r="D27" s="1426"/>
      <c r="E27" s="1124"/>
      <c r="F27" s="1124"/>
      <c r="G27" s="1133"/>
      <c r="H27" s="590"/>
      <c r="I27" s="1365"/>
      <c r="J27" s="590"/>
      <c r="K27" s="1366"/>
      <c r="L27" s="590"/>
      <c r="M27" s="618"/>
      <c r="N27" s="590"/>
      <c r="O27" s="1366"/>
      <c r="P27" s="590"/>
      <c r="Q27" s="618"/>
      <c r="R27" s="590"/>
      <c r="S27" s="1366"/>
    </row>
    <row r="28" spans="1:19">
      <c r="A28" s="1379"/>
      <c r="B28" s="1509" t="s">
        <v>518</v>
      </c>
      <c r="C28" s="1228"/>
      <c r="D28" s="1426"/>
      <c r="E28" s="1124"/>
      <c r="F28" s="1124"/>
      <c r="G28" s="1133"/>
      <c r="H28" s="590"/>
      <c r="I28" s="1365"/>
      <c r="J28" s="590"/>
      <c r="K28" s="1366"/>
      <c r="L28" s="590"/>
      <c r="M28" s="618"/>
      <c r="N28" s="590"/>
      <c r="O28" s="1366"/>
      <c r="P28" s="590"/>
      <c r="Q28" s="618"/>
      <c r="R28" s="590"/>
      <c r="S28" s="1366"/>
    </row>
    <row r="29" spans="1:19">
      <c r="A29" s="1379"/>
      <c r="B29" s="1509" t="s">
        <v>693</v>
      </c>
      <c r="C29" s="1228"/>
      <c r="D29" s="1426"/>
      <c r="E29" s="1124"/>
      <c r="F29" s="1124"/>
      <c r="G29" s="1133"/>
      <c r="H29" s="590"/>
      <c r="I29" s="1365"/>
      <c r="J29" s="590"/>
      <c r="K29" s="1366"/>
      <c r="L29" s="590"/>
      <c r="M29" s="618"/>
      <c r="N29" s="590"/>
      <c r="O29" s="1366"/>
      <c r="P29" s="590"/>
      <c r="Q29" s="618"/>
      <c r="R29" s="590"/>
      <c r="S29" s="1366"/>
    </row>
    <row r="30" spans="1:19">
      <c r="A30" s="1379"/>
      <c r="B30" s="1427" t="s">
        <v>519</v>
      </c>
      <c r="C30" s="1228"/>
      <c r="D30" s="1426"/>
      <c r="E30" s="1124"/>
      <c r="F30" s="1124"/>
      <c r="G30" s="1133"/>
      <c r="H30" s="590"/>
      <c r="I30" s="1365"/>
      <c r="J30" s="590"/>
      <c r="K30" s="1366"/>
      <c r="L30" s="590"/>
      <c r="M30" s="618"/>
      <c r="N30" s="590"/>
      <c r="O30" s="1366"/>
      <c r="P30" s="590"/>
      <c r="Q30" s="618"/>
      <c r="R30" s="590"/>
      <c r="S30" s="1366"/>
    </row>
    <row r="31" spans="1:19">
      <c r="A31" s="1379"/>
      <c r="B31" s="1473" t="s">
        <v>520</v>
      </c>
      <c r="C31" s="1474"/>
      <c r="D31" s="1475"/>
      <c r="E31" s="1145"/>
      <c r="F31" s="1145"/>
      <c r="G31" s="1147"/>
      <c r="H31" s="619"/>
      <c r="I31" s="1476"/>
      <c r="J31" s="619"/>
      <c r="K31" s="1477"/>
      <c r="L31" s="1478"/>
      <c r="M31" s="635"/>
      <c r="N31" s="1479"/>
      <c r="O31" s="1477"/>
      <c r="P31" s="1478"/>
      <c r="Q31" s="635"/>
      <c r="R31" s="1479"/>
      <c r="S31" s="1477"/>
    </row>
    <row r="32" spans="1:19">
      <c r="A32" s="1379"/>
      <c r="B32" s="1480" t="s">
        <v>748</v>
      </c>
      <c r="C32" s="1228"/>
      <c r="D32" s="1426"/>
      <c r="E32" s="1124"/>
      <c r="F32" s="1124"/>
      <c r="G32" s="1133"/>
      <c r="H32" s="590"/>
      <c r="I32" s="1365"/>
      <c r="J32" s="590"/>
      <c r="K32" s="1366"/>
      <c r="L32" s="590"/>
      <c r="M32" s="618"/>
      <c r="N32" s="590"/>
      <c r="O32" s="1366"/>
      <c r="P32" s="590"/>
      <c r="Q32" s="618"/>
      <c r="R32" s="590"/>
      <c r="S32" s="1366"/>
    </row>
    <row r="33" spans="1:19">
      <c r="A33" s="1379"/>
      <c r="B33" s="1481"/>
      <c r="C33" s="1228"/>
      <c r="D33" s="1426"/>
      <c r="E33" s="1124"/>
      <c r="F33" s="1124"/>
      <c r="G33" s="1133"/>
      <c r="H33" s="590"/>
      <c r="I33" s="1365"/>
      <c r="J33" s="590"/>
      <c r="K33" s="1366"/>
      <c r="L33" s="590"/>
      <c r="M33" s="618"/>
      <c r="N33" s="590"/>
      <c r="O33" s="1366"/>
      <c r="P33" s="590"/>
      <c r="Q33" s="618"/>
      <c r="R33" s="590"/>
      <c r="S33" s="1366"/>
    </row>
    <row r="34" spans="1:19">
      <c r="A34" s="1379"/>
      <c r="B34" s="1482" t="s">
        <v>754</v>
      </c>
      <c r="C34" s="1228"/>
      <c r="D34" s="1426"/>
      <c r="E34" s="1124"/>
      <c r="F34" s="1124"/>
      <c r="G34" s="1133"/>
      <c r="H34" s="590"/>
      <c r="I34" s="1365"/>
      <c r="J34" s="590"/>
      <c r="K34" s="1366"/>
      <c r="L34" s="590"/>
      <c r="M34" s="618"/>
      <c r="N34" s="590"/>
      <c r="O34" s="1366"/>
      <c r="P34" s="590"/>
      <c r="Q34" s="618"/>
      <c r="R34" s="590"/>
      <c r="S34" s="1366"/>
    </row>
    <row r="35" spans="1:19">
      <c r="A35" s="1379"/>
      <c r="B35" s="1483" t="s">
        <v>755</v>
      </c>
      <c r="C35" s="1228"/>
      <c r="D35" s="1426"/>
      <c r="E35" s="1124"/>
      <c r="F35" s="1124"/>
      <c r="G35" s="1133"/>
      <c r="H35" s="590"/>
      <c r="I35" s="1365"/>
      <c r="J35" s="590"/>
      <c r="K35" s="1366"/>
      <c r="L35" s="590"/>
      <c r="M35" s="618"/>
      <c r="N35" s="590"/>
      <c r="O35" s="1366"/>
      <c r="P35" s="590"/>
      <c r="Q35" s="618"/>
      <c r="R35" s="590"/>
      <c r="S35" s="1366"/>
    </row>
    <row r="36" spans="1:19">
      <c r="A36" s="1379"/>
      <c r="B36" s="1483" t="s">
        <v>756</v>
      </c>
      <c r="C36" s="1228"/>
      <c r="D36" s="1426"/>
      <c r="E36" s="1124"/>
      <c r="F36" s="1124"/>
      <c r="G36" s="1133"/>
      <c r="H36" s="590"/>
      <c r="I36" s="1365"/>
      <c r="J36" s="590"/>
      <c r="K36" s="1366"/>
      <c r="L36" s="590"/>
      <c r="M36" s="618"/>
      <c r="N36" s="590"/>
      <c r="O36" s="1366"/>
      <c r="P36" s="590"/>
      <c r="Q36" s="618"/>
      <c r="R36" s="590"/>
      <c r="S36" s="1366"/>
    </row>
    <row r="37" spans="1:19">
      <c r="A37" s="1379"/>
      <c r="B37" s="1483" t="s">
        <v>757</v>
      </c>
      <c r="C37" s="1228"/>
      <c r="D37" s="1426"/>
      <c r="E37" s="1124"/>
      <c r="F37" s="1124"/>
      <c r="G37" s="1133"/>
      <c r="H37" s="590"/>
      <c r="I37" s="1365"/>
      <c r="J37" s="590"/>
      <c r="K37" s="1366"/>
      <c r="L37" s="590"/>
      <c r="M37" s="618"/>
      <c r="N37" s="590"/>
      <c r="O37" s="1366"/>
      <c r="P37" s="590"/>
      <c r="Q37" s="618"/>
      <c r="R37" s="590"/>
      <c r="S37" s="1366"/>
    </row>
    <row r="38" spans="1:19">
      <c r="A38" s="1379"/>
      <c r="B38" s="1483" t="s">
        <v>758</v>
      </c>
      <c r="C38" s="1228"/>
      <c r="D38" s="1426"/>
      <c r="E38" s="1124"/>
      <c r="F38" s="1124"/>
      <c r="G38" s="1133"/>
      <c r="H38" s="590"/>
      <c r="I38" s="1365"/>
      <c r="J38" s="590"/>
      <c r="K38" s="1366"/>
      <c r="L38" s="590"/>
      <c r="M38" s="618"/>
      <c r="N38" s="590"/>
      <c r="O38" s="1366"/>
      <c r="P38" s="590"/>
      <c r="Q38" s="618"/>
      <c r="R38" s="590"/>
      <c r="S38" s="1366"/>
    </row>
    <row r="39" spans="1:19">
      <c r="A39" s="1379"/>
      <c r="B39" s="1483" t="s">
        <v>759</v>
      </c>
      <c r="C39" s="1228"/>
      <c r="D39" s="1426"/>
      <c r="E39" s="1124"/>
      <c r="F39" s="1124"/>
      <c r="G39" s="1133"/>
      <c r="H39" s="590"/>
      <c r="I39" s="1365"/>
      <c r="J39" s="590"/>
      <c r="K39" s="1366"/>
      <c r="L39" s="590"/>
      <c r="M39" s="618"/>
      <c r="N39" s="590"/>
      <c r="O39" s="1366"/>
      <c r="P39" s="590"/>
      <c r="Q39" s="618"/>
      <c r="R39" s="590"/>
      <c r="S39" s="1366"/>
    </row>
    <row r="40" spans="1:19">
      <c r="A40" s="1379"/>
      <c r="B40" s="1483" t="s">
        <v>760</v>
      </c>
      <c r="C40" s="1228"/>
      <c r="D40" s="1426"/>
      <c r="E40" s="1124"/>
      <c r="F40" s="1124"/>
      <c r="G40" s="1133"/>
      <c r="H40" s="590"/>
      <c r="I40" s="1365"/>
      <c r="J40" s="590"/>
      <c r="K40" s="1366"/>
      <c r="L40" s="590"/>
      <c r="M40" s="618"/>
      <c r="N40" s="590"/>
      <c r="O40" s="1366"/>
      <c r="P40" s="590"/>
      <c r="Q40" s="618"/>
      <c r="R40" s="590"/>
      <c r="S40" s="1366"/>
    </row>
    <row r="41" spans="1:19">
      <c r="A41" s="1379"/>
      <c r="B41" s="1483" t="s">
        <v>761</v>
      </c>
      <c r="C41" s="1228"/>
      <c r="D41" s="1426"/>
      <c r="E41" s="1124"/>
      <c r="F41" s="1124"/>
      <c r="G41" s="1133"/>
      <c r="H41" s="590"/>
      <c r="I41" s="1365"/>
      <c r="J41" s="590"/>
      <c r="K41" s="1366"/>
      <c r="L41" s="590"/>
      <c r="M41" s="618"/>
      <c r="N41" s="590"/>
      <c r="O41" s="1366"/>
      <c r="P41" s="590"/>
      <c r="Q41" s="618"/>
      <c r="R41" s="590"/>
      <c r="S41" s="1366"/>
    </row>
    <row r="42" spans="1:19">
      <c r="A42" s="1379"/>
      <c r="B42" s="1483" t="s">
        <v>762</v>
      </c>
      <c r="C42" s="1228"/>
      <c r="D42" s="1426"/>
      <c r="E42" s="1124"/>
      <c r="F42" s="1124"/>
      <c r="G42" s="1133"/>
      <c r="H42" s="590" t="s">
        <v>710</v>
      </c>
      <c r="I42" s="1365"/>
      <c r="J42" s="590"/>
      <c r="K42" s="1366"/>
      <c r="L42" s="590"/>
      <c r="M42" s="618"/>
      <c r="N42" s="590"/>
      <c r="O42" s="1366"/>
      <c r="P42" s="590"/>
      <c r="Q42" s="618"/>
      <c r="R42" s="590"/>
      <c r="S42" s="1366"/>
    </row>
    <row r="43" spans="1:19">
      <c r="A43" s="1379"/>
      <c r="B43" s="1483"/>
      <c r="C43" s="1228"/>
      <c r="D43" s="1426"/>
      <c r="E43" s="1124"/>
      <c r="F43" s="1124"/>
      <c r="G43" s="1133"/>
      <c r="H43" s="590"/>
      <c r="I43" s="1365"/>
      <c r="J43" s="590"/>
      <c r="K43" s="1366"/>
      <c r="L43" s="590"/>
      <c r="M43" s="618"/>
      <c r="N43" s="590"/>
      <c r="O43" s="1366"/>
      <c r="P43" s="590"/>
      <c r="Q43" s="618"/>
      <c r="R43" s="590"/>
      <c r="S43" s="1366"/>
    </row>
    <row r="44" spans="1:19">
      <c r="A44" s="1379"/>
      <c r="B44" s="1482" t="s">
        <v>763</v>
      </c>
      <c r="C44" s="1228"/>
      <c r="D44" s="1426"/>
      <c r="E44" s="1124"/>
      <c r="F44" s="1124"/>
      <c r="G44" s="1133"/>
      <c r="H44" s="590"/>
      <c r="I44" s="1365"/>
      <c r="J44" s="590"/>
      <c r="K44" s="1366"/>
      <c r="L44" s="590"/>
      <c r="M44" s="618"/>
      <c r="N44" s="590"/>
      <c r="O44" s="1366"/>
      <c r="P44" s="590"/>
      <c r="Q44" s="618"/>
      <c r="R44" s="590"/>
      <c r="S44" s="1366"/>
    </row>
    <row r="45" spans="1:19">
      <c r="A45" s="1379"/>
      <c r="B45" s="1483" t="s">
        <v>764</v>
      </c>
      <c r="C45" s="1228"/>
      <c r="D45" s="1426"/>
      <c r="E45" s="1124"/>
      <c r="F45" s="1124"/>
      <c r="G45" s="1133"/>
      <c r="H45" s="590"/>
      <c r="I45" s="1365"/>
      <c r="J45" s="590"/>
      <c r="K45" s="1366"/>
      <c r="L45" s="590"/>
      <c r="M45" s="618"/>
      <c r="N45" s="590"/>
      <c r="O45" s="1366"/>
      <c r="P45" s="590"/>
      <c r="Q45" s="618"/>
      <c r="R45" s="590"/>
      <c r="S45" s="1366"/>
    </row>
    <row r="46" spans="1:19">
      <c r="A46" s="1379"/>
      <c r="B46" s="1483" t="s">
        <v>765</v>
      </c>
      <c r="C46" s="1228"/>
      <c r="D46" s="1426"/>
      <c r="E46" s="1124"/>
      <c r="F46" s="1124"/>
      <c r="G46" s="1133"/>
      <c r="H46" s="590"/>
      <c r="I46" s="1365"/>
      <c r="J46" s="590"/>
      <c r="K46" s="1366"/>
      <c r="L46" s="590"/>
      <c r="M46" s="618"/>
      <c r="N46" s="590"/>
      <c r="O46" s="1366"/>
      <c r="P46" s="590"/>
      <c r="Q46" s="618"/>
      <c r="R46" s="590"/>
      <c r="S46" s="1366"/>
    </row>
    <row r="47" spans="1:19">
      <c r="A47" s="1379"/>
      <c r="B47" s="1483" t="s">
        <v>766</v>
      </c>
      <c r="C47" s="1228"/>
      <c r="D47" s="1426"/>
      <c r="E47" s="1124"/>
      <c r="F47" s="1124"/>
      <c r="G47" s="1133"/>
      <c r="H47" s="590"/>
      <c r="I47" s="1365"/>
      <c r="J47" s="590"/>
      <c r="K47" s="1366"/>
      <c r="L47" s="590"/>
      <c r="M47" s="618"/>
      <c r="N47" s="590"/>
      <c r="O47" s="1366"/>
      <c r="P47" s="590"/>
      <c r="Q47" s="618"/>
      <c r="R47" s="590"/>
      <c r="S47" s="1366"/>
    </row>
    <row r="48" spans="1:19">
      <c r="A48" s="1379"/>
      <c r="B48" s="1483" t="s">
        <v>767</v>
      </c>
      <c r="C48" s="1228"/>
      <c r="D48" s="1426"/>
      <c r="E48" s="1124"/>
      <c r="F48" s="1124"/>
      <c r="G48" s="1133"/>
      <c r="H48" s="590"/>
      <c r="I48" s="1365"/>
      <c r="J48" s="590"/>
      <c r="K48" s="1366"/>
      <c r="L48" s="590"/>
      <c r="M48" s="618"/>
      <c r="N48" s="590"/>
      <c r="O48" s="1366"/>
      <c r="P48" s="590"/>
      <c r="Q48" s="618"/>
      <c r="R48" s="590"/>
      <c r="S48" s="1366"/>
    </row>
    <row r="49" spans="1:19">
      <c r="A49" s="1379"/>
      <c r="B49" s="1483" t="s">
        <v>768</v>
      </c>
      <c r="C49" s="1228"/>
      <c r="D49" s="1426"/>
      <c r="E49" s="1124"/>
      <c r="F49" s="1124"/>
      <c r="G49" s="1133"/>
      <c r="H49" s="590"/>
      <c r="I49" s="1365"/>
      <c r="J49" s="590"/>
      <c r="K49" s="1366"/>
      <c r="L49" s="590"/>
      <c r="M49" s="618"/>
      <c r="N49" s="590"/>
      <c r="O49" s="1366"/>
      <c r="P49" s="590"/>
      <c r="Q49" s="618"/>
      <c r="R49" s="590"/>
      <c r="S49" s="1366"/>
    </row>
    <row r="50" spans="1:19">
      <c r="A50" s="1379"/>
      <c r="B50" s="1483" t="s">
        <v>769</v>
      </c>
      <c r="C50" s="1228"/>
      <c r="D50" s="1426"/>
      <c r="E50" s="1124"/>
      <c r="F50" s="1124"/>
      <c r="G50" s="1133"/>
      <c r="H50" s="590"/>
      <c r="I50" s="1365"/>
      <c r="J50" s="590"/>
      <c r="K50" s="1366"/>
      <c r="L50" s="590"/>
      <c r="M50" s="618"/>
      <c r="N50" s="590"/>
      <c r="O50" s="1366"/>
      <c r="P50" s="590"/>
      <c r="Q50" s="618"/>
      <c r="R50" s="590"/>
      <c r="S50" s="1366"/>
    </row>
    <row r="51" spans="1:19">
      <c r="A51" s="1379"/>
      <c r="B51" s="1483" t="s">
        <v>770</v>
      </c>
      <c r="C51" s="1228"/>
      <c r="D51" s="1426"/>
      <c r="E51" s="1124"/>
      <c r="F51" s="1124"/>
      <c r="G51" s="1133"/>
      <c r="H51" s="590"/>
      <c r="I51" s="1365"/>
      <c r="J51" s="590"/>
      <c r="K51" s="1366"/>
      <c r="L51" s="590"/>
      <c r="M51" s="618"/>
      <c r="N51" s="590"/>
      <c r="O51" s="1366"/>
      <c r="P51" s="590"/>
      <c r="Q51" s="618"/>
      <c r="R51" s="590"/>
      <c r="S51" s="1366"/>
    </row>
    <row r="52" spans="1:19">
      <c r="A52" s="1379"/>
      <c r="B52" s="1483" t="s">
        <v>771</v>
      </c>
      <c r="C52" s="1228"/>
      <c r="D52" s="1426"/>
      <c r="E52" s="1124"/>
      <c r="F52" s="1124"/>
      <c r="G52" s="1133"/>
      <c r="H52" s="590"/>
      <c r="I52" s="1365"/>
      <c r="J52" s="590"/>
      <c r="K52" s="1366"/>
      <c r="L52" s="590"/>
      <c r="M52" s="618"/>
      <c r="N52" s="590"/>
      <c r="O52" s="1366"/>
      <c r="P52" s="590"/>
      <c r="Q52" s="618"/>
      <c r="R52" s="590"/>
      <c r="S52" s="1366"/>
    </row>
    <row r="53" spans="1:19">
      <c r="A53" s="1379"/>
      <c r="B53" s="1483" t="s">
        <v>772</v>
      </c>
      <c r="C53" s="1228"/>
      <c r="D53" s="1426"/>
      <c r="E53" s="1124"/>
      <c r="F53" s="1124"/>
      <c r="G53" s="1133"/>
      <c r="H53" s="590"/>
      <c r="I53" s="1365"/>
      <c r="J53" s="590"/>
      <c r="K53" s="1366"/>
      <c r="L53" s="590"/>
      <c r="M53" s="618"/>
      <c r="N53" s="590"/>
      <c r="O53" s="1366"/>
      <c r="P53" s="590"/>
      <c r="Q53" s="618"/>
      <c r="R53" s="590"/>
      <c r="S53" s="1366"/>
    </row>
    <row r="54" spans="1:19">
      <c r="A54" s="1379"/>
      <c r="B54" s="1483" t="s">
        <v>773</v>
      </c>
      <c r="C54" s="1228"/>
      <c r="D54" s="1426"/>
      <c r="E54" s="1124"/>
      <c r="F54" s="1124"/>
      <c r="G54" s="1133"/>
      <c r="H54" s="590"/>
      <c r="I54" s="1365"/>
      <c r="J54" s="590"/>
      <c r="K54" s="1366"/>
      <c r="L54" s="590"/>
      <c r="M54" s="618"/>
      <c r="N54" s="590"/>
      <c r="O54" s="1366"/>
      <c r="P54" s="590"/>
      <c r="Q54" s="618"/>
      <c r="R54" s="590"/>
      <c r="S54" s="1366"/>
    </row>
    <row r="55" spans="1:19">
      <c r="A55" s="1379"/>
      <c r="B55" s="1483" t="s">
        <v>774</v>
      </c>
      <c r="C55" s="1228"/>
      <c r="D55" s="1426"/>
      <c r="E55" s="1124"/>
      <c r="F55" s="1124"/>
      <c r="G55" s="1133"/>
      <c r="H55" s="590"/>
      <c r="I55" s="1365"/>
      <c r="J55" s="590"/>
      <c r="K55" s="1366"/>
      <c r="L55" s="590"/>
      <c r="M55" s="618"/>
      <c r="N55" s="590"/>
      <c r="O55" s="1366"/>
      <c r="P55" s="590"/>
      <c r="Q55" s="618"/>
      <c r="R55" s="590"/>
      <c r="S55" s="1366"/>
    </row>
    <row r="56" spans="1:19">
      <c r="A56" s="1379"/>
      <c r="B56" s="1483"/>
      <c r="C56" s="1228"/>
      <c r="D56" s="1426"/>
      <c r="E56" s="1124"/>
      <c r="F56" s="1124"/>
      <c r="G56" s="1133"/>
      <c r="H56" s="590"/>
      <c r="I56" s="1365"/>
      <c r="J56" s="590"/>
      <c r="K56" s="1366"/>
      <c r="L56" s="590"/>
      <c r="M56" s="618"/>
      <c r="N56" s="590"/>
      <c r="O56" s="1366"/>
      <c r="P56" s="590"/>
      <c r="Q56" s="618"/>
      <c r="R56" s="590"/>
      <c r="S56" s="1366"/>
    </row>
    <row r="57" spans="1:19">
      <c r="A57" s="1379"/>
      <c r="B57" s="1482" t="s">
        <v>775</v>
      </c>
      <c r="C57" s="1228"/>
      <c r="D57" s="1426"/>
      <c r="E57" s="1124"/>
      <c r="F57" s="1124"/>
      <c r="G57" s="1133"/>
      <c r="H57" s="590"/>
      <c r="I57" s="1366"/>
      <c r="J57" s="590"/>
      <c r="K57" s="1366"/>
      <c r="L57" s="590"/>
      <c r="M57" s="618"/>
      <c r="N57" s="590"/>
      <c r="O57" s="1366"/>
      <c r="P57" s="590"/>
      <c r="Q57" s="618"/>
      <c r="R57" s="590"/>
      <c r="S57" s="1366"/>
    </row>
    <row r="58" spans="1:19">
      <c r="A58" s="1379"/>
      <c r="B58" s="1483" t="s">
        <v>776</v>
      </c>
      <c r="C58" s="1228"/>
      <c r="D58" s="1426"/>
      <c r="E58" s="1124"/>
      <c r="F58" s="1124"/>
      <c r="G58" s="1133"/>
      <c r="H58" s="590"/>
      <c r="I58" s="1366"/>
      <c r="J58" s="590"/>
      <c r="K58" s="1366"/>
      <c r="L58" s="590"/>
      <c r="M58" s="618"/>
      <c r="N58" s="590"/>
      <c r="O58" s="1366"/>
      <c r="P58" s="590"/>
      <c r="Q58" s="618"/>
      <c r="R58" s="590"/>
      <c r="S58" s="1366"/>
    </row>
    <row r="59" spans="1:19">
      <c r="A59" s="1379"/>
      <c r="B59" s="1483" t="s">
        <v>777</v>
      </c>
      <c r="C59" s="1228"/>
      <c r="D59" s="1426"/>
      <c r="E59" s="1124"/>
      <c r="F59" s="1124"/>
      <c r="G59" s="1133"/>
      <c r="H59" s="590"/>
      <c r="I59" s="1366"/>
      <c r="J59" s="590"/>
      <c r="K59" s="1366"/>
      <c r="L59" s="590"/>
      <c r="M59" s="618"/>
      <c r="N59" s="590"/>
      <c r="O59" s="1366"/>
      <c r="P59" s="590"/>
      <c r="Q59" s="618"/>
      <c r="R59" s="590"/>
      <c r="S59" s="1366"/>
    </row>
    <row r="60" spans="1:19">
      <c r="A60" s="1379"/>
      <c r="B60" s="1483" t="s">
        <v>778</v>
      </c>
      <c r="C60" s="1228"/>
      <c r="D60" s="1426"/>
      <c r="E60" s="1124"/>
      <c r="F60" s="1124"/>
      <c r="G60" s="1133"/>
      <c r="H60" s="590"/>
      <c r="I60" s="1366"/>
      <c r="J60" s="590"/>
      <c r="K60" s="1366"/>
      <c r="L60" s="590"/>
      <c r="M60" s="618"/>
      <c r="N60" s="590"/>
      <c r="O60" s="1366"/>
      <c r="P60" s="590"/>
      <c r="Q60" s="618"/>
      <c r="R60" s="590"/>
      <c r="S60" s="1366"/>
    </row>
    <row r="61" spans="1:19">
      <c r="A61" s="1379"/>
      <c r="B61" s="1483" t="s">
        <v>779</v>
      </c>
      <c r="C61" s="1228"/>
      <c r="D61" s="1426"/>
      <c r="E61" s="1124"/>
      <c r="F61" s="1124"/>
      <c r="G61" s="1133"/>
      <c r="H61" s="590"/>
      <c r="I61" s="1366"/>
      <c r="J61" s="590"/>
      <c r="K61" s="1366"/>
      <c r="L61" s="590"/>
      <c r="M61" s="618"/>
      <c r="N61" s="590"/>
      <c r="O61" s="1366"/>
      <c r="P61" s="590"/>
      <c r="Q61" s="618"/>
      <c r="R61" s="590"/>
      <c r="S61" s="1366"/>
    </row>
    <row r="62" spans="1:19">
      <c r="A62" s="1379"/>
      <c r="B62" s="1483" t="s">
        <v>780</v>
      </c>
      <c r="C62" s="1228"/>
      <c r="D62" s="1426"/>
      <c r="E62" s="1124"/>
      <c r="F62" s="1124"/>
      <c r="G62" s="1133"/>
      <c r="H62" s="590"/>
      <c r="I62" s="1366"/>
      <c r="J62" s="590"/>
      <c r="K62" s="1366"/>
      <c r="L62" s="590"/>
      <c r="M62" s="618"/>
      <c r="N62" s="590"/>
      <c r="O62" s="1366"/>
      <c r="P62" s="590"/>
      <c r="Q62" s="618"/>
      <c r="R62" s="590"/>
      <c r="S62" s="1366"/>
    </row>
    <row r="63" spans="1:19">
      <c r="A63" s="1379"/>
      <c r="B63" s="1483" t="s">
        <v>781</v>
      </c>
      <c r="C63" s="1228"/>
      <c r="D63" s="1426"/>
      <c r="E63" s="1124"/>
      <c r="F63" s="1124"/>
      <c r="G63" s="1133"/>
      <c r="H63" s="590"/>
      <c r="I63" s="1366"/>
      <c r="J63" s="590"/>
      <c r="K63" s="1366"/>
      <c r="L63" s="590"/>
      <c r="M63" s="618"/>
      <c r="N63" s="590"/>
      <c r="O63" s="1366"/>
      <c r="P63" s="590"/>
      <c r="Q63" s="618"/>
      <c r="R63" s="590"/>
      <c r="S63" s="1366"/>
    </row>
    <row r="64" spans="1:19">
      <c r="A64" s="1379"/>
      <c r="B64" s="1483" t="s">
        <v>782</v>
      </c>
      <c r="C64" s="1228"/>
      <c r="D64" s="1426"/>
      <c r="E64" s="1124"/>
      <c r="F64" s="1124"/>
      <c r="G64" s="1133"/>
      <c r="H64" s="590"/>
      <c r="I64" s="1366"/>
      <c r="J64" s="590"/>
      <c r="K64" s="1366"/>
      <c r="L64" s="590"/>
      <c r="M64" s="618"/>
      <c r="N64" s="590"/>
      <c r="O64" s="1366"/>
      <c r="P64" s="590"/>
      <c r="Q64" s="618"/>
      <c r="R64" s="590"/>
      <c r="S64" s="1366"/>
    </row>
    <row r="65" spans="1:19">
      <c r="A65" s="1379"/>
      <c r="B65" s="1483" t="s">
        <v>783</v>
      </c>
      <c r="C65" s="1228"/>
      <c r="D65" s="1426"/>
      <c r="E65" s="1124"/>
      <c r="F65" s="1124"/>
      <c r="G65" s="1133"/>
      <c r="H65" s="590"/>
      <c r="I65" s="1366"/>
      <c r="J65" s="590"/>
      <c r="K65" s="1366"/>
      <c r="L65" s="590"/>
      <c r="M65" s="618"/>
      <c r="N65" s="590"/>
      <c r="O65" s="1366"/>
      <c r="P65" s="590"/>
      <c r="Q65" s="618"/>
      <c r="R65" s="590"/>
      <c r="S65" s="1366"/>
    </row>
    <row r="66" spans="1:19">
      <c r="A66" s="1379"/>
      <c r="B66" s="1483" t="s">
        <v>784</v>
      </c>
      <c r="C66" s="1228"/>
      <c r="D66" s="1426"/>
      <c r="E66" s="1124"/>
      <c r="F66" s="1124"/>
      <c r="G66" s="1133"/>
      <c r="H66" s="590"/>
      <c r="I66" s="1366"/>
      <c r="J66" s="590"/>
      <c r="K66" s="1366"/>
      <c r="L66" s="590"/>
      <c r="M66" s="618"/>
      <c r="N66" s="590"/>
      <c r="O66" s="1366"/>
      <c r="P66" s="590"/>
      <c r="Q66" s="618"/>
      <c r="R66" s="590"/>
      <c r="S66" s="1366"/>
    </row>
    <row r="67" spans="1:19">
      <c r="A67" s="1379"/>
      <c r="B67" s="1483" t="s">
        <v>785</v>
      </c>
      <c r="C67" s="1228"/>
      <c r="D67" s="1426"/>
      <c r="E67" s="1124"/>
      <c r="F67" s="1124"/>
      <c r="G67" s="1133"/>
      <c r="H67" s="590"/>
      <c r="I67" s="1366"/>
      <c r="J67" s="590"/>
      <c r="K67" s="1366"/>
      <c r="L67" s="590"/>
      <c r="M67" s="618"/>
      <c r="N67" s="590"/>
      <c r="O67" s="1366"/>
      <c r="P67" s="590"/>
      <c r="Q67" s="618"/>
      <c r="R67" s="590"/>
      <c r="S67" s="1366"/>
    </row>
    <row r="68" spans="1:19">
      <c r="A68" s="1379"/>
      <c r="B68" s="1483" t="s">
        <v>786</v>
      </c>
      <c r="C68" s="1228"/>
      <c r="D68" s="1426"/>
      <c r="E68" s="1124"/>
      <c r="F68" s="1124"/>
      <c r="G68" s="1133"/>
      <c r="H68" s="590"/>
      <c r="I68" s="1366"/>
      <c r="J68" s="590"/>
      <c r="K68" s="1366"/>
      <c r="L68" s="590"/>
      <c r="M68" s="618"/>
      <c r="N68" s="590"/>
      <c r="O68" s="1366"/>
      <c r="P68" s="590"/>
      <c r="Q68" s="618"/>
      <c r="R68" s="590"/>
      <c r="S68" s="1366"/>
    </row>
    <row r="69" spans="1:19">
      <c r="A69" s="1379"/>
      <c r="B69" s="1483" t="s">
        <v>787</v>
      </c>
      <c r="C69" s="1228"/>
      <c r="D69" s="1426"/>
      <c r="E69" s="1124"/>
      <c r="F69" s="1124"/>
      <c r="G69" s="1133"/>
      <c r="H69" s="590"/>
      <c r="I69" s="1366"/>
      <c r="J69" s="590"/>
      <c r="K69" s="1366"/>
      <c r="L69" s="590"/>
      <c r="M69" s="618"/>
      <c r="N69" s="590"/>
      <c r="O69" s="1366"/>
      <c r="P69" s="590"/>
      <c r="Q69" s="618"/>
      <c r="R69" s="590"/>
      <c r="S69" s="1366"/>
    </row>
    <row r="70" spans="1:19">
      <c r="A70" s="1379"/>
      <c r="B70" s="1483" t="s">
        <v>788</v>
      </c>
      <c r="C70" s="1228"/>
      <c r="D70" s="1426"/>
      <c r="E70" s="1124"/>
      <c r="F70" s="1124"/>
      <c r="G70" s="1133"/>
      <c r="H70" s="590"/>
      <c r="I70" s="1366"/>
      <c r="J70" s="590"/>
      <c r="K70" s="1366"/>
      <c r="L70" s="590"/>
      <c r="M70" s="618"/>
      <c r="N70" s="590"/>
      <c r="O70" s="1366"/>
      <c r="P70" s="590"/>
      <c r="Q70" s="618"/>
      <c r="R70" s="590"/>
      <c r="S70" s="1366"/>
    </row>
    <row r="71" spans="1:19">
      <c r="A71" s="1379"/>
      <c r="B71" s="1483" t="s">
        <v>789</v>
      </c>
      <c r="C71" s="1228"/>
      <c r="D71" s="1426"/>
      <c r="E71" s="1124"/>
      <c r="F71" s="1124"/>
      <c r="G71" s="1133"/>
      <c r="H71" s="590"/>
      <c r="I71" s="1366"/>
      <c r="J71" s="590"/>
      <c r="K71" s="1366"/>
      <c r="L71" s="590"/>
      <c r="M71" s="618"/>
      <c r="N71" s="590"/>
      <c r="O71" s="1366"/>
      <c r="P71" s="590"/>
      <c r="Q71" s="618"/>
      <c r="R71" s="590"/>
      <c r="S71" s="1366"/>
    </row>
    <row r="72" spans="1:19">
      <c r="A72" s="1379"/>
      <c r="B72" s="1483" t="s">
        <v>790</v>
      </c>
      <c r="C72" s="1228"/>
      <c r="D72" s="1426"/>
      <c r="E72" s="1124"/>
      <c r="F72" s="1124"/>
      <c r="G72" s="1133"/>
      <c r="H72" s="590"/>
      <c r="I72" s="1366"/>
      <c r="J72" s="590"/>
      <c r="K72" s="1366"/>
      <c r="L72" s="590"/>
      <c r="M72" s="618"/>
      <c r="N72" s="590"/>
      <c r="O72" s="1366"/>
      <c r="P72" s="590"/>
      <c r="Q72" s="618"/>
      <c r="R72" s="590"/>
      <c r="S72" s="1366"/>
    </row>
    <row r="73" spans="1:19">
      <c r="A73" s="1379"/>
      <c r="B73" s="1483" t="s">
        <v>791</v>
      </c>
      <c r="C73" s="1228"/>
      <c r="D73" s="1426"/>
      <c r="E73" s="1124"/>
      <c r="F73" s="1124"/>
      <c r="G73" s="1133"/>
      <c r="H73" s="590"/>
      <c r="I73" s="1366"/>
      <c r="J73" s="590"/>
      <c r="K73" s="1366"/>
      <c r="L73" s="590"/>
      <c r="M73" s="618"/>
      <c r="N73" s="590"/>
      <c r="O73" s="1366"/>
      <c r="P73" s="590"/>
      <c r="Q73" s="618"/>
      <c r="R73" s="590"/>
      <c r="S73" s="1366"/>
    </row>
    <row r="74" spans="1:19">
      <c r="A74" s="1379"/>
      <c r="B74" s="1483" t="s">
        <v>792</v>
      </c>
      <c r="C74" s="1228"/>
      <c r="D74" s="1426"/>
      <c r="E74" s="1124"/>
      <c r="F74" s="1124"/>
      <c r="G74" s="1133"/>
      <c r="H74" s="590"/>
      <c r="I74" s="1366"/>
      <c r="J74" s="590"/>
      <c r="K74" s="1366"/>
      <c r="L74" s="590"/>
      <c r="M74" s="618"/>
      <c r="N74" s="590"/>
      <c r="O74" s="1366"/>
      <c r="P74" s="590"/>
      <c r="Q74" s="618"/>
      <c r="R74" s="590"/>
      <c r="S74" s="1366"/>
    </row>
    <row r="75" spans="1:19">
      <c r="A75" s="1379"/>
      <c r="B75" s="1483" t="s">
        <v>793</v>
      </c>
      <c r="C75" s="1228"/>
      <c r="D75" s="1426"/>
      <c r="E75" s="1124"/>
      <c r="F75" s="1124"/>
      <c r="G75" s="1133"/>
      <c r="H75" s="590"/>
      <c r="I75" s="1366"/>
      <c r="J75" s="590"/>
      <c r="K75" s="1366"/>
      <c r="L75" s="590"/>
      <c r="M75" s="1366"/>
      <c r="N75" s="590"/>
      <c r="O75" s="1366"/>
      <c r="P75" s="590"/>
      <c r="Q75" s="1366"/>
      <c r="R75" s="590"/>
      <c r="S75" s="1366"/>
    </row>
    <row r="76" spans="1:19">
      <c r="A76" s="1379"/>
      <c r="B76" s="1483" t="s">
        <v>794</v>
      </c>
      <c r="C76" s="1228"/>
      <c r="D76" s="1426"/>
      <c r="E76" s="1124"/>
      <c r="F76" s="1124"/>
      <c r="G76" s="1133"/>
      <c r="H76" s="590"/>
      <c r="I76" s="1366"/>
      <c r="J76" s="590"/>
      <c r="K76" s="1366"/>
      <c r="L76" s="590"/>
      <c r="M76" s="1366"/>
      <c r="N76" s="590"/>
      <c r="O76" s="1366"/>
      <c r="P76" s="590"/>
      <c r="Q76" s="1366"/>
      <c r="R76" s="590"/>
      <c r="S76" s="1366"/>
    </row>
    <row r="77" spans="1:19">
      <c r="A77" s="1379"/>
      <c r="B77" s="1483" t="s">
        <v>795</v>
      </c>
      <c r="C77" s="1228"/>
      <c r="D77" s="1426"/>
      <c r="E77" s="1124"/>
      <c r="F77" s="1124"/>
      <c r="G77" s="1133"/>
      <c r="H77" s="590"/>
      <c r="I77" s="1366"/>
      <c r="J77" s="590"/>
      <c r="K77" s="1366"/>
      <c r="L77" s="590"/>
      <c r="M77" s="1366"/>
      <c r="N77" s="590"/>
      <c r="O77" s="1366"/>
      <c r="P77" s="590"/>
      <c r="Q77" s="1366"/>
      <c r="R77" s="590"/>
      <c r="S77" s="1366"/>
    </row>
    <row r="78" spans="1:19">
      <c r="A78" s="1379"/>
      <c r="B78" s="1483" t="s">
        <v>796</v>
      </c>
      <c r="C78" s="1228"/>
      <c r="D78" s="1426"/>
      <c r="E78" s="1124"/>
      <c r="F78" s="1124"/>
      <c r="G78" s="1133"/>
      <c r="H78" s="590"/>
      <c r="I78" s="1366"/>
      <c r="J78" s="590"/>
      <c r="K78" s="1366"/>
      <c r="L78" s="590"/>
      <c r="M78" s="1366"/>
      <c r="N78" s="590"/>
      <c r="O78" s="1366"/>
      <c r="P78" s="590"/>
      <c r="Q78" s="1366"/>
      <c r="R78" s="590"/>
      <c r="S78" s="1366"/>
    </row>
    <row r="79" spans="1:19">
      <c r="A79" s="1379"/>
      <c r="B79" s="1483" t="s">
        <v>797</v>
      </c>
      <c r="C79" s="1228"/>
      <c r="D79" s="1426"/>
      <c r="E79" s="1124"/>
      <c r="F79" s="1124"/>
      <c r="G79" s="1133"/>
      <c r="H79" s="590"/>
      <c r="I79" s="1366"/>
      <c r="J79" s="590"/>
      <c r="K79" s="1366"/>
      <c r="L79" s="590"/>
      <c r="M79" s="1366"/>
      <c r="N79" s="590"/>
      <c r="O79" s="1366"/>
      <c r="P79" s="590"/>
      <c r="Q79" s="1366"/>
      <c r="R79" s="590"/>
      <c r="S79" s="1366"/>
    </row>
    <row r="80" spans="1:19">
      <c r="A80" s="1379"/>
      <c r="B80" s="1483" t="s">
        <v>798</v>
      </c>
      <c r="C80" s="1228"/>
      <c r="D80" s="1426"/>
      <c r="E80" s="1124"/>
      <c r="F80" s="1124"/>
      <c r="G80" s="1133"/>
      <c r="H80" s="590"/>
      <c r="I80" s="1366"/>
      <c r="J80" s="590"/>
      <c r="K80" s="1366"/>
      <c r="L80" s="590"/>
      <c r="M80" s="1366"/>
      <c r="N80" s="590"/>
      <c r="O80" s="1366"/>
      <c r="P80" s="590"/>
      <c r="Q80" s="1366"/>
      <c r="R80" s="590"/>
      <c r="S80" s="1366"/>
    </row>
    <row r="81" spans="1:19">
      <c r="A81" s="1379"/>
      <c r="B81" s="1483"/>
      <c r="C81" s="1228"/>
      <c r="D81" s="1426"/>
      <c r="E81" s="1124"/>
      <c r="F81" s="1124"/>
      <c r="G81" s="1133"/>
      <c r="H81" s="590"/>
      <c r="I81" s="1366"/>
      <c r="J81" s="590"/>
      <c r="K81" s="1366"/>
      <c r="L81" s="590"/>
      <c r="M81" s="1366"/>
      <c r="N81" s="590"/>
      <c r="O81" s="1366"/>
      <c r="P81" s="590"/>
      <c r="Q81" s="1366"/>
      <c r="R81" s="590"/>
      <c r="S81" s="1366"/>
    </row>
    <row r="82" spans="1:19">
      <c r="A82" s="1379"/>
      <c r="B82" s="1483" t="s">
        <v>799</v>
      </c>
      <c r="C82" s="1228"/>
      <c r="D82" s="1426"/>
      <c r="E82" s="1124"/>
      <c r="F82" s="1124"/>
      <c r="G82" s="1133"/>
      <c r="H82" s="590"/>
      <c r="I82" s="1366"/>
      <c r="J82" s="590"/>
      <c r="K82" s="1366"/>
      <c r="L82" s="590"/>
      <c r="M82" s="1366"/>
      <c r="N82" s="590"/>
      <c r="O82" s="1366"/>
      <c r="P82" s="590"/>
      <c r="Q82" s="1366"/>
      <c r="R82" s="590"/>
      <c r="S82" s="1366"/>
    </row>
    <row r="83" spans="1:19">
      <c r="A83" s="1379"/>
      <c r="B83" s="1483" t="s">
        <v>800</v>
      </c>
      <c r="C83" s="1228"/>
      <c r="D83" s="1426"/>
      <c r="E83" s="1124"/>
      <c r="F83" s="1124"/>
      <c r="G83" s="1133"/>
      <c r="H83" s="590"/>
      <c r="I83" s="1366"/>
      <c r="J83" s="590"/>
      <c r="K83" s="1366"/>
      <c r="L83" s="590"/>
      <c r="M83" s="1366"/>
      <c r="N83" s="590"/>
      <c r="O83" s="1366"/>
      <c r="P83" s="590"/>
      <c r="Q83" s="1366"/>
      <c r="R83" s="590"/>
      <c r="S83" s="1366"/>
    </row>
    <row r="84" spans="1:19">
      <c r="A84" s="1379"/>
      <c r="B84" s="1483"/>
      <c r="C84" s="1228"/>
      <c r="D84" s="1426"/>
      <c r="E84" s="1124"/>
      <c r="F84" s="1124"/>
      <c r="G84" s="1133"/>
      <c r="H84" s="590"/>
      <c r="I84" s="1366"/>
      <c r="J84" s="590"/>
      <c r="K84" s="1366"/>
      <c r="L84" s="590"/>
      <c r="M84" s="1366"/>
      <c r="N84" s="590"/>
      <c r="O84" s="1366"/>
      <c r="P84" s="590"/>
      <c r="Q84" s="1366"/>
      <c r="R84" s="590"/>
      <c r="S84" s="1366"/>
    </row>
    <row r="85" spans="1:19">
      <c r="A85" s="1379"/>
      <c r="B85" s="1483" t="s">
        <v>801</v>
      </c>
      <c r="C85" s="1228"/>
      <c r="D85" s="1426"/>
      <c r="E85" s="1124"/>
      <c r="F85" s="1124"/>
      <c r="G85" s="1133"/>
      <c r="H85" s="590"/>
      <c r="I85" s="1366"/>
      <c r="J85" s="590"/>
      <c r="K85" s="1366"/>
      <c r="L85" s="590"/>
      <c r="M85" s="1366"/>
      <c r="N85" s="590"/>
      <c r="O85" s="1366"/>
      <c r="P85" s="590"/>
      <c r="Q85" s="1366"/>
      <c r="R85" s="590"/>
      <c r="S85" s="1366"/>
    </row>
    <row r="86" spans="1:19">
      <c r="A86" s="1379"/>
      <c r="B86" s="424"/>
      <c r="C86" s="1228"/>
      <c r="D86" s="1426"/>
      <c r="E86" s="1124"/>
      <c r="F86" s="1124"/>
      <c r="G86" s="1133"/>
      <c r="H86" s="590"/>
      <c r="I86" s="1366"/>
      <c r="J86" s="590"/>
      <c r="K86" s="1366"/>
      <c r="L86" s="590"/>
      <c r="M86" s="1366"/>
      <c r="N86" s="590"/>
      <c r="O86" s="1366"/>
      <c r="P86" s="590"/>
      <c r="Q86" s="1366"/>
      <c r="R86" s="590"/>
      <c r="S86" s="1366"/>
    </row>
    <row r="87" spans="1:19">
      <c r="A87" s="1379"/>
      <c r="B87" s="424"/>
      <c r="C87" s="1228"/>
      <c r="D87" s="1426"/>
      <c r="E87" s="1124"/>
      <c r="F87" s="1124"/>
      <c r="G87" s="1133"/>
      <c r="H87" s="590"/>
      <c r="I87" s="1366"/>
      <c r="J87" s="590"/>
      <c r="K87" s="1366"/>
      <c r="L87" s="590"/>
      <c r="M87" s="1366"/>
      <c r="N87" s="590"/>
      <c r="O87" s="1366"/>
      <c r="P87" s="590"/>
      <c r="Q87" s="1366"/>
      <c r="R87" s="590"/>
      <c r="S87" s="1366"/>
    </row>
    <row r="88" spans="1:19">
      <c r="A88" s="1379"/>
      <c r="B88" s="424"/>
      <c r="C88" s="1228"/>
      <c r="D88" s="1426"/>
      <c r="E88" s="1124"/>
      <c r="F88" s="1124"/>
      <c r="G88" s="1133"/>
      <c r="H88" s="590"/>
      <c r="I88" s="1366"/>
      <c r="J88" s="590"/>
      <c r="K88" s="1366"/>
      <c r="L88" s="590"/>
      <c r="M88" s="1366"/>
      <c r="N88" s="590"/>
      <c r="O88" s="1366"/>
      <c r="P88" s="590"/>
      <c r="Q88" s="1366"/>
      <c r="R88" s="590"/>
      <c r="S88" s="1366"/>
    </row>
    <row r="89" spans="1:19">
      <c r="A89" s="1379"/>
      <c r="B89" s="423"/>
      <c r="C89" s="1228"/>
      <c r="D89" s="1426"/>
      <c r="E89" s="1124"/>
      <c r="F89" s="1124"/>
      <c r="G89" s="1133"/>
      <c r="H89" s="590"/>
      <c r="I89" s="1366"/>
      <c r="J89" s="590"/>
      <c r="K89" s="1366"/>
      <c r="L89" s="590"/>
      <c r="M89" s="1366"/>
      <c r="N89" s="590"/>
      <c r="O89" s="1366"/>
      <c r="P89" s="590"/>
      <c r="Q89" s="1366"/>
      <c r="R89" s="590"/>
      <c r="S89" s="1366"/>
    </row>
    <row r="90" spans="1:19">
      <c r="A90" s="1379"/>
      <c r="B90" s="425"/>
      <c r="C90" s="1124"/>
      <c r="D90" s="1426"/>
      <c r="E90" s="1124"/>
      <c r="F90" s="1124"/>
      <c r="G90" s="1133"/>
      <c r="H90" s="590"/>
      <c r="I90" s="1365"/>
      <c r="J90" s="590"/>
      <c r="K90" s="1365"/>
      <c r="L90" s="590"/>
      <c r="M90" s="1365"/>
      <c r="N90" s="590"/>
      <c r="O90" s="1366"/>
      <c r="P90" s="590"/>
      <c r="Q90" s="1365"/>
      <c r="R90" s="590"/>
      <c r="S90" s="1366"/>
    </row>
    <row r="91" spans="1:19">
      <c r="A91" s="1379"/>
      <c r="B91" s="425"/>
      <c r="C91" s="296"/>
      <c r="D91" s="184"/>
      <c r="E91" s="184"/>
      <c r="F91" s="184"/>
      <c r="G91" s="296"/>
      <c r="H91" s="590"/>
      <c r="I91" s="1365"/>
      <c r="J91" s="590"/>
      <c r="K91" s="1365"/>
      <c r="L91" s="590"/>
      <c r="M91" s="1365"/>
      <c r="N91" s="590"/>
      <c r="O91" s="1365"/>
      <c r="P91" s="590"/>
      <c r="Q91" s="1365"/>
      <c r="R91" s="590"/>
      <c r="S91" s="1365"/>
    </row>
    <row r="92" spans="1:19">
      <c r="A92" s="14"/>
      <c r="B92" s="15"/>
      <c r="C92" s="16"/>
      <c r="D92" s="16"/>
      <c r="E92" s="17"/>
      <c r="F92" s="18" t="s">
        <v>567</v>
      </c>
      <c r="G92" s="19"/>
      <c r="H92" s="20"/>
      <c r="I92" s="61">
        <f>SUM(I24:I91)</f>
        <v>0</v>
      </c>
      <c r="J92" s="20"/>
      <c r="K92" s="61">
        <f>SUM(K24:K91)</f>
        <v>0</v>
      </c>
      <c r="L92" s="20"/>
      <c r="M92" s="61">
        <f>SUM(M24:M91)</f>
        <v>0</v>
      </c>
      <c r="N92" s="20"/>
      <c r="O92" s="61">
        <f>SUM(O24:O91)</f>
        <v>0</v>
      </c>
      <c r="P92" s="20"/>
      <c r="Q92" s="61">
        <f>SUM(Q24:Q91)</f>
        <v>0</v>
      </c>
      <c r="R92" s="20"/>
      <c r="S92" s="61">
        <f>SUM(S24:S91)</f>
        <v>0</v>
      </c>
    </row>
    <row r="93" spans="1:19">
      <c r="A93" s="624"/>
      <c r="B93" s="1156"/>
      <c r="C93" s="1157"/>
      <c r="D93" s="1157"/>
      <c r="E93" s="1158"/>
      <c r="F93" s="1159" t="s">
        <v>568</v>
      </c>
      <c r="G93" s="1160"/>
      <c r="H93" s="593">
        <v>0</v>
      </c>
      <c r="I93" s="592"/>
      <c r="J93" s="593">
        <v>0</v>
      </c>
      <c r="K93" s="592"/>
      <c r="L93" s="591">
        <v>0</v>
      </c>
      <c r="M93" s="592"/>
      <c r="N93" s="593">
        <v>0</v>
      </c>
      <c r="O93" s="592"/>
      <c r="P93" s="591">
        <v>0</v>
      </c>
      <c r="Q93" s="592"/>
      <c r="R93" s="593">
        <v>0</v>
      </c>
      <c r="S93" s="592"/>
    </row>
    <row r="94" spans="1:19">
      <c r="A94" s="624"/>
      <c r="B94" s="1156"/>
      <c r="C94" s="1157"/>
      <c r="D94" s="1157"/>
      <c r="E94" s="1158"/>
      <c r="F94" s="1159" t="s">
        <v>569</v>
      </c>
      <c r="G94" s="1160"/>
      <c r="H94" s="594"/>
      <c r="I94" s="595">
        <f>H93*I92</f>
        <v>0</v>
      </c>
      <c r="J94" s="594"/>
      <c r="K94" s="595">
        <f>J93*K92</f>
        <v>0</v>
      </c>
      <c r="L94" s="594"/>
      <c r="M94" s="595">
        <f>L93*M92</f>
        <v>0</v>
      </c>
      <c r="N94" s="594"/>
      <c r="O94" s="595">
        <f>N93*O92</f>
        <v>0</v>
      </c>
      <c r="P94" s="594"/>
      <c r="Q94" s="595">
        <f>P93*Q92</f>
        <v>0</v>
      </c>
      <c r="R94" s="594"/>
      <c r="S94" s="595">
        <f>R93*S92</f>
        <v>0</v>
      </c>
    </row>
    <row r="95" spans="1:19">
      <c r="A95" s="624"/>
      <c r="B95" s="1156"/>
      <c r="C95" s="1157"/>
      <c r="D95" s="1157"/>
      <c r="E95" s="1158"/>
      <c r="F95" s="1159"/>
      <c r="G95" s="1160"/>
      <c r="H95" s="594"/>
      <c r="I95" s="596"/>
      <c r="J95" s="594"/>
      <c r="K95" s="596"/>
      <c r="L95" s="594"/>
      <c r="M95" s="596"/>
      <c r="N95" s="594"/>
      <c r="O95" s="596"/>
      <c r="P95" s="594"/>
      <c r="Q95" s="596"/>
      <c r="R95" s="594"/>
      <c r="S95" s="596"/>
    </row>
    <row r="96" spans="1:19">
      <c r="A96" s="624"/>
      <c r="B96" s="1156"/>
      <c r="C96" s="1157"/>
      <c r="D96" s="1157"/>
      <c r="E96" s="1158"/>
      <c r="F96" s="1159" t="s">
        <v>570</v>
      </c>
      <c r="G96" s="1160"/>
      <c r="H96" s="597"/>
      <c r="I96" s="598">
        <f>SUM(I92:I94)</f>
        <v>0</v>
      </c>
      <c r="J96" s="597"/>
      <c r="K96" s="598">
        <f>SUM(K92:K94)</f>
        <v>0</v>
      </c>
      <c r="L96" s="597"/>
      <c r="M96" s="598">
        <f>SUM(M92:M94)</f>
        <v>0</v>
      </c>
      <c r="N96" s="597"/>
      <c r="O96" s="598">
        <f>SUM(O92:O94)</f>
        <v>0</v>
      </c>
      <c r="P96" s="597"/>
      <c r="Q96" s="598">
        <f>SUM(Q92:Q94)</f>
        <v>0</v>
      </c>
      <c r="R96" s="597"/>
      <c r="S96" s="598">
        <f>SUM(S92:S94)</f>
        <v>0</v>
      </c>
    </row>
    <row r="97" spans="1:19">
      <c r="A97" s="624"/>
      <c r="B97" s="1156"/>
      <c r="C97" s="1157"/>
      <c r="D97" s="1157"/>
      <c r="E97" s="1158"/>
      <c r="F97" s="1161" t="s">
        <v>571</v>
      </c>
      <c r="G97" s="1162"/>
      <c r="H97" s="599"/>
      <c r="I97" s="600" t="e">
        <f>I96/'Area Calculations'!$J$4</f>
        <v>#DIV/0!</v>
      </c>
      <c r="J97" s="599"/>
      <c r="K97" s="600" t="e">
        <f>K96/'Area Calculations'!$J$4</f>
        <v>#DIV/0!</v>
      </c>
      <c r="L97" s="599"/>
      <c r="M97" s="600" t="e">
        <f>M96/'Area Calculations'!$J$4</f>
        <v>#DIV/0!</v>
      </c>
      <c r="N97" s="599"/>
      <c r="O97" s="600" t="e">
        <f>O96/'Area Calculations'!$J$4</f>
        <v>#DIV/0!</v>
      </c>
      <c r="P97" s="599"/>
      <c r="Q97" s="600" t="e">
        <f>Q96/'Area Calculations'!$J$4</f>
        <v>#DIV/0!</v>
      </c>
      <c r="R97" s="599"/>
      <c r="S97" s="600" t="e">
        <f>S96/'Area Calculations'!$J$4</f>
        <v>#DIV/0!</v>
      </c>
    </row>
    <row r="98" spans="1:19">
      <c r="A98" s="624"/>
      <c r="B98" s="1156"/>
      <c r="C98" s="1157"/>
      <c r="D98" s="1157"/>
      <c r="E98" s="1158"/>
      <c r="F98" s="1161" t="s">
        <v>572</v>
      </c>
      <c r="G98" s="1163"/>
      <c r="H98" s="599"/>
      <c r="I98" s="600" t="e">
        <f>I96/'Area Calculations'!#REF!</f>
        <v>#REF!</v>
      </c>
      <c r="J98" s="599"/>
      <c r="K98" s="600" t="e">
        <f>K96/'Area Calculations'!#REF!</f>
        <v>#REF!</v>
      </c>
      <c r="L98" s="599"/>
      <c r="M98" s="600" t="e">
        <f>M96/'Area Calculations'!#REF!</f>
        <v>#REF!</v>
      </c>
      <c r="N98" s="599"/>
      <c r="O98" s="600" t="e">
        <f>O96/'Area Calculations'!#REF!</f>
        <v>#REF!</v>
      </c>
      <c r="P98" s="599"/>
      <c r="Q98" s="600" t="e">
        <f>Q96/'Area Calculations'!#REF!</f>
        <v>#REF!</v>
      </c>
      <c r="R98" s="599"/>
      <c r="S98" s="600" t="e">
        <f>S96/'Area Calculations'!#REF!</f>
        <v>#REF!</v>
      </c>
    </row>
    <row r="99" spans="1:19">
      <c r="A99" s="624"/>
      <c r="B99" s="1156"/>
      <c r="C99" s="1157"/>
      <c r="D99" s="1157"/>
      <c r="E99" s="1158"/>
      <c r="F99" s="1159"/>
      <c r="G99" s="1533"/>
      <c r="H99" s="601"/>
      <c r="I99" s="602"/>
      <c r="J99" s="603"/>
      <c r="K99" s="603"/>
      <c r="L99" s="603"/>
      <c r="M99" s="603"/>
      <c r="N99" s="603"/>
      <c r="O99" s="603"/>
      <c r="P99" s="603"/>
      <c r="Q99" s="603"/>
      <c r="R99" s="603"/>
      <c r="S99" s="603"/>
    </row>
    <row r="100" spans="1:19">
      <c r="A100" s="726" t="s">
        <v>573</v>
      </c>
      <c r="B100" s="727"/>
      <c r="C100" s="12"/>
      <c r="D100" s="12"/>
      <c r="E100" s="12"/>
      <c r="F100" s="12"/>
      <c r="G100" s="13"/>
      <c r="H100" s="21"/>
      <c r="I100" s="21"/>
      <c r="J100" s="21"/>
      <c r="K100" s="21"/>
      <c r="L100" s="21"/>
      <c r="M100" s="21"/>
      <c r="N100" s="21"/>
      <c r="O100" s="21"/>
      <c r="P100" s="21"/>
      <c r="Q100" s="21"/>
      <c r="R100" s="21"/>
      <c r="S100" s="21"/>
    </row>
    <row r="101" spans="1:19">
      <c r="A101" s="1535"/>
      <c r="B101" s="862"/>
      <c r="C101" s="1536"/>
      <c r="D101" s="1536"/>
      <c r="E101" s="1536"/>
      <c r="F101" s="1536"/>
      <c r="G101" s="1537"/>
      <c r="H101" s="1538"/>
      <c r="I101" s="1538"/>
      <c r="J101" s="1538"/>
      <c r="K101" s="1538"/>
      <c r="L101" s="1538"/>
      <c r="M101" s="1538"/>
      <c r="N101" s="1538"/>
      <c r="O101" s="1538"/>
      <c r="P101" s="1538"/>
      <c r="Q101" s="1538"/>
      <c r="R101" s="1538"/>
      <c r="S101" s="1538"/>
    </row>
    <row r="102" spans="1:19">
      <c r="A102" s="1535"/>
      <c r="B102" s="862"/>
      <c r="C102" s="1536"/>
      <c r="D102" s="1536"/>
      <c r="E102" s="1536"/>
      <c r="F102" s="1536"/>
      <c r="G102" s="1537"/>
      <c r="H102" s="1538"/>
      <c r="I102" s="1538"/>
      <c r="J102" s="1538"/>
      <c r="K102" s="1538"/>
      <c r="L102" s="1538"/>
      <c r="M102" s="1538"/>
      <c r="N102" s="1538"/>
      <c r="O102" s="1538"/>
      <c r="P102" s="1538"/>
      <c r="Q102" s="1538"/>
      <c r="R102" s="1538"/>
      <c r="S102" s="1538"/>
    </row>
    <row r="103" spans="1:19" s="2" customFormat="1">
      <c r="A103" s="1535"/>
      <c r="B103" s="862"/>
      <c r="C103" s="1536"/>
      <c r="D103" s="1536"/>
      <c r="E103" s="1536"/>
      <c r="F103" s="1536"/>
      <c r="G103" s="1537"/>
      <c r="H103" s="1538"/>
      <c r="I103" s="1538"/>
      <c r="J103" s="1538"/>
      <c r="K103" s="1538"/>
      <c r="L103" s="1538"/>
      <c r="M103" s="1538"/>
      <c r="N103" s="1538"/>
      <c r="O103" s="1538"/>
      <c r="P103" s="1538"/>
      <c r="Q103" s="1538"/>
      <c r="R103" s="1538"/>
      <c r="S103" s="1538"/>
    </row>
    <row r="104" spans="1:19">
      <c r="A104" s="726" t="s">
        <v>574</v>
      </c>
      <c r="B104" s="727"/>
      <c r="C104" s="12"/>
      <c r="D104" s="12"/>
      <c r="E104" s="12"/>
      <c r="F104" s="12"/>
      <c r="G104" s="13"/>
      <c r="H104" s="21"/>
      <c r="I104" s="21"/>
      <c r="J104" s="21"/>
      <c r="K104" s="21"/>
      <c r="L104" s="21"/>
      <c r="M104" s="21"/>
      <c r="N104" s="21"/>
      <c r="O104" s="21"/>
      <c r="P104" s="21"/>
      <c r="Q104" s="21"/>
      <c r="R104" s="21"/>
      <c r="S104" s="21"/>
    </row>
    <row r="105" spans="1:19" s="2" customFormat="1">
      <c r="A105" s="1535"/>
      <c r="B105" s="862"/>
      <c r="C105" s="1536"/>
      <c r="D105" s="1536"/>
      <c r="E105" s="1536"/>
      <c r="F105" s="1536"/>
      <c r="G105" s="1537"/>
      <c r="H105" s="1538"/>
      <c r="I105" s="1538"/>
      <c r="J105" s="1538"/>
      <c r="K105" s="1538"/>
      <c r="L105" s="1538"/>
      <c r="M105" s="1538"/>
      <c r="N105" s="1538"/>
      <c r="O105" s="1538"/>
      <c r="P105" s="1538"/>
      <c r="Q105" s="1538"/>
      <c r="R105" s="1538"/>
      <c r="S105" s="1538"/>
    </row>
    <row r="106" spans="1:19" s="2" customFormat="1">
      <c r="A106" s="1535"/>
      <c r="B106" s="862"/>
      <c r="C106" s="1536"/>
      <c r="D106" s="1536"/>
      <c r="E106" s="1536"/>
      <c r="F106" s="1536"/>
      <c r="G106" s="1537"/>
      <c r="H106" s="1538"/>
      <c r="I106" s="1538"/>
      <c r="J106" s="1538"/>
      <c r="K106" s="1538"/>
      <c r="L106" s="1538"/>
      <c r="M106" s="1538"/>
      <c r="N106" s="1538"/>
      <c r="O106" s="1538"/>
      <c r="P106" s="1538"/>
      <c r="Q106" s="1538"/>
      <c r="R106" s="1538"/>
      <c r="S106" s="1538"/>
    </row>
    <row r="107" spans="1:19" s="2" customFormat="1">
      <c r="A107" s="1535"/>
      <c r="B107" s="862"/>
      <c r="C107" s="1536"/>
      <c r="D107" s="1536"/>
      <c r="E107" s="1536"/>
      <c r="F107" s="1536"/>
      <c r="G107" s="1537"/>
      <c r="H107" s="1538"/>
      <c r="I107" s="1538"/>
      <c r="J107" s="1538"/>
      <c r="K107" s="1538"/>
      <c r="L107" s="1538"/>
      <c r="M107" s="1538"/>
      <c r="N107" s="1538"/>
      <c r="O107" s="1538"/>
      <c r="P107" s="1538"/>
      <c r="Q107" s="1538"/>
      <c r="R107" s="1538"/>
      <c r="S107" s="1538"/>
    </row>
    <row r="108" spans="1:19">
      <c r="A108" s="726" t="s">
        <v>575</v>
      </c>
      <c r="B108" s="727"/>
      <c r="C108" s="12"/>
      <c r="D108" s="12"/>
      <c r="E108" s="12"/>
      <c r="F108" s="12"/>
      <c r="G108" s="13"/>
      <c r="H108" s="21"/>
      <c r="I108" s="21"/>
      <c r="J108" s="21"/>
      <c r="K108" s="21"/>
      <c r="L108" s="21"/>
      <c r="M108" s="21"/>
      <c r="N108" s="21"/>
      <c r="O108" s="21"/>
      <c r="P108" s="21"/>
      <c r="Q108" s="21"/>
      <c r="R108" s="21"/>
      <c r="S108" s="21"/>
    </row>
    <row r="109" spans="1:19">
      <c r="A109" s="1535"/>
      <c r="B109" s="862"/>
      <c r="C109" s="1536"/>
      <c r="D109" s="1536"/>
      <c r="E109" s="1536"/>
      <c r="F109" s="1536"/>
      <c r="G109" s="1537"/>
      <c r="H109" s="1538"/>
      <c r="I109" s="1538"/>
      <c r="J109" s="1538"/>
      <c r="K109" s="1538"/>
      <c r="L109" s="1538"/>
      <c r="M109" s="1538"/>
      <c r="N109" s="1538"/>
      <c r="O109" s="1538"/>
      <c r="P109" s="1538"/>
      <c r="Q109" s="1538"/>
      <c r="R109" s="1538"/>
      <c r="S109" s="1538"/>
    </row>
    <row r="110" spans="1:19">
      <c r="A110" s="628"/>
      <c r="B110" s="862"/>
      <c r="C110" s="1124"/>
      <c r="D110" s="1124"/>
      <c r="E110" s="1124"/>
      <c r="F110" s="1124"/>
      <c r="G110" s="1133"/>
      <c r="H110" s="604"/>
      <c r="I110" s="604"/>
      <c r="J110" s="604"/>
      <c r="K110" s="604"/>
      <c r="L110" s="604"/>
      <c r="M110" s="604"/>
      <c r="N110" s="604"/>
      <c r="O110" s="604"/>
      <c r="P110" s="604"/>
      <c r="Q110" s="604"/>
      <c r="R110" s="604"/>
      <c r="S110" s="604"/>
    </row>
    <row r="111" spans="1:19">
      <c r="A111" s="625"/>
      <c r="B111" s="1171"/>
      <c r="C111" s="1124"/>
      <c r="D111" s="1124"/>
      <c r="E111" s="1124"/>
      <c r="F111" s="1124"/>
      <c r="G111" s="1133"/>
      <c r="H111" s="605"/>
      <c r="I111" s="605"/>
      <c r="J111" s="605"/>
      <c r="K111" s="605"/>
      <c r="L111" s="605"/>
      <c r="M111" s="605"/>
      <c r="N111" s="605"/>
      <c r="O111" s="605"/>
      <c r="P111" s="605"/>
      <c r="Q111" s="605"/>
      <c r="R111" s="605"/>
      <c r="S111" s="605"/>
    </row>
    <row r="112" spans="1:19">
      <c r="A112" s="726" t="s">
        <v>576</v>
      </c>
      <c r="B112" s="727"/>
      <c r="C112" s="12"/>
      <c r="D112" s="12"/>
      <c r="E112" s="12"/>
      <c r="F112" s="12"/>
      <c r="G112" s="13"/>
      <c r="H112" s="21"/>
      <c r="I112" s="21"/>
      <c r="J112" s="21"/>
      <c r="K112" s="21"/>
      <c r="L112" s="21"/>
      <c r="M112" s="21"/>
      <c r="N112" s="21"/>
      <c r="O112" s="21"/>
      <c r="P112" s="21"/>
      <c r="Q112" s="21"/>
      <c r="R112" s="21"/>
      <c r="S112" s="21"/>
    </row>
    <row r="113" spans="1:19">
      <c r="A113" s="1539"/>
      <c r="B113" s="1540"/>
      <c r="C113" s="1536"/>
      <c r="D113" s="1536"/>
      <c r="E113" s="1536"/>
      <c r="F113" s="1536"/>
      <c r="G113" s="1537"/>
      <c r="H113" s="1538"/>
      <c r="I113" s="1538"/>
      <c r="J113" s="1538"/>
      <c r="K113" s="1538"/>
      <c r="L113" s="1538"/>
      <c r="M113" s="1538"/>
      <c r="N113" s="1538"/>
      <c r="O113" s="1538"/>
      <c r="P113" s="1538"/>
      <c r="Q113" s="1538"/>
      <c r="R113" s="1538"/>
      <c r="S113" s="1538"/>
    </row>
    <row r="114" spans="1:19">
      <c r="A114" s="625"/>
      <c r="B114" s="1171"/>
      <c r="C114" s="1124"/>
      <c r="D114" s="1124"/>
      <c r="E114" s="1124"/>
      <c r="F114" s="1124"/>
      <c r="G114" s="1133"/>
      <c r="H114" s="606"/>
      <c r="I114" s="606"/>
      <c r="J114" s="606"/>
      <c r="K114" s="606"/>
      <c r="L114" s="606"/>
      <c r="M114" s="606"/>
      <c r="N114" s="606"/>
      <c r="O114" s="606"/>
      <c r="P114" s="606"/>
      <c r="Q114" s="606"/>
      <c r="R114" s="606"/>
      <c r="S114" s="606"/>
    </row>
    <row r="115" spans="1:19">
      <c r="A115" s="625"/>
      <c r="B115" s="1171"/>
      <c r="C115" s="1124"/>
      <c r="D115" s="1124"/>
      <c r="E115" s="1124"/>
      <c r="F115" s="1124"/>
      <c r="G115" s="1133"/>
      <c r="H115" s="606"/>
      <c r="I115" s="606"/>
      <c r="J115" s="606"/>
      <c r="K115" s="606"/>
      <c r="L115" s="606"/>
      <c r="M115" s="606"/>
      <c r="N115" s="606"/>
      <c r="O115" s="606"/>
      <c r="P115" s="606"/>
      <c r="Q115" s="606"/>
      <c r="R115" s="606"/>
      <c r="S115" s="606"/>
    </row>
    <row r="116" spans="1:19">
      <c r="A116" s="726" t="s">
        <v>577</v>
      </c>
      <c r="B116" s="727"/>
      <c r="C116" s="12"/>
      <c r="D116" s="12"/>
      <c r="E116" s="12"/>
      <c r="F116" s="12"/>
      <c r="G116" s="13"/>
      <c r="H116" s="21"/>
      <c r="I116" s="21"/>
      <c r="J116" s="21"/>
      <c r="K116" s="21"/>
      <c r="L116" s="21"/>
      <c r="M116" s="21"/>
      <c r="N116" s="21"/>
      <c r="O116" s="21"/>
      <c r="P116" s="1465"/>
      <c r="Q116" s="1465"/>
      <c r="R116" s="1465"/>
      <c r="S116" s="1465"/>
    </row>
    <row r="117" spans="1:19">
      <c r="A117" s="628"/>
      <c r="B117" s="862" t="s">
        <v>578</v>
      </c>
      <c r="C117" s="1124"/>
      <c r="D117" s="1124"/>
      <c r="E117" s="1124"/>
      <c r="F117" s="1124"/>
      <c r="G117" s="1133"/>
      <c r="H117" s="606"/>
      <c r="I117" s="606"/>
      <c r="J117" s="606"/>
      <c r="K117" s="606"/>
      <c r="L117" s="606"/>
      <c r="M117" s="606"/>
      <c r="N117" s="606"/>
      <c r="O117" s="606"/>
      <c r="P117" s="606"/>
      <c r="Q117" s="606"/>
      <c r="R117" s="606"/>
      <c r="S117" s="606"/>
    </row>
    <row r="118" spans="1:19">
      <c r="A118" s="628"/>
      <c r="B118" s="862" t="s">
        <v>579</v>
      </c>
      <c r="C118" s="1124"/>
      <c r="D118" s="1124"/>
      <c r="E118" s="1124"/>
      <c r="F118" s="1124"/>
      <c r="G118" s="1133"/>
      <c r="H118" s="606"/>
      <c r="I118" s="606"/>
      <c r="J118" s="606"/>
      <c r="K118" s="606"/>
      <c r="L118" s="606"/>
      <c r="M118" s="606"/>
      <c r="N118" s="606"/>
      <c r="O118" s="606"/>
      <c r="P118" s="606"/>
      <c r="Q118" s="606"/>
      <c r="R118" s="606"/>
      <c r="S118" s="606"/>
    </row>
    <row r="119" spans="1:19">
      <c r="A119" s="628"/>
      <c r="B119" s="862" t="s">
        <v>580</v>
      </c>
      <c r="C119" s="1124"/>
      <c r="D119" s="1124"/>
      <c r="E119" s="1124"/>
      <c r="F119" s="1124"/>
      <c r="G119" s="1133"/>
      <c r="H119" s="606"/>
      <c r="I119" s="606"/>
      <c r="J119" s="606"/>
      <c r="K119" s="606"/>
      <c r="L119" s="606"/>
      <c r="M119" s="606"/>
      <c r="N119" s="606"/>
      <c r="O119" s="606"/>
      <c r="P119" s="606"/>
      <c r="Q119" s="606"/>
      <c r="R119" s="606"/>
      <c r="S119" s="606"/>
    </row>
    <row r="120" spans="1:19">
      <c r="A120" s="628"/>
      <c r="B120" s="862" t="s">
        <v>581</v>
      </c>
      <c r="C120" s="1124"/>
      <c r="D120" s="1124"/>
      <c r="E120" s="1124"/>
      <c r="F120" s="1124"/>
      <c r="G120" s="1133"/>
      <c r="H120" s="606"/>
      <c r="I120" s="606"/>
      <c r="J120" s="606"/>
      <c r="K120" s="606"/>
      <c r="L120" s="606"/>
      <c r="M120" s="606"/>
      <c r="N120" s="606"/>
      <c r="O120" s="606"/>
      <c r="P120" s="606"/>
      <c r="Q120" s="606"/>
      <c r="R120" s="606"/>
      <c r="S120" s="606"/>
    </row>
    <row r="121" spans="1:19">
      <c r="A121" s="416"/>
      <c r="B121" s="295"/>
      <c r="C121" s="184"/>
      <c r="D121" s="184"/>
      <c r="E121" s="184"/>
      <c r="F121" s="184"/>
      <c r="G121" s="296"/>
      <c r="H121" s="418"/>
      <c r="I121" s="418"/>
      <c r="J121" s="418"/>
      <c r="K121" s="418"/>
      <c r="L121" s="418"/>
      <c r="M121" s="418"/>
      <c r="N121" s="418"/>
      <c r="O121" s="418"/>
      <c r="P121" s="418"/>
      <c r="Q121" s="418"/>
      <c r="R121" s="418"/>
      <c r="S121" s="418"/>
    </row>
    <row r="122" spans="1:19">
      <c r="A122" s="7" t="s">
        <v>582</v>
      </c>
      <c r="B122" s="8"/>
      <c r="C122" s="12"/>
      <c r="D122" s="12"/>
      <c r="E122" s="12"/>
      <c r="F122" s="12"/>
      <c r="G122" s="13"/>
      <c r="H122" s="21"/>
      <c r="I122" s="21"/>
      <c r="J122" s="21"/>
      <c r="K122" s="21"/>
      <c r="L122" s="21"/>
      <c r="M122" s="21"/>
      <c r="N122" s="21"/>
      <c r="O122" s="21"/>
      <c r="P122" s="21"/>
      <c r="Q122" s="21"/>
      <c r="R122" s="21"/>
      <c r="S122" s="21"/>
    </row>
    <row r="123" spans="1:19">
      <c r="A123" s="1535"/>
      <c r="B123" s="1541" t="s">
        <v>583</v>
      </c>
      <c r="C123" s="1536"/>
      <c r="D123" s="1536"/>
      <c r="E123" s="1536"/>
      <c r="F123" s="1536"/>
      <c r="G123" s="1537"/>
      <c r="H123" s="1542"/>
      <c r="I123" s="1542"/>
      <c r="J123" s="1542"/>
      <c r="K123" s="1542"/>
      <c r="L123" s="1542"/>
      <c r="M123" s="1542"/>
      <c r="N123" s="1542"/>
      <c r="O123" s="1542"/>
      <c r="P123" s="1542"/>
      <c r="Q123" s="1542"/>
      <c r="R123" s="1542"/>
      <c r="S123" s="1542"/>
    </row>
    <row r="124" spans="1:19">
      <c r="A124" s="628"/>
      <c r="B124" s="862" t="s">
        <v>584</v>
      </c>
      <c r="C124" s="1124"/>
      <c r="D124" s="1124"/>
      <c r="E124" s="1124"/>
      <c r="F124" s="1124"/>
      <c r="G124" s="1133"/>
      <c r="H124" s="618"/>
      <c r="I124" s="618"/>
      <c r="J124" s="618"/>
      <c r="K124" s="618"/>
      <c r="L124" s="618"/>
      <c r="M124" s="618"/>
      <c r="N124" s="618"/>
      <c r="O124" s="618"/>
      <c r="P124" s="618"/>
      <c r="Q124" s="618"/>
      <c r="R124" s="618"/>
      <c r="S124" s="618"/>
    </row>
    <row r="125" spans="1:19">
      <c r="A125" s="607"/>
      <c r="B125" s="608" t="s">
        <v>585</v>
      </c>
      <c r="C125" s="609"/>
      <c r="D125" s="609"/>
      <c r="E125" s="609"/>
      <c r="F125" s="609"/>
      <c r="G125" s="610"/>
      <c r="H125" s="611"/>
      <c r="I125" s="611"/>
      <c r="J125" s="611"/>
      <c r="K125" s="611"/>
      <c r="L125" s="611"/>
      <c r="M125" s="611"/>
      <c r="N125" s="611"/>
      <c r="O125" s="611"/>
      <c r="P125" s="611"/>
      <c r="Q125" s="611"/>
      <c r="R125" s="611"/>
      <c r="S125" s="611"/>
    </row>
    <row r="127" spans="1:19">
      <c r="A127" s="92" t="s">
        <v>586</v>
      </c>
      <c r="B127" s="94"/>
    </row>
    <row r="128" spans="1:19">
      <c r="A128" s="93" t="s">
        <v>487</v>
      </c>
      <c r="B128" s="612"/>
    </row>
    <row r="129" spans="1:2">
      <c r="A129" s="626" t="s">
        <v>491</v>
      </c>
      <c r="B129" s="612"/>
    </row>
    <row r="130" spans="1:2">
      <c r="A130" s="613" t="s">
        <v>494</v>
      </c>
      <c r="B130" s="614"/>
    </row>
    <row r="131" spans="1:2">
      <c r="A131" s="613" t="s">
        <v>497</v>
      </c>
      <c r="B131" s="622"/>
    </row>
    <row r="132" spans="1:2">
      <c r="A132" s="615" t="s">
        <v>587</v>
      </c>
      <c r="B132" s="616"/>
    </row>
    <row r="134" spans="1:2">
      <c r="A134" s="95"/>
      <c r="B134" s="1" t="s">
        <v>588</v>
      </c>
    </row>
    <row r="135" spans="1:2">
      <c r="A135" s="96"/>
      <c r="B135"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100:B100"/>
    <mergeCell ref="A104:B104"/>
    <mergeCell ref="A108:B108"/>
    <mergeCell ref="A112:B112"/>
    <mergeCell ref="A116:B116"/>
  </mergeCells>
  <conditionalFormatting sqref="H20:H30">
    <cfRule type="cellIs" dxfId="1585" priority="13" operator="equal">
      <formula>"X"</formula>
    </cfRule>
    <cfRule type="cellIs" dxfId="1584" priority="14" operator="equal">
      <formula>"I"</formula>
    </cfRule>
  </conditionalFormatting>
  <conditionalFormatting sqref="H32:H91">
    <cfRule type="cellIs" dxfId="1583" priority="1" operator="equal">
      <formula>"X"</formula>
    </cfRule>
    <cfRule type="cellIs" dxfId="1582" priority="2" operator="equal">
      <formula>"I"</formula>
    </cfRule>
  </conditionalFormatting>
  <conditionalFormatting sqref="J20:J30">
    <cfRule type="cellIs" dxfId="1581" priority="15" operator="equal">
      <formula>"X"</formula>
    </cfRule>
    <cfRule type="cellIs" dxfId="1580" priority="16" operator="equal">
      <formula>"I"</formula>
    </cfRule>
  </conditionalFormatting>
  <conditionalFormatting sqref="J32:J91">
    <cfRule type="cellIs" dxfId="1579" priority="3" operator="equal">
      <formula>"X"</formula>
    </cfRule>
    <cfRule type="cellIs" dxfId="1578" priority="4" operator="equal">
      <formula>"I"</formula>
    </cfRule>
  </conditionalFormatting>
  <conditionalFormatting sqref="L20:L30">
    <cfRule type="cellIs" dxfId="1577" priority="17" operator="equal">
      <formula>"X"</formula>
    </cfRule>
    <cfRule type="cellIs" dxfId="1576" priority="18" operator="equal">
      <formula>"I"</formula>
    </cfRule>
  </conditionalFormatting>
  <conditionalFormatting sqref="L32:L91">
    <cfRule type="cellIs" dxfId="1575" priority="5" operator="equal">
      <formula>"X"</formula>
    </cfRule>
    <cfRule type="cellIs" dxfId="1574" priority="6" operator="equal">
      <formula>"I"</formula>
    </cfRule>
  </conditionalFormatting>
  <conditionalFormatting sqref="N20:N30">
    <cfRule type="cellIs" dxfId="1573" priority="19" operator="equal">
      <formula>"X"</formula>
    </cfRule>
    <cfRule type="cellIs" dxfId="1572" priority="20" operator="equal">
      <formula>"I"</formula>
    </cfRule>
  </conditionalFormatting>
  <conditionalFormatting sqref="N32:N91">
    <cfRule type="cellIs" dxfId="1571" priority="7" operator="equal">
      <formula>"X"</formula>
    </cfRule>
    <cfRule type="cellIs" dxfId="1570" priority="8" operator="equal">
      <formula>"I"</formula>
    </cfRule>
  </conditionalFormatting>
  <conditionalFormatting sqref="P20:P30">
    <cfRule type="cellIs" dxfId="1569" priority="21" operator="equal">
      <formula>"X"</formula>
    </cfRule>
    <cfRule type="cellIs" dxfId="1568" priority="22" operator="equal">
      <formula>"I"</formula>
    </cfRule>
  </conditionalFormatting>
  <conditionalFormatting sqref="P32:P91">
    <cfRule type="cellIs" dxfId="1567" priority="9" operator="equal">
      <formula>"X"</formula>
    </cfRule>
    <cfRule type="cellIs" dxfId="1566" priority="10" operator="equal">
      <formula>"I"</formula>
    </cfRule>
  </conditionalFormatting>
  <conditionalFormatting sqref="R20:R30">
    <cfRule type="cellIs" dxfId="1565" priority="23" operator="equal">
      <formula>"X"</formula>
    </cfRule>
    <cfRule type="cellIs" dxfId="1564" priority="24" operator="equal">
      <formula>"I"</formula>
    </cfRule>
  </conditionalFormatting>
  <conditionalFormatting sqref="R32:R91">
    <cfRule type="cellIs" dxfId="1563" priority="11" operator="equal">
      <formula>"X"</formula>
    </cfRule>
    <cfRule type="cellIs" dxfId="1562" priority="12" operator="equal">
      <formula>"I"</formula>
    </cfRule>
  </conditionalFormatting>
  <hyperlinks>
    <hyperlink ref="B3" location="'Cost Summary'!A1" display="BACK TO SUMMARY SHEET" xr:uid="{6179248F-26CE-4E38-AF89-C50B7C7B279C}"/>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06D7-18D7-4389-879F-CA80079CE5FA}">
  <sheetPr>
    <tabColor rgb="FF92D050"/>
  </sheetPr>
  <dimension ref="A1:S125"/>
  <sheetViews>
    <sheetView zoomScale="95" zoomScaleNormal="9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22.140625" bestFit="1" customWidth="1"/>
    <col min="2" max="2" width="70.7109375" style="1" customWidth="1"/>
    <col min="3" max="3" width="10.85546875" style="2" bestFit="1" customWidth="1"/>
    <col min="4" max="5" width="7.5703125" style="2" customWidth="1"/>
    <col min="6" max="6" width="7.7109375" style="2" customWidth="1"/>
    <col min="7" max="7" width="13.140625" style="2" bestFit="1"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50"/>
      <c r="I2" s="750"/>
      <c r="J2" s="732"/>
      <c r="K2" s="732"/>
      <c r="L2" s="732"/>
      <c r="M2" s="732"/>
      <c r="N2" s="732"/>
      <c r="O2" s="732"/>
      <c r="P2" s="732"/>
      <c r="Q2" s="732"/>
      <c r="R2" s="732"/>
      <c r="S2" s="732"/>
    </row>
    <row r="3" spans="1:19" ht="21" thickBot="1">
      <c r="B3" s="161" t="s">
        <v>477</v>
      </c>
      <c r="E3" s="175"/>
      <c r="F3" s="148" t="s">
        <v>478</v>
      </c>
      <c r="G3" s="147" t="s">
        <v>479</v>
      </c>
      <c r="H3" s="730" t="s">
        <v>745</v>
      </c>
      <c r="I3" s="731"/>
      <c r="J3" s="730" t="s">
        <v>481</v>
      </c>
      <c r="K3" s="731"/>
      <c r="L3" s="730" t="s">
        <v>482</v>
      </c>
      <c r="M3" s="731"/>
      <c r="N3" s="730" t="s">
        <v>483</v>
      </c>
      <c r="O3" s="731"/>
      <c r="P3" s="730" t="s">
        <v>727</v>
      </c>
      <c r="Q3" s="731"/>
      <c r="R3" s="730" t="s">
        <v>728</v>
      </c>
      <c r="S3" s="731"/>
    </row>
    <row r="4" spans="1:19" ht="15.75" thickTop="1">
      <c r="A4" s="3" t="s">
        <v>806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807</v>
      </c>
      <c r="C5" s="1124"/>
      <c r="D5" s="1124"/>
      <c r="E5" s="1124"/>
      <c r="F5" s="1124"/>
      <c r="G5" s="1125" t="s">
        <v>491</v>
      </c>
      <c r="H5" s="778"/>
      <c r="I5" s="1126"/>
      <c r="J5" s="778"/>
      <c r="K5" s="1126"/>
      <c r="L5" s="778"/>
      <c r="M5" s="1126"/>
      <c r="N5" s="778"/>
      <c r="O5" s="1126"/>
      <c r="P5" s="778"/>
      <c r="Q5" s="1126"/>
      <c r="R5" s="778"/>
      <c r="S5" s="1126"/>
    </row>
    <row r="6" spans="1:19">
      <c r="A6" s="627" t="s">
        <v>493</v>
      </c>
      <c r="B6" s="1127" t="s">
        <v>808</v>
      </c>
      <c r="C6" s="1124"/>
      <c r="D6" s="1124"/>
      <c r="E6" s="1124"/>
      <c r="F6" s="1124"/>
      <c r="G6" s="1125" t="s">
        <v>494</v>
      </c>
      <c r="H6" s="776"/>
      <c r="I6" s="1129"/>
      <c r="J6" s="776"/>
      <c r="K6" s="1129"/>
      <c r="L6" s="1468"/>
      <c r="M6" s="1129"/>
      <c r="N6" s="776"/>
      <c r="O6" s="1129"/>
      <c r="P6" s="1468"/>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I86</f>
        <v>0</v>
      </c>
      <c r="I8" s="775"/>
      <c r="J8" s="774">
        <f>K86</f>
        <v>0</v>
      </c>
      <c r="K8" s="775"/>
      <c r="L8" s="774">
        <f>M86</f>
        <v>0</v>
      </c>
      <c r="M8" s="775"/>
      <c r="N8" s="774">
        <f>O86</f>
        <v>0</v>
      </c>
      <c r="O8" s="775"/>
      <c r="P8" s="774">
        <f>Q86</f>
        <v>0</v>
      </c>
      <c r="Q8" s="775"/>
      <c r="R8" s="774">
        <f>S86</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43"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 hidden="1" customHeight="1" thickTop="1">
      <c r="A16" s="628"/>
      <c r="B16" s="862" t="str">
        <f>'Area Calculations'!M67</f>
        <v>Kitchen Drawings by</v>
      </c>
      <c r="C16" s="1134"/>
      <c r="D16" s="1124"/>
      <c r="E16" s="1124"/>
      <c r="F16" s="1124"/>
      <c r="G16" s="1133"/>
      <c r="H16" s="617"/>
      <c r="I16" s="617"/>
      <c r="J16" s="617"/>
      <c r="K16" s="617"/>
      <c r="L16" s="617"/>
      <c r="M16" s="617"/>
      <c r="N16" s="617"/>
      <c r="O16" s="617"/>
      <c r="P16" s="617"/>
      <c r="Q16" s="617"/>
      <c r="R16" s="617"/>
      <c r="S16" s="617"/>
    </row>
    <row r="17" spans="1:19" ht="15" hidden="1" customHeight="1" thickTop="1">
      <c r="A17" s="628"/>
      <c r="B17" s="862" t="str">
        <f>'Area Calculations'!M68</f>
        <v>Storefront Designer by</v>
      </c>
      <c r="C17" s="1134"/>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c r="D19" s="1124"/>
      <c r="E19" s="1124"/>
      <c r="F19" s="1124"/>
      <c r="G19" s="1133"/>
      <c r="H19" s="617"/>
      <c r="I19" s="617"/>
      <c r="J19" s="617"/>
      <c r="K19" s="617"/>
      <c r="L19" s="617"/>
      <c r="M19" s="617"/>
      <c r="N19" s="617"/>
      <c r="O19" s="617"/>
      <c r="P19" s="617"/>
      <c r="Q19" s="617"/>
      <c r="R19" s="617"/>
      <c r="S19" s="617"/>
    </row>
    <row r="20" spans="1:19" ht="15.75" thickTop="1">
      <c r="A20" s="1535"/>
      <c r="B20" s="862"/>
      <c r="C20" s="1134"/>
      <c r="D20" s="1124"/>
      <c r="E20" s="1124"/>
      <c r="F20" s="1124"/>
      <c r="G20" s="1133"/>
      <c r="H20" s="590"/>
      <c r="I20" s="1544"/>
      <c r="J20" s="590"/>
      <c r="K20" s="1544"/>
      <c r="L20" s="590"/>
      <c r="M20" s="1544"/>
      <c r="N20" s="590"/>
      <c r="O20" s="1544"/>
      <c r="P20" s="590"/>
      <c r="Q20" s="1544"/>
      <c r="R20" s="590"/>
      <c r="S20" s="1544"/>
    </row>
    <row r="21" spans="1:19" ht="15.75" thickBot="1">
      <c r="A21" s="1545"/>
      <c r="B21" s="1136" t="s">
        <v>807</v>
      </c>
      <c r="C21" s="1134"/>
      <c r="D21" s="1124"/>
      <c r="E21" s="1124"/>
      <c r="F21" s="1124"/>
      <c r="G21" s="1133"/>
      <c r="H21" s="590"/>
      <c r="I21" s="1546"/>
      <c r="J21" s="590"/>
      <c r="K21" s="1546"/>
      <c r="L21" s="590"/>
      <c r="M21" s="1546"/>
      <c r="N21" s="590"/>
      <c r="O21" s="1546"/>
      <c r="P21" s="590"/>
      <c r="Q21" s="1546"/>
      <c r="R21" s="590"/>
      <c r="S21" s="1546"/>
    </row>
    <row r="22" spans="1:19" ht="16.5" thickBot="1">
      <c r="A22" s="1547"/>
      <c r="B22" s="374" t="s">
        <v>512</v>
      </c>
      <c r="C22" s="1134"/>
      <c r="D22" s="1124"/>
      <c r="E22" s="1124"/>
      <c r="F22" s="1124"/>
      <c r="G22" s="1133"/>
      <c r="H22" s="590"/>
      <c r="I22" s="1548"/>
      <c r="J22" s="590"/>
      <c r="K22" s="1546"/>
      <c r="L22" s="590"/>
      <c r="M22" s="1546"/>
      <c r="N22" s="590"/>
      <c r="O22" s="1546"/>
      <c r="P22" s="590"/>
      <c r="Q22" s="1546"/>
      <c r="R22" s="590"/>
      <c r="S22" s="1546"/>
    </row>
    <row r="23" spans="1:19" ht="15.75" customHeight="1">
      <c r="A23" s="1545"/>
      <c r="B23" s="1422" t="s">
        <v>513</v>
      </c>
      <c r="C23" s="1134"/>
      <c r="D23" s="1124"/>
      <c r="E23" s="1124"/>
      <c r="F23" s="1124"/>
      <c r="G23" s="1133"/>
      <c r="H23" s="590"/>
      <c r="I23" s="1546"/>
      <c r="J23" s="590"/>
      <c r="K23" s="1546"/>
      <c r="L23" s="590"/>
      <c r="M23" s="1546"/>
      <c r="N23" s="590"/>
      <c r="O23" s="1546"/>
      <c r="P23" s="590"/>
      <c r="Q23" s="1546"/>
      <c r="R23" s="590"/>
      <c r="S23" s="1546"/>
    </row>
    <row r="24" spans="1:19">
      <c r="A24" s="1545"/>
      <c r="B24" s="1423" t="s">
        <v>514</v>
      </c>
      <c r="C24" s="1134"/>
      <c r="D24" s="1124"/>
      <c r="E24" s="1124"/>
      <c r="F24" s="1124"/>
      <c r="G24" s="1133"/>
      <c r="H24" s="590"/>
      <c r="I24" s="1424"/>
      <c r="J24" s="590"/>
      <c r="K24" s="1424"/>
      <c r="L24" s="590"/>
      <c r="M24" s="1424"/>
      <c r="N24" s="590"/>
      <c r="O24" s="1424"/>
      <c r="P24" s="590"/>
      <c r="Q24" s="1424"/>
      <c r="R24" s="590"/>
      <c r="S24" s="1424"/>
    </row>
    <row r="25" spans="1:19" ht="15.75" customHeight="1">
      <c r="A25" s="1545"/>
      <c r="B25" s="1425" t="s">
        <v>515</v>
      </c>
      <c r="C25" s="1134"/>
      <c r="D25" s="1124"/>
      <c r="E25" s="1124"/>
      <c r="F25" s="1124"/>
      <c r="G25" s="1133"/>
      <c r="H25" s="590"/>
      <c r="I25" s="1424"/>
      <c r="J25" s="590"/>
      <c r="K25" s="1424"/>
      <c r="L25" s="590"/>
      <c r="M25" s="1424"/>
      <c r="N25" s="590"/>
      <c r="O25" s="1424"/>
      <c r="P25" s="590"/>
      <c r="Q25" s="1424"/>
      <c r="R25" s="590"/>
      <c r="S25" s="1424"/>
    </row>
    <row r="26" spans="1:19">
      <c r="A26" s="1545"/>
      <c r="B26" s="1425" t="s">
        <v>516</v>
      </c>
      <c r="C26" s="1228"/>
      <c r="D26" s="1426"/>
      <c r="E26" s="1124"/>
      <c r="F26" s="1124"/>
      <c r="G26" s="1133"/>
      <c r="H26" s="590"/>
      <c r="I26" s="1424"/>
      <c r="J26" s="590"/>
      <c r="K26" s="1546"/>
      <c r="L26" s="590"/>
      <c r="M26" s="629"/>
      <c r="N26" s="590"/>
      <c r="O26" s="1546"/>
      <c r="P26" s="590"/>
      <c r="Q26" s="629"/>
      <c r="R26" s="590"/>
      <c r="S26" s="1546"/>
    </row>
    <row r="27" spans="1:19">
      <c r="A27" s="1545"/>
      <c r="B27" s="1425" t="s">
        <v>517</v>
      </c>
      <c r="C27" s="1228"/>
      <c r="D27" s="1426"/>
      <c r="E27" s="1124"/>
      <c r="F27" s="1124"/>
      <c r="G27" s="1133"/>
      <c r="H27" s="590"/>
      <c r="I27" s="1424"/>
      <c r="J27" s="590"/>
      <c r="K27" s="1546"/>
      <c r="L27" s="590"/>
      <c r="M27" s="629"/>
      <c r="N27" s="590"/>
      <c r="O27" s="1546"/>
      <c r="P27" s="590"/>
      <c r="Q27" s="629"/>
      <c r="R27" s="590"/>
      <c r="S27" s="1546"/>
    </row>
    <row r="28" spans="1:19">
      <c r="A28" s="1545"/>
      <c r="B28" s="1425" t="s">
        <v>518</v>
      </c>
      <c r="C28" s="1228"/>
      <c r="D28" s="1426"/>
      <c r="E28" s="1124"/>
      <c r="F28" s="1124"/>
      <c r="G28" s="1133"/>
      <c r="H28" s="590"/>
      <c r="I28" s="1424"/>
      <c r="J28" s="590"/>
      <c r="K28" s="1546"/>
      <c r="L28" s="590"/>
      <c r="M28" s="160"/>
      <c r="N28" s="590"/>
      <c r="O28" s="1546"/>
      <c r="P28" s="590"/>
      <c r="Q28" s="160"/>
      <c r="R28" s="590"/>
      <c r="S28" s="1546"/>
    </row>
    <row r="29" spans="1:19">
      <c r="A29" s="1545"/>
      <c r="B29" s="1425" t="s">
        <v>693</v>
      </c>
      <c r="C29" s="1228"/>
      <c r="D29" s="1426"/>
      <c r="E29" s="1124"/>
      <c r="F29" s="1124"/>
      <c r="G29" s="1133"/>
      <c r="H29" s="590"/>
      <c r="I29" s="1424"/>
      <c r="J29" s="590"/>
      <c r="K29" s="1546"/>
      <c r="L29" s="590"/>
      <c r="M29" s="160"/>
      <c r="N29" s="590"/>
      <c r="O29" s="1546"/>
      <c r="P29" s="590"/>
      <c r="Q29" s="160"/>
      <c r="R29" s="590"/>
      <c r="S29" s="1546"/>
    </row>
    <row r="30" spans="1:19">
      <c r="A30" s="1545"/>
      <c r="B30" s="1427" t="s">
        <v>519</v>
      </c>
      <c r="C30" s="1228"/>
      <c r="D30" s="1426"/>
      <c r="E30" s="1124"/>
      <c r="F30" s="1124"/>
      <c r="G30" s="1133"/>
      <c r="H30" s="590"/>
      <c r="I30" s="1424"/>
      <c r="J30" s="590"/>
      <c r="K30" s="1546"/>
      <c r="L30" s="590"/>
      <c r="M30" s="618"/>
      <c r="N30" s="590"/>
      <c r="O30" s="1546"/>
      <c r="P30" s="590"/>
      <c r="Q30" s="618"/>
      <c r="R30" s="590"/>
      <c r="S30" s="1546"/>
    </row>
    <row r="31" spans="1:19">
      <c r="A31" s="1545"/>
      <c r="B31" s="1473" t="s">
        <v>520</v>
      </c>
      <c r="C31" s="1474"/>
      <c r="D31" s="1475"/>
      <c r="E31" s="1145"/>
      <c r="F31" s="1145"/>
      <c r="G31" s="1147"/>
      <c r="H31" s="619"/>
      <c r="I31" s="1476"/>
      <c r="J31" s="619"/>
      <c r="K31" s="1477"/>
      <c r="L31" s="1478"/>
      <c r="M31" s="635"/>
      <c r="N31" s="1479"/>
      <c r="O31" s="1477"/>
      <c r="P31" s="1478"/>
      <c r="Q31" s="635"/>
      <c r="R31" s="1479"/>
      <c r="S31" s="1477"/>
    </row>
    <row r="32" spans="1:19">
      <c r="A32" s="1545"/>
      <c r="B32" s="1480" t="s">
        <v>748</v>
      </c>
      <c r="C32" s="1228"/>
      <c r="D32" s="1426"/>
      <c r="E32" s="1124"/>
      <c r="F32" s="1124"/>
      <c r="G32" s="1133"/>
      <c r="H32" s="590"/>
      <c r="I32" s="1424"/>
      <c r="J32" s="590"/>
      <c r="K32" s="1546"/>
      <c r="L32" s="590"/>
      <c r="M32" s="618"/>
      <c r="N32" s="590"/>
      <c r="O32" s="1546"/>
      <c r="P32" s="590"/>
      <c r="Q32" s="618"/>
      <c r="R32" s="590"/>
      <c r="S32" s="1546"/>
    </row>
    <row r="33" spans="1:19">
      <c r="A33" s="1545"/>
      <c r="B33" s="1481"/>
      <c r="C33" s="1228"/>
      <c r="D33" s="1426"/>
      <c r="E33" s="1124"/>
      <c r="F33" s="1124"/>
      <c r="G33" s="1133"/>
      <c r="H33" s="590"/>
      <c r="I33" s="1424"/>
      <c r="J33" s="590"/>
      <c r="K33" s="1546"/>
      <c r="L33" s="590"/>
      <c r="M33" s="618"/>
      <c r="N33" s="590"/>
      <c r="O33" s="1546"/>
      <c r="P33" s="590"/>
      <c r="Q33" s="618"/>
      <c r="R33" s="590"/>
      <c r="S33" s="1546"/>
    </row>
    <row r="34" spans="1:19">
      <c r="A34" s="1545"/>
      <c r="B34" s="1549" t="s">
        <v>809</v>
      </c>
      <c r="C34" s="1228"/>
      <c r="D34" s="1426"/>
      <c r="E34" s="1124"/>
      <c r="F34" s="1124"/>
      <c r="G34" s="1133"/>
      <c r="H34" s="590"/>
      <c r="I34" s="1424"/>
      <c r="J34" s="590"/>
      <c r="K34" s="1546"/>
      <c r="L34" s="590"/>
      <c r="M34" s="618"/>
      <c r="N34" s="590"/>
      <c r="O34" s="1546"/>
      <c r="P34" s="590"/>
      <c r="Q34" s="618"/>
      <c r="R34" s="590"/>
      <c r="S34" s="1546"/>
    </row>
    <row r="35" spans="1:19">
      <c r="A35" s="1545"/>
      <c r="B35" s="1550" t="s">
        <v>810</v>
      </c>
      <c r="C35" s="1228"/>
      <c r="D35" s="1426"/>
      <c r="E35" s="1124"/>
      <c r="F35" s="1124"/>
      <c r="G35" s="1133"/>
      <c r="H35" s="590"/>
      <c r="I35" s="1424"/>
      <c r="J35" s="590"/>
      <c r="K35" s="1546"/>
      <c r="L35" s="590"/>
      <c r="M35" s="618"/>
      <c r="N35" s="590"/>
      <c r="O35" s="1546"/>
      <c r="P35" s="590"/>
      <c r="Q35" s="618"/>
      <c r="R35" s="590"/>
      <c r="S35" s="1546"/>
    </row>
    <row r="36" spans="1:19">
      <c r="A36" s="1545"/>
      <c r="B36" s="1550" t="s">
        <v>811</v>
      </c>
      <c r="C36" s="1228"/>
      <c r="D36" s="1426"/>
      <c r="E36" s="1124"/>
      <c r="F36" s="1124"/>
      <c r="G36" s="1133"/>
      <c r="H36" s="590"/>
      <c r="I36" s="1424"/>
      <c r="J36" s="590"/>
      <c r="K36" s="1546"/>
      <c r="L36" s="590"/>
      <c r="M36" s="618"/>
      <c r="N36" s="590"/>
      <c r="O36" s="1546"/>
      <c r="P36" s="590"/>
      <c r="Q36" s="618"/>
      <c r="R36" s="590"/>
      <c r="S36" s="1546"/>
    </row>
    <row r="37" spans="1:19">
      <c r="A37" s="1545"/>
      <c r="B37" s="1550" t="s">
        <v>812</v>
      </c>
      <c r="C37" s="1228"/>
      <c r="D37" s="1426"/>
      <c r="E37" s="1124"/>
      <c r="F37" s="1124"/>
      <c r="G37" s="1133"/>
      <c r="H37" s="590"/>
      <c r="I37" s="1424"/>
      <c r="J37" s="590"/>
      <c r="K37" s="1546"/>
      <c r="L37" s="590"/>
      <c r="M37" s="618"/>
      <c r="N37" s="590"/>
      <c r="O37" s="1546"/>
      <c r="P37" s="590"/>
      <c r="Q37" s="618"/>
      <c r="R37" s="590"/>
      <c r="S37" s="1546"/>
    </row>
    <row r="38" spans="1:19">
      <c r="A38" s="1545"/>
      <c r="B38" s="1550" t="s">
        <v>813</v>
      </c>
      <c r="C38" s="1228"/>
      <c r="D38" s="1426"/>
      <c r="E38" s="1124"/>
      <c r="F38" s="1124"/>
      <c r="G38" s="1133"/>
      <c r="H38" s="590"/>
      <c r="I38" s="1424"/>
      <c r="J38" s="590"/>
      <c r="K38" s="1546"/>
      <c r="L38" s="590"/>
      <c r="M38" s="618"/>
      <c r="N38" s="590"/>
      <c r="O38" s="1546"/>
      <c r="P38" s="590"/>
      <c r="Q38" s="618"/>
      <c r="R38" s="590"/>
      <c r="S38" s="1546"/>
    </row>
    <row r="39" spans="1:19">
      <c r="A39" s="1545"/>
      <c r="B39" s="1550" t="s">
        <v>814</v>
      </c>
      <c r="C39" s="1228"/>
      <c r="D39" s="1426"/>
      <c r="E39" s="1124"/>
      <c r="F39" s="1124"/>
      <c r="G39" s="1133"/>
      <c r="H39" s="590"/>
      <c r="I39" s="1424"/>
      <c r="J39" s="590"/>
      <c r="K39" s="1546"/>
      <c r="L39" s="590"/>
      <c r="M39" s="618"/>
      <c r="N39" s="590"/>
      <c r="O39" s="1546"/>
      <c r="P39" s="590"/>
      <c r="Q39" s="618"/>
      <c r="R39" s="590"/>
      <c r="S39" s="1546"/>
    </row>
    <row r="40" spans="1:19">
      <c r="A40" s="1545"/>
      <c r="B40" s="1550" t="s">
        <v>815</v>
      </c>
      <c r="C40" s="1228"/>
      <c r="D40" s="1426"/>
      <c r="E40" s="1124"/>
      <c r="F40" s="1124"/>
      <c r="G40" s="1133"/>
      <c r="H40" s="590" t="s">
        <v>710</v>
      </c>
      <c r="I40" s="1424"/>
      <c r="J40" s="590"/>
      <c r="K40" s="1546"/>
      <c r="L40" s="590"/>
      <c r="M40" s="618"/>
      <c r="N40" s="590"/>
      <c r="O40" s="1546"/>
      <c r="P40" s="590"/>
      <c r="Q40" s="618"/>
      <c r="R40" s="590"/>
      <c r="S40" s="1546"/>
    </row>
    <row r="41" spans="1:19">
      <c r="A41" s="1545"/>
      <c r="B41" s="1550" t="s">
        <v>816</v>
      </c>
      <c r="C41" s="1228"/>
      <c r="D41" s="1426"/>
      <c r="E41" s="1124"/>
      <c r="F41" s="1124"/>
      <c r="G41" s="1133"/>
      <c r="H41" s="590"/>
      <c r="I41" s="1424"/>
      <c r="J41" s="590"/>
      <c r="K41" s="1546"/>
      <c r="L41" s="590"/>
      <c r="M41" s="618"/>
      <c r="N41" s="590"/>
      <c r="O41" s="1546"/>
      <c r="P41" s="590"/>
      <c r="Q41" s="618"/>
      <c r="R41" s="590"/>
      <c r="S41" s="1546"/>
    </row>
    <row r="42" spans="1:19">
      <c r="A42" s="1545"/>
      <c r="B42" s="1550" t="s">
        <v>817</v>
      </c>
      <c r="C42" s="1228"/>
      <c r="D42" s="1426"/>
      <c r="E42" s="1124"/>
      <c r="F42" s="1124"/>
      <c r="G42" s="1133"/>
      <c r="H42" s="590"/>
      <c r="I42" s="1424"/>
      <c r="J42" s="590"/>
      <c r="K42" s="1546"/>
      <c r="L42" s="590"/>
      <c r="M42" s="618"/>
      <c r="N42" s="590"/>
      <c r="O42" s="1546"/>
      <c r="P42" s="590"/>
      <c r="Q42" s="618"/>
      <c r="R42" s="590"/>
      <c r="S42" s="1546"/>
    </row>
    <row r="43" spans="1:19">
      <c r="A43" s="1545"/>
      <c r="B43" s="1551" t="s">
        <v>818</v>
      </c>
      <c r="C43" s="1228"/>
      <c r="D43" s="1426"/>
      <c r="E43" s="1124"/>
      <c r="F43" s="1124"/>
      <c r="G43" s="1133"/>
      <c r="H43" s="590"/>
      <c r="I43" s="1424"/>
      <c r="J43" s="590"/>
      <c r="K43" s="1546"/>
      <c r="L43" s="590"/>
      <c r="M43" s="618"/>
      <c r="N43" s="590"/>
      <c r="O43" s="1546"/>
      <c r="P43" s="590"/>
      <c r="Q43" s="618"/>
      <c r="R43" s="590"/>
      <c r="S43" s="1546"/>
    </row>
    <row r="44" spans="1:19">
      <c r="A44" s="1545"/>
      <c r="B44" s="1551" t="s">
        <v>819</v>
      </c>
      <c r="C44" s="1228"/>
      <c r="D44" s="1426"/>
      <c r="E44" s="1124"/>
      <c r="F44" s="1124"/>
      <c r="G44" s="1133"/>
      <c r="H44" s="590"/>
      <c r="I44" s="1424"/>
      <c r="J44" s="590"/>
      <c r="K44" s="1546"/>
      <c r="L44" s="590"/>
      <c r="M44" s="629"/>
      <c r="N44" s="590"/>
      <c r="O44" s="1546"/>
      <c r="P44" s="590"/>
      <c r="Q44" s="629"/>
      <c r="R44" s="590"/>
      <c r="S44" s="1546"/>
    </row>
    <row r="45" spans="1:19">
      <c r="A45" s="1545"/>
      <c r="B45" s="1551" t="s">
        <v>820</v>
      </c>
      <c r="C45" s="1228"/>
      <c r="D45" s="1426"/>
      <c r="E45" s="1124"/>
      <c r="F45" s="1124"/>
      <c r="G45" s="1133"/>
      <c r="H45" s="590"/>
      <c r="I45" s="1424"/>
      <c r="J45" s="590"/>
      <c r="K45" s="1546"/>
      <c r="L45" s="590"/>
      <c r="M45" s="160"/>
      <c r="N45" s="590"/>
      <c r="O45" s="1546"/>
      <c r="P45" s="590"/>
      <c r="Q45" s="160"/>
      <c r="R45" s="590"/>
      <c r="S45" s="1546"/>
    </row>
    <row r="46" spans="1:19">
      <c r="A46" s="1545"/>
      <c r="B46" s="1483"/>
      <c r="C46" s="1228"/>
      <c r="D46" s="1426"/>
      <c r="E46" s="1124"/>
      <c r="F46" s="1124"/>
      <c r="G46" s="1133"/>
      <c r="H46" s="590"/>
      <c r="I46" s="1424"/>
      <c r="J46" s="590"/>
      <c r="K46" s="1546"/>
      <c r="L46" s="590"/>
      <c r="M46" s="618"/>
      <c r="N46" s="590"/>
      <c r="O46" s="1546"/>
      <c r="P46" s="590"/>
      <c r="Q46" s="618"/>
      <c r="R46" s="590"/>
      <c r="S46" s="1546"/>
    </row>
    <row r="47" spans="1:19">
      <c r="A47" s="1545"/>
      <c r="B47" s="1483"/>
      <c r="C47" s="1228"/>
      <c r="D47" s="1426"/>
      <c r="E47" s="1124"/>
      <c r="F47" s="1124"/>
      <c r="G47" s="1133"/>
      <c r="H47" s="590"/>
      <c r="I47" s="1424"/>
      <c r="J47" s="590"/>
      <c r="K47" s="1546"/>
      <c r="L47" s="590"/>
      <c r="M47" s="618"/>
      <c r="N47" s="590"/>
      <c r="O47" s="1546"/>
      <c r="P47" s="590"/>
      <c r="Q47" s="618"/>
      <c r="R47" s="590"/>
      <c r="S47" s="1546"/>
    </row>
    <row r="48" spans="1:19">
      <c r="A48" s="1545"/>
      <c r="B48" s="1483"/>
      <c r="C48" s="1228"/>
      <c r="D48" s="1426"/>
      <c r="E48" s="1124"/>
      <c r="F48" s="1124"/>
      <c r="G48" s="1133"/>
      <c r="H48" s="590"/>
      <c r="I48" s="1424"/>
      <c r="J48" s="590"/>
      <c r="K48" s="1546"/>
      <c r="L48" s="590"/>
      <c r="M48" s="618"/>
      <c r="N48" s="590"/>
      <c r="O48" s="1546"/>
      <c r="P48" s="590"/>
      <c r="Q48" s="618"/>
      <c r="R48" s="590"/>
      <c r="S48" s="1546"/>
    </row>
    <row r="49" spans="1:19">
      <c r="A49" s="1545"/>
      <c r="B49" s="1483"/>
      <c r="C49" s="1228"/>
      <c r="D49" s="1426"/>
      <c r="E49" s="1124"/>
      <c r="F49" s="1124"/>
      <c r="G49" s="1133"/>
      <c r="H49" s="590"/>
      <c r="I49" s="1424"/>
      <c r="J49" s="590"/>
      <c r="K49" s="1546"/>
      <c r="L49" s="590"/>
      <c r="M49" s="618"/>
      <c r="N49" s="590"/>
      <c r="O49" s="1546"/>
      <c r="P49" s="590"/>
      <c r="Q49" s="618"/>
      <c r="R49" s="590"/>
      <c r="S49" s="1546"/>
    </row>
    <row r="50" spans="1:19">
      <c r="A50" s="1545"/>
      <c r="B50" s="1483"/>
      <c r="C50" s="1228"/>
      <c r="D50" s="1426"/>
      <c r="E50" s="1124"/>
      <c r="F50" s="1124"/>
      <c r="G50" s="1133"/>
      <c r="H50" s="590"/>
      <c r="I50" s="1424"/>
      <c r="J50" s="590"/>
      <c r="K50" s="1546"/>
      <c r="L50" s="590"/>
      <c r="M50" s="618"/>
      <c r="N50" s="590"/>
      <c r="O50" s="1546"/>
      <c r="P50" s="590"/>
      <c r="Q50" s="618"/>
      <c r="R50" s="590"/>
      <c r="S50" s="1546"/>
    </row>
    <row r="51" spans="1:19">
      <c r="A51" s="1545"/>
      <c r="B51" s="1483"/>
      <c r="C51" s="1228"/>
      <c r="D51" s="1426"/>
      <c r="E51" s="1124"/>
      <c r="F51" s="1124"/>
      <c r="G51" s="1133"/>
      <c r="H51" s="590"/>
      <c r="I51" s="1424"/>
      <c r="J51" s="590"/>
      <c r="K51" s="1546"/>
      <c r="L51" s="590"/>
      <c r="M51" s="618"/>
      <c r="N51" s="590"/>
      <c r="O51" s="1546"/>
      <c r="P51" s="590"/>
      <c r="Q51" s="618"/>
      <c r="R51" s="590"/>
      <c r="S51" s="1546"/>
    </row>
    <row r="52" spans="1:19">
      <c r="A52" s="1545"/>
      <c r="B52" s="1483"/>
      <c r="C52" s="1228"/>
      <c r="D52" s="1426"/>
      <c r="E52" s="1124"/>
      <c r="F52" s="1124"/>
      <c r="G52" s="1133"/>
      <c r="H52" s="590"/>
      <c r="I52" s="1424"/>
      <c r="J52" s="590"/>
      <c r="K52" s="1546"/>
      <c r="L52" s="590"/>
      <c r="M52" s="618"/>
      <c r="N52" s="590"/>
      <c r="O52" s="1546"/>
      <c r="P52" s="590"/>
      <c r="Q52" s="618"/>
      <c r="R52" s="590"/>
      <c r="S52" s="1546"/>
    </row>
    <row r="53" spans="1:19">
      <c r="A53" s="1545"/>
      <c r="B53" s="1483"/>
      <c r="C53" s="1228"/>
      <c r="D53" s="1426"/>
      <c r="E53" s="1124"/>
      <c r="F53" s="1124"/>
      <c r="G53" s="1133"/>
      <c r="H53" s="590"/>
      <c r="I53" s="1424"/>
      <c r="J53" s="590"/>
      <c r="K53" s="1546"/>
      <c r="L53" s="590"/>
      <c r="M53" s="618"/>
      <c r="N53" s="590"/>
      <c r="O53" s="1546"/>
      <c r="P53" s="590"/>
      <c r="Q53" s="618"/>
      <c r="R53" s="590"/>
      <c r="S53" s="1546"/>
    </row>
    <row r="54" spans="1:19">
      <c r="A54" s="1545"/>
      <c r="B54" s="1483"/>
      <c r="C54" s="1228"/>
      <c r="D54" s="1426"/>
      <c r="E54" s="1124"/>
      <c r="F54" s="1124"/>
      <c r="G54" s="1133"/>
      <c r="H54" s="590"/>
      <c r="I54" s="1424"/>
      <c r="J54" s="590"/>
      <c r="K54" s="1546"/>
      <c r="L54" s="590"/>
      <c r="M54" s="618"/>
      <c r="N54" s="590"/>
      <c r="O54" s="1546"/>
      <c r="P54" s="590"/>
      <c r="Q54" s="618"/>
      <c r="R54" s="590"/>
      <c r="S54" s="1546"/>
    </row>
    <row r="55" spans="1:19">
      <c r="A55" s="1545"/>
      <c r="B55" s="1483"/>
      <c r="C55" s="1228"/>
      <c r="D55" s="1426"/>
      <c r="E55" s="1124"/>
      <c r="F55" s="1124"/>
      <c r="G55" s="1133"/>
      <c r="H55" s="590"/>
      <c r="I55" s="1424"/>
      <c r="J55" s="590"/>
      <c r="K55" s="1546"/>
      <c r="L55" s="590"/>
      <c r="M55" s="618"/>
      <c r="N55" s="590"/>
      <c r="O55" s="1546"/>
      <c r="P55" s="590"/>
      <c r="Q55" s="618"/>
      <c r="R55" s="590"/>
      <c r="S55" s="1546"/>
    </row>
    <row r="56" spans="1:19">
      <c r="A56" s="1545"/>
      <c r="B56" s="1483"/>
      <c r="C56" s="1228"/>
      <c r="D56" s="1426"/>
      <c r="E56" s="1124"/>
      <c r="F56" s="1124"/>
      <c r="G56" s="1133"/>
      <c r="H56" s="590"/>
      <c r="I56" s="1424"/>
      <c r="J56" s="590"/>
      <c r="K56" s="1546"/>
      <c r="L56" s="590"/>
      <c r="M56" s="618"/>
      <c r="N56" s="590"/>
      <c r="O56" s="1546"/>
      <c r="P56" s="590"/>
      <c r="Q56" s="618"/>
      <c r="R56" s="590"/>
      <c r="S56" s="1546"/>
    </row>
    <row r="57" spans="1:19">
      <c r="A57" s="1545"/>
      <c r="B57" s="1482"/>
      <c r="C57" s="1228"/>
      <c r="D57" s="1426"/>
      <c r="E57" s="1124"/>
      <c r="F57" s="1124"/>
      <c r="G57" s="1133"/>
      <c r="H57" s="590"/>
      <c r="I57" s="1546"/>
      <c r="J57" s="590"/>
      <c r="K57" s="1546"/>
      <c r="L57" s="590"/>
      <c r="M57" s="618"/>
      <c r="N57" s="590"/>
      <c r="O57" s="1546"/>
      <c r="P57" s="590"/>
      <c r="Q57" s="618"/>
      <c r="R57" s="590"/>
      <c r="S57" s="1546"/>
    </row>
    <row r="58" spans="1:19">
      <c r="A58" s="1545"/>
      <c r="B58" s="1483"/>
      <c r="C58" s="1228"/>
      <c r="D58" s="1426"/>
      <c r="E58" s="1124"/>
      <c r="F58" s="1124"/>
      <c r="G58" s="1133"/>
      <c r="H58" s="590"/>
      <c r="I58" s="1546"/>
      <c r="J58" s="590"/>
      <c r="K58" s="1546"/>
      <c r="L58" s="590"/>
      <c r="M58" s="618"/>
      <c r="N58" s="590"/>
      <c r="O58" s="1546"/>
      <c r="P58" s="590"/>
      <c r="Q58" s="618"/>
      <c r="R58" s="590"/>
      <c r="S58" s="1546"/>
    </row>
    <row r="59" spans="1:19">
      <c r="A59" s="1545"/>
      <c r="B59" s="1483"/>
      <c r="C59" s="1228"/>
      <c r="D59" s="1426"/>
      <c r="E59" s="1124"/>
      <c r="F59" s="1124"/>
      <c r="G59" s="1133"/>
      <c r="H59" s="590"/>
      <c r="I59" s="1546"/>
      <c r="J59" s="590"/>
      <c r="K59" s="1546"/>
      <c r="L59" s="590"/>
      <c r="M59" s="1546"/>
      <c r="N59" s="590"/>
      <c r="O59" s="1546"/>
      <c r="P59" s="590"/>
      <c r="Q59" s="1546"/>
      <c r="R59" s="590"/>
      <c r="S59" s="1546"/>
    </row>
    <row r="60" spans="1:19">
      <c r="A60" s="1545"/>
      <c r="B60" s="1483"/>
      <c r="C60" s="1228"/>
      <c r="D60" s="1426"/>
      <c r="E60" s="1124"/>
      <c r="F60" s="1124"/>
      <c r="G60" s="1133"/>
      <c r="H60" s="590"/>
      <c r="I60" s="1546"/>
      <c r="J60" s="590"/>
      <c r="K60" s="1546"/>
      <c r="L60" s="590"/>
      <c r="M60" s="1546"/>
      <c r="N60" s="590"/>
      <c r="O60" s="1546"/>
      <c r="P60" s="590"/>
      <c r="Q60" s="1546"/>
      <c r="R60" s="590"/>
      <c r="S60" s="1546"/>
    </row>
    <row r="61" spans="1:19">
      <c r="A61" s="1545"/>
      <c r="B61" s="1483"/>
      <c r="C61" s="1228"/>
      <c r="D61" s="1426"/>
      <c r="E61" s="1124"/>
      <c r="F61" s="1124"/>
      <c r="G61" s="1133"/>
      <c r="H61" s="590"/>
      <c r="I61" s="1546"/>
      <c r="J61" s="590"/>
      <c r="K61" s="1546"/>
      <c r="L61" s="590"/>
      <c r="M61" s="1546"/>
      <c r="N61" s="590"/>
      <c r="O61" s="1546"/>
      <c r="P61" s="590"/>
      <c r="Q61" s="1546"/>
      <c r="R61" s="590"/>
      <c r="S61" s="1546"/>
    </row>
    <row r="62" spans="1:19">
      <c r="A62" s="1545"/>
      <c r="B62" s="1483"/>
      <c r="C62" s="1228"/>
      <c r="D62" s="1426"/>
      <c r="E62" s="1124"/>
      <c r="F62" s="1124"/>
      <c r="G62" s="1133"/>
      <c r="H62" s="590"/>
      <c r="I62" s="1546"/>
      <c r="J62" s="590"/>
      <c r="K62" s="1546"/>
      <c r="L62" s="590"/>
      <c r="M62" s="1546"/>
      <c r="N62" s="590"/>
      <c r="O62" s="1546"/>
      <c r="P62" s="590"/>
      <c r="Q62" s="1546"/>
      <c r="R62" s="590"/>
      <c r="S62" s="1546"/>
    </row>
    <row r="63" spans="1:19">
      <c r="A63" s="1545"/>
      <c r="B63" s="1483"/>
      <c r="C63" s="1228"/>
      <c r="D63" s="1426"/>
      <c r="E63" s="1124"/>
      <c r="F63" s="1124"/>
      <c r="G63" s="1133"/>
      <c r="H63" s="590"/>
      <c r="I63" s="1546"/>
      <c r="J63" s="590"/>
      <c r="K63" s="1546"/>
      <c r="L63" s="590"/>
      <c r="M63" s="1546"/>
      <c r="N63" s="590"/>
      <c r="O63" s="1546"/>
      <c r="P63" s="590"/>
      <c r="Q63" s="1546"/>
      <c r="R63" s="590"/>
      <c r="S63" s="1546"/>
    </row>
    <row r="64" spans="1:19">
      <c r="A64" s="1545"/>
      <c r="B64" s="1483"/>
      <c r="C64" s="1228"/>
      <c r="D64" s="1426"/>
      <c r="E64" s="1124"/>
      <c r="F64" s="1124"/>
      <c r="G64" s="1133"/>
      <c r="H64" s="590"/>
      <c r="I64" s="1546"/>
      <c r="J64" s="590"/>
      <c r="K64" s="1546"/>
      <c r="L64" s="590"/>
      <c r="M64" s="1546"/>
      <c r="N64" s="590"/>
      <c r="O64" s="1546"/>
      <c r="P64" s="590"/>
      <c r="Q64" s="1546"/>
      <c r="R64" s="590"/>
      <c r="S64" s="1546"/>
    </row>
    <row r="65" spans="1:19">
      <c r="A65" s="1545"/>
      <c r="B65" s="1483"/>
      <c r="C65" s="1228"/>
      <c r="D65" s="1426"/>
      <c r="E65" s="1124"/>
      <c r="F65" s="1124"/>
      <c r="G65" s="1133"/>
      <c r="H65" s="590"/>
      <c r="I65" s="1546"/>
      <c r="J65" s="590"/>
      <c r="K65" s="1546"/>
      <c r="L65" s="590"/>
      <c r="M65" s="1546"/>
      <c r="N65" s="590"/>
      <c r="O65" s="1546"/>
      <c r="P65" s="590"/>
      <c r="Q65" s="1546"/>
      <c r="R65" s="590"/>
      <c r="S65" s="1546"/>
    </row>
    <row r="66" spans="1:19">
      <c r="A66" s="1545"/>
      <c r="B66" s="1483"/>
      <c r="C66" s="1228"/>
      <c r="D66" s="1426"/>
      <c r="E66" s="1124"/>
      <c r="F66" s="1124"/>
      <c r="G66" s="1133"/>
      <c r="H66" s="590"/>
      <c r="I66" s="1546"/>
      <c r="J66" s="590"/>
      <c r="K66" s="1546"/>
      <c r="L66" s="590"/>
      <c r="M66" s="1546"/>
      <c r="N66" s="590"/>
      <c r="O66" s="1546"/>
      <c r="P66" s="590"/>
      <c r="Q66" s="1546"/>
      <c r="R66" s="590"/>
      <c r="S66" s="1546"/>
    </row>
    <row r="67" spans="1:19">
      <c r="A67" s="1545"/>
      <c r="B67" s="1483"/>
      <c r="C67" s="1228"/>
      <c r="D67" s="1426"/>
      <c r="E67" s="1124"/>
      <c r="F67" s="1124"/>
      <c r="G67" s="1133"/>
      <c r="H67" s="590"/>
      <c r="I67" s="1546"/>
      <c r="J67" s="590"/>
      <c r="K67" s="1546"/>
      <c r="L67" s="590"/>
      <c r="M67" s="1546"/>
      <c r="N67" s="590"/>
      <c r="O67" s="1546"/>
      <c r="P67" s="590"/>
      <c r="Q67" s="1546"/>
      <c r="R67" s="590"/>
      <c r="S67" s="1546"/>
    </row>
    <row r="68" spans="1:19">
      <c r="A68" s="1545"/>
      <c r="B68" s="1483"/>
      <c r="C68" s="1228"/>
      <c r="D68" s="1426"/>
      <c r="E68" s="1124"/>
      <c r="F68" s="1124"/>
      <c r="G68" s="1133"/>
      <c r="H68" s="590"/>
      <c r="I68" s="1546"/>
      <c r="J68" s="590"/>
      <c r="K68" s="1546"/>
      <c r="L68" s="590"/>
      <c r="M68" s="1546"/>
      <c r="N68" s="590"/>
      <c r="O68" s="1546"/>
      <c r="P68" s="590"/>
      <c r="Q68" s="1546"/>
      <c r="R68" s="590"/>
      <c r="S68" s="1546"/>
    </row>
    <row r="69" spans="1:19">
      <c r="A69" s="1545"/>
      <c r="B69" s="1483"/>
      <c r="C69" s="1228"/>
      <c r="D69" s="1426"/>
      <c r="E69" s="1124"/>
      <c r="F69" s="1124"/>
      <c r="G69" s="1133"/>
      <c r="H69" s="590"/>
      <c r="I69" s="1546"/>
      <c r="J69" s="590"/>
      <c r="K69" s="1546"/>
      <c r="L69" s="590"/>
      <c r="M69" s="1546"/>
      <c r="N69" s="590"/>
      <c r="O69" s="1546"/>
      <c r="P69" s="590"/>
      <c r="Q69" s="1546"/>
      <c r="R69" s="590"/>
      <c r="S69" s="1546"/>
    </row>
    <row r="70" spans="1:19">
      <c r="A70" s="1545"/>
      <c r="B70" s="1483"/>
      <c r="C70" s="1228"/>
      <c r="D70" s="1426"/>
      <c r="E70" s="1124"/>
      <c r="F70" s="1124"/>
      <c r="G70" s="1133"/>
      <c r="H70" s="590"/>
      <c r="I70" s="1546"/>
      <c r="J70" s="590"/>
      <c r="K70" s="1546"/>
      <c r="L70" s="590"/>
      <c r="M70" s="1546"/>
      <c r="N70" s="590"/>
      <c r="O70" s="1546"/>
      <c r="P70" s="590"/>
      <c r="Q70" s="1546"/>
      <c r="R70" s="590"/>
      <c r="S70" s="1546"/>
    </row>
    <row r="71" spans="1:19">
      <c r="A71" s="1545"/>
      <c r="B71" s="1483"/>
      <c r="C71" s="1228"/>
      <c r="D71" s="1426"/>
      <c r="E71" s="1124"/>
      <c r="F71" s="1124"/>
      <c r="G71" s="1133"/>
      <c r="H71" s="590"/>
      <c r="I71" s="1546"/>
      <c r="J71" s="590"/>
      <c r="K71" s="1546"/>
      <c r="L71" s="590"/>
      <c r="M71" s="1546"/>
      <c r="N71" s="590"/>
      <c r="O71" s="1546"/>
      <c r="P71" s="590"/>
      <c r="Q71" s="1546"/>
      <c r="R71" s="590"/>
      <c r="S71" s="1546"/>
    </row>
    <row r="72" spans="1:19">
      <c r="A72" s="1545"/>
      <c r="B72" s="1483"/>
      <c r="C72" s="1228"/>
      <c r="D72" s="1426"/>
      <c r="E72" s="1124"/>
      <c r="F72" s="1124"/>
      <c r="G72" s="1133"/>
      <c r="H72" s="590"/>
      <c r="I72" s="1546"/>
      <c r="J72" s="590"/>
      <c r="K72" s="1546"/>
      <c r="L72" s="590"/>
      <c r="M72" s="1546"/>
      <c r="N72" s="590"/>
      <c r="O72" s="1546"/>
      <c r="P72" s="590"/>
      <c r="Q72" s="1546"/>
      <c r="R72" s="590"/>
      <c r="S72" s="1546"/>
    </row>
    <row r="73" spans="1:19">
      <c r="A73" s="1545"/>
      <c r="B73" s="1483"/>
      <c r="C73" s="1228"/>
      <c r="D73" s="1426"/>
      <c r="E73" s="1124"/>
      <c r="F73" s="1124"/>
      <c r="G73" s="1133"/>
      <c r="H73" s="590"/>
      <c r="I73" s="1546"/>
      <c r="J73" s="590"/>
      <c r="K73" s="1546"/>
      <c r="L73" s="590"/>
      <c r="M73" s="1546"/>
      <c r="N73" s="590"/>
      <c r="O73" s="1546"/>
      <c r="P73" s="590"/>
      <c r="Q73" s="1546"/>
      <c r="R73" s="590"/>
      <c r="S73" s="1546"/>
    </row>
    <row r="74" spans="1:19">
      <c r="A74" s="1545"/>
      <c r="B74" s="1483"/>
      <c r="C74" s="1228"/>
      <c r="D74" s="1426"/>
      <c r="E74" s="1124"/>
      <c r="F74" s="1124"/>
      <c r="G74" s="1133"/>
      <c r="H74" s="590"/>
      <c r="I74" s="1546"/>
      <c r="J74" s="590"/>
      <c r="K74" s="1546"/>
      <c r="L74" s="590"/>
      <c r="M74" s="1546"/>
      <c r="N74" s="590"/>
      <c r="O74" s="1546"/>
      <c r="P74" s="590"/>
      <c r="Q74" s="1546"/>
      <c r="R74" s="590"/>
      <c r="S74" s="1546"/>
    </row>
    <row r="75" spans="1:19">
      <c r="A75" s="1545"/>
      <c r="B75" s="1483"/>
      <c r="C75" s="1228"/>
      <c r="D75" s="1426"/>
      <c r="E75" s="1124"/>
      <c r="F75" s="1124"/>
      <c r="G75" s="1133"/>
      <c r="H75" s="590"/>
      <c r="I75" s="1546"/>
      <c r="J75" s="590"/>
      <c r="K75" s="1546"/>
      <c r="L75" s="590"/>
      <c r="M75" s="1546"/>
      <c r="N75" s="590"/>
      <c r="O75" s="1546"/>
      <c r="P75" s="590"/>
      <c r="Q75" s="1546"/>
      <c r="R75" s="590"/>
      <c r="S75" s="1546"/>
    </row>
    <row r="76" spans="1:19">
      <c r="A76" s="1545"/>
      <c r="B76" s="1483"/>
      <c r="C76" s="1228"/>
      <c r="D76" s="1426"/>
      <c r="E76" s="1124"/>
      <c r="F76" s="1124"/>
      <c r="G76" s="1133"/>
      <c r="H76" s="590"/>
      <c r="I76" s="1546"/>
      <c r="J76" s="590"/>
      <c r="K76" s="1546"/>
      <c r="L76" s="590"/>
      <c r="M76" s="1546"/>
      <c r="N76" s="590"/>
      <c r="O76" s="1546"/>
      <c r="P76" s="590"/>
      <c r="Q76" s="1546"/>
      <c r="R76" s="590"/>
      <c r="S76" s="1546"/>
    </row>
    <row r="77" spans="1:19">
      <c r="A77" s="1545"/>
      <c r="B77" s="1483"/>
      <c r="C77" s="1228"/>
      <c r="D77" s="1426"/>
      <c r="E77" s="1124"/>
      <c r="F77" s="1124"/>
      <c r="G77" s="1133"/>
      <c r="H77" s="590"/>
      <c r="I77" s="1546"/>
      <c r="J77" s="590"/>
      <c r="K77" s="1546"/>
      <c r="L77" s="590"/>
      <c r="M77" s="1546"/>
      <c r="N77" s="590"/>
      <c r="O77" s="1546"/>
      <c r="P77" s="590"/>
      <c r="Q77" s="1546"/>
      <c r="R77" s="590"/>
      <c r="S77" s="1546"/>
    </row>
    <row r="78" spans="1:19">
      <c r="A78" s="1545"/>
      <c r="B78" s="1483"/>
      <c r="C78" s="1228"/>
      <c r="D78" s="1426"/>
      <c r="E78" s="1124"/>
      <c r="F78" s="1124"/>
      <c r="G78" s="1133"/>
      <c r="H78" s="590"/>
      <c r="I78" s="1546"/>
      <c r="J78" s="590"/>
      <c r="K78" s="1546"/>
      <c r="L78" s="590"/>
      <c r="M78" s="1546"/>
      <c r="N78" s="590"/>
      <c r="O78" s="1546"/>
      <c r="P78" s="590"/>
      <c r="Q78" s="1546"/>
      <c r="R78" s="590"/>
      <c r="S78" s="1546"/>
    </row>
    <row r="79" spans="1:19">
      <c r="A79" s="1545"/>
      <c r="B79" s="1483"/>
      <c r="C79" s="1228"/>
      <c r="D79" s="1426"/>
      <c r="E79" s="1124"/>
      <c r="F79" s="1124"/>
      <c r="G79" s="1133"/>
      <c r="H79" s="590"/>
      <c r="I79" s="1546"/>
      <c r="J79" s="590"/>
      <c r="K79" s="1546"/>
      <c r="L79" s="590"/>
      <c r="M79" s="1546"/>
      <c r="N79" s="590"/>
      <c r="O79" s="1546"/>
      <c r="P79" s="590"/>
      <c r="Q79" s="1546"/>
      <c r="R79" s="590"/>
      <c r="S79" s="1546"/>
    </row>
    <row r="80" spans="1:19">
      <c r="A80" s="1545"/>
      <c r="B80" s="425"/>
      <c r="C80" s="296"/>
      <c r="D80" s="184"/>
      <c r="E80" s="184"/>
      <c r="F80" s="184"/>
      <c r="G80" s="296"/>
      <c r="H80" s="590"/>
      <c r="I80" s="1424"/>
      <c r="J80" s="590"/>
      <c r="K80" s="1424"/>
      <c r="L80" s="590"/>
      <c r="M80" s="1424"/>
      <c r="N80" s="590"/>
      <c r="O80" s="1424"/>
      <c r="P80" s="590"/>
      <c r="Q80" s="1424"/>
      <c r="R80" s="590"/>
      <c r="S80" s="1424"/>
    </row>
    <row r="81" spans="1:19" ht="15.75" thickBot="1">
      <c r="A81" s="1450"/>
      <c r="B81" s="425"/>
      <c r="C81" s="1451"/>
      <c r="D81" s="1452"/>
      <c r="E81" s="1452"/>
      <c r="F81" s="1452"/>
      <c r="G81" s="1451"/>
      <c r="H81" s="590"/>
      <c r="I81" s="1453"/>
      <c r="J81" s="590"/>
      <c r="K81" s="1453"/>
      <c r="L81" s="590"/>
      <c r="M81" s="1453"/>
      <c r="N81" s="590"/>
      <c r="O81" s="1453"/>
      <c r="P81" s="590"/>
      <c r="Q81" s="1453"/>
      <c r="R81" s="590"/>
      <c r="S81" s="1453"/>
    </row>
    <row r="82" spans="1:19" ht="15.75" thickTop="1">
      <c r="A82" s="14"/>
      <c r="B82" s="15"/>
      <c r="C82" s="16"/>
      <c r="D82" s="16"/>
      <c r="E82" s="17"/>
      <c r="F82" s="18" t="s">
        <v>567</v>
      </c>
      <c r="G82" s="19"/>
      <c r="H82" s="20"/>
      <c r="I82" s="61">
        <f>SUM(I24:I81)</f>
        <v>0</v>
      </c>
      <c r="J82" s="20"/>
      <c r="K82" s="61">
        <f>SUM(K24:K81)</f>
        <v>0</v>
      </c>
      <c r="L82" s="20"/>
      <c r="M82" s="61">
        <f>SUM(M24:M81)</f>
        <v>0</v>
      </c>
      <c r="N82" s="20"/>
      <c r="O82" s="61">
        <f>SUM(O24:O81)</f>
        <v>0</v>
      </c>
      <c r="P82" s="20"/>
      <c r="Q82" s="61">
        <f>SUM(Q24:Q81)</f>
        <v>0</v>
      </c>
      <c r="R82" s="20"/>
      <c r="S82" s="61">
        <f>SUM(S24:S81)</f>
        <v>0</v>
      </c>
    </row>
    <row r="83" spans="1:19">
      <c r="A83" s="624"/>
      <c r="B83" s="1156"/>
      <c r="C83" s="1157"/>
      <c r="D83" s="1157"/>
      <c r="E83" s="1158"/>
      <c r="F83" s="1159" t="s">
        <v>568</v>
      </c>
      <c r="G83" s="1160"/>
      <c r="H83" s="593">
        <v>0</v>
      </c>
      <c r="I83" s="592"/>
      <c r="J83" s="593">
        <v>0</v>
      </c>
      <c r="K83" s="592"/>
      <c r="L83" s="591">
        <v>0</v>
      </c>
      <c r="M83" s="592"/>
      <c r="N83" s="593">
        <v>0</v>
      </c>
      <c r="O83" s="592"/>
      <c r="P83" s="591">
        <v>0</v>
      </c>
      <c r="Q83" s="592"/>
      <c r="R83" s="593">
        <v>0</v>
      </c>
      <c r="S83" s="592"/>
    </row>
    <row r="84" spans="1:19">
      <c r="A84" s="624"/>
      <c r="B84" s="1156"/>
      <c r="C84" s="1157"/>
      <c r="D84" s="1157"/>
      <c r="E84" s="1158"/>
      <c r="F84" s="1159" t="s">
        <v>569</v>
      </c>
      <c r="G84" s="1160"/>
      <c r="H84" s="594"/>
      <c r="I84" s="595">
        <f>H83*I82</f>
        <v>0</v>
      </c>
      <c r="J84" s="594"/>
      <c r="K84" s="595">
        <f>J83*K82</f>
        <v>0</v>
      </c>
      <c r="L84" s="594"/>
      <c r="M84" s="595">
        <f>L83*M82</f>
        <v>0</v>
      </c>
      <c r="N84" s="594"/>
      <c r="O84" s="595">
        <f>N83*O82</f>
        <v>0</v>
      </c>
      <c r="P84" s="594"/>
      <c r="Q84" s="595">
        <f>P83*Q82</f>
        <v>0</v>
      </c>
      <c r="R84" s="594"/>
      <c r="S84" s="595">
        <f>R83*S82</f>
        <v>0</v>
      </c>
    </row>
    <row r="85" spans="1:19">
      <c r="A85" s="624"/>
      <c r="B85" s="1156"/>
      <c r="C85" s="1157"/>
      <c r="D85" s="1157"/>
      <c r="E85" s="1158"/>
      <c r="F85" s="1159"/>
      <c r="G85" s="1160"/>
      <c r="H85" s="594"/>
      <c r="I85" s="596"/>
      <c r="J85" s="594"/>
      <c r="K85" s="596"/>
      <c r="L85" s="594"/>
      <c r="M85" s="596"/>
      <c r="N85" s="594"/>
      <c r="O85" s="596"/>
      <c r="P85" s="594"/>
      <c r="Q85" s="596"/>
      <c r="R85" s="594"/>
      <c r="S85" s="596"/>
    </row>
    <row r="86" spans="1:19">
      <c r="A86" s="624"/>
      <c r="B86" s="1156"/>
      <c r="C86" s="1157"/>
      <c r="D86" s="1157"/>
      <c r="E86" s="1158"/>
      <c r="F86" s="1159" t="s">
        <v>570</v>
      </c>
      <c r="G86" s="1160"/>
      <c r="H86" s="597"/>
      <c r="I86" s="598">
        <f>SUM(I82:I84)</f>
        <v>0</v>
      </c>
      <c r="J86" s="597"/>
      <c r="K86" s="598">
        <f>SUM(K82:K84)</f>
        <v>0</v>
      </c>
      <c r="L86" s="597"/>
      <c r="M86" s="598">
        <f>SUM(M82:M84)</f>
        <v>0</v>
      </c>
      <c r="N86" s="597"/>
      <c r="O86" s="598">
        <f>SUM(O82:O84)</f>
        <v>0</v>
      </c>
      <c r="P86" s="597"/>
      <c r="Q86" s="598">
        <f>SUM(Q82:Q84)</f>
        <v>0</v>
      </c>
      <c r="R86" s="597"/>
      <c r="S86" s="598">
        <f>SUM(S82:S84)</f>
        <v>0</v>
      </c>
    </row>
    <row r="87" spans="1:19">
      <c r="A87" s="624"/>
      <c r="B87" s="1156"/>
      <c r="C87" s="1157"/>
      <c r="D87" s="1157"/>
      <c r="E87" s="1158"/>
      <c r="F87" s="1161" t="s">
        <v>571</v>
      </c>
      <c r="G87" s="1162"/>
      <c r="H87" s="599"/>
      <c r="I87" s="600" t="e">
        <f>I86/'Area Calculations'!$J$4</f>
        <v>#DIV/0!</v>
      </c>
      <c r="J87" s="599"/>
      <c r="K87" s="600" t="e">
        <f>K86/'Area Calculations'!$J$4</f>
        <v>#DIV/0!</v>
      </c>
      <c r="L87" s="599"/>
      <c r="M87" s="600" t="e">
        <f>M86/'Area Calculations'!$J$4</f>
        <v>#DIV/0!</v>
      </c>
      <c r="N87" s="599"/>
      <c r="O87" s="600" t="e">
        <f>O86/'Area Calculations'!$J$4</f>
        <v>#DIV/0!</v>
      </c>
      <c r="P87" s="599"/>
      <c r="Q87" s="600" t="e">
        <f>Q86/'Area Calculations'!$J$4</f>
        <v>#DIV/0!</v>
      </c>
      <c r="R87" s="599"/>
      <c r="S87" s="600" t="e">
        <f>S86/'Area Calculations'!$J$4</f>
        <v>#DIV/0!</v>
      </c>
    </row>
    <row r="88" spans="1:19">
      <c r="A88" s="624"/>
      <c r="B88" s="1156"/>
      <c r="C88" s="1157"/>
      <c r="D88" s="1157"/>
      <c r="E88" s="1158"/>
      <c r="F88" s="1161" t="s">
        <v>572</v>
      </c>
      <c r="G88" s="1163"/>
      <c r="H88" s="599"/>
      <c r="I88" s="600" t="e">
        <f>I86/'Area Calculations'!#REF!</f>
        <v>#REF!</v>
      </c>
      <c r="J88" s="599"/>
      <c r="K88" s="600" t="e">
        <f>K86/'Area Calculations'!#REF!</f>
        <v>#REF!</v>
      </c>
      <c r="L88" s="599"/>
      <c r="M88" s="600" t="e">
        <f>M86/'Area Calculations'!#REF!</f>
        <v>#REF!</v>
      </c>
      <c r="N88" s="599"/>
      <c r="O88" s="600" t="e">
        <f>O86/'Area Calculations'!#REF!</f>
        <v>#REF!</v>
      </c>
      <c r="P88" s="599"/>
      <c r="Q88" s="600" t="e">
        <f>Q86/'Area Calculations'!#REF!</f>
        <v>#REF!</v>
      </c>
      <c r="R88" s="599"/>
      <c r="S88" s="600" t="e">
        <f>S86/'Area Calculations'!#REF!</f>
        <v>#REF!</v>
      </c>
    </row>
    <row r="89" spans="1:19" ht="15.75" thickBot="1">
      <c r="A89" s="624"/>
      <c r="B89" s="1156"/>
      <c r="C89" s="1157"/>
      <c r="D89" s="1157"/>
      <c r="E89" s="1158"/>
      <c r="F89" s="1159"/>
      <c r="G89" s="1533"/>
      <c r="H89" s="601"/>
      <c r="I89" s="602"/>
      <c r="J89" s="603"/>
      <c r="K89" s="603"/>
      <c r="L89" s="603"/>
      <c r="M89" s="603"/>
      <c r="N89" s="603"/>
      <c r="O89" s="603"/>
      <c r="P89" s="603"/>
      <c r="Q89" s="603"/>
      <c r="R89" s="603"/>
      <c r="S89" s="603"/>
    </row>
    <row r="90" spans="1:19" ht="16.5" thickTop="1" thickBot="1">
      <c r="A90" s="726" t="s">
        <v>573</v>
      </c>
      <c r="B90" s="727"/>
      <c r="C90" s="12"/>
      <c r="D90" s="12"/>
      <c r="E90" s="12"/>
      <c r="F90" s="12"/>
      <c r="G90" s="13"/>
      <c r="H90" s="21"/>
      <c r="I90" s="21"/>
      <c r="J90" s="21"/>
      <c r="K90" s="21"/>
      <c r="L90" s="21"/>
      <c r="M90" s="21"/>
      <c r="N90" s="21"/>
      <c r="O90" s="21"/>
      <c r="P90" s="21"/>
      <c r="Q90" s="21"/>
      <c r="R90" s="21"/>
      <c r="S90" s="21"/>
    </row>
    <row r="91" spans="1:19" ht="15.75" thickTop="1">
      <c r="A91" s="1535"/>
      <c r="B91" s="862"/>
      <c r="C91" s="1536"/>
      <c r="D91" s="1536"/>
      <c r="E91" s="1536"/>
      <c r="F91" s="1536"/>
      <c r="G91" s="1537"/>
      <c r="H91" s="1538"/>
      <c r="I91" s="1538"/>
      <c r="J91" s="1538"/>
      <c r="K91" s="1538"/>
      <c r="L91" s="1538"/>
      <c r="M91" s="1538"/>
      <c r="N91" s="1538"/>
      <c r="O91" s="1538"/>
      <c r="P91" s="1538"/>
      <c r="Q91" s="1538"/>
      <c r="R91" s="1538"/>
      <c r="S91" s="1538"/>
    </row>
    <row r="92" spans="1:19">
      <c r="A92" s="1535"/>
      <c r="B92" s="862"/>
      <c r="C92" s="1536"/>
      <c r="D92" s="1536"/>
      <c r="E92" s="1536"/>
      <c r="F92" s="1536"/>
      <c r="G92" s="1537"/>
      <c r="H92" s="1538"/>
      <c r="I92" s="1538"/>
      <c r="J92" s="1538"/>
      <c r="K92" s="1538"/>
      <c r="L92" s="1538"/>
      <c r="M92" s="1538"/>
      <c r="N92" s="1538"/>
      <c r="O92" s="1538"/>
      <c r="P92" s="1538"/>
      <c r="Q92" s="1538"/>
      <c r="R92" s="1538"/>
      <c r="S92" s="1538"/>
    </row>
    <row r="93" spans="1:19" s="2" customFormat="1" ht="15.75" thickBot="1">
      <c r="A93" s="1535"/>
      <c r="B93" s="862"/>
      <c r="C93" s="1536"/>
      <c r="D93" s="1536"/>
      <c r="E93" s="1536"/>
      <c r="F93" s="1536"/>
      <c r="G93" s="1537"/>
      <c r="H93" s="1538"/>
      <c r="I93" s="1538"/>
      <c r="J93" s="1538"/>
      <c r="K93" s="1538"/>
      <c r="L93" s="1538"/>
      <c r="M93" s="1538"/>
      <c r="N93" s="1538"/>
      <c r="O93" s="1538"/>
      <c r="P93" s="1538"/>
      <c r="Q93" s="1538"/>
      <c r="R93" s="1538"/>
      <c r="S93" s="1538"/>
    </row>
    <row r="94" spans="1:19" ht="16.5" thickTop="1" thickBot="1">
      <c r="A94" s="726" t="s">
        <v>574</v>
      </c>
      <c r="B94" s="727"/>
      <c r="C94" s="12"/>
      <c r="D94" s="12"/>
      <c r="E94" s="12"/>
      <c r="F94" s="12"/>
      <c r="G94" s="13"/>
      <c r="H94" s="21"/>
      <c r="I94" s="21"/>
      <c r="J94" s="21"/>
      <c r="K94" s="21"/>
      <c r="L94" s="21"/>
      <c r="M94" s="21"/>
      <c r="N94" s="21"/>
      <c r="O94" s="21"/>
      <c r="P94" s="21"/>
      <c r="Q94" s="21"/>
      <c r="R94" s="21"/>
      <c r="S94" s="21"/>
    </row>
    <row r="95" spans="1:19" s="2" customFormat="1" ht="15.75" thickTop="1">
      <c r="A95" s="1535"/>
      <c r="B95" s="862"/>
      <c r="C95" s="1536"/>
      <c r="D95" s="1536"/>
      <c r="E95" s="1536"/>
      <c r="F95" s="1536"/>
      <c r="G95" s="1537"/>
      <c r="H95" s="1538"/>
      <c r="I95" s="1538"/>
      <c r="J95" s="1538"/>
      <c r="K95" s="1538"/>
      <c r="L95" s="1538"/>
      <c r="M95" s="1538"/>
      <c r="N95" s="1538"/>
      <c r="O95" s="1538"/>
      <c r="P95" s="1538"/>
      <c r="Q95" s="1538"/>
      <c r="R95" s="1538"/>
      <c r="S95" s="1538"/>
    </row>
    <row r="96" spans="1:19" s="2" customFormat="1">
      <c r="A96" s="1535"/>
      <c r="B96" s="862"/>
      <c r="C96" s="1536"/>
      <c r="D96" s="1536"/>
      <c r="E96" s="1536"/>
      <c r="F96" s="1536"/>
      <c r="G96" s="1537"/>
      <c r="H96" s="1538"/>
      <c r="I96" s="1538"/>
      <c r="J96" s="1538"/>
      <c r="K96" s="1538"/>
      <c r="L96" s="1538"/>
      <c r="M96" s="1538"/>
      <c r="N96" s="1538"/>
      <c r="O96" s="1538"/>
      <c r="P96" s="1538"/>
      <c r="Q96" s="1538"/>
      <c r="R96" s="1538"/>
      <c r="S96" s="1538"/>
    </row>
    <row r="97" spans="1:19" s="2" customFormat="1" ht="15.75" thickBot="1">
      <c r="A97" s="1535"/>
      <c r="B97" s="862"/>
      <c r="C97" s="1536"/>
      <c r="D97" s="1536"/>
      <c r="E97" s="1536"/>
      <c r="F97" s="1536"/>
      <c r="G97" s="1537"/>
      <c r="H97" s="1538"/>
      <c r="I97" s="1538"/>
      <c r="J97" s="1538"/>
      <c r="K97" s="1538"/>
      <c r="L97" s="1538"/>
      <c r="M97" s="1538"/>
      <c r="N97" s="1538"/>
      <c r="O97" s="1538"/>
      <c r="P97" s="1538"/>
      <c r="Q97" s="1538"/>
      <c r="R97" s="1538"/>
      <c r="S97" s="1538"/>
    </row>
    <row r="98" spans="1:19" ht="16.5" thickTop="1" thickBot="1">
      <c r="A98" s="726" t="s">
        <v>575</v>
      </c>
      <c r="B98" s="727"/>
      <c r="C98" s="12"/>
      <c r="D98" s="12"/>
      <c r="E98" s="12"/>
      <c r="F98" s="12"/>
      <c r="G98" s="13"/>
      <c r="H98" s="21"/>
      <c r="I98" s="21"/>
      <c r="J98" s="21"/>
      <c r="K98" s="21"/>
      <c r="L98" s="21"/>
      <c r="M98" s="21"/>
      <c r="N98" s="21"/>
      <c r="O98" s="21"/>
      <c r="P98" s="21"/>
      <c r="Q98" s="21"/>
      <c r="R98" s="21"/>
      <c r="S98" s="21"/>
    </row>
    <row r="99" spans="1:19" ht="15.75" thickTop="1">
      <c r="A99" s="1535"/>
      <c r="B99" s="862"/>
      <c r="C99" s="1536"/>
      <c r="D99" s="1536"/>
      <c r="E99" s="1536"/>
      <c r="F99" s="1536"/>
      <c r="G99" s="1537"/>
      <c r="H99" s="1538"/>
      <c r="I99" s="1538"/>
      <c r="J99" s="1538"/>
      <c r="K99" s="1538"/>
      <c r="L99" s="1538"/>
      <c r="M99" s="1538"/>
      <c r="N99" s="1538"/>
      <c r="O99" s="1538"/>
      <c r="P99" s="1538"/>
      <c r="Q99" s="1538"/>
      <c r="R99" s="1538"/>
      <c r="S99" s="1538"/>
    </row>
    <row r="100" spans="1:19">
      <c r="A100" s="628"/>
      <c r="B100" s="862"/>
      <c r="C100" s="1124"/>
      <c r="D100" s="1124"/>
      <c r="E100" s="1124"/>
      <c r="F100" s="1124"/>
      <c r="G100" s="1133"/>
      <c r="H100" s="604"/>
      <c r="I100" s="604"/>
      <c r="J100" s="604"/>
      <c r="K100" s="604"/>
      <c r="L100" s="604"/>
      <c r="M100" s="604"/>
      <c r="N100" s="604"/>
      <c r="O100" s="604"/>
      <c r="P100" s="604"/>
      <c r="Q100" s="604"/>
      <c r="R100" s="604"/>
      <c r="S100" s="604"/>
    </row>
    <row r="101" spans="1:19" ht="15.75" thickBot="1">
      <c r="A101" s="625"/>
      <c r="B101" s="1171"/>
      <c r="C101" s="1124"/>
      <c r="D101" s="1124"/>
      <c r="E101" s="1124"/>
      <c r="F101" s="1124"/>
      <c r="G101" s="1133"/>
      <c r="H101" s="605"/>
      <c r="I101" s="605"/>
      <c r="J101" s="605"/>
      <c r="K101" s="605"/>
      <c r="L101" s="605"/>
      <c r="M101" s="605"/>
      <c r="N101" s="605"/>
      <c r="O101" s="605"/>
      <c r="P101" s="605"/>
      <c r="Q101" s="605"/>
      <c r="R101" s="605"/>
      <c r="S101" s="605"/>
    </row>
    <row r="102" spans="1:19" ht="16.5" thickTop="1" thickBot="1">
      <c r="A102" s="726" t="s">
        <v>576</v>
      </c>
      <c r="B102" s="727"/>
      <c r="C102" s="12"/>
      <c r="D102" s="12"/>
      <c r="E102" s="12"/>
      <c r="F102" s="12"/>
      <c r="G102" s="13"/>
      <c r="H102" s="21"/>
      <c r="I102" s="21"/>
      <c r="J102" s="21"/>
      <c r="K102" s="21"/>
      <c r="L102" s="21"/>
      <c r="M102" s="21"/>
      <c r="N102" s="21"/>
      <c r="O102" s="21"/>
      <c r="P102" s="21"/>
      <c r="Q102" s="21"/>
      <c r="R102" s="21"/>
      <c r="S102" s="21"/>
    </row>
    <row r="103" spans="1:19" ht="15.75" thickTop="1">
      <c r="A103" s="1539"/>
      <c r="B103" s="1540"/>
      <c r="C103" s="1536"/>
      <c r="D103" s="1536"/>
      <c r="E103" s="1536"/>
      <c r="F103" s="1536"/>
      <c r="G103" s="1537"/>
      <c r="H103" s="1538"/>
      <c r="I103" s="1538"/>
      <c r="J103" s="1538"/>
      <c r="K103" s="1538"/>
      <c r="L103" s="1538"/>
      <c r="M103" s="1538"/>
      <c r="N103" s="1538"/>
      <c r="O103" s="1538"/>
      <c r="P103" s="1538"/>
      <c r="Q103" s="1538"/>
      <c r="R103" s="1538"/>
      <c r="S103" s="1538"/>
    </row>
    <row r="104" spans="1:19">
      <c r="A104" s="625"/>
      <c r="B104" s="1171"/>
      <c r="C104" s="1124"/>
      <c r="D104" s="1124"/>
      <c r="E104" s="1124"/>
      <c r="F104" s="1124"/>
      <c r="G104" s="1133"/>
      <c r="H104" s="606"/>
      <c r="I104" s="606"/>
      <c r="J104" s="606"/>
      <c r="K104" s="606"/>
      <c r="L104" s="606"/>
      <c r="M104" s="606"/>
      <c r="N104" s="606"/>
      <c r="O104" s="606"/>
      <c r="P104" s="606"/>
      <c r="Q104" s="606"/>
      <c r="R104" s="606"/>
      <c r="S104" s="606"/>
    </row>
    <row r="105" spans="1:19" ht="15.75" thickBot="1">
      <c r="A105" s="625"/>
      <c r="B105" s="1171"/>
      <c r="C105" s="1124"/>
      <c r="D105" s="1124"/>
      <c r="E105" s="1124"/>
      <c r="F105" s="1124"/>
      <c r="G105" s="1133"/>
      <c r="H105" s="606"/>
      <c r="I105" s="606"/>
      <c r="J105" s="606"/>
      <c r="K105" s="606"/>
      <c r="L105" s="606"/>
      <c r="M105" s="606"/>
      <c r="N105" s="606"/>
      <c r="O105" s="606"/>
      <c r="P105" s="606"/>
      <c r="Q105" s="606"/>
      <c r="R105" s="606"/>
      <c r="S105" s="606"/>
    </row>
    <row r="106" spans="1:19" ht="16.5" thickTop="1" thickBot="1">
      <c r="A106" s="726" t="s">
        <v>577</v>
      </c>
      <c r="B106" s="727"/>
      <c r="C106" s="12"/>
      <c r="D106" s="12"/>
      <c r="E106" s="12"/>
      <c r="F106" s="12"/>
      <c r="G106" s="13"/>
      <c r="H106" s="21"/>
      <c r="I106" s="21"/>
      <c r="J106" s="21"/>
      <c r="K106" s="21"/>
      <c r="L106" s="21"/>
      <c r="M106" s="21"/>
      <c r="N106" s="21"/>
      <c r="O106" s="21"/>
      <c r="P106" s="21"/>
      <c r="Q106" s="21"/>
      <c r="R106" s="21"/>
      <c r="S106" s="21"/>
    </row>
    <row r="107" spans="1:19" ht="15.75" thickTop="1">
      <c r="A107" s="628"/>
      <c r="B107" s="862" t="s">
        <v>578</v>
      </c>
      <c r="C107" s="1124"/>
      <c r="D107" s="1124"/>
      <c r="E107" s="1124"/>
      <c r="F107" s="1124"/>
      <c r="G107" s="1133"/>
      <c r="H107" s="606"/>
      <c r="I107" s="606"/>
      <c r="J107" s="606"/>
      <c r="K107" s="606"/>
      <c r="L107" s="606"/>
      <c r="M107" s="606"/>
      <c r="N107" s="606"/>
      <c r="O107" s="606"/>
      <c r="P107" s="606"/>
      <c r="Q107" s="606"/>
      <c r="R107" s="606"/>
      <c r="S107" s="606"/>
    </row>
    <row r="108" spans="1:19">
      <c r="A108" s="628"/>
      <c r="B108" s="862" t="s">
        <v>579</v>
      </c>
      <c r="C108" s="1124"/>
      <c r="D108" s="1124"/>
      <c r="E108" s="1124"/>
      <c r="F108" s="1124"/>
      <c r="G108" s="1133"/>
      <c r="H108" s="606"/>
      <c r="I108" s="606"/>
      <c r="J108" s="606"/>
      <c r="K108" s="606"/>
      <c r="L108" s="606"/>
      <c r="M108" s="606"/>
      <c r="N108" s="606"/>
      <c r="O108" s="606"/>
      <c r="P108" s="606"/>
      <c r="Q108" s="606"/>
      <c r="R108" s="606"/>
      <c r="S108" s="606"/>
    </row>
    <row r="109" spans="1:19">
      <c r="A109" s="628"/>
      <c r="B109" s="862" t="s">
        <v>580</v>
      </c>
      <c r="C109" s="1124"/>
      <c r="D109" s="1124"/>
      <c r="E109" s="1124"/>
      <c r="F109" s="1124"/>
      <c r="G109" s="1133"/>
      <c r="H109" s="606"/>
      <c r="I109" s="606"/>
      <c r="J109" s="606"/>
      <c r="K109" s="606"/>
      <c r="L109" s="606"/>
      <c r="M109" s="606"/>
      <c r="N109" s="606"/>
      <c r="O109" s="606"/>
      <c r="P109" s="606"/>
      <c r="Q109" s="606"/>
      <c r="R109" s="606"/>
      <c r="S109" s="606"/>
    </row>
    <row r="110" spans="1:19">
      <c r="A110" s="628"/>
      <c r="B110" s="862" t="s">
        <v>581</v>
      </c>
      <c r="C110" s="1124"/>
      <c r="D110" s="1124"/>
      <c r="E110" s="1124"/>
      <c r="F110" s="1124"/>
      <c r="G110" s="1133"/>
      <c r="H110" s="606"/>
      <c r="I110" s="606"/>
      <c r="J110" s="606"/>
      <c r="K110" s="606"/>
      <c r="L110" s="606"/>
      <c r="M110" s="606"/>
      <c r="N110" s="606"/>
      <c r="O110" s="606"/>
      <c r="P110" s="606"/>
      <c r="Q110" s="606"/>
      <c r="R110" s="606"/>
      <c r="S110" s="606"/>
    </row>
    <row r="111" spans="1:19" ht="15.75" thickBot="1">
      <c r="A111" s="416"/>
      <c r="B111" s="295"/>
      <c r="C111" s="184"/>
      <c r="D111" s="184"/>
      <c r="E111" s="184"/>
      <c r="F111" s="184"/>
      <c r="G111" s="296"/>
      <c r="H111" s="418"/>
      <c r="I111" s="418"/>
      <c r="J111" s="418"/>
      <c r="K111" s="418"/>
      <c r="L111" s="418"/>
      <c r="M111" s="418"/>
      <c r="N111" s="418"/>
      <c r="O111" s="418"/>
      <c r="P111" s="418"/>
      <c r="Q111" s="418"/>
      <c r="R111" s="418"/>
      <c r="S111" s="418"/>
    </row>
    <row r="112" spans="1:19" ht="16.5" thickTop="1" thickBot="1">
      <c r="A112" s="7" t="s">
        <v>582</v>
      </c>
      <c r="B112" s="8"/>
      <c r="C112" s="12"/>
      <c r="D112" s="12"/>
      <c r="E112" s="12"/>
      <c r="F112" s="12"/>
      <c r="G112" s="13"/>
      <c r="H112" s="21"/>
      <c r="I112" s="21"/>
      <c r="J112" s="21"/>
      <c r="K112" s="21"/>
      <c r="L112" s="21"/>
      <c r="M112" s="21"/>
      <c r="N112" s="21"/>
      <c r="O112" s="21"/>
      <c r="P112" s="21"/>
      <c r="Q112" s="21"/>
      <c r="R112" s="21"/>
      <c r="S112" s="21"/>
    </row>
    <row r="113" spans="1:19" ht="15.75" thickTop="1">
      <c r="A113" s="1535"/>
      <c r="B113" s="1541" t="s">
        <v>583</v>
      </c>
      <c r="C113" s="1536"/>
      <c r="D113" s="1536"/>
      <c r="E113" s="1536"/>
      <c r="F113" s="1536"/>
      <c r="G113" s="1537"/>
      <c r="H113" s="1542"/>
      <c r="I113" s="1542"/>
      <c r="J113" s="1542"/>
      <c r="K113" s="1542"/>
      <c r="L113" s="1542"/>
      <c r="M113" s="1542"/>
      <c r="N113" s="1542"/>
      <c r="O113" s="1542"/>
      <c r="P113" s="1542"/>
      <c r="Q113" s="1542"/>
      <c r="R113" s="1542"/>
      <c r="S113" s="1542"/>
    </row>
    <row r="114" spans="1:19">
      <c r="A114" s="628"/>
      <c r="B114" s="862" t="s">
        <v>584</v>
      </c>
      <c r="C114" s="1124"/>
      <c r="D114" s="1124"/>
      <c r="E114" s="1124"/>
      <c r="F114" s="1124"/>
      <c r="G114" s="1133"/>
      <c r="H114" s="618"/>
      <c r="I114" s="618"/>
      <c r="J114" s="618"/>
      <c r="K114" s="618"/>
      <c r="L114" s="618"/>
      <c r="M114" s="618"/>
      <c r="N114" s="618"/>
      <c r="O114" s="618"/>
      <c r="P114" s="618"/>
      <c r="Q114" s="618"/>
      <c r="R114" s="618"/>
      <c r="S114" s="618"/>
    </row>
    <row r="115" spans="1:19" ht="15.75" thickBot="1">
      <c r="A115" s="607"/>
      <c r="B115" s="608" t="s">
        <v>585</v>
      </c>
      <c r="C115" s="609"/>
      <c r="D115" s="609"/>
      <c r="E115" s="609"/>
      <c r="F115" s="609"/>
      <c r="G115" s="610"/>
      <c r="H115" s="611"/>
      <c r="I115" s="611"/>
      <c r="J115" s="611"/>
      <c r="K115" s="611"/>
      <c r="L115" s="611"/>
      <c r="M115" s="611"/>
      <c r="N115" s="611"/>
      <c r="O115" s="611"/>
      <c r="P115" s="611"/>
      <c r="Q115" s="611"/>
      <c r="R115" s="611"/>
      <c r="S115" s="611"/>
    </row>
    <row r="116" spans="1:19" ht="16.5" thickTop="1" thickBot="1"/>
    <row r="117" spans="1:19" ht="16.5" thickTop="1" thickBot="1">
      <c r="A117" s="92" t="s">
        <v>586</v>
      </c>
      <c r="B117" s="94"/>
    </row>
    <row r="118" spans="1:19" ht="15.75" thickTop="1">
      <c r="A118" s="93" t="s">
        <v>487</v>
      </c>
      <c r="B118" s="612"/>
    </row>
    <row r="119" spans="1:19">
      <c r="A119" s="626" t="s">
        <v>491</v>
      </c>
      <c r="B119" s="612"/>
    </row>
    <row r="120" spans="1:19">
      <c r="A120" s="613" t="s">
        <v>494</v>
      </c>
      <c r="B120" s="614"/>
    </row>
    <row r="121" spans="1:19">
      <c r="A121" s="613" t="s">
        <v>497</v>
      </c>
      <c r="B121" s="622"/>
    </row>
    <row r="122" spans="1:19" ht="15.75" thickBot="1">
      <c r="A122" s="615" t="s">
        <v>587</v>
      </c>
      <c r="B122" s="616"/>
    </row>
    <row r="123" spans="1:19" ht="15.75" thickTop="1"/>
    <row r="124" spans="1:19">
      <c r="A124" s="95"/>
      <c r="B124" s="1" t="s">
        <v>588</v>
      </c>
    </row>
    <row r="125" spans="1:19">
      <c r="A125" s="96"/>
      <c r="B125" s="1" t="s">
        <v>589</v>
      </c>
    </row>
  </sheetData>
  <mergeCells count="47">
    <mergeCell ref="R7:S7"/>
    <mergeCell ref="P8:Q8"/>
    <mergeCell ref="R8:S8"/>
    <mergeCell ref="R2:S2"/>
    <mergeCell ref="P3:Q3"/>
    <mergeCell ref="R3:S3"/>
    <mergeCell ref="P4:Q4"/>
    <mergeCell ref="R4:S4"/>
    <mergeCell ref="P5:Q5"/>
    <mergeCell ref="R5:S5"/>
    <mergeCell ref="P6:Q6"/>
    <mergeCell ref="R6:S6"/>
    <mergeCell ref="P2:Q2"/>
    <mergeCell ref="P7:Q7"/>
    <mergeCell ref="H8:I8"/>
    <mergeCell ref="J8:K8"/>
    <mergeCell ref="L8:M8"/>
    <mergeCell ref="N8:O8"/>
    <mergeCell ref="H7:I7"/>
    <mergeCell ref="J7:K7"/>
    <mergeCell ref="L7:M7"/>
    <mergeCell ref="N7:O7"/>
    <mergeCell ref="H6:I6"/>
    <mergeCell ref="J6:K6"/>
    <mergeCell ref="L6:M6"/>
    <mergeCell ref="N6:O6"/>
    <mergeCell ref="H5:I5"/>
    <mergeCell ref="J5:K5"/>
    <mergeCell ref="L5:M5"/>
    <mergeCell ref="N5:O5"/>
    <mergeCell ref="N2:O2"/>
    <mergeCell ref="H4:I4"/>
    <mergeCell ref="J4:K4"/>
    <mergeCell ref="L4:M4"/>
    <mergeCell ref="N4:O4"/>
    <mergeCell ref="H3:I3"/>
    <mergeCell ref="J3:K3"/>
    <mergeCell ref="L3:M3"/>
    <mergeCell ref="N3:O3"/>
    <mergeCell ref="H2:I2"/>
    <mergeCell ref="J2:K2"/>
    <mergeCell ref="L2:M2"/>
    <mergeCell ref="A90:B90"/>
    <mergeCell ref="A94:B94"/>
    <mergeCell ref="A98:B98"/>
    <mergeCell ref="A102:B102"/>
    <mergeCell ref="A106:B106"/>
  </mergeCells>
  <conditionalFormatting sqref="H20:H30">
    <cfRule type="cellIs" dxfId="1561" priority="9" operator="equal">
      <formula>"X"</formula>
    </cfRule>
    <cfRule type="cellIs" dxfId="1560" priority="10" operator="equal">
      <formula>"I"</formula>
    </cfRule>
  </conditionalFormatting>
  <conditionalFormatting sqref="H32:H81">
    <cfRule type="cellIs" dxfId="1559" priority="1" operator="equal">
      <formula>"X"</formula>
    </cfRule>
    <cfRule type="cellIs" dxfId="1558" priority="2" operator="equal">
      <formula>"I"</formula>
    </cfRule>
  </conditionalFormatting>
  <conditionalFormatting sqref="J20:J30">
    <cfRule type="cellIs" dxfId="1557" priority="11" operator="equal">
      <formula>"X"</formula>
    </cfRule>
    <cfRule type="cellIs" dxfId="1556" priority="12" operator="equal">
      <formula>"I"</formula>
    </cfRule>
  </conditionalFormatting>
  <conditionalFormatting sqref="J32:J81">
    <cfRule type="cellIs" dxfId="1555" priority="3" operator="equal">
      <formula>"X"</formula>
    </cfRule>
    <cfRule type="cellIs" dxfId="1554" priority="4" operator="equal">
      <formula>"I"</formula>
    </cfRule>
  </conditionalFormatting>
  <conditionalFormatting sqref="L20:L30">
    <cfRule type="cellIs" dxfId="1553" priority="13" operator="equal">
      <formula>"X"</formula>
    </cfRule>
    <cfRule type="cellIs" dxfId="1552" priority="14" operator="equal">
      <formula>"I"</formula>
    </cfRule>
  </conditionalFormatting>
  <conditionalFormatting sqref="L32:L81">
    <cfRule type="cellIs" dxfId="1551" priority="5" operator="equal">
      <formula>"X"</formula>
    </cfRule>
    <cfRule type="cellIs" dxfId="1550" priority="6" operator="equal">
      <formula>"I"</formula>
    </cfRule>
  </conditionalFormatting>
  <conditionalFormatting sqref="N20:N30">
    <cfRule type="cellIs" dxfId="1549" priority="15" operator="equal">
      <formula>"X"</formula>
    </cfRule>
    <cfRule type="cellIs" dxfId="1548" priority="16" operator="equal">
      <formula>"I"</formula>
    </cfRule>
  </conditionalFormatting>
  <conditionalFormatting sqref="N32:N81">
    <cfRule type="cellIs" dxfId="1547" priority="7" operator="equal">
      <formula>"X"</formula>
    </cfRule>
    <cfRule type="cellIs" dxfId="1546" priority="8" operator="equal">
      <formula>"I"</formula>
    </cfRule>
  </conditionalFormatting>
  <conditionalFormatting sqref="P20:P30">
    <cfRule type="cellIs" dxfId="1545" priority="17" operator="equal">
      <formula>"X"</formula>
    </cfRule>
    <cfRule type="cellIs" dxfId="1544" priority="18" operator="equal">
      <formula>"I"</formula>
    </cfRule>
  </conditionalFormatting>
  <conditionalFormatting sqref="P32:P81">
    <cfRule type="cellIs" dxfId="1543" priority="19" operator="equal">
      <formula>"X"</formula>
    </cfRule>
    <cfRule type="cellIs" dxfId="1542" priority="20" operator="equal">
      <formula>"I"</formula>
    </cfRule>
  </conditionalFormatting>
  <conditionalFormatting sqref="R20:R30">
    <cfRule type="cellIs" dxfId="1541" priority="25" operator="equal">
      <formula>"X"</formula>
    </cfRule>
    <cfRule type="cellIs" dxfId="1540" priority="26" operator="equal">
      <formula>"I"</formula>
    </cfRule>
  </conditionalFormatting>
  <conditionalFormatting sqref="R32:R81">
    <cfRule type="cellIs" dxfId="1539" priority="23" operator="equal">
      <formula>"X"</formula>
    </cfRule>
    <cfRule type="cellIs" dxfId="1538" priority="24" operator="equal">
      <formula>"I"</formula>
    </cfRule>
  </conditionalFormatting>
  <hyperlinks>
    <hyperlink ref="B3" location="'Cost Summary'!A1" display="BACK TO SUMMARY SHEET" xr:uid="{1988C98C-218E-4A3B-AD39-A8E9F402B7B7}"/>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31CB-11A1-457F-A1F0-5AD9ADF756A3}">
  <sheetPr>
    <tabColor rgb="FF92D050"/>
  </sheetPr>
  <dimension ref="A1:S95"/>
  <sheetViews>
    <sheetView zoomScale="91" zoomScaleNormal="91" workbookViewId="0">
      <pane xSplit="2" ySplit="9" topLeftCell="C29" activePane="bottomRight" state="frozen"/>
      <selection pane="bottomRight" activeCell="A40" sqref="A40:XFD40"/>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6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726</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821</v>
      </c>
      <c r="C5" s="1124"/>
      <c r="D5" s="1124"/>
      <c r="E5" s="1124"/>
      <c r="F5" s="1124"/>
      <c r="G5" s="1125" t="s">
        <v>491</v>
      </c>
      <c r="H5" s="778"/>
      <c r="I5" s="1126"/>
      <c r="J5" s="778"/>
      <c r="K5" s="1126"/>
      <c r="L5" s="778"/>
      <c r="M5" s="1126"/>
      <c r="N5" s="778"/>
      <c r="O5" s="1126"/>
      <c r="P5" s="778"/>
      <c r="Q5" s="1126"/>
      <c r="R5" s="778"/>
      <c r="S5" s="1126"/>
    </row>
    <row r="6" spans="1:19">
      <c r="A6" s="627" t="s">
        <v>493</v>
      </c>
      <c r="B6" s="1127" t="s">
        <v>822</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774">
        <f>I56</f>
        <v>0</v>
      </c>
      <c r="I8" s="775"/>
      <c r="J8" s="774">
        <f>K56</f>
        <v>0</v>
      </c>
      <c r="K8" s="775"/>
      <c r="L8" s="774">
        <f>M56</f>
        <v>0</v>
      </c>
      <c r="M8" s="775"/>
      <c r="N8" s="774">
        <f>O56</f>
        <v>0</v>
      </c>
      <c r="O8" s="775"/>
      <c r="P8" s="774">
        <f>Q56</f>
        <v>0</v>
      </c>
      <c r="Q8" s="775"/>
      <c r="R8" s="774">
        <f>S56</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43" t="s">
        <v>508</v>
      </c>
      <c r="C10" s="1124"/>
      <c r="D10" s="1124"/>
      <c r="E10" s="1124"/>
      <c r="F10" s="1124"/>
      <c r="G10" s="1133"/>
      <c r="H10" s="617"/>
      <c r="I10" s="617"/>
      <c r="J10" s="617"/>
      <c r="K10" s="617"/>
      <c r="L10" s="617"/>
      <c r="M10" s="1552"/>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1552"/>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1552"/>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1552"/>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1552"/>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1552"/>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1552"/>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1552"/>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1552"/>
      <c r="N18" s="617"/>
      <c r="O18" s="617"/>
      <c r="P18" s="617"/>
      <c r="Q18" s="617"/>
      <c r="R18" s="617"/>
      <c r="S18" s="617"/>
    </row>
    <row r="19" spans="1:19" ht="15.75" hidden="1" thickTop="1">
      <c r="A19" s="628"/>
      <c r="B19" s="862" t="str">
        <f>'Area Calculations'!M70</f>
        <v>Specifications</v>
      </c>
      <c r="C19" s="1134"/>
      <c r="D19" s="1124"/>
      <c r="E19" s="1124"/>
      <c r="F19" s="1124"/>
      <c r="G19" s="296"/>
      <c r="H19" s="633"/>
      <c r="I19" s="617"/>
      <c r="J19" s="617"/>
      <c r="K19" s="617"/>
      <c r="L19" s="617"/>
      <c r="M19" s="617"/>
      <c r="N19" s="617"/>
      <c r="O19" s="617"/>
      <c r="P19" s="617"/>
      <c r="Q19" s="617"/>
      <c r="R19" s="617"/>
      <c r="S19" s="617"/>
    </row>
    <row r="20" spans="1:19" ht="15.75" thickTop="1">
      <c r="A20" s="1535"/>
      <c r="B20" s="862"/>
      <c r="C20" s="1134"/>
      <c r="D20" s="1124"/>
      <c r="E20" s="1124"/>
      <c r="F20" s="1124"/>
      <c r="G20" s="1133"/>
      <c r="H20" s="590"/>
      <c r="I20" s="1544"/>
      <c r="J20" s="590"/>
      <c r="K20" s="1544"/>
      <c r="L20" s="590"/>
      <c r="M20" s="1544"/>
      <c r="N20" s="590"/>
      <c r="O20" s="1544"/>
      <c r="P20" s="590"/>
      <c r="Q20" s="1544"/>
      <c r="R20" s="590"/>
      <c r="S20" s="1544"/>
    </row>
    <row r="21" spans="1:19">
      <c r="A21" s="1545"/>
      <c r="B21" s="1136" t="s">
        <v>821</v>
      </c>
      <c r="C21" s="1134"/>
      <c r="D21" s="1124"/>
      <c r="E21" s="1124"/>
      <c r="F21" s="1124"/>
      <c r="G21" s="296"/>
      <c r="H21" s="590"/>
      <c r="I21" s="1546"/>
      <c r="J21" s="590"/>
      <c r="K21" s="1546"/>
      <c r="L21" s="590"/>
      <c r="M21" s="1546"/>
      <c r="N21" s="590"/>
      <c r="O21" s="1546"/>
      <c r="P21" s="590"/>
      <c r="Q21" s="1546"/>
      <c r="R21" s="590"/>
      <c r="S21" s="1546"/>
    </row>
    <row r="22" spans="1:19">
      <c r="A22" s="1545"/>
      <c r="B22" s="1136" t="s">
        <v>512</v>
      </c>
      <c r="C22" s="1134"/>
      <c r="D22" s="1124"/>
      <c r="E22" s="1124"/>
      <c r="F22" s="1124"/>
      <c r="G22" s="1133"/>
      <c r="H22" s="590"/>
      <c r="I22" s="1546"/>
      <c r="J22" s="590"/>
      <c r="K22" s="1546"/>
      <c r="L22" s="590"/>
      <c r="M22" s="1548"/>
      <c r="N22" s="590"/>
      <c r="O22" s="1546"/>
      <c r="P22" s="590"/>
      <c r="Q22" s="1546"/>
      <c r="R22" s="590"/>
      <c r="S22" s="1546"/>
    </row>
    <row r="23" spans="1:19">
      <c r="A23" s="1545"/>
      <c r="B23" s="1541" t="s">
        <v>513</v>
      </c>
      <c r="C23" s="1553"/>
      <c r="D23" s="184"/>
      <c r="E23" s="184"/>
      <c r="F23" s="184"/>
      <c r="G23" s="296"/>
      <c r="H23" s="590"/>
      <c r="I23" s="1424"/>
      <c r="J23" s="590"/>
      <c r="K23" s="1424"/>
      <c r="L23" s="590"/>
      <c r="M23" s="1424"/>
      <c r="N23" s="590"/>
      <c r="O23" s="1424"/>
      <c r="P23" s="590"/>
      <c r="Q23" s="1424"/>
      <c r="R23" s="590"/>
      <c r="S23" s="1546"/>
    </row>
    <row r="24" spans="1:19">
      <c r="A24" s="1545"/>
      <c r="B24" s="1541" t="s">
        <v>514</v>
      </c>
      <c r="C24" s="1553"/>
      <c r="D24" s="184"/>
      <c r="E24" s="184"/>
      <c r="F24" s="184"/>
      <c r="G24" s="296"/>
      <c r="H24" s="590"/>
      <c r="I24" s="1424"/>
      <c r="J24" s="590"/>
      <c r="K24" s="1424"/>
      <c r="L24" s="590"/>
      <c r="M24" s="1424"/>
      <c r="N24" s="590"/>
      <c r="O24" s="1424"/>
      <c r="P24" s="590"/>
      <c r="Q24" s="1424"/>
      <c r="R24" s="590"/>
      <c r="S24" s="1546"/>
    </row>
    <row r="25" spans="1:19">
      <c r="A25" s="1545"/>
      <c r="B25" s="1541" t="s">
        <v>515</v>
      </c>
      <c r="C25" s="1553"/>
      <c r="D25" s="184"/>
      <c r="E25" s="184"/>
      <c r="F25" s="184"/>
      <c r="G25" s="296"/>
      <c r="H25" s="590"/>
      <c r="I25" s="1424"/>
      <c r="J25" s="590"/>
      <c r="K25" s="1424"/>
      <c r="L25" s="590"/>
      <c r="M25" s="1424"/>
      <c r="N25" s="590"/>
      <c r="O25" s="1424"/>
      <c r="P25" s="590"/>
      <c r="Q25" s="1424"/>
      <c r="R25" s="590"/>
      <c r="S25" s="1546"/>
    </row>
    <row r="26" spans="1:19">
      <c r="A26" s="1545"/>
      <c r="B26" s="1541" t="s">
        <v>516</v>
      </c>
      <c r="C26" s="1553"/>
      <c r="D26" s="184"/>
      <c r="E26" s="184"/>
      <c r="F26" s="184"/>
      <c r="G26" s="296"/>
      <c r="H26" s="590"/>
      <c r="I26" s="1424"/>
      <c r="J26" s="590"/>
      <c r="K26" s="1424"/>
      <c r="L26" s="590"/>
      <c r="M26" s="1424"/>
      <c r="N26" s="590"/>
      <c r="O26" s="1424"/>
      <c r="P26" s="590"/>
      <c r="Q26" s="1424"/>
      <c r="R26" s="590"/>
      <c r="S26" s="1546"/>
    </row>
    <row r="27" spans="1:19">
      <c r="A27" s="1545"/>
      <c r="B27" s="1541" t="s">
        <v>517</v>
      </c>
      <c r="C27" s="1553"/>
      <c r="D27" s="184"/>
      <c r="E27" s="184"/>
      <c r="F27" s="184"/>
      <c r="G27" s="296"/>
      <c r="H27" s="590"/>
      <c r="I27" s="1424"/>
      <c r="J27" s="590"/>
      <c r="K27" s="1424"/>
      <c r="L27" s="590"/>
      <c r="M27" s="1424"/>
      <c r="N27" s="590"/>
      <c r="O27" s="1424"/>
      <c r="P27" s="590"/>
      <c r="Q27" s="1424"/>
      <c r="R27" s="590"/>
      <c r="S27" s="1546"/>
    </row>
    <row r="28" spans="1:19">
      <c r="A28" s="1545"/>
      <c r="B28" s="1541" t="s">
        <v>518</v>
      </c>
      <c r="C28" s="1553"/>
      <c r="D28" s="184"/>
      <c r="E28" s="184"/>
      <c r="F28" s="184"/>
      <c r="G28" s="296"/>
      <c r="H28" s="590"/>
      <c r="I28" s="1424"/>
      <c r="J28" s="590"/>
      <c r="K28" s="1424"/>
      <c r="L28" s="590"/>
      <c r="M28" s="1424"/>
      <c r="N28" s="590"/>
      <c r="O28" s="1424"/>
      <c r="P28" s="590"/>
      <c r="Q28" s="1424"/>
      <c r="R28" s="590"/>
      <c r="S28" s="1546"/>
    </row>
    <row r="29" spans="1:19">
      <c r="A29" s="1545"/>
      <c r="B29" s="1" t="s">
        <v>693</v>
      </c>
      <c r="C29" s="1553"/>
      <c r="D29" s="184"/>
      <c r="E29" s="184"/>
      <c r="F29" s="184"/>
      <c r="G29" s="296"/>
      <c r="H29" s="590"/>
      <c r="I29" s="1424"/>
      <c r="J29" s="590"/>
      <c r="K29" s="1424"/>
      <c r="L29" s="590"/>
      <c r="M29" s="1424"/>
      <c r="N29" s="590"/>
      <c r="O29" s="1424"/>
      <c r="P29" s="590"/>
      <c r="Q29" s="1424"/>
      <c r="R29" s="590"/>
      <c r="S29" s="1546"/>
    </row>
    <row r="30" spans="1:19">
      <c r="A30" s="1545"/>
      <c r="B30" s="1427" t="s">
        <v>519</v>
      </c>
      <c r="C30" s="1553"/>
      <c r="D30" s="184"/>
      <c r="E30" s="184"/>
      <c r="F30" s="184"/>
      <c r="G30" s="296"/>
      <c r="H30" s="590"/>
      <c r="I30" s="1424"/>
      <c r="J30" s="590"/>
      <c r="K30" s="1424"/>
      <c r="L30" s="590"/>
      <c r="M30" s="1424"/>
      <c r="N30" s="590"/>
      <c r="O30" s="1424"/>
      <c r="P30" s="590"/>
      <c r="Q30" s="1424"/>
      <c r="R30" s="590"/>
      <c r="S30" s="1546"/>
    </row>
    <row r="31" spans="1:19">
      <c r="A31" s="1545"/>
      <c r="B31" s="1554" t="s">
        <v>520</v>
      </c>
      <c r="C31" s="1555"/>
      <c r="D31" s="297"/>
      <c r="E31" s="297"/>
      <c r="F31" s="297"/>
      <c r="G31" s="298"/>
      <c r="H31" s="619"/>
      <c r="I31" s="1476"/>
      <c r="J31" s="619"/>
      <c r="K31" s="1476"/>
      <c r="L31" s="619"/>
      <c r="M31" s="1476"/>
      <c r="N31" s="619"/>
      <c r="O31" s="1476"/>
      <c r="P31" s="1477"/>
      <c r="Q31" s="1476"/>
      <c r="R31" s="1477"/>
      <c r="S31" s="1477"/>
    </row>
    <row r="32" spans="1:19">
      <c r="A32" s="1545"/>
      <c r="B32" s="1541"/>
      <c r="C32" s="1553"/>
      <c r="D32" s="184"/>
      <c r="E32" s="184"/>
      <c r="F32" s="184"/>
      <c r="G32" s="296"/>
      <c r="H32" s="590"/>
      <c r="I32" s="1424"/>
      <c r="J32" s="590"/>
      <c r="K32" s="1424"/>
      <c r="L32" s="590"/>
      <c r="M32" s="1424"/>
      <c r="N32" s="590"/>
      <c r="O32" s="1424"/>
      <c r="P32" s="590"/>
      <c r="Q32" s="1424"/>
      <c r="R32" s="590"/>
      <c r="S32" s="1546"/>
    </row>
    <row r="33" spans="1:19">
      <c r="A33" s="1545"/>
      <c r="B33" s="1556" t="s">
        <v>694</v>
      </c>
      <c r="C33" s="1216"/>
      <c r="D33" s="1216"/>
      <c r="E33" s="1216"/>
      <c r="F33" s="1216"/>
      <c r="G33" s="1557"/>
      <c r="H33" s="620"/>
      <c r="I33" s="1441"/>
      <c r="J33" s="620"/>
      <c r="K33" s="1441"/>
      <c r="L33" s="620"/>
      <c r="M33" s="1441"/>
      <c r="N33" s="620"/>
      <c r="O33" s="1440"/>
      <c r="P33" s="620"/>
      <c r="Q33" s="1440"/>
      <c r="R33" s="620"/>
      <c r="S33" s="1440"/>
    </row>
    <row r="34" spans="1:19">
      <c r="A34" s="1545"/>
      <c r="B34" s="1558"/>
      <c r="C34" s="1124"/>
      <c r="D34" s="1124"/>
      <c r="E34" s="1124"/>
      <c r="F34" s="1124"/>
      <c r="G34" s="1229"/>
      <c r="H34" s="590"/>
      <c r="I34" s="1424"/>
      <c r="J34" s="590"/>
      <c r="K34" s="1424"/>
      <c r="L34" s="590"/>
      <c r="M34" s="1424"/>
      <c r="N34" s="590"/>
      <c r="O34" s="1546"/>
      <c r="P34" s="590"/>
      <c r="Q34" s="1546"/>
      <c r="R34" s="590"/>
      <c r="S34" s="1546"/>
    </row>
    <row r="35" spans="1:19">
      <c r="A35" s="1545"/>
      <c r="B35" s="1559" t="s">
        <v>695</v>
      </c>
      <c r="C35" s="1223"/>
      <c r="D35" s="1223"/>
      <c r="E35" s="1223"/>
      <c r="F35" s="1223"/>
      <c r="G35" s="1560"/>
      <c r="H35" s="621"/>
      <c r="I35" s="1445"/>
      <c r="J35" s="621"/>
      <c r="K35" s="1445"/>
      <c r="L35" s="621"/>
      <c r="M35" s="1445"/>
      <c r="N35" s="621"/>
      <c r="O35" s="1444"/>
      <c r="P35" s="621"/>
      <c r="Q35" s="1444"/>
      <c r="R35" s="621"/>
      <c r="S35" s="1444"/>
    </row>
    <row r="36" spans="1:19">
      <c r="A36" s="1545"/>
      <c r="B36" s="1558"/>
      <c r="C36" s="1124"/>
      <c r="D36" s="1124"/>
      <c r="E36" s="1124"/>
      <c r="F36" s="1124"/>
      <c r="G36" s="1229"/>
      <c r="H36" s="590"/>
      <c r="I36" s="1424"/>
      <c r="J36" s="590"/>
      <c r="K36" s="1424"/>
      <c r="L36" s="590"/>
      <c r="M36" s="1424"/>
      <c r="N36" s="590"/>
      <c r="O36" s="1546"/>
      <c r="P36" s="590"/>
      <c r="Q36" s="1546"/>
      <c r="R36" s="590"/>
      <c r="S36" s="1546"/>
    </row>
    <row r="37" spans="1:19">
      <c r="A37" s="1545"/>
      <c r="B37" s="1556" t="s">
        <v>649</v>
      </c>
      <c r="C37" s="1216"/>
      <c r="D37" s="1216"/>
      <c r="E37" s="1216"/>
      <c r="F37" s="1216"/>
      <c r="G37" s="1557"/>
      <c r="H37" s="620"/>
      <c r="I37" s="1441"/>
      <c r="J37" s="620"/>
      <c r="K37" s="1441"/>
      <c r="L37" s="620"/>
      <c r="M37" s="1441"/>
      <c r="N37" s="620"/>
      <c r="O37" s="1440"/>
      <c r="P37" s="620"/>
      <c r="Q37" s="1440"/>
      <c r="R37" s="620"/>
      <c r="S37" s="1440"/>
    </row>
    <row r="38" spans="1:19">
      <c r="A38" s="1545"/>
      <c r="B38" s="1558"/>
      <c r="C38" s="1124"/>
      <c r="D38" s="1124"/>
      <c r="E38" s="1124"/>
      <c r="F38" s="1124"/>
      <c r="G38" s="1229"/>
      <c r="H38" s="590"/>
      <c r="I38" s="1424"/>
      <c r="J38" s="590"/>
      <c r="K38" s="1424"/>
      <c r="L38" s="590"/>
      <c r="M38" s="1424"/>
      <c r="N38" s="590"/>
      <c r="O38" s="1546"/>
      <c r="P38" s="590"/>
      <c r="Q38" s="1546"/>
      <c r="R38" s="590"/>
      <c r="S38" s="1546"/>
    </row>
    <row r="39" spans="1:19">
      <c r="A39" s="1545"/>
      <c r="B39" s="1559" t="s">
        <v>700</v>
      </c>
      <c r="C39" s="1223"/>
      <c r="D39" s="1223"/>
      <c r="E39" s="1223"/>
      <c r="F39" s="1223"/>
      <c r="G39" s="1560"/>
      <c r="H39" s="621"/>
      <c r="I39" s="1445"/>
      <c r="J39" s="621"/>
      <c r="K39" s="1445"/>
      <c r="L39" s="621"/>
      <c r="M39" s="1445"/>
      <c r="N39" s="621"/>
      <c r="O39" s="1444"/>
      <c r="P39" s="621"/>
      <c r="Q39" s="1444"/>
      <c r="R39" s="621"/>
      <c r="S39" s="1444"/>
    </row>
    <row r="40" spans="1:19">
      <c r="A40" s="1545"/>
      <c r="B40" s="1558"/>
      <c r="C40" s="1124"/>
      <c r="D40" s="1124"/>
      <c r="E40" s="1124"/>
      <c r="F40" s="1124"/>
      <c r="G40" s="1229"/>
      <c r="H40" s="590"/>
      <c r="I40" s="1424"/>
      <c r="J40" s="590"/>
      <c r="K40" s="1424"/>
      <c r="L40" s="590"/>
      <c r="M40" s="1424"/>
      <c r="N40" s="590"/>
      <c r="O40" s="1546"/>
      <c r="P40" s="590"/>
      <c r="Q40" s="1546"/>
      <c r="R40" s="590"/>
      <c r="S40" s="1546"/>
    </row>
    <row r="41" spans="1:19">
      <c r="A41" s="1545"/>
      <c r="B41" s="1556" t="s">
        <v>703</v>
      </c>
      <c r="C41" s="1216"/>
      <c r="D41" s="1216"/>
      <c r="E41" s="1216"/>
      <c r="F41" s="1216"/>
      <c r="G41" s="1557"/>
      <c r="H41" s="620"/>
      <c r="I41" s="1441"/>
      <c r="J41" s="620"/>
      <c r="K41" s="1441"/>
      <c r="L41" s="620"/>
      <c r="M41" s="1441"/>
      <c r="N41" s="620"/>
      <c r="O41" s="1440"/>
      <c r="P41" s="620"/>
      <c r="Q41" s="1440"/>
      <c r="R41" s="620"/>
      <c r="S41" s="1440"/>
    </row>
    <row r="42" spans="1:19">
      <c r="A42" s="1545"/>
      <c r="B42" s="1558"/>
      <c r="C42" s="1124"/>
      <c r="D42" s="1124"/>
      <c r="E42" s="1124"/>
      <c r="F42" s="1124"/>
      <c r="G42" s="1229"/>
      <c r="H42" s="590"/>
      <c r="I42" s="1424"/>
      <c r="J42" s="590"/>
      <c r="K42" s="1424"/>
      <c r="L42" s="590"/>
      <c r="M42" s="1424"/>
      <c r="N42" s="590"/>
      <c r="O42" s="1546"/>
      <c r="P42" s="590"/>
      <c r="Q42" s="1546"/>
      <c r="R42" s="590"/>
      <c r="S42" s="1546"/>
    </row>
    <row r="43" spans="1:19">
      <c r="A43" s="1545"/>
      <c r="B43" s="1559" t="s">
        <v>704</v>
      </c>
      <c r="C43" s="1223"/>
      <c r="D43" s="1223"/>
      <c r="E43" s="1223"/>
      <c r="F43" s="1223"/>
      <c r="G43" s="1560"/>
      <c r="H43" s="621"/>
      <c r="I43" s="1445"/>
      <c r="J43" s="621"/>
      <c r="K43" s="1445"/>
      <c r="L43" s="621"/>
      <c r="M43" s="1445"/>
      <c r="N43" s="621"/>
      <c r="O43" s="1444"/>
      <c r="P43" s="621"/>
      <c r="Q43" s="1444"/>
      <c r="R43" s="621"/>
      <c r="S43" s="1444"/>
    </row>
    <row r="44" spans="1:19">
      <c r="A44" s="1545"/>
      <c r="B44" s="1558"/>
      <c r="C44" s="1124"/>
      <c r="D44" s="1124"/>
      <c r="E44" s="1124"/>
      <c r="F44" s="1124"/>
      <c r="G44" s="1229"/>
      <c r="H44" s="590"/>
      <c r="I44" s="1424"/>
      <c r="J44" s="590"/>
      <c r="K44" s="1424"/>
      <c r="L44" s="590"/>
      <c r="M44" s="1424"/>
      <c r="N44" s="590"/>
      <c r="O44" s="1546"/>
      <c r="P44" s="590"/>
      <c r="Q44" s="1546"/>
      <c r="R44" s="590"/>
      <c r="S44" s="1546"/>
    </row>
    <row r="45" spans="1:19">
      <c r="A45" s="1545"/>
      <c r="B45" s="1556" t="s">
        <v>705</v>
      </c>
      <c r="C45" s="1216"/>
      <c r="D45" s="1216"/>
      <c r="E45" s="1216"/>
      <c r="F45" s="1216"/>
      <c r="G45" s="1557"/>
      <c r="H45" s="620"/>
      <c r="I45" s="1441"/>
      <c r="J45" s="620"/>
      <c r="K45" s="1441"/>
      <c r="L45" s="620"/>
      <c r="M45" s="1441"/>
      <c r="N45" s="620"/>
      <c r="O45" s="1440"/>
      <c r="P45" s="620"/>
      <c r="Q45" s="1440"/>
      <c r="R45" s="620"/>
      <c r="S45" s="1440"/>
    </row>
    <row r="46" spans="1:19">
      <c r="A46" s="1545"/>
      <c r="B46" s="1558"/>
      <c r="C46" s="1124"/>
      <c r="D46" s="1124"/>
      <c r="E46" s="1124"/>
      <c r="F46" s="1124"/>
      <c r="G46" s="1229"/>
      <c r="H46" s="590"/>
      <c r="I46" s="1424"/>
      <c r="J46" s="590"/>
      <c r="K46" s="1424"/>
      <c r="L46" s="590"/>
      <c r="M46" s="1424"/>
      <c r="N46" s="590"/>
      <c r="O46" s="1546"/>
      <c r="P46" s="590"/>
      <c r="Q46" s="1546"/>
      <c r="R46" s="590"/>
      <c r="S46" s="1546"/>
    </row>
    <row r="47" spans="1:19">
      <c r="A47" s="1545"/>
      <c r="B47" s="1559" t="s">
        <v>602</v>
      </c>
      <c r="C47" s="1223"/>
      <c r="D47" s="1223"/>
      <c r="E47" s="1223"/>
      <c r="F47" s="1223"/>
      <c r="G47" s="1560"/>
      <c r="H47" s="621"/>
      <c r="I47" s="1445"/>
      <c r="J47" s="621"/>
      <c r="K47" s="1445"/>
      <c r="L47" s="621"/>
      <c r="M47" s="1445"/>
      <c r="N47" s="621"/>
      <c r="O47" s="1444"/>
      <c r="P47" s="621"/>
      <c r="Q47" s="1444"/>
      <c r="R47" s="621"/>
      <c r="S47" s="1444"/>
    </row>
    <row r="48" spans="1:19">
      <c r="A48" s="1545"/>
      <c r="B48" s="1541"/>
      <c r="C48" s="1553"/>
      <c r="D48" s="184"/>
      <c r="E48" s="184"/>
      <c r="F48" s="184"/>
      <c r="G48" s="296"/>
      <c r="H48" s="590"/>
      <c r="I48" s="1424"/>
      <c r="J48" s="590"/>
      <c r="K48" s="1546"/>
      <c r="L48" s="590"/>
      <c r="M48" s="1548"/>
      <c r="N48" s="590"/>
      <c r="O48" s="1546"/>
      <c r="P48" s="590"/>
      <c r="Q48" s="1424"/>
      <c r="R48" s="590"/>
      <c r="S48" s="1546"/>
    </row>
    <row r="49" spans="1:19">
      <c r="A49" s="1545"/>
      <c r="B49" s="1541"/>
      <c r="C49" s="1553"/>
      <c r="D49" s="184"/>
      <c r="E49" s="184"/>
      <c r="F49" s="184"/>
      <c r="G49" s="296"/>
      <c r="H49" s="590"/>
      <c r="I49" s="1424"/>
      <c r="J49" s="590"/>
      <c r="K49" s="1546"/>
      <c r="L49" s="590"/>
      <c r="M49" s="1561"/>
      <c r="N49" s="590"/>
      <c r="O49" s="1561"/>
      <c r="P49" s="590"/>
      <c r="Q49" s="1424"/>
      <c r="R49" s="590"/>
      <c r="S49" s="1546"/>
    </row>
    <row r="50" spans="1:19">
      <c r="A50" s="1545"/>
      <c r="B50" s="1562"/>
      <c r="C50" s="1553"/>
      <c r="D50" s="184"/>
      <c r="E50" s="184"/>
      <c r="F50" s="184"/>
      <c r="G50" s="296"/>
      <c r="H50" s="590"/>
      <c r="I50" s="1424"/>
      <c r="J50" s="590"/>
      <c r="K50" s="1546"/>
      <c r="L50" s="590"/>
      <c r="M50" s="1548"/>
      <c r="N50" s="590"/>
      <c r="O50" s="1546"/>
      <c r="P50" s="590"/>
      <c r="Q50" s="1424"/>
      <c r="R50" s="590"/>
      <c r="S50" s="1546"/>
    </row>
    <row r="51" spans="1:19" ht="15.75" thickBot="1">
      <c r="A51" s="1545"/>
      <c r="B51" s="862"/>
      <c r="C51" s="1553"/>
      <c r="D51" s="184"/>
      <c r="E51" s="184"/>
      <c r="F51" s="184"/>
      <c r="G51" s="296"/>
      <c r="H51" s="590"/>
      <c r="I51" s="1546"/>
      <c r="J51" s="590"/>
      <c r="K51" s="1546"/>
      <c r="L51" s="590"/>
      <c r="M51" s="1548"/>
      <c r="N51" s="590"/>
      <c r="O51" s="1546"/>
      <c r="P51" s="590"/>
      <c r="Q51" s="1424"/>
      <c r="R51" s="590"/>
      <c r="S51" s="1546"/>
    </row>
    <row r="52" spans="1:19" ht="15.75" thickTop="1">
      <c r="A52" s="14"/>
      <c r="B52" s="15"/>
      <c r="C52" s="16"/>
      <c r="D52" s="16"/>
      <c r="E52" s="17"/>
      <c r="F52" s="18" t="s">
        <v>567</v>
      </c>
      <c r="G52" s="19"/>
      <c r="H52" s="20"/>
      <c r="I52" s="61">
        <f>SUM(I16:I51)</f>
        <v>0</v>
      </c>
      <c r="J52" s="51"/>
      <c r="K52" s="61">
        <f>SUM(K16:K51)</f>
        <v>0</v>
      </c>
      <c r="L52" s="51"/>
      <c r="M52" s="61">
        <f>SUM(M16:M51)</f>
        <v>0</v>
      </c>
      <c r="N52" s="51"/>
      <c r="O52" s="61">
        <f>SUM(O16:O51)</f>
        <v>0</v>
      </c>
      <c r="P52" s="51"/>
      <c r="Q52" s="61">
        <f>SUM(Q16:Q51)</f>
        <v>0</v>
      </c>
      <c r="R52" s="51"/>
      <c r="S52" s="61">
        <f>SUM(S16:S51)</f>
        <v>0</v>
      </c>
    </row>
    <row r="53" spans="1:19">
      <c r="A53" s="624"/>
      <c r="B53" s="1156"/>
      <c r="C53" s="1157"/>
      <c r="D53" s="1157"/>
      <c r="E53" s="1158"/>
      <c r="F53" s="1159" t="s">
        <v>568</v>
      </c>
      <c r="G53" s="1160"/>
      <c r="H53" s="593">
        <v>0</v>
      </c>
      <c r="I53" s="592"/>
      <c r="J53" s="1454">
        <v>0</v>
      </c>
      <c r="K53" s="592"/>
      <c r="L53" s="1454">
        <v>0</v>
      </c>
      <c r="M53" s="592"/>
      <c r="N53" s="1454">
        <v>0</v>
      </c>
      <c r="O53" s="592"/>
      <c r="P53" s="1454">
        <v>0</v>
      </c>
      <c r="Q53" s="592"/>
      <c r="R53" s="1454">
        <v>0</v>
      </c>
      <c r="S53" s="592"/>
    </row>
    <row r="54" spans="1:19">
      <c r="A54" s="624"/>
      <c r="B54" s="1156"/>
      <c r="C54" s="1157"/>
      <c r="D54" s="1157"/>
      <c r="E54" s="1158"/>
      <c r="F54" s="1159" t="s">
        <v>569</v>
      </c>
      <c r="G54" s="1160"/>
      <c r="H54" s="594"/>
      <c r="I54" s="595">
        <f>H53*I52</f>
        <v>0</v>
      </c>
      <c r="J54" s="1455"/>
      <c r="K54" s="595">
        <f>J53*K52</f>
        <v>0</v>
      </c>
      <c r="L54" s="1455"/>
      <c r="M54" s="595">
        <f>L53*M52</f>
        <v>0</v>
      </c>
      <c r="N54" s="1455"/>
      <c r="O54" s="595">
        <f>N53*O52</f>
        <v>0</v>
      </c>
      <c r="P54" s="1455"/>
      <c r="Q54" s="595">
        <f>P53*Q52</f>
        <v>0</v>
      </c>
      <c r="R54" s="1455"/>
      <c r="S54" s="595">
        <f>R53*S52</f>
        <v>0</v>
      </c>
    </row>
    <row r="55" spans="1:19">
      <c r="A55" s="624"/>
      <c r="B55" s="1156"/>
      <c r="C55" s="1157"/>
      <c r="D55" s="1157"/>
      <c r="E55" s="1158"/>
      <c r="F55" s="1159"/>
      <c r="G55" s="1160"/>
      <c r="H55" s="594"/>
      <c r="I55" s="596"/>
      <c r="J55" s="1455"/>
      <c r="K55" s="596"/>
      <c r="L55" s="1455"/>
      <c r="M55" s="596"/>
      <c r="N55" s="1455"/>
      <c r="O55" s="596"/>
      <c r="P55" s="1455"/>
      <c r="Q55" s="596"/>
      <c r="R55" s="1455"/>
      <c r="S55" s="596"/>
    </row>
    <row r="56" spans="1:19">
      <c r="A56" s="624"/>
      <c r="B56" s="1156"/>
      <c r="C56" s="1157"/>
      <c r="D56" s="1157"/>
      <c r="E56" s="1158"/>
      <c r="F56" s="1159" t="s">
        <v>570</v>
      </c>
      <c r="G56" s="1160"/>
      <c r="H56" s="597"/>
      <c r="I56" s="598">
        <f>SUM(I52:I54)</f>
        <v>0</v>
      </c>
      <c r="J56" s="1459"/>
      <c r="K56" s="598">
        <f>SUM(K52:K54)</f>
        <v>0</v>
      </c>
      <c r="L56" s="1459"/>
      <c r="M56" s="598">
        <f>SUM(M52:M54)</f>
        <v>0</v>
      </c>
      <c r="N56" s="1459"/>
      <c r="O56" s="598">
        <f>SUM(O52:O54)</f>
        <v>0</v>
      </c>
      <c r="P56" s="1459"/>
      <c r="Q56" s="598">
        <f>SUM(Q52:Q54)</f>
        <v>0</v>
      </c>
      <c r="R56" s="1459"/>
      <c r="S56" s="598">
        <f>SUM(S52:S54)</f>
        <v>0</v>
      </c>
    </row>
    <row r="57" spans="1:19">
      <c r="A57" s="624"/>
      <c r="B57" s="1156"/>
      <c r="C57" s="1157"/>
      <c r="D57" s="1157"/>
      <c r="E57" s="1158"/>
      <c r="F57" s="1161" t="s">
        <v>571</v>
      </c>
      <c r="G57" s="1162"/>
      <c r="H57" s="599"/>
      <c r="I57" s="600" t="e">
        <f>I56/'Area Calculations'!$J$4</f>
        <v>#DIV/0!</v>
      </c>
      <c r="J57" s="1460"/>
      <c r="K57" s="600" t="e">
        <f>K56/'Area Calculations'!$J$4</f>
        <v>#DIV/0!</v>
      </c>
      <c r="L57" s="1460"/>
      <c r="M57" s="600" t="e">
        <f>M56/'Area Calculations'!$J$4</f>
        <v>#DIV/0!</v>
      </c>
      <c r="N57" s="1460"/>
      <c r="O57" s="600" t="e">
        <f>O56/'Area Calculations'!$J$4</f>
        <v>#DIV/0!</v>
      </c>
      <c r="P57" s="1460"/>
      <c r="Q57" s="600" t="e">
        <f>Q56/'Area Calculations'!$J$4</f>
        <v>#DIV/0!</v>
      </c>
      <c r="R57" s="1460"/>
      <c r="S57" s="600" t="e">
        <f>S56/'Area Calculations'!$J$4</f>
        <v>#DIV/0!</v>
      </c>
    </row>
    <row r="58" spans="1:19">
      <c r="A58" s="624"/>
      <c r="B58" s="1156"/>
      <c r="C58" s="1157"/>
      <c r="D58" s="1157"/>
      <c r="E58" s="1158"/>
      <c r="F58" s="1161" t="s">
        <v>572</v>
      </c>
      <c r="G58" s="1163"/>
      <c r="H58" s="599"/>
      <c r="I58" s="600" t="e">
        <f>I56/'Area Calculations'!#REF!</f>
        <v>#REF!</v>
      </c>
      <c r="J58" s="1460"/>
      <c r="K58" s="600" t="e">
        <f>K56/'Area Calculations'!#REF!</f>
        <v>#REF!</v>
      </c>
      <c r="L58" s="1460"/>
      <c r="M58" s="600" t="e">
        <f>M56/'Area Calculations'!#REF!</f>
        <v>#REF!</v>
      </c>
      <c r="N58" s="1460"/>
      <c r="O58" s="600" t="e">
        <f>O56/'Area Calculations'!#REF!</f>
        <v>#REF!</v>
      </c>
      <c r="P58" s="1460"/>
      <c r="Q58" s="600" t="e">
        <f>Q56/'Area Calculations'!#REF!</f>
        <v>#REF!</v>
      </c>
      <c r="R58" s="1460"/>
      <c r="S58" s="600" t="e">
        <f>S56/'Area Calculations'!#REF!</f>
        <v>#REF!</v>
      </c>
    </row>
    <row r="59" spans="1:19" ht="15.75" thickBot="1">
      <c r="A59" s="624"/>
      <c r="B59" s="1156"/>
      <c r="C59" s="1157"/>
      <c r="D59" s="1157"/>
      <c r="E59" s="1158"/>
      <c r="F59" s="1159"/>
      <c r="G59" s="1533"/>
      <c r="H59" s="601"/>
      <c r="I59" s="602"/>
      <c r="J59" s="1563"/>
      <c r="K59" s="602"/>
      <c r="L59" s="1563"/>
      <c r="M59" s="602"/>
      <c r="N59" s="1563"/>
      <c r="O59" s="602"/>
      <c r="P59" s="1563"/>
      <c r="Q59" s="602"/>
      <c r="R59" s="1563"/>
      <c r="S59" s="602"/>
    </row>
    <row r="60" spans="1:19" ht="16.5" thickTop="1" thickBot="1">
      <c r="A60" s="726" t="s">
        <v>573</v>
      </c>
      <c r="B60" s="727"/>
      <c r="C60" s="12"/>
      <c r="D60" s="12"/>
      <c r="E60" s="12"/>
      <c r="F60" s="12"/>
      <c r="G60" s="13"/>
      <c r="H60" s="21"/>
      <c r="I60" s="21"/>
      <c r="J60" s="21"/>
      <c r="K60" s="21"/>
      <c r="L60" s="21"/>
      <c r="M60" s="21"/>
      <c r="N60" s="21"/>
      <c r="O60" s="21"/>
      <c r="P60" s="21"/>
      <c r="Q60" s="21"/>
      <c r="R60" s="21"/>
      <c r="S60" s="21"/>
    </row>
    <row r="61" spans="1:19" ht="15.75" thickTop="1">
      <c r="A61" s="1535"/>
      <c r="B61" s="862"/>
      <c r="C61" s="1536"/>
      <c r="D61" s="1536"/>
      <c r="E61" s="1536"/>
      <c r="F61" s="1536"/>
      <c r="G61" s="1537"/>
      <c r="H61" s="1538"/>
      <c r="I61" s="1538"/>
      <c r="J61" s="1538"/>
      <c r="K61" s="1538"/>
      <c r="L61" s="1538"/>
      <c r="M61" s="1538"/>
      <c r="N61" s="1538"/>
      <c r="O61" s="1538"/>
      <c r="P61" s="1538"/>
      <c r="Q61" s="1538"/>
      <c r="R61" s="1538"/>
      <c r="S61" s="1538"/>
    </row>
    <row r="62" spans="1:19">
      <c r="A62" s="1535"/>
      <c r="B62" s="862"/>
      <c r="C62" s="1536"/>
      <c r="D62" s="1536"/>
      <c r="E62" s="1536"/>
      <c r="F62" s="1536"/>
      <c r="G62" s="1537"/>
      <c r="H62" s="1538"/>
      <c r="I62" s="1538"/>
      <c r="J62" s="1538"/>
      <c r="K62" s="1538"/>
      <c r="L62" s="1538"/>
      <c r="M62" s="1538"/>
      <c r="N62" s="1538"/>
      <c r="O62" s="1538"/>
      <c r="P62" s="1538"/>
      <c r="Q62" s="1538"/>
      <c r="R62" s="1538"/>
      <c r="S62" s="1538"/>
    </row>
    <row r="63" spans="1:19" ht="15" hidden="1" customHeight="1">
      <c r="A63" s="1535"/>
      <c r="B63" s="862"/>
      <c r="C63" s="1536"/>
      <c r="D63" s="1536"/>
      <c r="E63" s="1536"/>
      <c r="F63" s="1536"/>
      <c r="G63" s="1537"/>
      <c r="H63" s="1538"/>
      <c r="I63" s="1538"/>
      <c r="J63" s="1538"/>
      <c r="K63" s="1538"/>
      <c r="L63" s="1538"/>
      <c r="M63" s="1538"/>
      <c r="N63" s="1538"/>
      <c r="O63" s="1538"/>
      <c r="P63" s="1538"/>
      <c r="Q63" s="1538"/>
      <c r="R63" s="1538"/>
      <c r="S63" s="1538"/>
    </row>
    <row r="64" spans="1:19" s="2" customFormat="1" ht="16.5" hidden="1" customHeight="1" thickTop="1" thickBot="1">
      <c r="A64" s="726" t="s">
        <v>574</v>
      </c>
      <c r="B64" s="727"/>
      <c r="C64" s="12"/>
      <c r="D64" s="12"/>
      <c r="E64" s="12"/>
      <c r="F64" s="12"/>
      <c r="G64" s="13"/>
      <c r="H64" s="21"/>
      <c r="I64" s="21"/>
      <c r="J64" s="21"/>
      <c r="K64" s="21"/>
      <c r="L64" s="21"/>
      <c r="M64" s="21"/>
      <c r="N64" s="21"/>
      <c r="O64" s="21"/>
      <c r="P64" s="21"/>
      <c r="Q64" s="21"/>
      <c r="R64" s="21"/>
      <c r="S64" s="21"/>
    </row>
    <row r="65" spans="1:19" s="2" customFormat="1">
      <c r="A65" s="1535"/>
      <c r="B65" s="862"/>
      <c r="C65" s="1536"/>
      <c r="D65" s="1536"/>
      <c r="E65" s="1536"/>
      <c r="F65" s="1536"/>
      <c r="G65" s="1537"/>
      <c r="H65" s="1538"/>
      <c r="I65" s="1538"/>
      <c r="J65" s="1538"/>
      <c r="K65" s="1538"/>
      <c r="L65" s="1538"/>
      <c r="M65" s="1538"/>
      <c r="N65" s="1538"/>
      <c r="O65" s="1538"/>
      <c r="P65" s="1538"/>
      <c r="Q65" s="1538"/>
      <c r="R65" s="1538"/>
      <c r="S65" s="1538"/>
    </row>
    <row r="66" spans="1:19" s="2" customFormat="1">
      <c r="A66" s="1535"/>
      <c r="B66" s="862"/>
      <c r="C66" s="1536"/>
      <c r="D66" s="1536"/>
      <c r="E66" s="1536"/>
      <c r="F66" s="1536"/>
      <c r="G66" s="1537"/>
      <c r="H66" s="1538"/>
      <c r="I66" s="1538"/>
      <c r="J66" s="1538"/>
      <c r="K66" s="1538"/>
      <c r="L66" s="1538"/>
      <c r="M66" s="1538"/>
      <c r="N66" s="1538"/>
      <c r="O66" s="1538"/>
      <c r="P66" s="1538"/>
      <c r="Q66" s="1538"/>
      <c r="R66" s="1538"/>
      <c r="S66" s="1538"/>
    </row>
    <row r="67" spans="1:19" ht="15.75" thickBot="1">
      <c r="A67" s="1535"/>
      <c r="B67" s="862"/>
      <c r="C67" s="1536"/>
      <c r="D67" s="1536"/>
      <c r="E67" s="1536"/>
      <c r="F67" s="1536"/>
      <c r="G67" s="1537"/>
      <c r="H67" s="1538"/>
      <c r="I67" s="1538"/>
      <c r="J67" s="1538"/>
      <c r="K67" s="1538"/>
      <c r="L67" s="1538"/>
      <c r="M67" s="1538"/>
      <c r="N67" s="1538"/>
      <c r="O67" s="1538"/>
      <c r="P67" s="1538"/>
      <c r="Q67" s="1538"/>
      <c r="R67" s="1538"/>
      <c r="S67" s="1538"/>
    </row>
    <row r="68" spans="1:19" s="2" customFormat="1" ht="16.5" thickTop="1" thickBot="1">
      <c r="A68" s="726" t="s">
        <v>575</v>
      </c>
      <c r="B68" s="727"/>
      <c r="C68" s="12"/>
      <c r="D68" s="12"/>
      <c r="E68" s="12"/>
      <c r="F68" s="12"/>
      <c r="G68" s="13"/>
      <c r="H68" s="21"/>
      <c r="I68" s="21"/>
      <c r="J68" s="21"/>
      <c r="K68" s="21"/>
      <c r="L68" s="21"/>
      <c r="M68" s="21"/>
      <c r="N68" s="21"/>
      <c r="O68" s="21"/>
      <c r="P68" s="21"/>
      <c r="Q68" s="21"/>
      <c r="R68" s="21"/>
      <c r="S68" s="21"/>
    </row>
    <row r="69" spans="1:19" s="2" customFormat="1" ht="14.25" hidden="1" customHeight="1">
      <c r="A69" s="1535"/>
      <c r="B69" s="862"/>
      <c r="C69" s="1536"/>
      <c r="D69" s="1536"/>
      <c r="E69" s="1536"/>
      <c r="F69" s="1536"/>
      <c r="G69" s="1537"/>
      <c r="H69" s="1538"/>
      <c r="I69" s="1538"/>
      <c r="J69" s="1538"/>
      <c r="K69" s="1538"/>
      <c r="L69" s="1538"/>
      <c r="M69" s="1538"/>
      <c r="N69" s="1538"/>
      <c r="O69" s="1538"/>
      <c r="P69" s="1538"/>
      <c r="Q69" s="1538"/>
      <c r="R69" s="1538"/>
      <c r="S69" s="1538"/>
    </row>
    <row r="70" spans="1:19" s="2" customFormat="1" ht="15.75" hidden="1" customHeight="1" thickTop="1">
      <c r="A70" s="628"/>
      <c r="B70" s="862"/>
      <c r="C70" s="1124"/>
      <c r="D70" s="1124"/>
      <c r="E70" s="1124"/>
      <c r="F70" s="1124"/>
      <c r="G70" s="1133"/>
      <c r="H70" s="604"/>
      <c r="I70" s="604"/>
      <c r="J70" s="604"/>
      <c r="K70" s="604"/>
      <c r="L70" s="604"/>
      <c r="M70" s="604"/>
      <c r="N70" s="604"/>
      <c r="O70" s="604"/>
      <c r="P70" s="604"/>
      <c r="Q70" s="604"/>
      <c r="R70" s="604"/>
      <c r="S70" s="604"/>
    </row>
    <row r="71" spans="1:19" s="2" customFormat="1" ht="16.5" thickTop="1" thickBot="1">
      <c r="A71" s="625"/>
      <c r="B71" s="1171"/>
      <c r="C71" s="1124"/>
      <c r="D71" s="1124"/>
      <c r="E71" s="1124"/>
      <c r="F71" s="1124"/>
      <c r="G71" s="1133"/>
      <c r="H71" s="605"/>
      <c r="I71" s="605"/>
      <c r="J71" s="605"/>
      <c r="K71" s="605"/>
      <c r="L71" s="605"/>
      <c r="M71" s="605"/>
      <c r="N71" s="605"/>
      <c r="O71" s="605"/>
      <c r="P71" s="605"/>
      <c r="Q71" s="605"/>
      <c r="R71" s="605"/>
      <c r="S71" s="605"/>
    </row>
    <row r="72" spans="1:19" s="2" customFormat="1" ht="16.5" thickTop="1" thickBot="1">
      <c r="A72" s="726" t="s">
        <v>576</v>
      </c>
      <c r="B72" s="727"/>
      <c r="C72" s="12"/>
      <c r="D72" s="12"/>
      <c r="E72" s="12"/>
      <c r="F72" s="12"/>
      <c r="G72" s="13"/>
      <c r="H72" s="21"/>
      <c r="I72" s="21"/>
      <c r="J72" s="21"/>
      <c r="K72" s="21"/>
      <c r="L72" s="21"/>
      <c r="M72" s="21"/>
      <c r="N72" s="21"/>
      <c r="O72" s="21"/>
      <c r="P72" s="21"/>
      <c r="Q72" s="21"/>
      <c r="R72" s="21"/>
      <c r="S72" s="21"/>
    </row>
    <row r="73" spans="1:19" ht="15.75" thickTop="1">
      <c r="A73" s="1539"/>
      <c r="B73" s="1540"/>
      <c r="C73" s="1536"/>
      <c r="D73" s="1536"/>
      <c r="E73" s="1536"/>
      <c r="F73" s="1536"/>
      <c r="G73" s="1537"/>
      <c r="H73" s="1538"/>
      <c r="I73" s="1538"/>
      <c r="J73" s="1538"/>
      <c r="K73" s="1538"/>
      <c r="L73" s="1538"/>
      <c r="M73" s="1538"/>
      <c r="N73" s="1538"/>
      <c r="O73" s="1538"/>
      <c r="P73" s="1538"/>
      <c r="Q73" s="1538"/>
      <c r="R73" s="1538"/>
      <c r="S73" s="1538"/>
    </row>
    <row r="74" spans="1:19">
      <c r="A74" s="625"/>
      <c r="B74" s="1171"/>
      <c r="C74" s="1124"/>
      <c r="D74" s="1124"/>
      <c r="E74" s="1124"/>
      <c r="F74" s="1124"/>
      <c r="G74" s="1133"/>
      <c r="H74" s="606"/>
      <c r="I74" s="606"/>
      <c r="J74" s="606"/>
      <c r="K74" s="606"/>
      <c r="L74" s="606"/>
      <c r="M74" s="606"/>
      <c r="N74" s="606"/>
      <c r="O74" s="606"/>
      <c r="P74" s="606"/>
      <c r="Q74" s="606"/>
      <c r="R74" s="606"/>
      <c r="S74" s="606"/>
    </row>
    <row r="75" spans="1:19" ht="15.75" thickBot="1">
      <c r="A75" s="625"/>
      <c r="B75" s="1171"/>
      <c r="C75" s="1124"/>
      <c r="D75" s="1124"/>
      <c r="E75" s="1124"/>
      <c r="F75" s="1124"/>
      <c r="G75" s="1133"/>
      <c r="H75" s="606"/>
      <c r="I75" s="606"/>
      <c r="J75" s="606"/>
      <c r="K75" s="606"/>
      <c r="L75" s="606"/>
      <c r="M75" s="606"/>
      <c r="N75" s="606"/>
      <c r="O75" s="606"/>
      <c r="P75" s="606"/>
      <c r="Q75" s="606"/>
      <c r="R75" s="606"/>
      <c r="S75" s="606"/>
    </row>
    <row r="76" spans="1:19" ht="16.5" thickTop="1" thickBot="1">
      <c r="A76" s="726" t="s">
        <v>577</v>
      </c>
      <c r="B76" s="727"/>
      <c r="C76" s="12"/>
      <c r="D76" s="12"/>
      <c r="E76" s="12"/>
      <c r="F76" s="12"/>
      <c r="G76" s="13"/>
      <c r="H76" s="21"/>
      <c r="I76" s="21"/>
      <c r="J76" s="21"/>
      <c r="K76" s="21"/>
      <c r="L76" s="21"/>
      <c r="M76" s="21"/>
      <c r="N76" s="21"/>
      <c r="O76" s="21"/>
      <c r="P76" s="21"/>
      <c r="Q76" s="21"/>
      <c r="R76" s="21"/>
      <c r="S76" s="21"/>
    </row>
    <row r="77" spans="1:19" ht="15.75" thickTop="1">
      <c r="A77" s="628"/>
      <c r="B77" s="862" t="s">
        <v>578</v>
      </c>
      <c r="C77" s="1124"/>
      <c r="D77" s="1124"/>
      <c r="E77" s="1124"/>
      <c r="F77" s="1124"/>
      <c r="G77" s="1133"/>
      <c r="H77" s="606"/>
      <c r="I77" s="606"/>
      <c r="J77" s="606"/>
      <c r="K77" s="606"/>
      <c r="L77" s="606"/>
      <c r="M77" s="606"/>
      <c r="N77" s="606"/>
      <c r="O77" s="606"/>
      <c r="P77" s="606"/>
      <c r="Q77" s="606"/>
      <c r="R77" s="606"/>
      <c r="S77" s="606"/>
    </row>
    <row r="78" spans="1:19">
      <c r="A78" s="628"/>
      <c r="B78" s="862" t="s">
        <v>579</v>
      </c>
      <c r="C78" s="1124"/>
      <c r="D78" s="1124"/>
      <c r="E78" s="1124"/>
      <c r="F78" s="1124"/>
      <c r="G78" s="1133"/>
      <c r="H78" s="606"/>
      <c r="I78" s="606"/>
      <c r="J78" s="606"/>
      <c r="K78" s="606"/>
      <c r="L78" s="606"/>
      <c r="M78" s="606"/>
      <c r="N78" s="606"/>
      <c r="O78" s="606"/>
      <c r="P78" s="606"/>
      <c r="Q78" s="606"/>
      <c r="R78" s="606"/>
      <c r="S78" s="606"/>
    </row>
    <row r="79" spans="1:19">
      <c r="A79" s="628"/>
      <c r="B79" s="862" t="s">
        <v>580</v>
      </c>
      <c r="C79" s="1124"/>
      <c r="D79" s="1124"/>
      <c r="E79" s="1124"/>
      <c r="F79" s="1124"/>
      <c r="G79" s="1133"/>
      <c r="H79" s="606"/>
      <c r="I79" s="606"/>
      <c r="J79" s="606"/>
      <c r="K79" s="606"/>
      <c r="L79" s="606"/>
      <c r="M79" s="606"/>
      <c r="N79" s="606"/>
      <c r="O79" s="606"/>
      <c r="P79" s="606"/>
      <c r="Q79" s="606"/>
      <c r="R79" s="606"/>
      <c r="S79" s="606"/>
    </row>
    <row r="80" spans="1:19">
      <c r="A80" s="628"/>
      <c r="B80" s="862" t="s">
        <v>581</v>
      </c>
      <c r="C80" s="1124"/>
      <c r="D80" s="1124"/>
      <c r="E80" s="1124"/>
      <c r="F80" s="1124"/>
      <c r="G80" s="1133"/>
      <c r="H80" s="606"/>
      <c r="I80" s="606"/>
      <c r="J80" s="606"/>
      <c r="K80" s="606"/>
      <c r="L80" s="606"/>
      <c r="M80" s="606"/>
      <c r="N80" s="606"/>
      <c r="O80" s="606"/>
      <c r="P80" s="606"/>
      <c r="Q80" s="606"/>
      <c r="R80" s="606"/>
      <c r="S80" s="606"/>
    </row>
    <row r="81" spans="1:19" ht="15.75" thickBot="1">
      <c r="A81" s="416"/>
      <c r="B81" s="295"/>
      <c r="C81" s="184"/>
      <c r="D81" s="184"/>
      <c r="E81" s="184"/>
      <c r="F81" s="184"/>
      <c r="G81" s="296"/>
      <c r="H81" s="418"/>
      <c r="I81" s="418"/>
      <c r="J81" s="418"/>
      <c r="K81" s="418"/>
      <c r="L81" s="418"/>
      <c r="M81" s="418"/>
      <c r="N81" s="418"/>
      <c r="O81" s="418"/>
      <c r="P81" s="418"/>
      <c r="Q81" s="418"/>
      <c r="R81" s="418"/>
      <c r="S81" s="418"/>
    </row>
    <row r="82" spans="1:19" ht="16.5" thickTop="1" thickBot="1">
      <c r="A82" s="7" t="s">
        <v>582</v>
      </c>
      <c r="B82" s="8"/>
      <c r="C82" s="12"/>
      <c r="D82" s="12"/>
      <c r="E82" s="12"/>
      <c r="F82" s="12"/>
      <c r="G82" s="13"/>
      <c r="H82" s="21"/>
      <c r="I82" s="21"/>
      <c r="J82" s="21"/>
      <c r="K82" s="21"/>
      <c r="L82" s="21"/>
      <c r="M82" s="21"/>
      <c r="N82" s="21"/>
      <c r="O82" s="21"/>
      <c r="P82" s="21"/>
      <c r="Q82" s="21"/>
      <c r="R82" s="21"/>
      <c r="S82" s="21"/>
    </row>
    <row r="83" spans="1:19" ht="15.75" thickTop="1">
      <c r="A83" s="1535"/>
      <c r="B83" s="1541" t="s">
        <v>583</v>
      </c>
      <c r="C83" s="1536"/>
      <c r="D83" s="1536"/>
      <c r="E83" s="1536"/>
      <c r="F83" s="1536"/>
      <c r="G83" s="1537"/>
      <c r="H83" s="1542"/>
      <c r="I83" s="1542"/>
      <c r="J83" s="1542"/>
      <c r="K83" s="1542"/>
      <c r="L83" s="1542"/>
      <c r="M83" s="1542"/>
      <c r="N83" s="1542"/>
      <c r="O83" s="1542"/>
      <c r="P83" s="1542"/>
      <c r="Q83" s="1542"/>
      <c r="R83" s="1542"/>
      <c r="S83" s="1542"/>
    </row>
    <row r="84" spans="1:19">
      <c r="A84" s="628"/>
      <c r="B84" s="862" t="s">
        <v>584</v>
      </c>
      <c r="C84" s="1124"/>
      <c r="D84" s="1124"/>
      <c r="E84" s="1124"/>
      <c r="F84" s="1124"/>
      <c r="G84" s="1133"/>
      <c r="H84" s="618"/>
      <c r="I84" s="618"/>
      <c r="J84" s="618"/>
      <c r="K84" s="618"/>
      <c r="L84" s="618"/>
      <c r="M84" s="618"/>
      <c r="N84" s="618"/>
      <c r="O84" s="618"/>
      <c r="P84" s="618"/>
      <c r="Q84" s="618"/>
      <c r="R84" s="618"/>
      <c r="S84" s="618"/>
    </row>
    <row r="85" spans="1:19" ht="15.75" thickBot="1">
      <c r="A85" s="607"/>
      <c r="B85" s="608" t="s">
        <v>585</v>
      </c>
      <c r="C85" s="609"/>
      <c r="D85" s="609"/>
      <c r="E85" s="609"/>
      <c r="F85" s="609"/>
      <c r="G85" s="610"/>
      <c r="H85" s="611"/>
      <c r="I85" s="611"/>
      <c r="J85" s="611"/>
      <c r="K85" s="611"/>
      <c r="L85" s="611"/>
      <c r="M85" s="611"/>
      <c r="N85" s="611"/>
      <c r="O85" s="611"/>
      <c r="P85" s="611"/>
      <c r="Q85" s="611"/>
      <c r="R85" s="611"/>
      <c r="S85" s="611"/>
    </row>
    <row r="86" spans="1:19" ht="16.5" thickTop="1" thickBot="1">
      <c r="M86" s="2"/>
    </row>
    <row r="87" spans="1:19" ht="16.5" thickTop="1" thickBot="1">
      <c r="A87" s="92" t="s">
        <v>586</v>
      </c>
      <c r="B87" s="94"/>
      <c r="M87" s="2"/>
    </row>
    <row r="88" spans="1:19" ht="15.75" thickTop="1">
      <c r="A88" s="93" t="s">
        <v>487</v>
      </c>
      <c r="B88" s="612"/>
      <c r="M88" s="2"/>
    </row>
    <row r="89" spans="1:19">
      <c r="A89" s="626" t="s">
        <v>491</v>
      </c>
      <c r="B89" s="612"/>
      <c r="M89" s="2"/>
    </row>
    <row r="90" spans="1:19">
      <c r="A90" s="613" t="s">
        <v>494</v>
      </c>
      <c r="B90" s="614"/>
      <c r="M90" s="2"/>
    </row>
    <row r="91" spans="1:19">
      <c r="A91" s="613" t="s">
        <v>497</v>
      </c>
      <c r="B91" s="622"/>
      <c r="M91" s="2"/>
    </row>
    <row r="92" spans="1:19" ht="15.75" thickBot="1">
      <c r="A92" s="615" t="s">
        <v>587</v>
      </c>
      <c r="B92" s="616">
        <f>H8</f>
        <v>0</v>
      </c>
      <c r="M92" s="2"/>
    </row>
    <row r="93" spans="1:19" ht="15.75" thickTop="1">
      <c r="M93" s="2"/>
    </row>
    <row r="94" spans="1:19">
      <c r="A94" s="95"/>
      <c r="B94" s="1" t="s">
        <v>588</v>
      </c>
      <c r="M94" s="2"/>
    </row>
    <row r="95" spans="1:19">
      <c r="A95" s="96"/>
      <c r="B95" s="1" t="s">
        <v>589</v>
      </c>
      <c r="M95" s="2"/>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0:B60"/>
    <mergeCell ref="A64:B64"/>
    <mergeCell ref="A68:B68"/>
    <mergeCell ref="A72:B72"/>
    <mergeCell ref="A76:B76"/>
  </mergeCells>
  <conditionalFormatting sqref="H20:H30">
    <cfRule type="cellIs" dxfId="1537" priority="37" operator="equal">
      <formula>"X"</formula>
    </cfRule>
    <cfRule type="cellIs" dxfId="1536" priority="38" operator="equal">
      <formula>"I"</formula>
    </cfRule>
  </conditionalFormatting>
  <conditionalFormatting sqref="H32:H51">
    <cfRule type="cellIs" dxfId="1535" priority="23" operator="equal">
      <formula>"X"</formula>
    </cfRule>
    <cfRule type="cellIs" dxfId="1534" priority="24" operator="equal">
      <formula>"I"</formula>
    </cfRule>
  </conditionalFormatting>
  <conditionalFormatting sqref="J20:J30">
    <cfRule type="cellIs" dxfId="1533" priority="39" operator="equal">
      <formula>"X"</formula>
    </cfRule>
    <cfRule type="cellIs" dxfId="1532" priority="40" operator="equal">
      <formula>"I"</formula>
    </cfRule>
  </conditionalFormatting>
  <conditionalFormatting sqref="J32:J51">
    <cfRule type="cellIs" dxfId="1531" priority="21" operator="equal">
      <formula>"X"</formula>
    </cfRule>
    <cfRule type="cellIs" dxfId="1530" priority="22" operator="equal">
      <formula>"I"</formula>
    </cfRule>
  </conditionalFormatting>
  <conditionalFormatting sqref="L20:L30">
    <cfRule type="cellIs" dxfId="1529" priority="41" operator="equal">
      <formula>"X"</formula>
    </cfRule>
    <cfRule type="cellIs" dxfId="1528" priority="42" operator="equal">
      <formula>"I"</formula>
    </cfRule>
  </conditionalFormatting>
  <conditionalFormatting sqref="L32:L51">
    <cfRule type="cellIs" dxfId="1527" priority="19" operator="equal">
      <formula>"X"</formula>
    </cfRule>
    <cfRule type="cellIs" dxfId="1526" priority="20" operator="equal">
      <formula>"I"</formula>
    </cfRule>
  </conditionalFormatting>
  <conditionalFormatting sqref="N20:N30">
    <cfRule type="cellIs" dxfId="1525" priority="43" operator="equal">
      <formula>"X"</formula>
    </cfRule>
    <cfRule type="cellIs" dxfId="1524" priority="44" operator="equal">
      <formula>"I"</formula>
    </cfRule>
  </conditionalFormatting>
  <conditionalFormatting sqref="N32:N51">
    <cfRule type="cellIs" dxfId="1523" priority="17" operator="equal">
      <formula>"X"</formula>
    </cfRule>
    <cfRule type="cellIs" dxfId="1522" priority="18" operator="equal">
      <formula>"I"</formula>
    </cfRule>
  </conditionalFormatting>
  <conditionalFormatting sqref="P20:P30">
    <cfRule type="cellIs" dxfId="1521" priority="45" operator="equal">
      <formula>"X"</formula>
    </cfRule>
    <cfRule type="cellIs" dxfId="1520" priority="46" operator="equal">
      <formula>"I"</formula>
    </cfRule>
  </conditionalFormatting>
  <conditionalFormatting sqref="P32:P51">
    <cfRule type="cellIs" dxfId="1519" priority="15" operator="equal">
      <formula>"X"</formula>
    </cfRule>
    <cfRule type="cellIs" dxfId="1518" priority="16" operator="equal">
      <formula>"I"</formula>
    </cfRule>
  </conditionalFormatting>
  <conditionalFormatting sqref="R20:R30">
    <cfRule type="cellIs" dxfId="1517" priority="47" operator="equal">
      <formula>"X"</formula>
    </cfRule>
    <cfRule type="cellIs" dxfId="1516" priority="48" operator="equal">
      <formula>"I"</formula>
    </cfRule>
  </conditionalFormatting>
  <conditionalFormatting sqref="R32:R51">
    <cfRule type="cellIs" dxfId="1515" priority="13" operator="equal">
      <formula>"X"</formula>
    </cfRule>
    <cfRule type="cellIs" dxfId="1514" priority="14" operator="equal">
      <formula>"I"</formula>
    </cfRule>
  </conditionalFormatting>
  <hyperlinks>
    <hyperlink ref="B3" location="'Cost Summary'!A1" display="BACK TO SUMMARY SHEET" xr:uid="{67A803A2-69A8-4045-BB3D-10C59AA57433}"/>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AD71-5441-4CE0-9CB9-A840E86F56F5}">
  <sheetPr>
    <tabColor rgb="FF92D050"/>
  </sheetPr>
  <dimension ref="A1:S99"/>
  <sheetViews>
    <sheetView zoomScaleNormal="100" workbookViewId="0">
      <pane xSplit="2" ySplit="9" topLeftCell="C27" activePane="bottomRight" state="frozen"/>
      <selection pane="bottomRight" activeCell="F38" sqref="F3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3.140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49"/>
      <c r="I2" s="749"/>
      <c r="J2" s="732"/>
      <c r="K2" s="732"/>
      <c r="L2" s="749"/>
      <c r="M2" s="749"/>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146</v>
      </c>
      <c r="C5" s="1124"/>
      <c r="D5" s="1124"/>
      <c r="E5" s="1124"/>
      <c r="F5" s="1124"/>
      <c r="G5" s="1125" t="s">
        <v>491</v>
      </c>
      <c r="H5" s="1564"/>
      <c r="I5" s="1565"/>
      <c r="J5" s="1564"/>
      <c r="K5" s="1565"/>
      <c r="L5" s="1564"/>
      <c r="M5" s="1565"/>
      <c r="N5" s="1564"/>
      <c r="O5" s="1565"/>
      <c r="P5" s="1564"/>
      <c r="Q5" s="1565"/>
      <c r="R5" s="1564"/>
      <c r="S5" s="1565"/>
    </row>
    <row r="6" spans="1:19">
      <c r="A6" s="627" t="s">
        <v>493</v>
      </c>
      <c r="B6" s="1127" t="s">
        <v>145</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85"/>
      <c r="O7" s="1129"/>
      <c r="P7" s="785"/>
      <c r="Q7" s="1129"/>
      <c r="R7" s="785"/>
      <c r="S7" s="1129"/>
    </row>
    <row r="8" spans="1:19" ht="15.75" thickBot="1">
      <c r="A8" s="414" t="s">
        <v>499</v>
      </c>
      <c r="B8" s="295"/>
      <c r="C8" s="184"/>
      <c r="D8" s="184"/>
      <c r="E8" s="184"/>
      <c r="F8" s="184"/>
      <c r="G8" s="419" t="s">
        <v>499</v>
      </c>
      <c r="H8" s="774">
        <f>I60</f>
        <v>624269.9</v>
      </c>
      <c r="I8" s="775"/>
      <c r="J8" s="774">
        <f>K60</f>
        <v>0</v>
      </c>
      <c r="K8" s="775"/>
      <c r="L8" s="774">
        <f>M60</f>
        <v>0</v>
      </c>
      <c r="M8" s="775"/>
      <c r="N8" s="774">
        <f>O60</f>
        <v>0</v>
      </c>
      <c r="O8" s="775"/>
      <c r="P8" s="774">
        <f>Q60</f>
        <v>0</v>
      </c>
      <c r="Q8" s="775"/>
      <c r="R8" s="774">
        <f>S60</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43"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545"/>
      <c r="B21" s="1136" t="s">
        <v>146</v>
      </c>
      <c r="C21" s="1566"/>
      <c r="D21" s="1124"/>
      <c r="E21" s="1124"/>
      <c r="F21" s="1124"/>
      <c r="G21" s="1133"/>
      <c r="H21" s="590"/>
      <c r="I21" s="1546"/>
      <c r="J21" s="590"/>
      <c r="K21" s="1546"/>
      <c r="L21" s="590"/>
      <c r="M21" s="1546"/>
      <c r="N21" s="590"/>
      <c r="O21" s="633"/>
      <c r="P21" s="590"/>
      <c r="Q21" s="1546"/>
      <c r="R21" s="590"/>
      <c r="S21" s="1546"/>
    </row>
    <row r="22" spans="1:19" ht="15.75" thickBot="1">
      <c r="A22" s="1545"/>
      <c r="B22" s="374" t="s">
        <v>512</v>
      </c>
      <c r="C22" s="1566"/>
      <c r="D22" s="1124"/>
      <c r="E22" s="1124"/>
      <c r="F22" s="1124"/>
      <c r="G22" s="1133"/>
      <c r="H22" s="590"/>
      <c r="I22" s="1546"/>
      <c r="J22" s="590"/>
      <c r="K22" s="1546"/>
      <c r="L22" s="590"/>
      <c r="M22" s="1546"/>
      <c r="N22" s="590"/>
      <c r="O22" s="1546"/>
      <c r="P22" s="590"/>
      <c r="Q22" s="1546"/>
      <c r="R22" s="590"/>
      <c r="S22" s="1546"/>
    </row>
    <row r="23" spans="1:19">
      <c r="A23" s="1545"/>
      <c r="B23" s="647" t="s">
        <v>513</v>
      </c>
      <c r="C23" s="1134"/>
      <c r="D23" s="1124"/>
      <c r="E23" s="1124"/>
      <c r="F23" s="1124"/>
      <c r="G23" s="1133"/>
      <c r="H23" s="590"/>
      <c r="I23" s="1546"/>
      <c r="J23" s="590"/>
      <c r="K23" s="1546"/>
      <c r="L23" s="590"/>
      <c r="M23" s="1546"/>
      <c r="N23" s="590"/>
      <c r="O23" s="1546"/>
      <c r="P23" s="590"/>
      <c r="Q23" s="1424"/>
      <c r="R23" s="590"/>
      <c r="S23" s="1424"/>
    </row>
    <row r="24" spans="1:19">
      <c r="A24" s="623"/>
      <c r="B24" s="1567" t="s">
        <v>514</v>
      </c>
      <c r="C24" s="1124"/>
      <c r="D24" s="1124"/>
      <c r="E24" s="1124"/>
      <c r="F24" s="1124"/>
      <c r="G24" s="1133"/>
      <c r="H24" s="590"/>
      <c r="I24" s="1424"/>
      <c r="J24" s="590"/>
      <c r="K24" s="1424"/>
      <c r="L24" s="590"/>
      <c r="M24" s="1424"/>
      <c r="N24" s="590"/>
      <c r="O24" s="1546"/>
      <c r="P24" s="590"/>
      <c r="Q24" s="1424"/>
      <c r="R24" s="590"/>
      <c r="S24" s="1424"/>
    </row>
    <row r="25" spans="1:19">
      <c r="A25" s="1545"/>
      <c r="B25" s="1568" t="s">
        <v>515</v>
      </c>
      <c r="C25" s="1124"/>
      <c r="D25" s="1124"/>
      <c r="E25" s="1124"/>
      <c r="F25" s="1124"/>
      <c r="G25" s="1133"/>
      <c r="H25" s="590"/>
      <c r="I25" s="1424"/>
      <c r="J25" s="590"/>
      <c r="K25" s="1424"/>
      <c r="L25" s="590"/>
      <c r="M25" s="1424"/>
      <c r="N25" s="590"/>
      <c r="O25" s="1546"/>
      <c r="P25" s="590"/>
      <c r="Q25" s="1424"/>
      <c r="R25" s="590"/>
      <c r="S25" s="1424"/>
    </row>
    <row r="26" spans="1:19">
      <c r="A26" s="623"/>
      <c r="B26" s="1568" t="s">
        <v>516</v>
      </c>
      <c r="C26" s="1124"/>
      <c r="D26" s="1124"/>
      <c r="E26" s="1124"/>
      <c r="F26" s="1124"/>
      <c r="G26" s="1133"/>
      <c r="H26" s="590"/>
      <c r="I26" s="1424"/>
      <c r="J26" s="590"/>
      <c r="K26" s="1424"/>
      <c r="L26" s="590"/>
      <c r="M26" s="1424"/>
      <c r="N26" s="590"/>
      <c r="O26" s="1546"/>
      <c r="P26" s="590"/>
      <c r="Q26" s="1424"/>
      <c r="R26" s="590"/>
      <c r="S26" s="1424"/>
    </row>
    <row r="27" spans="1:19">
      <c r="A27" s="1545"/>
      <c r="B27" s="1568" t="s">
        <v>517</v>
      </c>
      <c r="C27" s="1124"/>
      <c r="D27" s="1124"/>
      <c r="E27" s="1124"/>
      <c r="F27" s="1124"/>
      <c r="G27" s="1133"/>
      <c r="H27" s="590"/>
      <c r="I27" s="1424"/>
      <c r="J27" s="590"/>
      <c r="K27" s="1424"/>
      <c r="L27" s="590"/>
      <c r="M27" s="1424"/>
      <c r="N27" s="590"/>
      <c r="O27" s="1546"/>
      <c r="P27" s="590"/>
      <c r="Q27" s="1424"/>
      <c r="R27" s="590"/>
      <c r="S27" s="1424"/>
    </row>
    <row r="28" spans="1:19">
      <c r="A28" s="1545"/>
      <c r="B28" s="1568" t="s">
        <v>518</v>
      </c>
      <c r="C28" s="1124"/>
      <c r="D28" s="1124"/>
      <c r="E28" s="1124"/>
      <c r="F28" s="1124"/>
      <c r="G28" s="1133"/>
      <c r="H28" s="590"/>
      <c r="I28" s="1424"/>
      <c r="J28" s="590"/>
      <c r="K28" s="1424"/>
      <c r="L28" s="590"/>
      <c r="M28" s="1424"/>
      <c r="N28" s="590"/>
      <c r="O28" s="1546"/>
      <c r="P28" s="590"/>
      <c r="Q28" s="1424"/>
      <c r="R28" s="590"/>
      <c r="S28" s="1424"/>
    </row>
    <row r="29" spans="1:19">
      <c r="A29" s="1545"/>
      <c r="B29" s="1568" t="s">
        <v>693</v>
      </c>
      <c r="C29" s="1124"/>
      <c r="D29" s="1124"/>
      <c r="E29" s="1124"/>
      <c r="F29" s="1124"/>
      <c r="G29" s="1133"/>
      <c r="H29" s="590"/>
      <c r="I29" s="1424"/>
      <c r="J29" s="590"/>
      <c r="K29" s="1424"/>
      <c r="L29" s="590"/>
      <c r="M29" s="1424"/>
      <c r="N29" s="590"/>
      <c r="O29" s="1546"/>
      <c r="P29" s="590"/>
      <c r="Q29" s="1424"/>
      <c r="R29" s="590"/>
      <c r="S29" s="1424"/>
    </row>
    <row r="30" spans="1:19">
      <c r="A30" s="1545"/>
      <c r="B30" s="1569" t="s">
        <v>519</v>
      </c>
      <c r="C30" s="1124"/>
      <c r="D30" s="1124"/>
      <c r="E30" s="1124"/>
      <c r="F30" s="1124"/>
      <c r="G30" s="1133"/>
      <c r="H30" s="590"/>
      <c r="I30" s="1424"/>
      <c r="J30" s="590"/>
      <c r="K30" s="1424"/>
      <c r="L30" s="590"/>
      <c r="M30" s="1424"/>
      <c r="N30" s="590"/>
      <c r="O30" s="1546"/>
      <c r="P30" s="590"/>
      <c r="Q30" s="1424"/>
      <c r="R30" s="590"/>
      <c r="S30" s="1424"/>
    </row>
    <row r="31" spans="1:19">
      <c r="A31" s="1545"/>
      <c r="B31" s="1570" t="s">
        <v>520</v>
      </c>
      <c r="C31" s="1145"/>
      <c r="D31" s="1145"/>
      <c r="E31" s="1145"/>
      <c r="F31" s="1145"/>
      <c r="G31" s="1147"/>
      <c r="H31" s="619"/>
      <c r="I31" s="1476"/>
      <c r="J31" s="619"/>
      <c r="K31" s="1476"/>
      <c r="L31" s="619"/>
      <c r="M31" s="1476"/>
      <c r="N31" s="619"/>
      <c r="O31" s="1477"/>
      <c r="P31" s="619"/>
      <c r="Q31" s="1476"/>
      <c r="R31" s="619"/>
      <c r="S31" s="1476"/>
    </row>
    <row r="32" spans="1:19">
      <c r="A32" s="1545"/>
      <c r="B32" s="1558" t="s">
        <v>748</v>
      </c>
      <c r="C32" s="1124"/>
      <c r="D32" s="1124"/>
      <c r="E32" s="1124"/>
      <c r="F32" s="1124"/>
      <c r="G32" s="1133"/>
      <c r="H32" s="590"/>
      <c r="I32" s="1424"/>
      <c r="J32" s="590"/>
      <c r="K32" s="1424"/>
      <c r="L32" s="590"/>
      <c r="M32" s="1424"/>
      <c r="N32" s="590"/>
      <c r="O32" s="1546"/>
      <c r="P32" s="590"/>
      <c r="Q32" s="1424"/>
      <c r="R32" s="590"/>
      <c r="S32" s="1424"/>
    </row>
    <row r="33" spans="1:19">
      <c r="A33" s="1545"/>
      <c r="B33" s="1571" t="s">
        <v>288</v>
      </c>
      <c r="C33" s="1124"/>
      <c r="D33" s="1124"/>
      <c r="E33" s="1124"/>
      <c r="F33" s="1124"/>
      <c r="G33" s="1133"/>
      <c r="H33" s="590"/>
      <c r="I33" s="1424"/>
      <c r="J33" s="590"/>
      <c r="K33" s="1424"/>
      <c r="L33" s="590"/>
      <c r="M33" s="1424"/>
      <c r="N33" s="590"/>
      <c r="O33" s="1546"/>
      <c r="P33" s="590"/>
      <c r="Q33" s="1424"/>
      <c r="R33" s="590"/>
      <c r="S33" s="1424"/>
    </row>
    <row r="34" spans="1:19">
      <c r="A34" s="1545"/>
      <c r="B34" s="1556" t="s">
        <v>694</v>
      </c>
      <c r="C34" s="1216"/>
      <c r="D34" s="1216"/>
      <c r="E34" s="1216"/>
      <c r="F34" s="1216"/>
      <c r="G34" s="1557"/>
      <c r="H34" s="620"/>
      <c r="I34" s="1441"/>
      <c r="J34" s="620"/>
      <c r="K34" s="1441"/>
      <c r="L34" s="620"/>
      <c r="M34" s="1441"/>
      <c r="N34" s="620"/>
      <c r="O34" s="1440"/>
      <c r="P34" s="620"/>
      <c r="Q34" s="1440"/>
      <c r="R34" s="620"/>
      <c r="S34" s="1440"/>
    </row>
    <row r="35" spans="1:19">
      <c r="A35" s="1545"/>
      <c r="B35" s="1558"/>
      <c r="C35" s="1124"/>
      <c r="D35" s="1124"/>
      <c r="E35" s="1124"/>
      <c r="F35" s="1124"/>
      <c r="G35" s="1229"/>
      <c r="H35" s="590"/>
      <c r="I35" s="1424"/>
      <c r="J35" s="590"/>
      <c r="K35" s="1424"/>
      <c r="L35" s="590"/>
      <c r="M35" s="1424"/>
      <c r="N35" s="590"/>
      <c r="O35" s="1546"/>
      <c r="P35" s="590"/>
      <c r="Q35" s="1546"/>
      <c r="R35" s="590"/>
      <c r="S35" s="1546"/>
    </row>
    <row r="36" spans="1:19">
      <c r="A36" s="1545"/>
      <c r="B36" s="1559" t="s">
        <v>695</v>
      </c>
      <c r="C36" s="1223"/>
      <c r="D36" s="1223"/>
      <c r="E36" s="1223"/>
      <c r="F36" s="1223"/>
      <c r="G36" s="1560"/>
      <c r="H36" s="621"/>
      <c r="I36" s="1445"/>
      <c r="J36" s="621"/>
      <c r="K36" s="1445"/>
      <c r="L36" s="621"/>
      <c r="M36" s="1445"/>
      <c r="N36" s="621"/>
      <c r="O36" s="1444"/>
      <c r="P36" s="621"/>
      <c r="Q36" s="1444"/>
      <c r="R36" s="621"/>
      <c r="S36" s="1444"/>
    </row>
    <row r="37" spans="1:19">
      <c r="A37" s="1545"/>
      <c r="B37" s="1572" t="s">
        <v>823</v>
      </c>
      <c r="C37" s="1124" t="s">
        <v>731</v>
      </c>
      <c r="D37" s="1124">
        <v>11868</v>
      </c>
      <c r="E37" s="1124" t="s">
        <v>723</v>
      </c>
      <c r="F37" s="1124">
        <v>25</v>
      </c>
      <c r="G37" s="1229">
        <f>D37*F37</f>
        <v>296700</v>
      </c>
      <c r="H37" s="590"/>
      <c r="I37" s="1424">
        <f>G37</f>
        <v>296700</v>
      </c>
      <c r="J37" s="590"/>
      <c r="K37" s="1424"/>
      <c r="L37" s="590"/>
      <c r="M37" s="1424"/>
      <c r="N37" s="590"/>
      <c r="O37" s="1546"/>
      <c r="P37" s="590"/>
      <c r="Q37" s="1546"/>
      <c r="R37" s="590"/>
      <c r="S37" s="1546"/>
    </row>
    <row r="38" spans="1:19">
      <c r="A38" s="1324"/>
      <c r="B38" s="1558"/>
      <c r="C38" s="1124"/>
      <c r="D38" s="1124"/>
      <c r="E38" s="1124"/>
      <c r="F38" s="1124"/>
      <c r="G38" s="1229"/>
      <c r="H38" s="590"/>
      <c r="I38" s="1424"/>
      <c r="J38" s="590"/>
      <c r="K38" s="1424"/>
      <c r="L38" s="590"/>
      <c r="M38" s="1424"/>
      <c r="N38" s="590"/>
      <c r="O38" s="1546"/>
      <c r="P38" s="590"/>
      <c r="Q38" s="1546"/>
      <c r="R38" s="590"/>
      <c r="S38" s="1546"/>
    </row>
    <row r="39" spans="1:19">
      <c r="A39" s="1545"/>
      <c r="B39" s="1556" t="s">
        <v>649</v>
      </c>
      <c r="C39" s="1216"/>
      <c r="D39" s="1216"/>
      <c r="E39" s="1216"/>
      <c r="F39" s="1216"/>
      <c r="G39" s="1557"/>
      <c r="H39" s="620"/>
      <c r="I39" s="1441"/>
      <c r="J39" s="620"/>
      <c r="K39" s="1441"/>
      <c r="L39" s="620"/>
      <c r="M39" s="1441"/>
      <c r="N39" s="620"/>
      <c r="O39" s="1440"/>
      <c r="P39" s="620"/>
      <c r="Q39" s="1440"/>
      <c r="R39" s="620"/>
      <c r="S39" s="1440"/>
    </row>
    <row r="40" spans="1:19">
      <c r="A40" s="1545"/>
      <c r="B40" s="1558"/>
      <c r="C40" s="1124"/>
      <c r="D40" s="1124"/>
      <c r="E40" s="1124"/>
      <c r="F40" s="1124"/>
      <c r="G40" s="1229"/>
      <c r="H40" s="590"/>
      <c r="I40" s="1424"/>
      <c r="J40" s="590"/>
      <c r="K40" s="1424"/>
      <c r="L40" s="590"/>
      <c r="M40" s="1424"/>
      <c r="N40" s="590"/>
      <c r="O40" s="1546"/>
      <c r="P40" s="590"/>
      <c r="Q40" s="1546"/>
      <c r="R40" s="590"/>
      <c r="S40" s="1546"/>
    </row>
    <row r="41" spans="1:19">
      <c r="A41" s="1545"/>
      <c r="B41" s="1559" t="s">
        <v>700</v>
      </c>
      <c r="C41" s="1223"/>
      <c r="D41" s="1223"/>
      <c r="E41" s="1223"/>
      <c r="F41" s="1223"/>
      <c r="G41" s="1560"/>
      <c r="H41" s="621"/>
      <c r="I41" s="1445"/>
      <c r="J41" s="621"/>
      <c r="K41" s="1445"/>
      <c r="L41" s="621"/>
      <c r="M41" s="1445"/>
      <c r="N41" s="621"/>
      <c r="O41" s="1444"/>
      <c r="P41" s="621"/>
      <c r="Q41" s="1444"/>
      <c r="R41" s="621"/>
      <c r="S41" s="1444"/>
    </row>
    <row r="42" spans="1:19">
      <c r="A42" s="1545"/>
      <c r="B42" s="1573" t="s">
        <v>824</v>
      </c>
      <c r="C42" s="1124"/>
      <c r="D42" s="1124">
        <f>'Cost Summary'!$N$7</f>
        <v>11678</v>
      </c>
      <c r="E42" s="1124" t="s">
        <v>723</v>
      </c>
      <c r="F42" s="1124">
        <v>3.5</v>
      </c>
      <c r="G42" s="1229">
        <f>D42*F42</f>
        <v>40873</v>
      </c>
      <c r="H42" s="590"/>
      <c r="I42" s="1424">
        <f>G42</f>
        <v>40873</v>
      </c>
      <c r="J42" s="590"/>
      <c r="K42" s="1424"/>
      <c r="L42" s="590"/>
      <c r="M42" s="1424"/>
      <c r="N42" s="590"/>
      <c r="O42" s="1546"/>
      <c r="P42" s="590"/>
      <c r="Q42" s="1546"/>
      <c r="R42" s="590"/>
      <c r="S42" s="1546"/>
    </row>
    <row r="43" spans="1:19">
      <c r="A43" s="1324"/>
      <c r="B43" s="1573" t="s">
        <v>825</v>
      </c>
      <c r="C43" s="1124" t="s">
        <v>826</v>
      </c>
      <c r="D43" s="1124">
        <f>6305-2181.51</f>
        <v>4123.49</v>
      </c>
      <c r="E43" s="1124" t="s">
        <v>723</v>
      </c>
      <c r="F43" s="1124">
        <v>60</v>
      </c>
      <c r="G43" s="1229">
        <f>D43*F43</f>
        <v>247409.4</v>
      </c>
      <c r="H43" s="590"/>
      <c r="I43" s="1424">
        <f>G43</f>
        <v>247409.4</v>
      </c>
      <c r="J43" s="590"/>
      <c r="K43" s="1424"/>
      <c r="L43" s="590"/>
      <c r="M43" s="1424"/>
      <c r="N43" s="590"/>
      <c r="O43" s="1546"/>
      <c r="P43" s="590"/>
      <c r="Q43" s="1546"/>
      <c r="R43" s="590"/>
      <c r="S43" s="1546"/>
    </row>
    <row r="44" spans="1:19">
      <c r="A44" s="1545"/>
      <c r="B44" s="1558"/>
      <c r="C44" s="1124"/>
      <c r="D44" s="1124"/>
      <c r="E44" s="1124"/>
      <c r="F44" s="1124"/>
      <c r="G44" s="1229"/>
      <c r="H44" s="590"/>
      <c r="I44" s="1424"/>
      <c r="J44" s="590"/>
      <c r="K44" s="1424"/>
      <c r="L44" s="590"/>
      <c r="M44" s="1424"/>
      <c r="N44" s="590"/>
      <c r="O44" s="1546"/>
      <c r="P44" s="590"/>
      <c r="Q44" s="1546"/>
      <c r="R44" s="590"/>
      <c r="S44" s="1546"/>
    </row>
    <row r="45" spans="1:19">
      <c r="A45" s="1545"/>
      <c r="B45" s="1556" t="s">
        <v>703</v>
      </c>
      <c r="C45" s="1216"/>
      <c r="D45" s="1216"/>
      <c r="E45" s="1216"/>
      <c r="F45" s="1216"/>
      <c r="G45" s="1557"/>
      <c r="H45" s="620"/>
      <c r="I45" s="1441"/>
      <c r="J45" s="620"/>
      <c r="K45" s="1441"/>
      <c r="L45" s="620"/>
      <c r="M45" s="1441"/>
      <c r="N45" s="620"/>
      <c r="O45" s="1440"/>
      <c r="P45" s="620"/>
      <c r="Q45" s="1440"/>
      <c r="R45" s="620"/>
      <c r="S45" s="1440"/>
    </row>
    <row r="46" spans="1:19">
      <c r="A46" s="1545"/>
      <c r="B46" s="1558"/>
      <c r="C46" s="1124"/>
      <c r="D46" s="1124"/>
      <c r="E46" s="1124"/>
      <c r="F46" s="1124"/>
      <c r="G46" s="1229"/>
      <c r="H46" s="590"/>
      <c r="I46" s="1424"/>
      <c r="J46" s="590"/>
      <c r="K46" s="1424"/>
      <c r="L46" s="590"/>
      <c r="M46" s="1424"/>
      <c r="N46" s="590"/>
      <c r="O46" s="1546"/>
      <c r="P46" s="590"/>
      <c r="Q46" s="1546"/>
      <c r="R46" s="590"/>
      <c r="S46" s="1546"/>
    </row>
    <row r="47" spans="1:19">
      <c r="A47" s="1545"/>
      <c r="B47" s="1559" t="s">
        <v>704</v>
      </c>
      <c r="C47" s="1223"/>
      <c r="D47" s="1223"/>
      <c r="E47" s="1223"/>
      <c r="F47" s="1223"/>
      <c r="G47" s="1560"/>
      <c r="H47" s="621"/>
      <c r="I47" s="1445"/>
      <c r="J47" s="621"/>
      <c r="K47" s="1445"/>
      <c r="L47" s="621"/>
      <c r="M47" s="1445"/>
      <c r="N47" s="621"/>
      <c r="O47" s="1444"/>
      <c r="P47" s="621"/>
      <c r="Q47" s="1444"/>
      <c r="R47" s="621"/>
      <c r="S47" s="1444"/>
    </row>
    <row r="48" spans="1:19">
      <c r="A48" s="1545"/>
      <c r="B48" s="1573" t="s">
        <v>824</v>
      </c>
      <c r="C48" s="1124"/>
      <c r="D48" s="1124">
        <f>'Cost Summary'!$R$7</f>
        <v>11225</v>
      </c>
      <c r="E48" s="1124" t="s">
        <v>723</v>
      </c>
      <c r="F48" s="1124">
        <v>3.5</v>
      </c>
      <c r="G48" s="1229">
        <f>D48*F48</f>
        <v>39287.5</v>
      </c>
      <c r="H48" s="590"/>
      <c r="I48" s="1424">
        <f>G48</f>
        <v>39287.5</v>
      </c>
      <c r="J48" s="590"/>
      <c r="K48" s="1424"/>
      <c r="L48" s="590"/>
      <c r="M48" s="1424"/>
      <c r="N48" s="590"/>
      <c r="O48" s="1546"/>
      <c r="P48" s="590"/>
      <c r="Q48" s="1546"/>
      <c r="R48" s="590"/>
      <c r="S48" s="1546"/>
    </row>
    <row r="49" spans="1:19">
      <c r="A49" s="1324"/>
      <c r="B49" s="1558"/>
      <c r="C49" s="1124"/>
      <c r="D49" s="1124"/>
      <c r="E49" s="1124"/>
      <c r="F49" s="1124"/>
      <c r="G49" s="1229"/>
      <c r="H49" s="590"/>
      <c r="I49" s="1424"/>
      <c r="J49" s="590"/>
      <c r="K49" s="1424"/>
      <c r="L49" s="590"/>
      <c r="M49" s="1424"/>
      <c r="N49" s="590"/>
      <c r="O49" s="1546"/>
      <c r="P49" s="590"/>
      <c r="Q49" s="1546"/>
      <c r="R49" s="590"/>
      <c r="S49" s="1546"/>
    </row>
    <row r="50" spans="1:19">
      <c r="A50" s="1545"/>
      <c r="B50" s="1556" t="s">
        <v>705</v>
      </c>
      <c r="C50" s="1216"/>
      <c r="D50" s="1216"/>
      <c r="E50" s="1216"/>
      <c r="F50" s="1216"/>
      <c r="G50" s="1557"/>
      <c r="H50" s="620"/>
      <c r="I50" s="1441"/>
      <c r="J50" s="620"/>
      <c r="K50" s="1441"/>
      <c r="L50" s="620"/>
      <c r="M50" s="1441"/>
      <c r="N50" s="620"/>
      <c r="O50" s="1440"/>
      <c r="P50" s="620"/>
      <c r="Q50" s="1440"/>
      <c r="R50" s="620"/>
      <c r="S50" s="1440"/>
    </row>
    <row r="51" spans="1:19">
      <c r="A51" s="1545"/>
      <c r="B51" s="1558"/>
      <c r="C51" s="1124"/>
      <c r="D51" s="1124"/>
      <c r="E51" s="1124"/>
      <c r="F51" s="1124"/>
      <c r="G51" s="1229"/>
      <c r="H51" s="590"/>
      <c r="I51" s="1424"/>
      <c r="J51" s="590"/>
      <c r="K51" s="1424"/>
      <c r="L51" s="590"/>
      <c r="M51" s="1424"/>
      <c r="N51" s="590"/>
      <c r="O51" s="1546"/>
      <c r="P51" s="590"/>
      <c r="Q51" s="1546"/>
      <c r="R51" s="590"/>
      <c r="S51" s="1546"/>
    </row>
    <row r="52" spans="1:19">
      <c r="A52" s="1545"/>
      <c r="B52" s="1559" t="s">
        <v>602</v>
      </c>
      <c r="C52" s="1223"/>
      <c r="D52" s="1223"/>
      <c r="E52" s="1223"/>
      <c r="F52" s="1223"/>
      <c r="G52" s="1560"/>
      <c r="H52" s="621"/>
      <c r="I52" s="1445"/>
      <c r="J52" s="621"/>
      <c r="K52" s="1445"/>
      <c r="L52" s="621"/>
      <c r="M52" s="1445"/>
      <c r="N52" s="621"/>
      <c r="O52" s="1444"/>
      <c r="P52" s="621"/>
      <c r="Q52" s="1444"/>
      <c r="R52" s="621"/>
      <c r="S52" s="1444"/>
    </row>
    <row r="53" spans="1:19">
      <c r="A53" s="623"/>
      <c r="B53" s="1573"/>
      <c r="C53" s="1124"/>
      <c r="D53" s="1124"/>
      <c r="E53" s="1124"/>
      <c r="F53" s="1124"/>
      <c r="G53" s="1133"/>
      <c r="H53" s="590"/>
      <c r="I53" s="1548"/>
      <c r="J53" s="590"/>
      <c r="K53" s="1424"/>
      <c r="L53" s="590"/>
      <c r="M53" s="1424"/>
      <c r="N53" s="590"/>
      <c r="O53" s="1424"/>
      <c r="P53" s="590"/>
      <c r="Q53" s="1424"/>
      <c r="R53" s="590"/>
      <c r="S53" s="1424"/>
    </row>
    <row r="54" spans="1:19">
      <c r="A54" s="623"/>
      <c r="B54" s="1573"/>
      <c r="C54" s="184"/>
      <c r="D54" s="184"/>
      <c r="E54" s="184"/>
      <c r="F54" s="184"/>
      <c r="G54" s="296"/>
      <c r="H54" s="590"/>
      <c r="I54" s="1548"/>
      <c r="J54" s="590"/>
      <c r="K54" s="1424"/>
      <c r="L54" s="590"/>
      <c r="M54" s="1424"/>
      <c r="N54" s="590"/>
      <c r="O54" s="1424"/>
      <c r="P54" s="590"/>
      <c r="Q54" s="1424"/>
      <c r="R54" s="590"/>
      <c r="S54" s="1424"/>
    </row>
    <row r="55" spans="1:19" ht="15.75" thickBot="1">
      <c r="A55" s="623"/>
      <c r="B55" s="1573"/>
      <c r="C55" s="184"/>
      <c r="D55" s="184"/>
      <c r="E55" s="184"/>
      <c r="F55" s="184"/>
      <c r="G55" s="296"/>
      <c r="H55" s="590"/>
      <c r="I55" s="1548"/>
      <c r="J55" s="590"/>
      <c r="K55" s="1424"/>
      <c r="L55" s="590"/>
      <c r="M55" s="1424"/>
      <c r="N55" s="590"/>
      <c r="O55" s="1546"/>
      <c r="P55" s="590"/>
      <c r="Q55" s="1546"/>
      <c r="R55" s="590"/>
      <c r="S55" s="1546"/>
    </row>
    <row r="56" spans="1:19" ht="15.75" thickTop="1">
      <c r="A56" s="14"/>
      <c r="B56" s="15"/>
      <c r="C56" s="16"/>
      <c r="D56" s="16"/>
      <c r="E56" s="17"/>
      <c r="F56" s="18" t="s">
        <v>567</v>
      </c>
      <c r="G56" s="19"/>
      <c r="H56" s="20"/>
      <c r="I56" s="61">
        <f>SUM(I23:I55)</f>
        <v>624269.9</v>
      </c>
      <c r="J56" s="20"/>
      <c r="K56" s="61">
        <f>SUM(K23:K55)</f>
        <v>0</v>
      </c>
      <c r="L56" s="20"/>
      <c r="M56" s="61">
        <f>SUM(M23:M55)</f>
        <v>0</v>
      </c>
      <c r="N56" s="20"/>
      <c r="O56" s="61">
        <f>SUM(O23:O55)</f>
        <v>0</v>
      </c>
      <c r="P56" s="20"/>
      <c r="Q56" s="61">
        <f>SUM(Q23:Q55)</f>
        <v>0</v>
      </c>
      <c r="R56" s="20"/>
      <c r="S56" s="61">
        <f>SUM(S23:S55)</f>
        <v>0</v>
      </c>
    </row>
    <row r="57" spans="1:19">
      <c r="A57" s="624"/>
      <c r="B57" s="1156"/>
      <c r="C57" s="1157"/>
      <c r="D57" s="1157"/>
      <c r="E57" s="1158"/>
      <c r="F57" s="1159" t="s">
        <v>568</v>
      </c>
      <c r="G57" s="1160"/>
      <c r="H57" s="593">
        <v>0</v>
      </c>
      <c r="I57" s="592"/>
      <c r="J57" s="593">
        <v>0</v>
      </c>
      <c r="K57" s="592"/>
      <c r="L57" s="593">
        <v>0</v>
      </c>
      <c r="M57" s="592"/>
      <c r="N57" s="593">
        <v>0</v>
      </c>
      <c r="O57" s="592"/>
      <c r="P57" s="593">
        <v>0</v>
      </c>
      <c r="Q57" s="592"/>
      <c r="R57" s="593">
        <v>0</v>
      </c>
      <c r="S57" s="592"/>
    </row>
    <row r="58" spans="1:19">
      <c r="A58" s="624"/>
      <c r="B58" s="1156"/>
      <c r="C58" s="1157"/>
      <c r="D58" s="1157"/>
      <c r="E58" s="1158"/>
      <c r="F58" s="1159" t="s">
        <v>569</v>
      </c>
      <c r="G58" s="1160"/>
      <c r="H58" s="594"/>
      <c r="I58" s="595">
        <f>H57*$I$56</f>
        <v>0</v>
      </c>
      <c r="J58" s="594"/>
      <c r="K58" s="595">
        <f>J57*$I$56</f>
        <v>0</v>
      </c>
      <c r="L58" s="594"/>
      <c r="M58" s="595">
        <f>L57*$I$56</f>
        <v>0</v>
      </c>
      <c r="N58" s="594"/>
      <c r="O58" s="595">
        <f>N57*$I$56</f>
        <v>0</v>
      </c>
      <c r="P58" s="594"/>
      <c r="Q58" s="595">
        <f>P57*$I$56</f>
        <v>0</v>
      </c>
      <c r="R58" s="594"/>
      <c r="S58" s="595">
        <f>R57*$I$56</f>
        <v>0</v>
      </c>
    </row>
    <row r="59" spans="1:19">
      <c r="A59" s="624"/>
      <c r="B59" s="1156"/>
      <c r="C59" s="1157"/>
      <c r="D59" s="1157"/>
      <c r="E59" s="1158"/>
      <c r="F59" s="1159"/>
      <c r="G59" s="1160"/>
      <c r="H59" s="594"/>
      <c r="I59" s="596"/>
      <c r="J59" s="594"/>
      <c r="K59" s="596"/>
      <c r="L59" s="594"/>
      <c r="M59" s="596"/>
      <c r="N59" s="594"/>
      <c r="O59" s="596"/>
      <c r="P59" s="594"/>
      <c r="Q59" s="596"/>
      <c r="R59" s="594"/>
      <c r="S59" s="596"/>
    </row>
    <row r="60" spans="1:19">
      <c r="A60" s="624"/>
      <c r="B60" s="1156"/>
      <c r="C60" s="1157"/>
      <c r="D60" s="1157"/>
      <c r="E60" s="1158"/>
      <c r="F60" s="1159" t="s">
        <v>570</v>
      </c>
      <c r="G60" s="1160"/>
      <c r="H60" s="597"/>
      <c r="I60" s="598">
        <f>SUM(I56:I58)</f>
        <v>624269.9</v>
      </c>
      <c r="J60" s="597"/>
      <c r="K60" s="598">
        <f>SUM(K56:K58)</f>
        <v>0</v>
      </c>
      <c r="L60" s="597"/>
      <c r="M60" s="598">
        <f>SUM(M56:M58)</f>
        <v>0</v>
      </c>
      <c r="N60" s="597"/>
      <c r="O60" s="598">
        <f>SUM(O56:O58)</f>
        <v>0</v>
      </c>
      <c r="P60" s="597"/>
      <c r="Q60" s="598">
        <f>SUM(Q56:Q58)</f>
        <v>0</v>
      </c>
      <c r="R60" s="597"/>
      <c r="S60" s="598">
        <f>SUM(S56:S58)</f>
        <v>0</v>
      </c>
    </row>
    <row r="61" spans="1:19">
      <c r="A61" s="624"/>
      <c r="B61" s="1156"/>
      <c r="C61" s="1157"/>
      <c r="D61" s="1157"/>
      <c r="E61" s="1158"/>
      <c r="F61" s="1161" t="s">
        <v>571</v>
      </c>
      <c r="G61" s="1162"/>
      <c r="H61" s="599"/>
      <c r="I61" s="600" t="e">
        <f>I60/'Area Calculations'!$J$4</f>
        <v>#DIV/0!</v>
      </c>
      <c r="J61" s="599"/>
      <c r="K61" s="600" t="e">
        <f>K60/'Area Calculations'!$J$4</f>
        <v>#DIV/0!</v>
      </c>
      <c r="L61" s="599"/>
      <c r="M61" s="600" t="e">
        <f>M60/'Area Calculations'!$J$4</f>
        <v>#DIV/0!</v>
      </c>
      <c r="N61" s="599"/>
      <c r="O61" s="600" t="e">
        <f>O60/'Area Calculations'!$J$4</f>
        <v>#DIV/0!</v>
      </c>
      <c r="P61" s="599"/>
      <c r="Q61" s="600" t="e">
        <f>Q60/'Area Calculations'!$J$4</f>
        <v>#DIV/0!</v>
      </c>
      <c r="R61" s="599"/>
      <c r="S61" s="600" t="e">
        <f>S60/'Area Calculations'!$J$4</f>
        <v>#DIV/0!</v>
      </c>
    </row>
    <row r="62" spans="1:19">
      <c r="A62" s="624"/>
      <c r="B62" s="1156"/>
      <c r="C62" s="1157"/>
      <c r="D62" s="1157"/>
      <c r="E62" s="1158"/>
      <c r="F62" s="1161" t="s">
        <v>572</v>
      </c>
      <c r="G62" s="1163"/>
      <c r="H62" s="599"/>
      <c r="I62" s="600" t="e">
        <f>I60/'Area Calculations'!#REF!</f>
        <v>#REF!</v>
      </c>
      <c r="J62" s="599"/>
      <c r="K62" s="600" t="e">
        <f>K60/'Area Calculations'!#REF!</f>
        <v>#REF!</v>
      </c>
      <c r="L62" s="599"/>
      <c r="M62" s="600" t="e">
        <f>M60/'Area Calculations'!#REF!</f>
        <v>#REF!</v>
      </c>
      <c r="N62" s="599"/>
      <c r="O62" s="600" t="e">
        <f>O60/'Area Calculations'!#REF!</f>
        <v>#REF!</v>
      </c>
      <c r="P62" s="599"/>
      <c r="Q62" s="600" t="e">
        <f>Q60/'Area Calculations'!#REF!</f>
        <v>#REF!</v>
      </c>
      <c r="R62" s="599"/>
      <c r="S62" s="600" t="e">
        <f>S60/'Area Calculations'!#REF!</f>
        <v>#REF!</v>
      </c>
    </row>
    <row r="63" spans="1:19" ht="15.75" thickBot="1">
      <c r="A63" s="624"/>
      <c r="B63" s="1156"/>
      <c r="C63" s="1157"/>
      <c r="D63" s="1157"/>
      <c r="E63" s="1158"/>
      <c r="F63" s="1159"/>
      <c r="G63" s="1533"/>
      <c r="H63" s="601"/>
      <c r="I63" s="1574"/>
      <c r="J63" s="630"/>
      <c r="K63" s="602"/>
      <c r="L63" s="1563"/>
      <c r="M63" s="602"/>
      <c r="N63" s="1563"/>
      <c r="O63" s="602"/>
      <c r="P63" s="1563"/>
      <c r="Q63" s="602"/>
      <c r="R63" s="1563"/>
      <c r="S63" s="602"/>
    </row>
    <row r="64" spans="1:19" ht="16.5" thickTop="1" thickBot="1">
      <c r="A64" s="726" t="s">
        <v>573</v>
      </c>
      <c r="B64" s="727"/>
      <c r="C64" s="12"/>
      <c r="D64" s="12"/>
      <c r="E64" s="12"/>
      <c r="F64" s="12"/>
      <c r="G64" s="13"/>
      <c r="H64" s="21"/>
      <c r="I64" s="21"/>
      <c r="J64" s="21"/>
      <c r="K64" s="21"/>
      <c r="L64" s="21"/>
      <c r="M64" s="21"/>
      <c r="N64" s="21"/>
      <c r="O64" s="21"/>
      <c r="P64" s="21"/>
      <c r="Q64" s="21"/>
      <c r="R64" s="21"/>
      <c r="S64" s="21"/>
    </row>
    <row r="65" spans="1:19" ht="15.75" thickTop="1">
      <c r="A65" s="1535"/>
      <c r="B65" s="862"/>
      <c r="C65" s="1536"/>
      <c r="D65" s="1536"/>
      <c r="E65" s="1536"/>
      <c r="F65" s="1536"/>
      <c r="G65" s="1537"/>
      <c r="H65" s="1538"/>
      <c r="I65" s="1538"/>
      <c r="J65" s="1538"/>
      <c r="K65" s="1538"/>
      <c r="L65" s="1538"/>
      <c r="M65" s="1538"/>
      <c r="N65" s="1538"/>
      <c r="O65" s="1538"/>
      <c r="P65" s="1538"/>
      <c r="Q65" s="1538"/>
      <c r="R65" s="1538"/>
      <c r="S65" s="1538"/>
    </row>
    <row r="66" spans="1:19">
      <c r="A66" s="1535"/>
      <c r="B66" s="862"/>
      <c r="C66" s="1536"/>
      <c r="D66" s="1536"/>
      <c r="E66" s="1536"/>
      <c r="F66" s="1536"/>
      <c r="G66" s="1537"/>
      <c r="H66" s="1538"/>
      <c r="I66" s="1538"/>
      <c r="J66" s="1538"/>
      <c r="K66" s="1538"/>
      <c r="L66" s="1538"/>
      <c r="M66" s="1538"/>
      <c r="N66" s="1538"/>
      <c r="O66" s="1538"/>
      <c r="P66" s="1538"/>
      <c r="Q66" s="1538"/>
      <c r="R66" s="1538"/>
      <c r="S66" s="1538"/>
    </row>
    <row r="67" spans="1:19" ht="15.75" thickBot="1">
      <c r="A67" s="1535"/>
      <c r="B67" s="862"/>
      <c r="C67" s="1536"/>
      <c r="D67" s="1536"/>
      <c r="E67" s="1536"/>
      <c r="F67" s="1536"/>
      <c r="G67" s="1537"/>
      <c r="H67" s="1538"/>
      <c r="I67" s="1538"/>
      <c r="J67" s="1538"/>
      <c r="K67" s="1538"/>
      <c r="L67" s="1538"/>
      <c r="M67" s="1538"/>
      <c r="N67" s="1538"/>
      <c r="O67" s="1538"/>
      <c r="P67" s="1538"/>
      <c r="Q67" s="1538"/>
      <c r="R67" s="1538"/>
      <c r="S67" s="1538"/>
    </row>
    <row r="68" spans="1:19" s="2" customFormat="1" ht="16.5" thickTop="1" thickBot="1">
      <c r="A68" s="726" t="s">
        <v>574</v>
      </c>
      <c r="B68" s="727"/>
      <c r="C68" s="12"/>
      <c r="D68" s="12"/>
      <c r="E68" s="12"/>
      <c r="F68" s="12"/>
      <c r="G68" s="13"/>
      <c r="H68" s="21"/>
      <c r="I68" s="21"/>
      <c r="J68" s="21"/>
      <c r="K68" s="21"/>
      <c r="L68" s="21"/>
      <c r="M68" s="21"/>
      <c r="N68" s="21"/>
      <c r="O68" s="21"/>
      <c r="P68" s="21"/>
      <c r="Q68" s="21"/>
      <c r="R68" s="21"/>
      <c r="S68" s="21"/>
    </row>
    <row r="69" spans="1:19" s="2" customFormat="1" ht="15.75" thickTop="1">
      <c r="A69" s="1535"/>
      <c r="B69" s="862"/>
      <c r="C69" s="1536"/>
      <c r="D69" s="1536"/>
      <c r="E69" s="1536"/>
      <c r="F69" s="1536"/>
      <c r="G69" s="1537"/>
      <c r="H69" s="1538"/>
      <c r="I69" s="1538"/>
      <c r="J69" s="1538"/>
      <c r="K69" s="1538"/>
      <c r="L69" s="1538"/>
      <c r="M69" s="1538"/>
      <c r="N69" s="1538"/>
      <c r="O69" s="1538"/>
      <c r="P69" s="1538"/>
      <c r="Q69" s="1538"/>
      <c r="R69" s="1538"/>
      <c r="S69" s="1538"/>
    </row>
    <row r="70" spans="1:19" s="2" customFormat="1">
      <c r="A70" s="1535"/>
      <c r="B70" s="862"/>
      <c r="C70" s="1536"/>
      <c r="D70" s="1536"/>
      <c r="E70" s="1536"/>
      <c r="F70" s="1536"/>
      <c r="G70" s="1537"/>
      <c r="H70" s="1538"/>
      <c r="I70" s="1538"/>
      <c r="J70" s="1538"/>
      <c r="K70" s="1538"/>
      <c r="L70" s="1538"/>
      <c r="M70" s="1538"/>
      <c r="N70" s="1538"/>
      <c r="O70" s="1538"/>
      <c r="P70" s="1538"/>
      <c r="Q70" s="1538"/>
      <c r="R70" s="1538"/>
      <c r="S70" s="1538"/>
    </row>
    <row r="71" spans="1:19" ht="15.75" thickBot="1">
      <c r="A71" s="1535"/>
      <c r="B71" s="862"/>
      <c r="C71" s="1536"/>
      <c r="D71" s="1536"/>
      <c r="E71" s="1536"/>
      <c r="F71" s="1536"/>
      <c r="G71" s="1537"/>
      <c r="H71" s="1538"/>
      <c r="I71" s="1538"/>
      <c r="J71" s="1538"/>
      <c r="K71" s="1538"/>
      <c r="L71" s="1538"/>
      <c r="M71" s="1538"/>
      <c r="N71" s="1538"/>
      <c r="O71" s="1538"/>
      <c r="P71" s="1538"/>
      <c r="Q71" s="1538"/>
      <c r="R71" s="1538"/>
      <c r="S71" s="1538"/>
    </row>
    <row r="72" spans="1:19" s="2" customFormat="1" ht="16.5" thickTop="1" thickBot="1">
      <c r="A72" s="726" t="s">
        <v>575</v>
      </c>
      <c r="B72" s="727"/>
      <c r="C72" s="12"/>
      <c r="D72" s="12"/>
      <c r="E72" s="12"/>
      <c r="F72" s="12"/>
      <c r="G72" s="13"/>
      <c r="H72" s="21"/>
      <c r="I72" s="21"/>
      <c r="J72" s="21"/>
      <c r="K72" s="21"/>
      <c r="L72" s="21"/>
      <c r="M72" s="21"/>
      <c r="N72" s="21"/>
      <c r="O72" s="21"/>
      <c r="P72" s="21"/>
      <c r="Q72" s="21"/>
      <c r="R72" s="21"/>
      <c r="S72" s="21"/>
    </row>
    <row r="73" spans="1:19" s="2" customFormat="1" ht="15.75" thickTop="1">
      <c r="A73" s="1535"/>
      <c r="B73" s="862"/>
      <c r="C73" s="1536"/>
      <c r="D73" s="1536"/>
      <c r="E73" s="1536"/>
      <c r="F73" s="1536"/>
      <c r="G73" s="1537"/>
      <c r="H73" s="1538"/>
      <c r="I73" s="1538"/>
      <c r="J73" s="1538"/>
      <c r="K73" s="1538"/>
      <c r="L73" s="1538"/>
      <c r="M73" s="1538"/>
      <c r="N73" s="1538"/>
      <c r="O73" s="1538"/>
      <c r="P73" s="1538"/>
      <c r="Q73" s="1538"/>
      <c r="R73" s="1538"/>
      <c r="S73" s="1538"/>
    </row>
    <row r="74" spans="1:19" s="2" customFormat="1">
      <c r="A74" s="628"/>
      <c r="B74" s="862"/>
      <c r="C74" s="1124"/>
      <c r="D74" s="1124"/>
      <c r="E74" s="1124"/>
      <c r="F74" s="1124"/>
      <c r="G74" s="1133"/>
      <c r="H74" s="604"/>
      <c r="I74" s="604"/>
      <c r="J74" s="604"/>
      <c r="K74" s="604"/>
      <c r="L74" s="604"/>
      <c r="M74" s="604"/>
      <c r="N74" s="604"/>
      <c r="O74" s="604"/>
      <c r="P74" s="604"/>
      <c r="Q74" s="604"/>
      <c r="R74" s="604"/>
      <c r="S74" s="604"/>
    </row>
    <row r="75" spans="1:19" s="2" customFormat="1" ht="15.75" thickBot="1">
      <c r="A75" s="625"/>
      <c r="B75" s="1171"/>
      <c r="C75" s="1124"/>
      <c r="D75" s="1124"/>
      <c r="E75" s="1124"/>
      <c r="F75" s="1124"/>
      <c r="G75" s="1133"/>
      <c r="H75" s="605"/>
      <c r="I75" s="605"/>
      <c r="J75" s="605"/>
      <c r="K75" s="605"/>
      <c r="L75" s="605"/>
      <c r="M75" s="605"/>
      <c r="N75" s="605"/>
      <c r="O75" s="605"/>
      <c r="P75" s="605"/>
      <c r="Q75" s="605"/>
      <c r="R75" s="605"/>
      <c r="S75" s="605"/>
    </row>
    <row r="76" spans="1:19" s="2" customFormat="1" ht="16.5" thickTop="1" thickBot="1">
      <c r="A76" s="726" t="s">
        <v>576</v>
      </c>
      <c r="B76" s="727"/>
      <c r="C76" s="12"/>
      <c r="D76" s="12"/>
      <c r="E76" s="12"/>
      <c r="F76" s="12"/>
      <c r="G76" s="13"/>
      <c r="H76" s="21"/>
      <c r="I76" s="21"/>
      <c r="J76" s="21"/>
      <c r="K76" s="21"/>
      <c r="L76" s="21"/>
      <c r="M76" s="21"/>
      <c r="N76" s="21"/>
      <c r="O76" s="21"/>
      <c r="P76" s="21"/>
      <c r="Q76" s="21"/>
      <c r="R76" s="21"/>
      <c r="S76" s="21"/>
    </row>
    <row r="77" spans="1:19" ht="15.75" thickTop="1">
      <c r="A77" s="1539"/>
      <c r="B77" s="1540"/>
      <c r="C77" s="1536"/>
      <c r="D77" s="1536"/>
      <c r="E77" s="1536"/>
      <c r="F77" s="1536"/>
      <c r="G77" s="1537"/>
      <c r="H77" s="1538"/>
      <c r="I77" s="1538"/>
      <c r="J77" s="1538"/>
      <c r="K77" s="1538"/>
      <c r="L77" s="1538"/>
      <c r="M77" s="1538"/>
      <c r="N77" s="1538"/>
      <c r="O77" s="1538"/>
      <c r="P77" s="1538"/>
      <c r="Q77" s="1538"/>
      <c r="R77" s="1538"/>
      <c r="S77" s="1538"/>
    </row>
    <row r="78" spans="1:19">
      <c r="A78" s="625"/>
      <c r="B78" s="1171"/>
      <c r="C78" s="1124"/>
      <c r="D78" s="1124"/>
      <c r="E78" s="1124"/>
      <c r="F78" s="1124"/>
      <c r="G78" s="1133"/>
      <c r="H78" s="606"/>
      <c r="I78" s="606"/>
      <c r="J78" s="606"/>
      <c r="K78" s="606"/>
      <c r="L78" s="606"/>
      <c r="M78" s="606"/>
      <c r="N78" s="606"/>
      <c r="O78" s="606"/>
      <c r="P78" s="606"/>
      <c r="Q78" s="606"/>
      <c r="R78" s="606"/>
      <c r="S78" s="606"/>
    </row>
    <row r="79" spans="1:19" ht="15.75" thickBot="1">
      <c r="A79" s="625"/>
      <c r="B79" s="1171"/>
      <c r="C79" s="1124"/>
      <c r="D79" s="1124"/>
      <c r="E79" s="1124"/>
      <c r="F79" s="1124"/>
      <c r="G79" s="1133"/>
      <c r="H79" s="606"/>
      <c r="I79" s="606"/>
      <c r="J79" s="606"/>
      <c r="K79" s="606"/>
      <c r="L79" s="606"/>
      <c r="M79" s="606"/>
      <c r="N79" s="606"/>
      <c r="O79" s="606"/>
      <c r="P79" s="606"/>
      <c r="Q79" s="606"/>
      <c r="R79" s="606"/>
      <c r="S79" s="606"/>
    </row>
    <row r="80" spans="1:19" ht="16.5" thickTop="1" thickBot="1">
      <c r="A80" s="726" t="s">
        <v>577</v>
      </c>
      <c r="B80" s="727"/>
      <c r="C80" s="12"/>
      <c r="D80" s="12"/>
      <c r="E80" s="12"/>
      <c r="F80" s="12"/>
      <c r="G80" s="13"/>
      <c r="H80" s="21"/>
      <c r="I80" s="21"/>
      <c r="J80" s="21"/>
      <c r="K80" s="21"/>
      <c r="L80" s="21"/>
      <c r="M80" s="21"/>
      <c r="N80" s="21"/>
      <c r="O80" s="21"/>
      <c r="P80" s="21"/>
      <c r="Q80" s="21"/>
      <c r="R80" s="21"/>
      <c r="S80" s="21"/>
    </row>
    <row r="81" spans="1:19" ht="15.75" thickTop="1">
      <c r="A81" s="628"/>
      <c r="B81" s="862" t="s">
        <v>578</v>
      </c>
      <c r="C81" s="1124"/>
      <c r="D81" s="1124"/>
      <c r="E81" s="1124"/>
      <c r="F81" s="1124"/>
      <c r="G81" s="1133"/>
      <c r="H81" s="606"/>
      <c r="I81" s="606"/>
      <c r="J81" s="606"/>
      <c r="K81" s="606"/>
      <c r="L81" s="606"/>
      <c r="M81" s="606"/>
      <c r="N81" s="606"/>
      <c r="O81" s="606"/>
      <c r="P81" s="606"/>
      <c r="Q81" s="606"/>
      <c r="R81" s="606"/>
      <c r="S81" s="606"/>
    </row>
    <row r="82" spans="1:19">
      <c r="A82" s="628"/>
      <c r="B82" s="862" t="s">
        <v>579</v>
      </c>
      <c r="C82" s="1124"/>
      <c r="D82" s="1124"/>
      <c r="E82" s="1124"/>
      <c r="F82" s="1124"/>
      <c r="G82" s="1133"/>
      <c r="H82" s="606"/>
      <c r="I82" s="606"/>
      <c r="J82" s="606"/>
      <c r="K82" s="606"/>
      <c r="L82" s="606"/>
      <c r="M82" s="606"/>
      <c r="N82" s="606"/>
      <c r="O82" s="606"/>
      <c r="P82" s="606"/>
      <c r="Q82" s="606"/>
      <c r="R82" s="606"/>
      <c r="S82" s="606"/>
    </row>
    <row r="83" spans="1:19">
      <c r="A83" s="628"/>
      <c r="B83" s="862" t="s">
        <v>580</v>
      </c>
      <c r="C83" s="1124"/>
      <c r="D83" s="1124"/>
      <c r="E83" s="1124"/>
      <c r="F83" s="1124"/>
      <c r="G83" s="1133"/>
      <c r="H83" s="606"/>
      <c r="I83" s="606"/>
      <c r="J83" s="606"/>
      <c r="K83" s="606"/>
      <c r="L83" s="606"/>
      <c r="M83" s="606"/>
      <c r="N83" s="606"/>
      <c r="O83" s="606"/>
      <c r="P83" s="606"/>
      <c r="Q83" s="606"/>
      <c r="R83" s="606"/>
      <c r="S83" s="606"/>
    </row>
    <row r="84" spans="1:19">
      <c r="A84" s="628"/>
      <c r="B84" s="862" t="s">
        <v>581</v>
      </c>
      <c r="C84" s="1124"/>
      <c r="D84" s="1124"/>
      <c r="E84" s="1124"/>
      <c r="F84" s="1124"/>
      <c r="G84" s="1133"/>
      <c r="H84" s="606"/>
      <c r="I84" s="606"/>
      <c r="J84" s="606"/>
      <c r="K84" s="606"/>
      <c r="L84" s="606"/>
      <c r="M84" s="606"/>
      <c r="N84" s="606"/>
      <c r="O84" s="606"/>
      <c r="P84" s="606"/>
      <c r="Q84" s="606"/>
      <c r="R84" s="606"/>
      <c r="S84" s="606"/>
    </row>
    <row r="85" spans="1:19" ht="15.75" thickBot="1">
      <c r="A85" s="416"/>
      <c r="B85" s="295"/>
      <c r="C85" s="184"/>
      <c r="D85" s="184"/>
      <c r="E85" s="184"/>
      <c r="F85" s="184"/>
      <c r="G85" s="296"/>
      <c r="H85" s="418"/>
      <c r="I85" s="418"/>
      <c r="J85" s="418"/>
      <c r="K85" s="418"/>
      <c r="L85" s="418"/>
      <c r="M85" s="418"/>
      <c r="N85" s="418"/>
      <c r="O85" s="418"/>
      <c r="P85" s="418"/>
      <c r="Q85" s="418"/>
      <c r="R85" s="418"/>
      <c r="S85" s="418"/>
    </row>
    <row r="86" spans="1:19" ht="16.5" thickTop="1" thickBot="1">
      <c r="A86" s="7" t="s">
        <v>582</v>
      </c>
      <c r="B86" s="8"/>
      <c r="C86" s="12"/>
      <c r="D86" s="12"/>
      <c r="E86" s="12"/>
      <c r="F86" s="12"/>
      <c r="G86" s="13"/>
      <c r="H86" s="21"/>
      <c r="I86" s="21"/>
      <c r="J86" s="21"/>
      <c r="K86" s="21"/>
      <c r="L86" s="21"/>
      <c r="M86" s="21"/>
      <c r="N86" s="21"/>
      <c r="O86" s="21"/>
      <c r="P86" s="21"/>
      <c r="Q86" s="21"/>
      <c r="R86" s="21"/>
      <c r="S86" s="21"/>
    </row>
    <row r="87" spans="1:19" ht="15.75" thickTop="1">
      <c r="A87" s="1535"/>
      <c r="B87" s="1541" t="s">
        <v>583</v>
      </c>
      <c r="C87" s="1536"/>
      <c r="D87" s="1536"/>
      <c r="E87" s="1536"/>
      <c r="F87" s="1536"/>
      <c r="G87" s="1537"/>
      <c r="H87" s="1542"/>
      <c r="I87" s="1542"/>
      <c r="J87" s="1542"/>
      <c r="K87" s="1542"/>
      <c r="L87" s="1542"/>
      <c r="M87" s="1542"/>
      <c r="N87" s="1542"/>
      <c r="O87" s="1542"/>
      <c r="P87" s="1542"/>
      <c r="Q87" s="1542"/>
      <c r="R87" s="1542"/>
      <c r="S87" s="1542"/>
    </row>
    <row r="88" spans="1:19">
      <c r="A88" s="628"/>
      <c r="B88" s="862" t="s">
        <v>584</v>
      </c>
      <c r="C88" s="1124"/>
      <c r="D88" s="1124"/>
      <c r="E88" s="1124"/>
      <c r="F88" s="1124"/>
      <c r="G88" s="1133"/>
      <c r="H88" s="618"/>
      <c r="I88" s="618"/>
      <c r="J88" s="618"/>
      <c r="K88" s="618"/>
      <c r="L88" s="618"/>
      <c r="M88" s="618"/>
      <c r="N88" s="618"/>
      <c r="O88" s="618"/>
      <c r="P88" s="618"/>
      <c r="Q88" s="618"/>
      <c r="R88" s="618"/>
      <c r="S88" s="618"/>
    </row>
    <row r="89" spans="1:19" ht="15.75" thickBot="1">
      <c r="A89" s="607"/>
      <c r="B89" s="608" t="s">
        <v>585</v>
      </c>
      <c r="C89" s="609"/>
      <c r="D89" s="609"/>
      <c r="E89" s="609"/>
      <c r="F89" s="609"/>
      <c r="G89" s="610"/>
      <c r="H89" s="611"/>
      <c r="I89" s="611"/>
      <c r="J89" s="611"/>
      <c r="K89" s="611"/>
      <c r="L89" s="611"/>
      <c r="M89" s="611"/>
      <c r="N89" s="611"/>
      <c r="O89" s="611"/>
      <c r="P89" s="611"/>
      <c r="Q89" s="611"/>
      <c r="R89" s="611"/>
      <c r="S89" s="611"/>
    </row>
    <row r="90" spans="1:19" ht="16.5" thickTop="1" thickBot="1"/>
    <row r="91" spans="1:19" ht="16.5" thickTop="1" thickBot="1">
      <c r="A91" s="92" t="s">
        <v>586</v>
      </c>
      <c r="B91" s="94"/>
    </row>
    <row r="92" spans="1:19" ht="15.75" thickTop="1">
      <c r="A92" s="93" t="s">
        <v>487</v>
      </c>
      <c r="B92" s="612"/>
    </row>
    <row r="93" spans="1:19">
      <c r="A93" s="626" t="s">
        <v>491</v>
      </c>
      <c r="B93" s="612"/>
    </row>
    <row r="94" spans="1:19">
      <c r="A94" s="613" t="s">
        <v>494</v>
      </c>
      <c r="B94" s="614"/>
    </row>
    <row r="95" spans="1:19">
      <c r="A95" s="613" t="s">
        <v>497</v>
      </c>
      <c r="B95" s="622"/>
    </row>
    <row r="96" spans="1:19" ht="15.75" thickBot="1">
      <c r="A96" s="615" t="s">
        <v>587</v>
      </c>
      <c r="B96" s="616">
        <f>H8</f>
        <v>624269.9</v>
      </c>
    </row>
    <row r="97" spans="1:2" ht="15.75" thickTop="1"/>
    <row r="98" spans="1:2">
      <c r="A98" s="95"/>
      <c r="B98" s="1" t="s">
        <v>588</v>
      </c>
    </row>
    <row r="99" spans="1:2">
      <c r="A99" s="96"/>
      <c r="B99" s="1" t="s">
        <v>589</v>
      </c>
    </row>
  </sheetData>
  <mergeCells count="47">
    <mergeCell ref="L4:M4"/>
    <mergeCell ref="P7:Q7"/>
    <mergeCell ref="P8:Q8"/>
    <mergeCell ref="P2:Q2"/>
    <mergeCell ref="P3:Q3"/>
    <mergeCell ref="P4:Q4"/>
    <mergeCell ref="P5:Q5"/>
    <mergeCell ref="P6:Q6"/>
    <mergeCell ref="N3:O3"/>
    <mergeCell ref="N2:O2"/>
    <mergeCell ref="H4:I4"/>
    <mergeCell ref="H5:I5"/>
    <mergeCell ref="H6:I6"/>
    <mergeCell ref="J4:K4"/>
    <mergeCell ref="J5:K5"/>
    <mergeCell ref="J6:K6"/>
    <mergeCell ref="H2:I2"/>
    <mergeCell ref="J2:K2"/>
    <mergeCell ref="L2:M2"/>
    <mergeCell ref="H3:I3"/>
    <mergeCell ref="J3:K3"/>
    <mergeCell ref="L3:M3"/>
    <mergeCell ref="R8:S8"/>
    <mergeCell ref="N7:O7"/>
    <mergeCell ref="H8:I8"/>
    <mergeCell ref="J8:K8"/>
    <mergeCell ref="L8:M8"/>
    <mergeCell ref="N8:O8"/>
    <mergeCell ref="H7:I7"/>
    <mergeCell ref="J7:K7"/>
    <mergeCell ref="R6:S6"/>
    <mergeCell ref="L5:M5"/>
    <mergeCell ref="L6:M6"/>
    <mergeCell ref="L7:M7"/>
    <mergeCell ref="R7:S7"/>
    <mergeCell ref="N5:O5"/>
    <mergeCell ref="N6:O6"/>
    <mergeCell ref="R2:S2"/>
    <mergeCell ref="R3:S3"/>
    <mergeCell ref="R4:S4"/>
    <mergeCell ref="N4:O4"/>
    <mergeCell ref="R5:S5"/>
    <mergeCell ref="A64:B64"/>
    <mergeCell ref="A68:B68"/>
    <mergeCell ref="A72:B72"/>
    <mergeCell ref="A76:B76"/>
    <mergeCell ref="A80:B80"/>
  </mergeCells>
  <conditionalFormatting sqref="H20:H30">
    <cfRule type="cellIs" dxfId="1513" priority="27" operator="equal">
      <formula>"X"</formula>
    </cfRule>
    <cfRule type="cellIs" dxfId="1512" priority="28" operator="equal">
      <formula>"I"</formula>
    </cfRule>
  </conditionalFormatting>
  <conditionalFormatting sqref="H32:H55">
    <cfRule type="cellIs" dxfId="1511" priority="1" operator="equal">
      <formula>"X"</formula>
    </cfRule>
    <cfRule type="cellIs" dxfId="1510" priority="2" operator="equal">
      <formula>"I"</formula>
    </cfRule>
  </conditionalFormatting>
  <conditionalFormatting sqref="J20:J30">
    <cfRule type="cellIs" dxfId="1509" priority="29" operator="equal">
      <formula>"X"</formula>
    </cfRule>
    <cfRule type="cellIs" dxfId="1508" priority="30" operator="equal">
      <formula>"I"</formula>
    </cfRule>
  </conditionalFormatting>
  <conditionalFormatting sqref="J32:J55">
    <cfRule type="cellIs" dxfId="1507" priority="17" operator="equal">
      <formula>"X"</formula>
    </cfRule>
    <cfRule type="cellIs" dxfId="1506" priority="18" operator="equal">
      <formula>"I"</formula>
    </cfRule>
  </conditionalFormatting>
  <conditionalFormatting sqref="L20:L30">
    <cfRule type="cellIs" dxfId="1505" priority="31" operator="equal">
      <formula>"X"</formula>
    </cfRule>
    <cfRule type="cellIs" dxfId="1504" priority="32" operator="equal">
      <formula>"I"</formula>
    </cfRule>
  </conditionalFormatting>
  <conditionalFormatting sqref="L32:L55">
    <cfRule type="cellIs" dxfId="1503" priority="19" operator="equal">
      <formula>"X"</formula>
    </cfRule>
    <cfRule type="cellIs" dxfId="1502" priority="20" operator="equal">
      <formula>"I"</formula>
    </cfRule>
  </conditionalFormatting>
  <conditionalFormatting sqref="N20:N30">
    <cfRule type="cellIs" dxfId="1501" priority="33" operator="equal">
      <formula>"X"</formula>
    </cfRule>
    <cfRule type="cellIs" dxfId="1500" priority="34" operator="equal">
      <formula>"I"</formula>
    </cfRule>
  </conditionalFormatting>
  <conditionalFormatting sqref="N32:N55">
    <cfRule type="cellIs" dxfId="1499" priority="21" operator="equal">
      <formula>"X"</formula>
    </cfRule>
    <cfRule type="cellIs" dxfId="1498" priority="22" operator="equal">
      <formula>"I"</formula>
    </cfRule>
  </conditionalFormatting>
  <conditionalFormatting sqref="P20:P30">
    <cfRule type="cellIs" dxfId="1497" priority="35" operator="equal">
      <formula>"X"</formula>
    </cfRule>
    <cfRule type="cellIs" dxfId="1496" priority="36" operator="equal">
      <formula>"I"</formula>
    </cfRule>
  </conditionalFormatting>
  <conditionalFormatting sqref="P32:P55">
    <cfRule type="cellIs" dxfId="1495" priority="23" operator="equal">
      <formula>"X"</formula>
    </cfRule>
    <cfRule type="cellIs" dxfId="1494" priority="24" operator="equal">
      <formula>"I"</formula>
    </cfRule>
  </conditionalFormatting>
  <conditionalFormatting sqref="R20:R30">
    <cfRule type="cellIs" dxfId="1493" priority="37" operator="equal">
      <formula>"X"</formula>
    </cfRule>
    <cfRule type="cellIs" dxfId="1492" priority="38" operator="equal">
      <formula>"I"</formula>
    </cfRule>
  </conditionalFormatting>
  <conditionalFormatting sqref="R32:R55">
    <cfRule type="cellIs" dxfId="1491" priority="25" operator="equal">
      <formula>"X"</formula>
    </cfRule>
    <cfRule type="cellIs" dxfId="1490" priority="26" operator="equal">
      <formula>"I"</formula>
    </cfRule>
  </conditionalFormatting>
  <hyperlinks>
    <hyperlink ref="B3" location="'Cost Summary'!A1" display="BACK TO SUMMARY SHEET" xr:uid="{91374235-4D89-40FB-8FC6-9BC026930E26}"/>
  </hyperlinks>
  <printOptions horizontalCentered="1"/>
  <pageMargins left="0.7" right="0.7" top="0.75" bottom="0.75" header="0.3" footer="0.3"/>
  <pageSetup scale="57"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17F0-DF7E-47F2-9240-421D23A75636}">
  <sheetPr>
    <tabColor rgb="FF92D050"/>
  </sheetPr>
  <dimension ref="A1:S91"/>
  <sheetViews>
    <sheetView zoomScale="96" zoomScaleNormal="96"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49"/>
      <c r="I2" s="749"/>
      <c r="J2" s="732"/>
      <c r="K2" s="732"/>
      <c r="L2" s="749"/>
      <c r="M2" s="749"/>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827</v>
      </c>
      <c r="C5" s="1124"/>
      <c r="D5" s="1124"/>
      <c r="E5" s="1124"/>
      <c r="F5" s="1124"/>
      <c r="G5" s="1125" t="s">
        <v>491</v>
      </c>
      <c r="H5" s="1564"/>
      <c r="I5" s="1565"/>
      <c r="J5" s="1564"/>
      <c r="K5" s="1565"/>
      <c r="L5" s="1564"/>
      <c r="M5" s="1565"/>
      <c r="N5" s="1564"/>
      <c r="O5" s="1565"/>
      <c r="P5" s="1564"/>
      <c r="Q5" s="1565"/>
      <c r="R5" s="1564"/>
      <c r="S5" s="1565"/>
    </row>
    <row r="6" spans="1:19">
      <c r="A6" s="627" t="s">
        <v>493</v>
      </c>
      <c r="B6" s="1127" t="s">
        <v>828</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ht="15.75" thickBot="1">
      <c r="A8" s="414" t="s">
        <v>499</v>
      </c>
      <c r="B8" s="295"/>
      <c r="C8" s="184"/>
      <c r="D8" s="184"/>
      <c r="E8" s="184"/>
      <c r="F8" s="184"/>
      <c r="G8" s="419" t="s">
        <v>499</v>
      </c>
      <c r="H8" s="774">
        <f>I52</f>
        <v>0</v>
      </c>
      <c r="I8" s="775"/>
      <c r="J8" s="774">
        <f>K52</f>
        <v>0</v>
      </c>
      <c r="K8" s="775"/>
      <c r="L8" s="774">
        <f>M52</f>
        <v>0</v>
      </c>
      <c r="M8" s="775"/>
      <c r="N8" s="774">
        <f>O52</f>
        <v>0</v>
      </c>
      <c r="O8" s="775"/>
      <c r="P8" s="774">
        <f>Q52</f>
        <v>0</v>
      </c>
      <c r="Q8" s="775"/>
      <c r="R8" s="774">
        <f>S52</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43"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1535"/>
      <c r="B21" s="1136" t="s">
        <v>827</v>
      </c>
      <c r="C21" s="1134"/>
      <c r="D21" s="1124"/>
      <c r="E21" s="1124"/>
      <c r="F21" s="1124"/>
      <c r="G21" s="1133"/>
      <c r="H21" s="590"/>
      <c r="I21" s="1544"/>
      <c r="J21" s="590"/>
      <c r="K21" s="1544"/>
      <c r="L21" s="590"/>
      <c r="M21" s="1544"/>
      <c r="N21" s="590"/>
      <c r="O21" s="1544"/>
      <c r="P21" s="590"/>
      <c r="Q21" s="1544"/>
      <c r="R21" s="590"/>
      <c r="S21" s="1544"/>
    </row>
    <row r="22" spans="1:19" ht="15.75" thickBot="1">
      <c r="A22" s="1545"/>
      <c r="B22" s="374" t="s">
        <v>512</v>
      </c>
      <c r="C22" s="1134"/>
      <c r="D22" s="1124"/>
      <c r="E22" s="1124"/>
      <c r="F22" s="1124"/>
      <c r="G22" s="1133"/>
      <c r="H22" s="590"/>
      <c r="I22" s="1546"/>
      <c r="J22" s="590"/>
      <c r="K22" s="1546"/>
      <c r="L22" s="590"/>
      <c r="M22" s="1546"/>
      <c r="N22" s="590"/>
      <c r="O22" s="1546"/>
      <c r="P22" s="590"/>
      <c r="Q22" s="1546"/>
      <c r="R22" s="590"/>
      <c r="S22" s="1546"/>
    </row>
    <row r="23" spans="1:19">
      <c r="A23" s="1545"/>
      <c r="B23" s="647" t="s">
        <v>513</v>
      </c>
      <c r="C23" s="1134"/>
      <c r="D23" s="1124"/>
      <c r="E23" s="1124"/>
      <c r="F23" s="1124"/>
      <c r="G23" s="1133"/>
      <c r="H23" s="590"/>
      <c r="I23" s="1546"/>
      <c r="J23" s="590"/>
      <c r="K23" s="1546"/>
      <c r="L23" s="590"/>
      <c r="M23" s="1546"/>
      <c r="N23" s="590"/>
      <c r="O23" s="1546"/>
      <c r="P23" s="590"/>
      <c r="Q23" s="1424"/>
      <c r="R23" s="590"/>
      <c r="S23" s="1424"/>
    </row>
    <row r="24" spans="1:19">
      <c r="A24" s="623"/>
      <c r="B24" s="1575" t="s">
        <v>514</v>
      </c>
      <c r="C24" s="1124"/>
      <c r="D24" s="1124"/>
      <c r="E24" s="1124"/>
      <c r="F24" s="1124"/>
      <c r="G24" s="1133"/>
      <c r="H24" s="590"/>
      <c r="I24" s="1424"/>
      <c r="J24" s="590"/>
      <c r="K24" s="1424"/>
      <c r="L24" s="590"/>
      <c r="M24" s="1424"/>
      <c r="N24" s="590"/>
      <c r="O24" s="1546"/>
      <c r="P24" s="590"/>
      <c r="Q24" s="1546"/>
      <c r="R24" s="590"/>
      <c r="S24" s="1546"/>
    </row>
    <row r="25" spans="1:19">
      <c r="A25" s="1545"/>
      <c r="B25" s="1576" t="s">
        <v>515</v>
      </c>
      <c r="C25" s="1124"/>
      <c r="D25" s="1124"/>
      <c r="E25" s="1124"/>
      <c r="F25" s="1124"/>
      <c r="G25" s="1133"/>
      <c r="H25" s="590"/>
      <c r="I25" s="1424"/>
      <c r="J25" s="590"/>
      <c r="K25" s="1424"/>
      <c r="L25" s="590"/>
      <c r="M25" s="1424"/>
      <c r="N25" s="590"/>
      <c r="O25" s="1546"/>
      <c r="P25" s="590"/>
      <c r="Q25" s="1546"/>
      <c r="R25" s="590"/>
      <c r="S25" s="1546"/>
    </row>
    <row r="26" spans="1:19">
      <c r="A26" s="623"/>
      <c r="B26" s="1576" t="s">
        <v>516</v>
      </c>
      <c r="C26" s="1124"/>
      <c r="D26" s="1124"/>
      <c r="E26" s="1124"/>
      <c r="F26" s="1124"/>
      <c r="G26" s="1133"/>
      <c r="H26" s="590"/>
      <c r="I26" s="1424"/>
      <c r="J26" s="590"/>
      <c r="K26" s="1424"/>
      <c r="L26" s="590"/>
      <c r="M26" s="1424"/>
      <c r="N26" s="590"/>
      <c r="O26" s="1546"/>
      <c r="P26" s="590"/>
      <c r="Q26" s="1546"/>
      <c r="R26" s="590"/>
      <c r="S26" s="1546"/>
    </row>
    <row r="27" spans="1:19">
      <c r="A27" s="1545"/>
      <c r="B27" s="1576" t="s">
        <v>517</v>
      </c>
      <c r="C27" s="1124"/>
      <c r="D27" s="1124"/>
      <c r="E27" s="1124"/>
      <c r="F27" s="1124"/>
      <c r="G27" s="1133"/>
      <c r="H27" s="590"/>
      <c r="I27" s="1424"/>
      <c r="J27" s="590"/>
      <c r="K27" s="1424"/>
      <c r="L27" s="590"/>
      <c r="M27" s="1424"/>
      <c r="N27" s="590"/>
      <c r="O27" s="1546"/>
      <c r="P27" s="590"/>
      <c r="Q27" s="1546"/>
      <c r="R27" s="590"/>
      <c r="S27" s="1546"/>
    </row>
    <row r="28" spans="1:19">
      <c r="A28" s="1545"/>
      <c r="B28" s="1576" t="s">
        <v>518</v>
      </c>
      <c r="C28" s="1124"/>
      <c r="D28" s="1124"/>
      <c r="E28" s="1124"/>
      <c r="F28" s="1124"/>
      <c r="G28" s="1133"/>
      <c r="H28" s="590"/>
      <c r="I28" s="1424"/>
      <c r="J28" s="590"/>
      <c r="K28" s="1424"/>
      <c r="L28" s="590"/>
      <c r="M28" s="1424"/>
      <c r="N28" s="590"/>
      <c r="O28" s="1546"/>
      <c r="P28" s="590"/>
      <c r="Q28" s="1546"/>
      <c r="R28" s="590"/>
      <c r="S28" s="1546"/>
    </row>
    <row r="29" spans="1:19">
      <c r="A29" s="1545"/>
      <c r="B29" s="1576" t="s">
        <v>693</v>
      </c>
      <c r="C29" s="1124"/>
      <c r="D29" s="1124"/>
      <c r="E29" s="1124"/>
      <c r="F29" s="1124"/>
      <c r="G29" s="1133"/>
      <c r="H29" s="590"/>
      <c r="I29" s="1424"/>
      <c r="J29" s="590"/>
      <c r="K29" s="1424"/>
      <c r="L29" s="590"/>
      <c r="M29" s="1424"/>
      <c r="N29" s="590"/>
      <c r="O29" s="1546"/>
      <c r="P29" s="590"/>
      <c r="Q29" s="1546"/>
      <c r="R29" s="590"/>
      <c r="S29" s="1546"/>
    </row>
    <row r="30" spans="1:19">
      <c r="A30" s="1545"/>
      <c r="B30" s="1577" t="s">
        <v>519</v>
      </c>
      <c r="C30" s="1124"/>
      <c r="D30" s="1124"/>
      <c r="E30" s="1124"/>
      <c r="F30" s="1124"/>
      <c r="G30" s="1133"/>
      <c r="H30" s="590"/>
      <c r="I30" s="1424"/>
      <c r="J30" s="590"/>
      <c r="K30" s="1424"/>
      <c r="L30" s="590"/>
      <c r="M30" s="1424"/>
      <c r="N30" s="590"/>
      <c r="O30" s="1546"/>
      <c r="P30" s="590"/>
      <c r="Q30" s="1546"/>
      <c r="R30" s="590"/>
      <c r="S30" s="1546"/>
    </row>
    <row r="31" spans="1:19">
      <c r="A31" s="1545"/>
      <c r="B31" s="1578" t="s">
        <v>520</v>
      </c>
      <c r="C31" s="1145"/>
      <c r="D31" s="1145"/>
      <c r="E31" s="1145"/>
      <c r="F31" s="1145"/>
      <c r="G31" s="1147"/>
      <c r="H31" s="619"/>
      <c r="I31" s="1579"/>
      <c r="J31" s="619"/>
      <c r="K31" s="1579"/>
      <c r="L31" s="619"/>
      <c r="M31" s="1579"/>
      <c r="N31" s="619"/>
      <c r="O31" s="1580"/>
      <c r="P31" s="619"/>
      <c r="Q31" s="1580"/>
      <c r="R31" s="619"/>
      <c r="S31" s="1580"/>
    </row>
    <row r="32" spans="1:19">
      <c r="A32" s="1545"/>
      <c r="B32" s="1581" t="s">
        <v>748</v>
      </c>
      <c r="C32" s="1124"/>
      <c r="D32" s="1124"/>
      <c r="E32" s="1124"/>
      <c r="F32" s="1124"/>
      <c r="G32" s="1133"/>
      <c r="H32" s="590"/>
      <c r="I32" s="1424"/>
      <c r="J32" s="590"/>
      <c r="K32" s="1424"/>
      <c r="L32" s="590"/>
      <c r="M32" s="1424"/>
      <c r="N32" s="590"/>
      <c r="O32" s="1546"/>
      <c r="P32" s="590"/>
      <c r="Q32" s="1546"/>
      <c r="R32" s="590"/>
      <c r="S32" s="1546"/>
    </row>
    <row r="33" spans="1:19">
      <c r="A33" s="1545"/>
      <c r="B33" s="1582" t="s">
        <v>288</v>
      </c>
      <c r="C33" s="1124"/>
      <c r="D33" s="1124"/>
      <c r="E33" s="1124"/>
      <c r="F33" s="1124"/>
      <c r="G33" s="1133"/>
      <c r="H33" s="590"/>
      <c r="I33" s="1424"/>
      <c r="J33" s="590"/>
      <c r="K33" s="1424"/>
      <c r="L33" s="590"/>
      <c r="M33" s="1424"/>
      <c r="N33" s="590"/>
      <c r="O33" s="1546"/>
      <c r="P33" s="590"/>
      <c r="Q33" s="1546"/>
      <c r="R33" s="590"/>
      <c r="S33" s="1546"/>
    </row>
    <row r="34" spans="1:19">
      <c r="A34" s="1545"/>
      <c r="B34" s="1581" t="s">
        <v>829</v>
      </c>
      <c r="C34" s="1124"/>
      <c r="D34" s="1124"/>
      <c r="E34" s="1124"/>
      <c r="F34" s="1124"/>
      <c r="G34" s="1133"/>
      <c r="H34" s="590"/>
      <c r="I34" s="1424"/>
      <c r="J34" s="590"/>
      <c r="K34" s="1424"/>
      <c r="L34" s="590"/>
      <c r="M34" s="1424"/>
      <c r="N34" s="590"/>
      <c r="O34" s="1546"/>
      <c r="P34" s="590"/>
      <c r="Q34" s="1546"/>
      <c r="R34" s="590"/>
      <c r="S34" s="1546"/>
    </row>
    <row r="35" spans="1:19">
      <c r="A35" s="1545"/>
      <c r="B35" s="1583" t="s">
        <v>830</v>
      </c>
      <c r="C35" s="1124"/>
      <c r="D35" s="1124"/>
      <c r="E35" s="1124"/>
      <c r="F35" s="1124"/>
      <c r="G35" s="1133"/>
      <c r="H35" s="590" t="s">
        <v>710</v>
      </c>
      <c r="I35" s="1424"/>
      <c r="J35" s="590"/>
      <c r="K35" s="1424"/>
      <c r="L35" s="590"/>
      <c r="M35" s="1424"/>
      <c r="N35" s="590"/>
      <c r="O35" s="1546"/>
      <c r="P35" s="590"/>
      <c r="Q35" s="1546"/>
      <c r="R35" s="590"/>
      <c r="S35" s="1546"/>
    </row>
    <row r="36" spans="1:19">
      <c r="A36" s="1545"/>
      <c r="B36" s="1584" t="s">
        <v>831</v>
      </c>
      <c r="C36" s="1124"/>
      <c r="D36" s="1124"/>
      <c r="E36" s="1124"/>
      <c r="F36" s="1124"/>
      <c r="G36" s="1133"/>
      <c r="H36" s="590"/>
      <c r="I36" s="1424"/>
      <c r="J36" s="590"/>
      <c r="K36" s="1424"/>
      <c r="L36" s="590"/>
      <c r="M36" s="1424"/>
      <c r="N36" s="590"/>
      <c r="O36" s="1546"/>
      <c r="P36" s="590"/>
      <c r="Q36" s="1546"/>
      <c r="R36" s="590"/>
      <c r="S36" s="1546"/>
    </row>
    <row r="37" spans="1:19">
      <c r="A37" s="1545"/>
      <c r="B37" s="1584" t="s">
        <v>832</v>
      </c>
      <c r="C37" s="1124"/>
      <c r="D37" s="1124"/>
      <c r="E37" s="1124"/>
      <c r="F37" s="1124"/>
      <c r="G37" s="1133"/>
      <c r="H37" s="590"/>
      <c r="I37" s="1424"/>
      <c r="J37" s="590"/>
      <c r="K37" s="1424"/>
      <c r="L37" s="590"/>
      <c r="M37" s="1424"/>
      <c r="N37" s="590"/>
      <c r="O37" s="1424"/>
      <c r="P37" s="590"/>
      <c r="Q37" s="1424"/>
      <c r="R37" s="590"/>
      <c r="S37" s="1546"/>
    </row>
    <row r="38" spans="1:19">
      <c r="A38" s="1545"/>
      <c r="B38" s="1583" t="s">
        <v>833</v>
      </c>
      <c r="C38" s="1124"/>
      <c r="D38" s="1124"/>
      <c r="E38" s="1124"/>
      <c r="F38" s="1124"/>
      <c r="G38" s="1133"/>
      <c r="H38" s="590"/>
      <c r="I38" s="1424"/>
      <c r="J38" s="590"/>
      <c r="K38" s="1424"/>
      <c r="L38" s="590"/>
      <c r="M38" s="1424"/>
      <c r="N38" s="590"/>
      <c r="O38" s="1424"/>
      <c r="P38" s="590"/>
      <c r="Q38" s="1424"/>
      <c r="R38" s="590"/>
      <c r="S38" s="1546"/>
    </row>
    <row r="39" spans="1:19">
      <c r="A39" s="1545"/>
      <c r="B39" s="1584" t="s">
        <v>834</v>
      </c>
      <c r="C39" s="1124"/>
      <c r="D39" s="1124"/>
      <c r="E39" s="1124"/>
      <c r="F39" s="1124"/>
      <c r="G39" s="1133"/>
      <c r="H39" s="590"/>
      <c r="I39" s="1424"/>
      <c r="J39" s="590"/>
      <c r="K39" s="1424"/>
      <c r="L39" s="590"/>
      <c r="M39" s="1424"/>
      <c r="N39" s="590"/>
      <c r="O39" s="1424"/>
      <c r="P39" s="590"/>
      <c r="Q39" s="1424"/>
      <c r="R39" s="590"/>
      <c r="S39" s="1546"/>
    </row>
    <row r="40" spans="1:19">
      <c r="A40" s="1545"/>
      <c r="B40" s="1584" t="s">
        <v>835</v>
      </c>
      <c r="C40" s="1124"/>
      <c r="D40" s="1124"/>
      <c r="E40" s="1124"/>
      <c r="F40" s="1124"/>
      <c r="G40" s="1133"/>
      <c r="H40" s="590"/>
      <c r="I40" s="1424"/>
      <c r="J40" s="590"/>
      <c r="K40" s="1424"/>
      <c r="L40" s="590"/>
      <c r="M40" s="1424"/>
      <c r="N40" s="590"/>
      <c r="O40" s="1424"/>
      <c r="P40" s="590"/>
      <c r="Q40" s="1424"/>
      <c r="R40" s="590"/>
      <c r="S40" s="1546"/>
    </row>
    <row r="41" spans="1:19">
      <c r="A41" s="1545"/>
      <c r="B41" s="1584"/>
      <c r="C41" s="1124"/>
      <c r="D41" s="1124"/>
      <c r="E41" s="1124"/>
      <c r="F41" s="1124"/>
      <c r="G41" s="1133"/>
      <c r="H41" s="590"/>
      <c r="I41" s="1424"/>
      <c r="J41" s="590"/>
      <c r="K41" s="1424"/>
      <c r="L41" s="590"/>
      <c r="M41" s="1424"/>
      <c r="N41" s="590"/>
      <c r="O41" s="1424"/>
      <c r="P41" s="590"/>
      <c r="Q41" s="1424"/>
      <c r="R41" s="590"/>
      <c r="S41" s="1546"/>
    </row>
    <row r="42" spans="1:19">
      <c r="A42" s="1545"/>
      <c r="B42" s="1584"/>
      <c r="C42" s="1124"/>
      <c r="D42" s="1124"/>
      <c r="E42" s="1124"/>
      <c r="F42" s="1124"/>
      <c r="G42" s="1133"/>
      <c r="H42" s="590"/>
      <c r="I42" s="1424"/>
      <c r="J42" s="590"/>
      <c r="K42" s="1424"/>
      <c r="L42" s="590"/>
      <c r="M42" s="1424"/>
      <c r="N42" s="590"/>
      <c r="O42" s="1424"/>
      <c r="P42" s="590"/>
      <c r="Q42" s="1424"/>
      <c r="R42" s="590"/>
      <c r="S42" s="1546"/>
    </row>
    <row r="43" spans="1:19">
      <c r="A43" s="1545"/>
      <c r="B43" s="1584"/>
      <c r="C43" s="1124"/>
      <c r="D43" s="1124"/>
      <c r="E43" s="1124"/>
      <c r="F43" s="1124"/>
      <c r="G43" s="1133"/>
      <c r="H43" s="590"/>
      <c r="I43" s="1424"/>
      <c r="J43" s="590"/>
      <c r="K43" s="1424"/>
      <c r="L43" s="590"/>
      <c r="M43" s="1424"/>
      <c r="N43" s="590"/>
      <c r="O43" s="1424"/>
      <c r="P43" s="590"/>
      <c r="Q43" s="1424"/>
      <c r="R43" s="590"/>
      <c r="S43" s="1546"/>
    </row>
    <row r="44" spans="1:19">
      <c r="A44" s="1545"/>
      <c r="B44" s="1584"/>
      <c r="C44" s="1124"/>
      <c r="D44" s="1124"/>
      <c r="E44" s="1124"/>
      <c r="F44" s="1124"/>
      <c r="G44" s="1133"/>
      <c r="H44" s="590"/>
      <c r="I44" s="1424"/>
      <c r="J44" s="590"/>
      <c r="K44" s="1424"/>
      <c r="L44" s="590"/>
      <c r="M44" s="1424"/>
      <c r="N44" s="590"/>
      <c r="O44" s="1424"/>
      <c r="P44" s="590"/>
      <c r="Q44" s="1424"/>
      <c r="R44" s="590"/>
      <c r="S44" s="1546"/>
    </row>
    <row r="45" spans="1:19">
      <c r="A45" s="1545"/>
      <c r="B45" s="1584"/>
      <c r="C45" s="1124"/>
      <c r="D45" s="1124"/>
      <c r="E45" s="1124"/>
      <c r="F45" s="1124"/>
      <c r="G45" s="1133"/>
      <c r="H45" s="590"/>
      <c r="I45" s="1424"/>
      <c r="J45" s="590"/>
      <c r="K45" s="1546"/>
      <c r="L45" s="590"/>
      <c r="M45" s="1424"/>
      <c r="N45" s="590"/>
      <c r="O45" s="1424"/>
      <c r="P45" s="590"/>
      <c r="Q45" s="1424"/>
      <c r="R45" s="590"/>
      <c r="S45" s="1546"/>
    </row>
    <row r="46" spans="1:19">
      <c r="A46" s="623"/>
      <c r="B46" s="1584"/>
      <c r="C46" s="1124"/>
      <c r="D46" s="1124"/>
      <c r="E46" s="1124"/>
      <c r="F46" s="1124"/>
      <c r="G46" s="1133"/>
      <c r="H46" s="590"/>
      <c r="I46" s="1585"/>
      <c r="J46" s="590"/>
      <c r="K46" s="1424"/>
      <c r="L46" s="590"/>
      <c r="M46" s="1424"/>
      <c r="N46" s="590"/>
      <c r="O46" s="1424"/>
      <c r="P46" s="590"/>
      <c r="Q46" s="1546"/>
      <c r="R46" s="590"/>
      <c r="S46" s="1546"/>
    </row>
    <row r="47" spans="1:19" ht="15.75" thickBot="1">
      <c r="A47" s="623"/>
      <c r="B47" s="1584"/>
      <c r="C47" s="184"/>
      <c r="D47" s="184"/>
      <c r="E47" s="184"/>
      <c r="F47" s="184"/>
      <c r="G47" s="296"/>
      <c r="H47" s="590"/>
      <c r="I47" s="1585"/>
      <c r="J47" s="590"/>
      <c r="K47" s="1424"/>
      <c r="L47" s="590"/>
      <c r="M47" s="1424"/>
      <c r="N47" s="590"/>
      <c r="O47" s="1424"/>
      <c r="P47" s="590"/>
      <c r="Q47" s="1546"/>
      <c r="R47" s="590"/>
      <c r="S47" s="1546"/>
    </row>
    <row r="48" spans="1:19" ht="15.75" thickTop="1">
      <c r="A48" s="14"/>
      <c r="B48" s="15"/>
      <c r="C48" s="16"/>
      <c r="D48" s="16"/>
      <c r="E48" s="17"/>
      <c r="F48" s="18" t="s">
        <v>567</v>
      </c>
      <c r="G48" s="19"/>
      <c r="H48" s="20"/>
      <c r="I48" s="61">
        <f>SUM(I23:I47)</f>
        <v>0</v>
      </c>
      <c r="J48" s="20"/>
      <c r="K48" s="61">
        <f>SUM(K23:K47)</f>
        <v>0</v>
      </c>
      <c r="L48" s="20"/>
      <c r="M48" s="61">
        <f>SUM(M23:M47)</f>
        <v>0</v>
      </c>
      <c r="N48" s="20"/>
      <c r="O48" s="61">
        <f>SUM(O23:O47)</f>
        <v>0</v>
      </c>
      <c r="P48" s="20"/>
      <c r="Q48" s="61">
        <f>SUM(Q23:Q47)</f>
        <v>0</v>
      </c>
      <c r="R48" s="20"/>
      <c r="S48" s="61">
        <f>SUM(S23:S47)</f>
        <v>0</v>
      </c>
    </row>
    <row r="49" spans="1:19">
      <c r="A49" s="624"/>
      <c r="B49" s="1156"/>
      <c r="C49" s="1157"/>
      <c r="D49" s="1157"/>
      <c r="E49" s="1158"/>
      <c r="F49" s="1159" t="s">
        <v>568</v>
      </c>
      <c r="G49" s="1160"/>
      <c r="H49" s="593">
        <v>0</v>
      </c>
      <c r="I49" s="592"/>
      <c r="J49" s="593">
        <v>0</v>
      </c>
      <c r="K49" s="592"/>
      <c r="L49" s="593">
        <v>0</v>
      </c>
      <c r="M49" s="592"/>
      <c r="N49" s="593">
        <v>0</v>
      </c>
      <c r="O49" s="592"/>
      <c r="P49" s="593">
        <v>0</v>
      </c>
      <c r="Q49" s="592"/>
      <c r="R49" s="593">
        <v>0</v>
      </c>
      <c r="S49" s="592"/>
    </row>
    <row r="50" spans="1:19">
      <c r="A50" s="624"/>
      <c r="B50" s="1156"/>
      <c r="C50" s="1157"/>
      <c r="D50" s="1157"/>
      <c r="E50" s="1158"/>
      <c r="F50" s="1159" t="s">
        <v>569</v>
      </c>
      <c r="G50" s="1160"/>
      <c r="H50" s="594"/>
      <c r="I50" s="595">
        <f>H49*$I$48</f>
        <v>0</v>
      </c>
      <c r="J50" s="594"/>
      <c r="K50" s="595">
        <f>J49*$K$48</f>
        <v>0</v>
      </c>
      <c r="L50" s="594"/>
      <c r="M50" s="595">
        <f>L49*$K$48</f>
        <v>0</v>
      </c>
      <c r="N50" s="594"/>
      <c r="O50" s="595">
        <f>N49*$K$48</f>
        <v>0</v>
      </c>
      <c r="P50" s="594"/>
      <c r="Q50" s="595">
        <f>P49*$K$48</f>
        <v>0</v>
      </c>
      <c r="R50" s="594"/>
      <c r="S50" s="595">
        <f>R49*$K$48</f>
        <v>0</v>
      </c>
    </row>
    <row r="51" spans="1:19">
      <c r="A51" s="624"/>
      <c r="B51" s="1156"/>
      <c r="C51" s="1157"/>
      <c r="D51" s="1157"/>
      <c r="E51" s="1158"/>
      <c r="F51" s="1159"/>
      <c r="G51" s="1160"/>
      <c r="H51" s="594"/>
      <c r="I51" s="596"/>
      <c r="J51" s="594"/>
      <c r="K51" s="596"/>
      <c r="L51" s="594"/>
      <c r="M51" s="596"/>
      <c r="N51" s="594"/>
      <c r="O51" s="596"/>
      <c r="P51" s="594"/>
      <c r="Q51" s="596"/>
      <c r="R51" s="594"/>
      <c r="S51" s="596"/>
    </row>
    <row r="52" spans="1:19">
      <c r="A52" s="624"/>
      <c r="B52" s="1156"/>
      <c r="C52" s="1157"/>
      <c r="D52" s="1157"/>
      <c r="E52" s="1158"/>
      <c r="F52" s="1159" t="s">
        <v>570</v>
      </c>
      <c r="G52" s="1160"/>
      <c r="H52" s="597"/>
      <c r="I52" s="598">
        <f>SUM(I48:I50)</f>
        <v>0</v>
      </c>
      <c r="J52" s="597"/>
      <c r="K52" s="598">
        <f>SUM(K48:K50)</f>
        <v>0</v>
      </c>
      <c r="L52" s="597"/>
      <c r="M52" s="598">
        <f>SUM(M48:M50)</f>
        <v>0</v>
      </c>
      <c r="N52" s="597"/>
      <c r="O52" s="598">
        <f>SUM(O48:O50)</f>
        <v>0</v>
      </c>
      <c r="P52" s="597"/>
      <c r="Q52" s="598">
        <f>SUM(Q48:Q50)</f>
        <v>0</v>
      </c>
      <c r="R52" s="597"/>
      <c r="S52" s="598">
        <f>SUM(S48:S50)</f>
        <v>0</v>
      </c>
    </row>
    <row r="53" spans="1:19">
      <c r="A53" s="624"/>
      <c r="B53" s="1156"/>
      <c r="C53" s="1157"/>
      <c r="D53" s="1157"/>
      <c r="E53" s="1158"/>
      <c r="F53" s="1161" t="s">
        <v>571</v>
      </c>
      <c r="G53" s="1162"/>
      <c r="H53" s="599"/>
      <c r="I53" s="600" t="e">
        <f>I52/'Area Calculations'!$J$4</f>
        <v>#DIV/0!</v>
      </c>
      <c r="J53" s="599"/>
      <c r="K53" s="600" t="e">
        <f>K52/'Area Calculations'!$J$4</f>
        <v>#DIV/0!</v>
      </c>
      <c r="L53" s="599"/>
      <c r="M53" s="600" t="e">
        <f>M52/'Area Calculations'!$J$4</f>
        <v>#DIV/0!</v>
      </c>
      <c r="N53" s="599"/>
      <c r="O53" s="600" t="e">
        <f>O52/'Area Calculations'!$J$4</f>
        <v>#DIV/0!</v>
      </c>
      <c r="P53" s="599"/>
      <c r="Q53" s="600" t="e">
        <f>Q52/'Area Calculations'!$J$4</f>
        <v>#DIV/0!</v>
      </c>
      <c r="R53" s="599"/>
      <c r="S53" s="600" t="e">
        <f>S52/'Area Calculations'!$J$4</f>
        <v>#DIV/0!</v>
      </c>
    </row>
    <row r="54" spans="1:19">
      <c r="A54" s="624"/>
      <c r="B54" s="1156"/>
      <c r="C54" s="1157"/>
      <c r="D54" s="1157"/>
      <c r="E54" s="1158"/>
      <c r="F54" s="1161" t="s">
        <v>572</v>
      </c>
      <c r="G54" s="1163"/>
      <c r="H54" s="599"/>
      <c r="I54" s="600" t="e">
        <f>I52/'Area Calculations'!#REF!</f>
        <v>#REF!</v>
      </c>
      <c r="J54" s="599"/>
      <c r="K54" s="600" t="e">
        <f>K52/'Area Calculations'!#REF!</f>
        <v>#REF!</v>
      </c>
      <c r="L54" s="599"/>
      <c r="M54" s="600" t="e">
        <f>M52/'Area Calculations'!#REF!</f>
        <v>#REF!</v>
      </c>
      <c r="N54" s="599"/>
      <c r="O54" s="600" t="e">
        <f>O52/'Area Calculations'!#REF!</f>
        <v>#REF!</v>
      </c>
      <c r="P54" s="599"/>
      <c r="Q54" s="600" t="e">
        <f>Q52/'Area Calculations'!#REF!</f>
        <v>#REF!</v>
      </c>
      <c r="R54" s="599"/>
      <c r="S54" s="600" t="e">
        <f>S52/'Area Calculations'!#REF!</f>
        <v>#REF!</v>
      </c>
    </row>
    <row r="55" spans="1:19" ht="15.75" thickBot="1">
      <c r="A55" s="624"/>
      <c r="B55" s="1156"/>
      <c r="C55" s="1157"/>
      <c r="D55" s="1157"/>
      <c r="E55" s="1158"/>
      <c r="F55" s="1159"/>
      <c r="G55" s="1533"/>
      <c r="H55" s="601"/>
      <c r="I55" s="602"/>
      <c r="J55" s="603"/>
      <c r="K55" s="603"/>
      <c r="L55" s="603"/>
      <c r="M55" s="603"/>
      <c r="N55" s="603"/>
      <c r="O55" s="603"/>
      <c r="P55" s="603"/>
      <c r="Q55" s="603"/>
      <c r="R55" s="603"/>
      <c r="S55" s="603"/>
    </row>
    <row r="56" spans="1:19" ht="16.5" thickTop="1" thickBot="1">
      <c r="A56" s="726" t="s">
        <v>573</v>
      </c>
      <c r="B56" s="727"/>
      <c r="C56" s="12"/>
      <c r="D56" s="12"/>
      <c r="E56" s="12"/>
      <c r="F56" s="12"/>
      <c r="G56" s="13"/>
      <c r="H56" s="21"/>
      <c r="I56" s="21"/>
      <c r="J56" s="21"/>
      <c r="K56" s="21"/>
      <c r="L56" s="21"/>
      <c r="M56" s="21"/>
      <c r="N56" s="21"/>
      <c r="O56" s="21"/>
      <c r="P56" s="21"/>
      <c r="Q56" s="21"/>
      <c r="R56" s="21"/>
      <c r="S56" s="21"/>
    </row>
    <row r="57" spans="1:19" ht="15.75" thickTop="1">
      <c r="A57" s="1535"/>
      <c r="B57" s="862"/>
      <c r="C57" s="1586"/>
      <c r="D57" s="1586"/>
      <c r="E57" s="1586"/>
      <c r="F57" s="1586"/>
      <c r="G57" s="1587"/>
      <c r="H57" s="1588"/>
      <c r="I57" s="1588"/>
      <c r="J57" s="1588"/>
      <c r="K57" s="1588"/>
      <c r="L57" s="1588"/>
      <c r="M57" s="1588"/>
      <c r="N57" s="1588"/>
      <c r="O57" s="1588"/>
      <c r="P57" s="1588"/>
      <c r="Q57" s="1588"/>
      <c r="R57" s="1588"/>
      <c r="S57" s="1588"/>
    </row>
    <row r="58" spans="1:19">
      <c r="A58" s="1535"/>
      <c r="B58" s="862"/>
      <c r="C58" s="1586"/>
      <c r="D58" s="1586"/>
      <c r="E58" s="1586"/>
      <c r="F58" s="1586"/>
      <c r="G58" s="1587"/>
      <c r="H58" s="1588"/>
      <c r="I58" s="1588"/>
      <c r="J58" s="1588"/>
      <c r="K58" s="1588"/>
      <c r="L58" s="1588"/>
      <c r="M58" s="1588"/>
      <c r="N58" s="1588"/>
      <c r="O58" s="1588"/>
      <c r="P58" s="1588"/>
      <c r="Q58" s="1588"/>
      <c r="R58" s="1588"/>
      <c r="S58" s="1588"/>
    </row>
    <row r="59" spans="1:19" ht="15.75" thickBot="1">
      <c r="A59" s="1535"/>
      <c r="B59" s="862"/>
      <c r="C59" s="1586"/>
      <c r="D59" s="1586"/>
      <c r="E59" s="1586"/>
      <c r="F59" s="1586"/>
      <c r="G59" s="1587"/>
      <c r="H59" s="1588"/>
      <c r="I59" s="1588"/>
      <c r="J59" s="1588"/>
      <c r="K59" s="1588"/>
      <c r="L59" s="1588"/>
      <c r="M59" s="1588"/>
      <c r="N59" s="1588"/>
      <c r="O59" s="1588"/>
      <c r="P59" s="1588"/>
      <c r="Q59" s="1588"/>
      <c r="R59" s="1588"/>
      <c r="S59" s="1588"/>
    </row>
    <row r="60" spans="1:19" s="2" customFormat="1" ht="16.5" thickTop="1" thickBot="1">
      <c r="A60" s="726" t="s">
        <v>574</v>
      </c>
      <c r="B60" s="727"/>
      <c r="C60" s="12"/>
      <c r="D60" s="12"/>
      <c r="E60" s="12"/>
      <c r="F60" s="12"/>
      <c r="G60" s="13"/>
      <c r="H60" s="21"/>
      <c r="I60" s="21"/>
      <c r="J60" s="21"/>
      <c r="K60" s="21"/>
      <c r="L60" s="21"/>
      <c r="M60" s="21"/>
      <c r="N60" s="21"/>
      <c r="O60" s="21"/>
      <c r="P60" s="21"/>
      <c r="Q60" s="21"/>
      <c r="R60" s="21"/>
      <c r="S60" s="21"/>
    </row>
    <row r="61" spans="1:19" s="2" customFormat="1" ht="15.75" thickTop="1">
      <c r="A61" s="1535"/>
      <c r="B61" s="862"/>
      <c r="C61" s="1586"/>
      <c r="D61" s="1586"/>
      <c r="E61" s="1586"/>
      <c r="F61" s="1586"/>
      <c r="G61" s="1587"/>
      <c r="H61" s="1588"/>
      <c r="I61" s="1588"/>
      <c r="J61" s="1588"/>
      <c r="K61" s="1588"/>
      <c r="L61" s="1588"/>
      <c r="M61" s="1588"/>
      <c r="N61" s="1588"/>
      <c r="O61" s="1588"/>
      <c r="P61" s="1588"/>
      <c r="Q61" s="1588"/>
      <c r="R61" s="1588"/>
      <c r="S61" s="1588"/>
    </row>
    <row r="62" spans="1:19" s="2" customFormat="1">
      <c r="A62" s="1535"/>
      <c r="B62" s="862"/>
      <c r="C62" s="1586"/>
      <c r="D62" s="1586"/>
      <c r="E62" s="1586"/>
      <c r="F62" s="1586"/>
      <c r="G62" s="1587"/>
      <c r="H62" s="1588"/>
      <c r="I62" s="1588"/>
      <c r="J62" s="1588"/>
      <c r="K62" s="1588"/>
      <c r="L62" s="1588"/>
      <c r="M62" s="1588"/>
      <c r="N62" s="1588"/>
      <c r="O62" s="1588"/>
      <c r="P62" s="1588"/>
      <c r="Q62" s="1588"/>
      <c r="R62" s="1588"/>
      <c r="S62" s="1588"/>
    </row>
    <row r="63" spans="1:19" ht="15.75" thickBot="1">
      <c r="A63" s="1535"/>
      <c r="B63" s="862"/>
      <c r="C63" s="1586"/>
      <c r="D63" s="1586"/>
      <c r="E63" s="1586"/>
      <c r="F63" s="1586"/>
      <c r="G63" s="1587"/>
      <c r="H63" s="1588"/>
      <c r="I63" s="1588"/>
      <c r="J63" s="1588"/>
      <c r="K63" s="1588"/>
      <c r="L63" s="1588"/>
      <c r="M63" s="1588"/>
      <c r="N63" s="1588"/>
      <c r="O63" s="1588"/>
      <c r="P63" s="1588"/>
      <c r="Q63" s="1588"/>
      <c r="R63" s="1588"/>
      <c r="S63" s="1588"/>
    </row>
    <row r="64" spans="1:19" s="2" customFormat="1" ht="16.5" thickTop="1" thickBot="1">
      <c r="A64" s="726" t="s">
        <v>575</v>
      </c>
      <c r="B64" s="727"/>
      <c r="C64" s="12"/>
      <c r="D64" s="12"/>
      <c r="E64" s="12"/>
      <c r="F64" s="12"/>
      <c r="G64" s="13"/>
      <c r="H64" s="21"/>
      <c r="I64" s="21"/>
      <c r="J64" s="21"/>
      <c r="K64" s="21"/>
      <c r="L64" s="21"/>
      <c r="M64" s="21"/>
      <c r="N64" s="21"/>
      <c r="O64" s="21"/>
      <c r="P64" s="21"/>
      <c r="Q64" s="21"/>
      <c r="R64" s="21"/>
      <c r="S64" s="21"/>
    </row>
    <row r="65" spans="1:19" s="2" customFormat="1" ht="15.75" thickTop="1">
      <c r="A65" s="1535"/>
      <c r="B65" s="862"/>
      <c r="C65" s="1586"/>
      <c r="D65" s="1586"/>
      <c r="E65" s="1586"/>
      <c r="F65" s="1586"/>
      <c r="G65" s="1587"/>
      <c r="H65" s="1588"/>
      <c r="I65" s="1588"/>
      <c r="J65" s="1588"/>
      <c r="K65" s="1588"/>
      <c r="L65" s="1588"/>
      <c r="M65" s="1588"/>
      <c r="N65" s="1588"/>
      <c r="O65" s="1588"/>
      <c r="P65" s="1588"/>
      <c r="Q65" s="1588"/>
      <c r="R65" s="1588"/>
      <c r="S65" s="1588"/>
    </row>
    <row r="66" spans="1:19" s="2" customFormat="1">
      <c r="A66" s="628"/>
      <c r="B66" s="862"/>
      <c r="C66" s="1124"/>
      <c r="D66" s="1124"/>
      <c r="E66" s="1124"/>
      <c r="F66" s="1124"/>
      <c r="G66" s="1133"/>
      <c r="H66" s="604"/>
      <c r="I66" s="604"/>
      <c r="J66" s="604"/>
      <c r="K66" s="604"/>
      <c r="L66" s="604"/>
      <c r="M66" s="604"/>
      <c r="N66" s="604"/>
      <c r="O66" s="604"/>
      <c r="P66" s="604"/>
      <c r="Q66" s="604"/>
      <c r="R66" s="604"/>
      <c r="S66" s="604"/>
    </row>
    <row r="67" spans="1:19" s="2" customFormat="1" ht="15.75" thickBot="1">
      <c r="A67" s="625"/>
      <c r="B67" s="1171"/>
      <c r="C67" s="1124"/>
      <c r="D67" s="1124"/>
      <c r="E67" s="1124"/>
      <c r="F67" s="1124"/>
      <c r="G67" s="1133"/>
      <c r="H67" s="605"/>
      <c r="I67" s="605"/>
      <c r="J67" s="605"/>
      <c r="K67" s="605"/>
      <c r="L67" s="605"/>
      <c r="M67" s="605"/>
      <c r="N67" s="605"/>
      <c r="O67" s="605"/>
      <c r="P67" s="605"/>
      <c r="Q67" s="605"/>
      <c r="R67" s="605"/>
      <c r="S67" s="605"/>
    </row>
    <row r="68" spans="1:19" s="2" customFormat="1" ht="16.5" thickTop="1" thickBot="1">
      <c r="A68" s="726" t="s">
        <v>576</v>
      </c>
      <c r="B68" s="727"/>
      <c r="C68" s="12"/>
      <c r="D68" s="12"/>
      <c r="E68" s="12"/>
      <c r="F68" s="12"/>
      <c r="G68" s="13"/>
      <c r="H68" s="21"/>
      <c r="I68" s="21"/>
      <c r="J68" s="21"/>
      <c r="K68" s="21"/>
      <c r="L68" s="21"/>
      <c r="M68" s="21"/>
      <c r="N68" s="21"/>
      <c r="O68" s="21"/>
      <c r="P68" s="21"/>
      <c r="Q68" s="21"/>
      <c r="R68" s="21"/>
      <c r="S68" s="21"/>
    </row>
    <row r="69" spans="1:19" ht="15.75" thickTop="1">
      <c r="A69" s="1589"/>
      <c r="B69" s="1590"/>
      <c r="C69" s="1586"/>
      <c r="D69" s="1586"/>
      <c r="E69" s="1586"/>
      <c r="F69" s="1586"/>
      <c r="G69" s="1587"/>
      <c r="H69" s="1588"/>
      <c r="I69" s="1588"/>
      <c r="J69" s="1588"/>
      <c r="K69" s="1588"/>
      <c r="L69" s="1588"/>
      <c r="M69" s="1588"/>
      <c r="N69" s="1588"/>
      <c r="O69" s="1588"/>
      <c r="P69" s="1588"/>
      <c r="Q69" s="1588"/>
      <c r="R69" s="1588"/>
      <c r="S69" s="1588"/>
    </row>
    <row r="70" spans="1:19">
      <c r="A70" s="625"/>
      <c r="B70" s="1171"/>
      <c r="C70" s="1124"/>
      <c r="D70" s="1124"/>
      <c r="E70" s="1124"/>
      <c r="F70" s="1124"/>
      <c r="G70" s="1133"/>
      <c r="H70" s="606"/>
      <c r="I70" s="606"/>
      <c r="J70" s="606"/>
      <c r="K70" s="606"/>
      <c r="L70" s="606"/>
      <c r="M70" s="606"/>
      <c r="N70" s="606"/>
      <c r="O70" s="606"/>
      <c r="P70" s="606"/>
      <c r="Q70" s="606"/>
      <c r="R70" s="606"/>
      <c r="S70" s="606"/>
    </row>
    <row r="71" spans="1:19" ht="15.75" thickBot="1">
      <c r="A71" s="625"/>
      <c r="B71" s="1171"/>
      <c r="C71" s="1124"/>
      <c r="D71" s="1124"/>
      <c r="E71" s="1124"/>
      <c r="F71" s="1124"/>
      <c r="G71" s="1133"/>
      <c r="H71" s="606"/>
      <c r="I71" s="606"/>
      <c r="J71" s="606"/>
      <c r="K71" s="606"/>
      <c r="L71" s="606"/>
      <c r="M71" s="606"/>
      <c r="N71" s="606"/>
      <c r="O71" s="606"/>
      <c r="P71" s="606"/>
      <c r="Q71" s="606"/>
      <c r="R71" s="606"/>
      <c r="S71" s="606"/>
    </row>
    <row r="72" spans="1:19" ht="16.5" thickTop="1" thickBot="1">
      <c r="A72" s="726" t="s">
        <v>577</v>
      </c>
      <c r="B72" s="727"/>
      <c r="C72" s="12"/>
      <c r="D72" s="12"/>
      <c r="E72" s="12"/>
      <c r="F72" s="12"/>
      <c r="G72" s="13"/>
      <c r="H72" s="21"/>
      <c r="I72" s="21"/>
      <c r="J72" s="21"/>
      <c r="K72" s="21"/>
      <c r="L72" s="21"/>
      <c r="M72" s="21"/>
      <c r="N72" s="21"/>
      <c r="O72" s="21"/>
      <c r="P72" s="21"/>
      <c r="Q72" s="21"/>
      <c r="R72" s="21"/>
      <c r="S72" s="21"/>
    </row>
    <row r="73" spans="1:19" ht="15.75" thickTop="1">
      <c r="A73" s="628"/>
      <c r="B73" s="862" t="s">
        <v>578</v>
      </c>
      <c r="C73" s="1124"/>
      <c r="D73" s="1124"/>
      <c r="E73" s="1124"/>
      <c r="F73" s="1124"/>
      <c r="G73" s="1133"/>
      <c r="H73" s="606"/>
      <c r="I73" s="606"/>
      <c r="J73" s="606"/>
      <c r="K73" s="606"/>
      <c r="L73" s="606"/>
      <c r="M73" s="606"/>
      <c r="N73" s="606"/>
      <c r="O73" s="606"/>
      <c r="P73" s="606"/>
      <c r="Q73" s="606"/>
      <c r="R73" s="606"/>
      <c r="S73" s="606"/>
    </row>
    <row r="74" spans="1:19">
      <c r="A74" s="628"/>
      <c r="B74" s="862" t="s">
        <v>579</v>
      </c>
      <c r="C74" s="1124"/>
      <c r="D74" s="1124"/>
      <c r="E74" s="1124"/>
      <c r="F74" s="1124"/>
      <c r="G74" s="1133"/>
      <c r="H74" s="606"/>
      <c r="I74" s="606"/>
      <c r="J74" s="606"/>
      <c r="K74" s="606"/>
      <c r="L74" s="606"/>
      <c r="M74" s="606"/>
      <c r="N74" s="606"/>
      <c r="O74" s="606"/>
      <c r="P74" s="606"/>
      <c r="Q74" s="606"/>
      <c r="R74" s="606"/>
      <c r="S74" s="606"/>
    </row>
    <row r="75" spans="1:19">
      <c r="A75" s="628"/>
      <c r="B75" s="862" t="s">
        <v>580</v>
      </c>
      <c r="C75" s="1124"/>
      <c r="D75" s="1124"/>
      <c r="E75" s="1124"/>
      <c r="F75" s="1124"/>
      <c r="G75" s="1133"/>
      <c r="H75" s="606"/>
      <c r="I75" s="606"/>
      <c r="J75" s="606"/>
      <c r="K75" s="606"/>
      <c r="L75" s="606"/>
      <c r="M75" s="606"/>
      <c r="N75" s="606"/>
      <c r="O75" s="606"/>
      <c r="P75" s="606"/>
      <c r="Q75" s="606"/>
      <c r="R75" s="606"/>
      <c r="S75" s="606"/>
    </row>
    <row r="76" spans="1:19">
      <c r="A76" s="628"/>
      <c r="B76" s="862" t="s">
        <v>581</v>
      </c>
      <c r="C76" s="1124"/>
      <c r="D76" s="1124"/>
      <c r="E76" s="1124"/>
      <c r="F76" s="1124"/>
      <c r="G76" s="1133"/>
      <c r="H76" s="606"/>
      <c r="I76" s="606"/>
      <c r="J76" s="606"/>
      <c r="K76" s="606"/>
      <c r="L76" s="606"/>
      <c r="M76" s="606"/>
      <c r="N76" s="606"/>
      <c r="O76" s="606"/>
      <c r="P76" s="606"/>
      <c r="Q76" s="606"/>
      <c r="R76" s="606"/>
      <c r="S76" s="606"/>
    </row>
    <row r="77" spans="1:19" ht="15.75" thickBot="1">
      <c r="A77" s="416"/>
      <c r="B77" s="295"/>
      <c r="C77" s="184"/>
      <c r="D77" s="184"/>
      <c r="E77" s="184"/>
      <c r="F77" s="184"/>
      <c r="G77" s="296"/>
      <c r="H77" s="418"/>
      <c r="I77" s="418"/>
      <c r="J77" s="418"/>
      <c r="K77" s="418"/>
      <c r="L77" s="418"/>
      <c r="M77" s="418"/>
      <c r="N77" s="418"/>
      <c r="O77" s="418"/>
      <c r="P77" s="418"/>
      <c r="Q77" s="418"/>
      <c r="R77" s="418"/>
      <c r="S77" s="418"/>
    </row>
    <row r="78" spans="1:19" ht="16.5" thickTop="1" thickBot="1">
      <c r="A78" s="7" t="s">
        <v>582</v>
      </c>
      <c r="B78" s="8"/>
      <c r="C78" s="12"/>
      <c r="D78" s="12"/>
      <c r="E78" s="12"/>
      <c r="F78" s="12"/>
      <c r="G78" s="13"/>
      <c r="H78" s="21"/>
      <c r="I78" s="21"/>
      <c r="J78" s="21"/>
      <c r="K78" s="21"/>
      <c r="L78" s="21"/>
      <c r="M78" s="21"/>
      <c r="N78" s="21"/>
      <c r="O78" s="21"/>
      <c r="P78" s="21"/>
      <c r="Q78" s="21"/>
      <c r="R78" s="21"/>
      <c r="S78" s="21"/>
    </row>
    <row r="79" spans="1:19" ht="15.75" thickTop="1">
      <c r="A79" s="1535"/>
      <c r="B79" s="1591" t="s">
        <v>583</v>
      </c>
      <c r="C79" s="1586"/>
      <c r="D79" s="1586"/>
      <c r="E79" s="1586"/>
      <c r="F79" s="1586"/>
      <c r="G79" s="1587"/>
      <c r="H79" s="1592"/>
      <c r="I79" s="1592"/>
      <c r="J79" s="1592"/>
      <c r="K79" s="1592"/>
      <c r="L79" s="1592"/>
      <c r="M79" s="1592"/>
      <c r="N79" s="1592"/>
      <c r="O79" s="1592"/>
      <c r="P79" s="1592"/>
      <c r="Q79" s="1592"/>
      <c r="R79" s="1592"/>
      <c r="S79" s="1592"/>
    </row>
    <row r="80" spans="1:19">
      <c r="A80" s="628"/>
      <c r="B80" s="862" t="s">
        <v>584</v>
      </c>
      <c r="C80" s="1124"/>
      <c r="D80" s="1124"/>
      <c r="E80" s="1124"/>
      <c r="F80" s="1124"/>
      <c r="G80" s="1133"/>
      <c r="H80" s="618"/>
      <c r="I80" s="618"/>
      <c r="J80" s="618"/>
      <c r="K80" s="618"/>
      <c r="L80" s="618"/>
      <c r="M80" s="618"/>
      <c r="N80" s="618"/>
      <c r="O80" s="618"/>
      <c r="P80" s="618"/>
      <c r="Q80" s="618"/>
      <c r="R80" s="618"/>
      <c r="S80" s="618"/>
    </row>
    <row r="81" spans="1:19" ht="15.75" thickBot="1">
      <c r="A81" s="607"/>
      <c r="B81" s="608" t="s">
        <v>585</v>
      </c>
      <c r="C81" s="609"/>
      <c r="D81" s="609"/>
      <c r="E81" s="609"/>
      <c r="F81" s="609"/>
      <c r="G81" s="610"/>
      <c r="H81" s="611"/>
      <c r="I81" s="611"/>
      <c r="J81" s="611"/>
      <c r="K81" s="611"/>
      <c r="L81" s="611"/>
      <c r="M81" s="611"/>
      <c r="N81" s="611"/>
      <c r="O81" s="611"/>
      <c r="P81" s="611"/>
      <c r="Q81" s="611"/>
      <c r="R81" s="611"/>
      <c r="S81" s="611"/>
    </row>
    <row r="82" spans="1:19" ht="16.5" thickTop="1" thickBot="1"/>
    <row r="83" spans="1:19" ht="16.5" thickTop="1" thickBot="1">
      <c r="A83" s="92" t="s">
        <v>586</v>
      </c>
      <c r="B83" s="94"/>
    </row>
    <row r="84" spans="1:19" ht="15.75" thickTop="1">
      <c r="A84" s="93" t="s">
        <v>487</v>
      </c>
      <c r="B84" s="612"/>
    </row>
    <row r="85" spans="1:19">
      <c r="A85" s="626" t="s">
        <v>491</v>
      </c>
      <c r="B85" s="612"/>
    </row>
    <row r="86" spans="1:19">
      <c r="A86" s="613" t="s">
        <v>494</v>
      </c>
      <c r="B86" s="614"/>
    </row>
    <row r="87" spans="1:19">
      <c r="A87" s="613" t="s">
        <v>497</v>
      </c>
      <c r="B87" s="622"/>
    </row>
    <row r="88" spans="1:19" ht="15.75" thickBot="1">
      <c r="A88" s="615" t="s">
        <v>587</v>
      </c>
      <c r="B88" s="616"/>
    </row>
    <row r="89" spans="1:19" ht="15.75" thickTop="1"/>
    <row r="90" spans="1:19">
      <c r="A90" s="95"/>
      <c r="B90" s="1" t="s">
        <v>588</v>
      </c>
    </row>
    <row r="91" spans="1:19">
      <c r="A91" s="96"/>
      <c r="B91"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56:B56"/>
    <mergeCell ref="A60:B60"/>
    <mergeCell ref="A64:B64"/>
    <mergeCell ref="A68:B68"/>
    <mergeCell ref="A72:B72"/>
  </mergeCells>
  <conditionalFormatting sqref="H20:H30">
    <cfRule type="cellIs" dxfId="1489" priority="13" operator="equal">
      <formula>"X"</formula>
    </cfRule>
    <cfRule type="cellIs" dxfId="1488" priority="14" operator="equal">
      <formula>"I"</formula>
    </cfRule>
  </conditionalFormatting>
  <conditionalFormatting sqref="H32:H47">
    <cfRule type="cellIs" dxfId="1487" priority="1" operator="equal">
      <formula>"X"</formula>
    </cfRule>
    <cfRule type="cellIs" dxfId="1486" priority="2" operator="equal">
      <formula>"I"</formula>
    </cfRule>
  </conditionalFormatting>
  <conditionalFormatting sqref="J20:J30">
    <cfRule type="cellIs" dxfId="1485" priority="15" operator="equal">
      <formula>"X"</formula>
    </cfRule>
    <cfRule type="cellIs" dxfId="1484" priority="16" operator="equal">
      <formula>"I"</formula>
    </cfRule>
  </conditionalFormatting>
  <conditionalFormatting sqref="J32:J47">
    <cfRule type="cellIs" dxfId="1483" priority="3" operator="equal">
      <formula>"X"</formula>
    </cfRule>
    <cfRule type="cellIs" dxfId="1482" priority="4" operator="equal">
      <formula>"I"</formula>
    </cfRule>
  </conditionalFormatting>
  <conditionalFormatting sqref="L20:L30">
    <cfRule type="cellIs" dxfId="1481" priority="17" operator="equal">
      <formula>"X"</formula>
    </cfRule>
    <cfRule type="cellIs" dxfId="1480" priority="18" operator="equal">
      <formula>"I"</formula>
    </cfRule>
  </conditionalFormatting>
  <conditionalFormatting sqref="L32:L47">
    <cfRule type="cellIs" dxfId="1479" priority="5" operator="equal">
      <formula>"X"</formula>
    </cfRule>
    <cfRule type="cellIs" dxfId="1478" priority="6" operator="equal">
      <formula>"I"</formula>
    </cfRule>
  </conditionalFormatting>
  <conditionalFormatting sqref="N20:N30">
    <cfRule type="cellIs" dxfId="1477" priority="19" operator="equal">
      <formula>"X"</formula>
    </cfRule>
    <cfRule type="cellIs" dxfId="1476" priority="20" operator="equal">
      <formula>"I"</formula>
    </cfRule>
  </conditionalFormatting>
  <conditionalFormatting sqref="N32:N47">
    <cfRule type="cellIs" dxfId="1475" priority="7" operator="equal">
      <formula>"X"</formula>
    </cfRule>
    <cfRule type="cellIs" dxfId="1474" priority="8" operator="equal">
      <formula>"I"</formula>
    </cfRule>
  </conditionalFormatting>
  <conditionalFormatting sqref="P20:P30">
    <cfRule type="cellIs" dxfId="1473" priority="21" operator="equal">
      <formula>"X"</formula>
    </cfRule>
    <cfRule type="cellIs" dxfId="1472" priority="22" operator="equal">
      <formula>"I"</formula>
    </cfRule>
  </conditionalFormatting>
  <conditionalFormatting sqref="P32:P47">
    <cfRule type="cellIs" dxfId="1471" priority="9" operator="equal">
      <formula>"X"</formula>
    </cfRule>
    <cfRule type="cellIs" dxfId="1470" priority="10" operator="equal">
      <formula>"I"</formula>
    </cfRule>
  </conditionalFormatting>
  <conditionalFormatting sqref="R20:R30">
    <cfRule type="cellIs" dxfId="1469" priority="23" operator="equal">
      <formula>"X"</formula>
    </cfRule>
    <cfRule type="cellIs" dxfId="1468" priority="24" operator="equal">
      <formula>"I"</formula>
    </cfRule>
  </conditionalFormatting>
  <conditionalFormatting sqref="R32:R47">
    <cfRule type="cellIs" dxfId="1467" priority="11" operator="equal">
      <formula>"X"</formula>
    </cfRule>
    <cfRule type="cellIs" dxfId="1466" priority="12" operator="equal">
      <formula>"I"</formula>
    </cfRule>
  </conditionalFormatting>
  <hyperlinks>
    <hyperlink ref="B3" location="'Cost Summary'!A1" display="BACK TO SUMMARY SHEET" xr:uid="{089FE55D-73F6-4710-B758-C74997EBEE09}"/>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84E-E9F9-4035-BD88-B068C0780A74}">
  <sheetPr>
    <tabColor rgb="FF92D050"/>
  </sheetPr>
  <dimension ref="A1:S102"/>
  <sheetViews>
    <sheetView zoomScale="95" zoomScaleNormal="95" workbookViewId="0">
      <pane xSplit="2" ySplit="9" topLeftCell="C31" activePane="bottomRight" state="frozen"/>
      <selection pane="bottomRight" activeCell="F50" sqref="F50"/>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49"/>
      <c r="I2" s="749"/>
      <c r="J2" s="732"/>
      <c r="K2" s="732"/>
      <c r="L2" s="749"/>
      <c r="M2" s="749"/>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611</v>
      </c>
      <c r="C5" s="1124"/>
      <c r="D5" s="1124"/>
      <c r="E5" s="1124"/>
      <c r="F5" s="1124"/>
      <c r="G5" s="1125" t="s">
        <v>491</v>
      </c>
      <c r="H5" s="1593"/>
      <c r="I5" s="1594"/>
      <c r="J5" s="1593"/>
      <c r="K5" s="1594"/>
      <c r="L5" s="1593"/>
      <c r="M5" s="1594"/>
      <c r="N5" s="1593"/>
      <c r="O5" s="1594"/>
      <c r="P5" s="1593"/>
      <c r="Q5" s="1594"/>
      <c r="R5" s="1593"/>
      <c r="S5" s="1594"/>
    </row>
    <row r="6" spans="1:19">
      <c r="A6" s="627" t="s">
        <v>493</v>
      </c>
      <c r="B6" s="1127" t="s">
        <v>610</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ht="15.75" thickBot="1">
      <c r="A8" s="414" t="s">
        <v>499</v>
      </c>
      <c r="B8" s="295"/>
      <c r="C8" s="184"/>
      <c r="D8" s="184"/>
      <c r="E8" s="184"/>
      <c r="F8" s="184"/>
      <c r="G8" s="419" t="s">
        <v>499</v>
      </c>
      <c r="H8" s="774">
        <f>I63</f>
        <v>105897.5</v>
      </c>
      <c r="I8" s="775"/>
      <c r="J8" s="774">
        <f>K63</f>
        <v>0</v>
      </c>
      <c r="K8" s="775"/>
      <c r="L8" s="774">
        <f>M63</f>
        <v>0</v>
      </c>
      <c r="M8" s="775"/>
      <c r="N8" s="774">
        <f>O63</f>
        <v>0</v>
      </c>
      <c r="O8" s="775"/>
      <c r="P8" s="774">
        <f>Q63</f>
        <v>0</v>
      </c>
      <c r="Q8" s="775"/>
      <c r="R8" s="774">
        <f>S63</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95"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idden="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idden="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idden="1">
      <c r="A20" s="628"/>
      <c r="B20" s="862"/>
      <c r="C20" s="1134"/>
      <c r="D20" s="1124"/>
      <c r="E20" s="1124"/>
      <c r="F20" s="1124"/>
      <c r="G20" s="1133"/>
      <c r="H20" s="617"/>
      <c r="I20" s="617"/>
      <c r="J20" s="617"/>
      <c r="K20" s="617"/>
      <c r="L20" s="617"/>
      <c r="M20" s="617"/>
      <c r="N20" s="617"/>
      <c r="O20" s="617"/>
      <c r="P20" s="617"/>
      <c r="Q20" s="617"/>
      <c r="R20" s="617"/>
      <c r="S20" s="617"/>
    </row>
    <row r="21" spans="1:19" hidden="1">
      <c r="A21" s="628"/>
      <c r="B21" s="862"/>
      <c r="C21" s="1134"/>
      <c r="D21" s="1124"/>
      <c r="E21" s="1124"/>
      <c r="F21" s="1124"/>
      <c r="G21" s="1133"/>
      <c r="H21" s="590"/>
      <c r="I21" s="617"/>
      <c r="J21" s="590"/>
      <c r="K21" s="617"/>
      <c r="L21" s="590"/>
      <c r="M21" s="617"/>
      <c r="N21" s="590"/>
      <c r="O21" s="617"/>
      <c r="P21" s="590"/>
      <c r="Q21" s="617"/>
      <c r="R21" s="590"/>
      <c r="S21" s="617"/>
    </row>
    <row r="22" spans="1:19" ht="16.5" thickTop="1" thickBot="1">
      <c r="A22" s="628"/>
      <c r="B22" s="1136" t="s">
        <v>611</v>
      </c>
      <c r="C22" s="1134"/>
      <c r="D22" s="1124"/>
      <c r="E22" s="1124"/>
      <c r="F22" s="1124"/>
      <c r="G22" s="1133"/>
      <c r="H22" s="590"/>
      <c r="I22" s="617"/>
      <c r="J22" s="590"/>
      <c r="K22" s="617"/>
      <c r="L22" s="590"/>
      <c r="M22" s="617"/>
      <c r="N22" s="590"/>
      <c r="O22" s="617"/>
      <c r="P22" s="590"/>
      <c r="Q22" s="617"/>
      <c r="R22" s="590"/>
      <c r="S22" s="617"/>
    </row>
    <row r="23" spans="1:19" ht="15.75" thickBot="1">
      <c r="A23" s="1596"/>
      <c r="B23" s="374" t="s">
        <v>512</v>
      </c>
      <c r="C23" s="1134"/>
      <c r="D23" s="1124"/>
      <c r="E23" s="1124"/>
      <c r="F23" s="1124"/>
      <c r="G23" s="1133"/>
      <c r="H23" s="590"/>
      <c r="I23" s="1597"/>
      <c r="J23" s="590"/>
      <c r="K23" s="1597"/>
      <c r="L23" s="590"/>
      <c r="M23" s="1597"/>
      <c r="N23" s="590"/>
      <c r="O23" s="1597"/>
      <c r="P23" s="590"/>
      <c r="Q23" s="1597"/>
      <c r="R23" s="590"/>
      <c r="S23" s="1597"/>
    </row>
    <row r="24" spans="1:19">
      <c r="A24" s="1596"/>
      <c r="B24" s="647" t="s">
        <v>513</v>
      </c>
      <c r="C24" s="1134"/>
      <c r="D24" s="1124"/>
      <c r="E24" s="1124"/>
      <c r="F24" s="1124"/>
      <c r="G24" s="1133"/>
      <c r="H24" s="590"/>
      <c r="I24" s="1597"/>
      <c r="J24" s="590"/>
      <c r="K24" s="1597"/>
      <c r="L24" s="590"/>
      <c r="M24" s="1597"/>
      <c r="N24" s="590"/>
      <c r="O24" s="1597"/>
      <c r="P24" s="590"/>
      <c r="Q24" s="1598"/>
      <c r="R24" s="590"/>
      <c r="S24" s="1598"/>
    </row>
    <row r="25" spans="1:19">
      <c r="A25" s="623"/>
      <c r="B25" s="1575" t="s">
        <v>514</v>
      </c>
      <c r="C25" s="1124"/>
      <c r="D25" s="1124"/>
      <c r="E25" s="1124"/>
      <c r="F25" s="1124"/>
      <c r="G25" s="1133"/>
      <c r="H25" s="590"/>
      <c r="I25" s="1598"/>
      <c r="J25" s="590"/>
      <c r="K25" s="1598"/>
      <c r="L25" s="590"/>
      <c r="M25" s="1598"/>
      <c r="N25" s="590"/>
      <c r="O25" s="1597"/>
      <c r="P25" s="590"/>
      <c r="Q25" s="1597"/>
      <c r="R25" s="590"/>
      <c r="S25" s="1597"/>
    </row>
    <row r="26" spans="1:19">
      <c r="A26" s="1596"/>
      <c r="B26" s="1576" t="s">
        <v>515</v>
      </c>
      <c r="C26" s="1124"/>
      <c r="D26" s="1124"/>
      <c r="E26" s="1124"/>
      <c r="F26" s="1124"/>
      <c r="G26" s="1133"/>
      <c r="H26" s="590"/>
      <c r="I26" s="1598"/>
      <c r="J26" s="590"/>
      <c r="K26" s="1598"/>
      <c r="L26" s="590"/>
      <c r="M26" s="1598"/>
      <c r="N26" s="590"/>
      <c r="O26" s="1597"/>
      <c r="P26" s="590"/>
      <c r="Q26" s="1597"/>
      <c r="R26" s="590"/>
      <c r="S26" s="1597"/>
    </row>
    <row r="27" spans="1:19">
      <c r="A27" s="623"/>
      <c r="B27" s="1576" t="s">
        <v>516</v>
      </c>
      <c r="C27" s="1124"/>
      <c r="D27" s="1124"/>
      <c r="E27" s="1124"/>
      <c r="F27" s="1124"/>
      <c r="G27" s="1133"/>
      <c r="H27" s="590"/>
      <c r="I27" s="1598"/>
      <c r="J27" s="590"/>
      <c r="K27" s="1598"/>
      <c r="L27" s="590"/>
      <c r="M27" s="1598"/>
      <c r="N27" s="590"/>
      <c r="O27" s="1597"/>
      <c r="P27" s="590"/>
      <c r="Q27" s="1597"/>
      <c r="R27" s="590"/>
      <c r="S27" s="1597"/>
    </row>
    <row r="28" spans="1:19">
      <c r="A28" s="1596"/>
      <c r="B28" s="1576" t="s">
        <v>517</v>
      </c>
      <c r="C28" s="1124"/>
      <c r="D28" s="1124"/>
      <c r="E28" s="1124"/>
      <c r="F28" s="1124"/>
      <c r="G28" s="1133"/>
      <c r="H28" s="590"/>
      <c r="I28" s="1598"/>
      <c r="J28" s="590"/>
      <c r="K28" s="1598"/>
      <c r="L28" s="590"/>
      <c r="M28" s="1598"/>
      <c r="N28" s="590"/>
      <c r="O28" s="1597"/>
      <c r="P28" s="590"/>
      <c r="Q28" s="1597"/>
      <c r="R28" s="590"/>
      <c r="S28" s="1597"/>
    </row>
    <row r="29" spans="1:19">
      <c r="A29" s="1596"/>
      <c r="B29" s="1576" t="s">
        <v>518</v>
      </c>
      <c r="C29" s="1124"/>
      <c r="D29" s="1124"/>
      <c r="E29" s="1124"/>
      <c r="F29" s="1124"/>
      <c r="G29" s="1133"/>
      <c r="H29" s="590"/>
      <c r="I29" s="1598"/>
      <c r="J29" s="590"/>
      <c r="K29" s="1598"/>
      <c r="L29" s="590"/>
      <c r="M29" s="1598"/>
      <c r="N29" s="590"/>
      <c r="O29" s="1597"/>
      <c r="P29" s="590"/>
      <c r="Q29" s="1597"/>
      <c r="R29" s="590"/>
      <c r="S29" s="1597"/>
    </row>
    <row r="30" spans="1:19">
      <c r="A30" s="1596"/>
      <c r="B30" s="1576" t="s">
        <v>693</v>
      </c>
      <c r="C30" s="1124"/>
      <c r="D30" s="1124"/>
      <c r="E30" s="1124"/>
      <c r="F30" s="1124"/>
      <c r="G30" s="1133"/>
      <c r="H30" s="590"/>
      <c r="I30" s="1598"/>
      <c r="J30" s="590"/>
      <c r="K30" s="1598"/>
      <c r="L30" s="590"/>
      <c r="M30" s="1598"/>
      <c r="N30" s="590"/>
      <c r="O30" s="1597"/>
      <c r="P30" s="590"/>
      <c r="Q30" s="1597"/>
      <c r="R30" s="590"/>
      <c r="S30" s="1597"/>
    </row>
    <row r="31" spans="1:19">
      <c r="A31" s="1596"/>
      <c r="B31" s="1577" t="s">
        <v>519</v>
      </c>
      <c r="C31" s="1124"/>
      <c r="D31" s="1124"/>
      <c r="E31" s="1124"/>
      <c r="F31" s="1124"/>
      <c r="G31" s="1133"/>
      <c r="H31" s="590"/>
      <c r="I31" s="1598"/>
      <c r="J31" s="590"/>
      <c r="K31" s="1598"/>
      <c r="L31" s="590"/>
      <c r="M31" s="1598"/>
      <c r="N31" s="590"/>
      <c r="O31" s="1597"/>
      <c r="P31" s="590"/>
      <c r="Q31" s="1597"/>
      <c r="R31" s="590"/>
      <c r="S31" s="1597"/>
    </row>
    <row r="32" spans="1:19">
      <c r="A32" s="1596"/>
      <c r="B32" s="1578" t="s">
        <v>520</v>
      </c>
      <c r="C32" s="1145"/>
      <c r="D32" s="1145"/>
      <c r="E32" s="1145"/>
      <c r="F32" s="1145"/>
      <c r="G32" s="1599"/>
      <c r="H32" s="619"/>
      <c r="I32" s="1579"/>
      <c r="J32" s="619"/>
      <c r="K32" s="1579"/>
      <c r="L32" s="619"/>
      <c r="M32" s="1579"/>
      <c r="N32" s="619"/>
      <c r="O32" s="1580"/>
      <c r="P32" s="619"/>
      <c r="Q32" s="1580"/>
      <c r="R32" s="619"/>
      <c r="S32" s="1580"/>
    </row>
    <row r="33" spans="1:19">
      <c r="A33" s="1596"/>
      <c r="B33" s="1581"/>
      <c r="C33" s="1124"/>
      <c r="D33" s="1124"/>
      <c r="E33" s="1124"/>
      <c r="F33" s="1124"/>
      <c r="G33" s="1229"/>
      <c r="H33" s="590"/>
      <c r="I33" s="1598"/>
      <c r="J33" s="590"/>
      <c r="K33" s="1598"/>
      <c r="L33" s="590"/>
      <c r="M33" s="1598"/>
      <c r="N33" s="590"/>
      <c r="O33" s="1597"/>
      <c r="P33" s="590"/>
      <c r="Q33" s="1597"/>
      <c r="R33" s="590"/>
      <c r="S33" s="1597"/>
    </row>
    <row r="34" spans="1:19">
      <c r="A34" s="1596"/>
      <c r="B34" s="1600" t="s">
        <v>694</v>
      </c>
      <c r="C34" s="1216"/>
      <c r="D34" s="1216"/>
      <c r="E34" s="1216"/>
      <c r="F34" s="1216"/>
      <c r="G34" s="1557"/>
      <c r="H34" s="620"/>
      <c r="I34" s="1601"/>
      <c r="J34" s="620"/>
      <c r="K34" s="1601"/>
      <c r="L34" s="620"/>
      <c r="M34" s="1601"/>
      <c r="N34" s="620"/>
      <c r="O34" s="1602"/>
      <c r="P34" s="620"/>
      <c r="Q34" s="1602"/>
      <c r="R34" s="620"/>
      <c r="S34" s="1602"/>
    </row>
    <row r="35" spans="1:19">
      <c r="A35" s="1596"/>
      <c r="B35" s="1581"/>
      <c r="C35" s="1124"/>
      <c r="D35" s="1124"/>
      <c r="E35" s="1124"/>
      <c r="F35" s="1124"/>
      <c r="G35" s="1229"/>
      <c r="H35" s="590"/>
      <c r="I35" s="1598"/>
      <c r="J35" s="590"/>
      <c r="K35" s="1598"/>
      <c r="L35" s="590"/>
      <c r="M35" s="1598"/>
      <c r="N35" s="590"/>
      <c r="O35" s="1597"/>
      <c r="P35" s="590"/>
      <c r="Q35" s="1597"/>
      <c r="R35" s="590"/>
      <c r="S35" s="1597"/>
    </row>
    <row r="36" spans="1:19">
      <c r="A36" s="1596"/>
      <c r="B36" s="1603" t="s">
        <v>695</v>
      </c>
      <c r="C36" s="1223"/>
      <c r="D36" s="1223"/>
      <c r="E36" s="1223"/>
      <c r="F36" s="1223"/>
      <c r="G36" s="1560"/>
      <c r="H36" s="621"/>
      <c r="I36" s="1604"/>
      <c r="J36" s="621"/>
      <c r="K36" s="1604"/>
      <c r="L36" s="621"/>
      <c r="M36" s="1604"/>
      <c r="N36" s="621"/>
      <c r="O36" s="1605"/>
      <c r="P36" s="621"/>
      <c r="Q36" s="1605"/>
      <c r="R36" s="621"/>
      <c r="S36" s="1605"/>
    </row>
    <row r="37" spans="1:19">
      <c r="A37" s="1596"/>
      <c r="B37" s="1584" t="s">
        <v>701</v>
      </c>
      <c r="C37" s="1124" t="s">
        <v>697</v>
      </c>
      <c r="D37" s="1124">
        <f>'Cost Summary'!$J$7</f>
        <v>663</v>
      </c>
      <c r="E37" s="1124" t="s">
        <v>723</v>
      </c>
      <c r="F37" s="1124">
        <v>2</v>
      </c>
      <c r="G37" s="1229">
        <f>D37*F37</f>
        <v>1326</v>
      </c>
      <c r="H37" s="590"/>
      <c r="I37" s="1598">
        <f>G37</f>
        <v>1326</v>
      </c>
      <c r="J37" s="590"/>
      <c r="K37" s="1598"/>
      <c r="L37" s="590"/>
      <c r="M37" s="1598"/>
      <c r="N37" s="590"/>
      <c r="O37" s="1597"/>
      <c r="P37" s="590"/>
      <c r="Q37" s="1597"/>
      <c r="R37" s="590"/>
      <c r="S37" s="1597"/>
    </row>
    <row r="38" spans="1:19">
      <c r="A38" s="1596"/>
      <c r="B38" s="1581"/>
      <c r="C38" s="1124"/>
      <c r="D38" s="1124"/>
      <c r="E38" s="1124"/>
      <c r="F38" s="1124"/>
      <c r="G38" s="1229"/>
      <c r="H38" s="590"/>
      <c r="I38" s="1598"/>
      <c r="J38" s="590"/>
      <c r="K38" s="1598"/>
      <c r="L38" s="590"/>
      <c r="M38" s="1598"/>
      <c r="N38" s="590"/>
      <c r="O38" s="1597"/>
      <c r="P38" s="590"/>
      <c r="Q38" s="1597"/>
      <c r="R38" s="590"/>
      <c r="S38" s="1597"/>
    </row>
    <row r="39" spans="1:19">
      <c r="A39" s="1596"/>
      <c r="B39" s="1600" t="s">
        <v>649</v>
      </c>
      <c r="C39" s="1216"/>
      <c r="D39" s="1216"/>
      <c r="E39" s="1216"/>
      <c r="F39" s="1216"/>
      <c r="G39" s="1557"/>
      <c r="H39" s="620"/>
      <c r="I39" s="1601"/>
      <c r="J39" s="620"/>
      <c r="K39" s="1601"/>
      <c r="L39" s="620"/>
      <c r="M39" s="1601"/>
      <c r="N39" s="620"/>
      <c r="O39" s="1602"/>
      <c r="P39" s="620"/>
      <c r="Q39" s="1602"/>
      <c r="R39" s="620"/>
      <c r="S39" s="1602"/>
    </row>
    <row r="40" spans="1:19">
      <c r="A40" s="1596"/>
      <c r="B40" s="1581"/>
      <c r="C40" s="1124"/>
      <c r="D40" s="1124"/>
      <c r="E40" s="1124"/>
      <c r="F40" s="1124"/>
      <c r="G40" s="1229"/>
      <c r="H40" s="590"/>
      <c r="I40" s="1598"/>
      <c r="J40" s="590"/>
      <c r="K40" s="1598"/>
      <c r="L40" s="590"/>
      <c r="M40" s="1598"/>
      <c r="N40" s="590"/>
      <c r="O40" s="1597"/>
      <c r="P40" s="590"/>
      <c r="Q40" s="1597"/>
      <c r="R40" s="590"/>
      <c r="S40" s="1597"/>
    </row>
    <row r="41" spans="1:19">
      <c r="A41" s="1596"/>
      <c r="B41" s="1603" t="s">
        <v>700</v>
      </c>
      <c r="C41" s="1223"/>
      <c r="D41" s="1223"/>
      <c r="E41" s="1223"/>
      <c r="F41" s="1223"/>
      <c r="G41" s="1560"/>
      <c r="H41" s="621"/>
      <c r="I41" s="1604"/>
      <c r="J41" s="621"/>
      <c r="K41" s="1604"/>
      <c r="L41" s="621"/>
      <c r="M41" s="1604"/>
      <c r="N41" s="621"/>
      <c r="O41" s="1605"/>
      <c r="P41" s="621"/>
      <c r="Q41" s="1605"/>
      <c r="R41" s="621"/>
      <c r="S41" s="1605"/>
    </row>
    <row r="42" spans="1:19">
      <c r="A42" s="1596"/>
      <c r="B42" s="1584" t="s">
        <v>701</v>
      </c>
      <c r="C42" s="1124" t="s">
        <v>702</v>
      </c>
      <c r="D42" s="1124">
        <f>'Cost Summary'!$N$7</f>
        <v>11678</v>
      </c>
      <c r="E42" s="1124" t="s">
        <v>723</v>
      </c>
      <c r="F42" s="1124">
        <v>0.5</v>
      </c>
      <c r="G42" s="1229">
        <f>D42*F42</f>
        <v>5839</v>
      </c>
      <c r="H42" s="590"/>
      <c r="I42" s="1598">
        <f>G42</f>
        <v>5839</v>
      </c>
      <c r="J42" s="590"/>
      <c r="K42" s="1598"/>
      <c r="L42" s="590"/>
      <c r="M42" s="1598"/>
      <c r="N42" s="590"/>
      <c r="O42" s="1597"/>
      <c r="P42" s="590"/>
      <c r="Q42" s="1597"/>
      <c r="R42" s="590"/>
      <c r="S42" s="1597"/>
    </row>
    <row r="43" spans="1:19">
      <c r="A43" s="1596"/>
      <c r="B43" s="1584" t="s">
        <v>836</v>
      </c>
      <c r="C43" s="1124" t="s">
        <v>837</v>
      </c>
      <c r="D43" s="1124">
        <v>284</v>
      </c>
      <c r="E43" s="1124" t="s">
        <v>723</v>
      </c>
      <c r="F43" s="1124">
        <v>300</v>
      </c>
      <c r="G43" s="1229">
        <f>D43*F43</f>
        <v>85200</v>
      </c>
      <c r="H43" s="590"/>
      <c r="I43" s="1598">
        <f>G43</f>
        <v>85200</v>
      </c>
      <c r="J43" s="590"/>
      <c r="K43" s="1598"/>
      <c r="L43" s="590"/>
      <c r="M43" s="1598"/>
      <c r="N43" s="590"/>
      <c r="O43" s="1597"/>
      <c r="P43" s="590"/>
      <c r="Q43" s="1597"/>
      <c r="R43" s="590"/>
      <c r="S43" s="1597"/>
    </row>
    <row r="44" spans="1:19">
      <c r="A44" s="1596"/>
      <c r="B44" s="1581"/>
      <c r="C44" s="1124"/>
      <c r="D44" s="1124"/>
      <c r="E44" s="1124"/>
      <c r="F44" s="1124"/>
      <c r="G44" s="1229"/>
      <c r="H44" s="590"/>
      <c r="I44" s="1598"/>
      <c r="J44" s="590"/>
      <c r="K44" s="1598"/>
      <c r="L44" s="590"/>
      <c r="M44" s="1598"/>
      <c r="N44" s="590"/>
      <c r="O44" s="1597"/>
      <c r="P44" s="590"/>
      <c r="Q44" s="1597"/>
      <c r="R44" s="590"/>
      <c r="S44" s="1597"/>
    </row>
    <row r="45" spans="1:19">
      <c r="A45" s="1596"/>
      <c r="B45" s="1600" t="s">
        <v>703</v>
      </c>
      <c r="C45" s="1216"/>
      <c r="D45" s="1216"/>
      <c r="E45" s="1216"/>
      <c r="F45" s="1216"/>
      <c r="G45" s="1557"/>
      <c r="H45" s="620"/>
      <c r="I45" s="1601"/>
      <c r="J45" s="620"/>
      <c r="K45" s="1601"/>
      <c r="L45" s="620"/>
      <c r="M45" s="1601"/>
      <c r="N45" s="620"/>
      <c r="O45" s="1602"/>
      <c r="P45" s="620"/>
      <c r="Q45" s="1602"/>
      <c r="R45" s="620"/>
      <c r="S45" s="1602"/>
    </row>
    <row r="46" spans="1:19">
      <c r="A46" s="1596"/>
      <c r="B46" s="1581"/>
      <c r="C46" s="1124"/>
      <c r="D46" s="1124"/>
      <c r="E46" s="1124"/>
      <c r="F46" s="1124"/>
      <c r="G46" s="1229"/>
      <c r="H46" s="590"/>
      <c r="I46" s="1598"/>
      <c r="J46" s="590"/>
      <c r="K46" s="1598"/>
      <c r="L46" s="590"/>
      <c r="M46" s="1598"/>
      <c r="N46" s="590"/>
      <c r="O46" s="1597"/>
      <c r="P46" s="590"/>
      <c r="Q46" s="1597"/>
      <c r="R46" s="590"/>
      <c r="S46" s="1597"/>
    </row>
    <row r="47" spans="1:19">
      <c r="A47" s="1596"/>
      <c r="B47" s="1603" t="s">
        <v>704</v>
      </c>
      <c r="C47" s="1223"/>
      <c r="D47" s="1223"/>
      <c r="E47" s="1223"/>
      <c r="F47" s="1223"/>
      <c r="G47" s="1560"/>
      <c r="H47" s="621"/>
      <c r="I47" s="1604"/>
      <c r="J47" s="621"/>
      <c r="K47" s="1604"/>
      <c r="L47" s="621"/>
      <c r="M47" s="1604"/>
      <c r="N47" s="621"/>
      <c r="O47" s="1605"/>
      <c r="P47" s="621"/>
      <c r="Q47" s="1605"/>
      <c r="R47" s="621"/>
      <c r="S47" s="1605"/>
    </row>
    <row r="48" spans="1:19">
      <c r="A48" s="1596"/>
      <c r="B48" s="1584" t="s">
        <v>701</v>
      </c>
      <c r="C48" s="1124" t="s">
        <v>702</v>
      </c>
      <c r="D48" s="1124">
        <f>'Cost Summary'!$R$7</f>
        <v>11225</v>
      </c>
      <c r="E48" s="1124" t="s">
        <v>723</v>
      </c>
      <c r="F48" s="1124">
        <v>0.5</v>
      </c>
      <c r="G48" s="1229">
        <f>D48*F48</f>
        <v>5612.5</v>
      </c>
      <c r="H48" s="590"/>
      <c r="I48" s="1598">
        <f>G48</f>
        <v>5612.5</v>
      </c>
      <c r="J48" s="590"/>
      <c r="K48" s="1598"/>
      <c r="L48" s="590"/>
      <c r="M48" s="1598"/>
      <c r="N48" s="590"/>
      <c r="O48" s="1597"/>
      <c r="P48" s="590"/>
      <c r="Q48" s="1597"/>
      <c r="R48" s="590"/>
      <c r="S48" s="1597"/>
    </row>
    <row r="49" spans="1:19">
      <c r="A49" s="1596"/>
      <c r="B49" s="1584" t="s">
        <v>838</v>
      </c>
      <c r="C49" s="1124" t="s">
        <v>702</v>
      </c>
      <c r="D49" s="1124">
        <v>70</v>
      </c>
      <c r="E49" s="1124" t="s">
        <v>116</v>
      </c>
      <c r="F49" s="1124">
        <v>60</v>
      </c>
      <c r="G49" s="1229">
        <f t="shared" ref="G49:G50" si="0">D49*F49</f>
        <v>4200</v>
      </c>
      <c r="H49" s="590"/>
      <c r="I49" s="1598">
        <f t="shared" ref="I49:I50" si="1">G49</f>
        <v>4200</v>
      </c>
      <c r="J49" s="590"/>
      <c r="K49" s="1598"/>
      <c r="L49" s="590"/>
      <c r="M49" s="1598"/>
      <c r="N49" s="590"/>
      <c r="O49" s="1597"/>
      <c r="P49" s="590"/>
      <c r="Q49" s="1597"/>
      <c r="R49" s="590"/>
      <c r="S49" s="1597"/>
    </row>
    <row r="50" spans="1:19">
      <c r="A50" s="1596"/>
      <c r="B50" s="1584" t="s">
        <v>839</v>
      </c>
      <c r="C50" s="1124" t="s">
        <v>702</v>
      </c>
      <c r="D50" s="1124">
        <v>62</v>
      </c>
      <c r="E50" s="1124" t="s">
        <v>116</v>
      </c>
      <c r="F50" s="1124">
        <v>60</v>
      </c>
      <c r="G50" s="1229">
        <f t="shared" si="0"/>
        <v>3720</v>
      </c>
      <c r="H50" s="590"/>
      <c r="I50" s="1598">
        <f t="shared" si="1"/>
        <v>3720</v>
      </c>
      <c r="J50" s="590"/>
      <c r="K50" s="1598"/>
      <c r="L50" s="590"/>
      <c r="M50" s="1598"/>
      <c r="N50" s="590"/>
      <c r="O50" s="1597"/>
      <c r="P50" s="590"/>
      <c r="Q50" s="1597"/>
      <c r="R50" s="590"/>
      <c r="S50" s="1597"/>
    </row>
    <row r="51" spans="1:19">
      <c r="A51" s="1596"/>
      <c r="B51" s="1584"/>
      <c r="C51" s="1124"/>
      <c r="D51" s="1124"/>
      <c r="E51" s="1124"/>
      <c r="F51" s="1124"/>
      <c r="G51" s="1229"/>
      <c r="H51" s="590"/>
      <c r="I51" s="1598"/>
      <c r="J51" s="590"/>
      <c r="K51" s="1598"/>
      <c r="L51" s="590"/>
      <c r="M51" s="1598"/>
      <c r="N51" s="590"/>
      <c r="O51" s="1597"/>
      <c r="P51" s="590"/>
      <c r="Q51" s="1597"/>
      <c r="R51" s="590"/>
      <c r="S51" s="1597"/>
    </row>
    <row r="52" spans="1:19">
      <c r="A52" s="1596"/>
      <c r="B52" s="1600" t="s">
        <v>705</v>
      </c>
      <c r="C52" s="1216"/>
      <c r="D52" s="1216"/>
      <c r="E52" s="1216"/>
      <c r="F52" s="1216"/>
      <c r="G52" s="1557"/>
      <c r="H52" s="620"/>
      <c r="I52" s="1601"/>
      <c r="J52" s="620"/>
      <c r="K52" s="1601"/>
      <c r="L52" s="620"/>
      <c r="M52" s="1601"/>
      <c r="N52" s="620"/>
      <c r="O52" s="1602"/>
      <c r="P52" s="620"/>
      <c r="Q52" s="1602"/>
      <c r="R52" s="620"/>
      <c r="S52" s="1602"/>
    </row>
    <row r="53" spans="1:19">
      <c r="A53" s="1596"/>
      <c r="B53" s="1581"/>
      <c r="C53" s="1124"/>
      <c r="D53" s="1124"/>
      <c r="E53" s="1124"/>
      <c r="F53" s="1124"/>
      <c r="G53" s="1229"/>
      <c r="H53" s="590"/>
      <c r="I53" s="1598"/>
      <c r="J53" s="590"/>
      <c r="K53" s="1598"/>
      <c r="L53" s="590"/>
      <c r="M53" s="1598"/>
      <c r="N53" s="590"/>
      <c r="O53" s="1597"/>
      <c r="P53" s="590"/>
      <c r="Q53" s="1597"/>
      <c r="R53" s="590"/>
      <c r="S53" s="1597"/>
    </row>
    <row r="54" spans="1:19">
      <c r="A54" s="1596"/>
      <c r="B54" s="1603" t="s">
        <v>602</v>
      </c>
      <c r="C54" s="1223"/>
      <c r="D54" s="1223"/>
      <c r="E54" s="1223"/>
      <c r="F54" s="1223"/>
      <c r="G54" s="1560"/>
      <c r="H54" s="621"/>
      <c r="I54" s="1604"/>
      <c r="J54" s="621"/>
      <c r="K54" s="1604"/>
      <c r="L54" s="621"/>
      <c r="M54" s="1604"/>
      <c r="N54" s="621"/>
      <c r="O54" s="1605"/>
      <c r="P54" s="621"/>
      <c r="Q54" s="1605"/>
      <c r="R54" s="621"/>
      <c r="S54" s="1605"/>
    </row>
    <row r="55" spans="1:19">
      <c r="A55" s="1596"/>
      <c r="B55" s="1581"/>
      <c r="C55" s="1124"/>
      <c r="D55" s="1124"/>
      <c r="E55" s="1124"/>
      <c r="F55" s="1124"/>
      <c r="G55" s="1229"/>
      <c r="H55" s="590"/>
      <c r="I55" s="1598"/>
      <c r="J55" s="590"/>
      <c r="K55" s="1598"/>
      <c r="L55" s="590"/>
      <c r="M55" s="1598"/>
      <c r="N55" s="590"/>
      <c r="O55" s="1597"/>
      <c r="P55" s="590"/>
      <c r="Q55" s="1597"/>
      <c r="R55" s="590"/>
      <c r="S55" s="1597"/>
    </row>
    <row r="56" spans="1:19">
      <c r="A56" s="1596"/>
      <c r="B56" s="1581"/>
      <c r="C56" s="1124"/>
      <c r="D56" s="1124"/>
      <c r="E56" s="1124"/>
      <c r="F56" s="1124"/>
      <c r="G56" s="1229"/>
      <c r="H56" s="590"/>
      <c r="I56" s="1598"/>
      <c r="J56" s="590"/>
      <c r="K56" s="1598"/>
      <c r="L56" s="590"/>
      <c r="M56" s="1598"/>
      <c r="N56" s="590"/>
      <c r="O56" s="1597"/>
      <c r="P56" s="590"/>
      <c r="Q56" s="1597"/>
      <c r="R56" s="590"/>
      <c r="S56" s="1597"/>
    </row>
    <row r="57" spans="1:19">
      <c r="A57" s="1596"/>
      <c r="B57" s="1606"/>
      <c r="C57" s="1124"/>
      <c r="D57" s="1124"/>
      <c r="E57" s="1124"/>
      <c r="F57" s="1151"/>
      <c r="G57" s="1229"/>
      <c r="H57" s="590"/>
      <c r="I57" s="1598"/>
      <c r="J57" s="590"/>
      <c r="K57" s="1598"/>
      <c r="L57" s="590"/>
      <c r="M57" s="1598"/>
      <c r="N57" s="590"/>
      <c r="O57" s="1597"/>
      <c r="P57" s="590"/>
      <c r="Q57" s="1597"/>
      <c r="R57" s="590"/>
      <c r="S57" s="1597"/>
    </row>
    <row r="58" spans="1:19" ht="15.75" thickBot="1">
      <c r="A58" s="623"/>
      <c r="B58" s="1607"/>
      <c r="C58" s="1134"/>
      <c r="D58" s="1124"/>
      <c r="E58" s="1124"/>
      <c r="F58" s="1124"/>
      <c r="G58" s="1133"/>
      <c r="H58" s="590"/>
      <c r="I58" s="1585"/>
      <c r="J58" s="590"/>
      <c r="K58" s="1597"/>
      <c r="L58" s="590"/>
      <c r="M58" s="1597"/>
      <c r="N58" s="590"/>
      <c r="O58" s="1597"/>
      <c r="P58" s="590"/>
      <c r="Q58" s="1597"/>
      <c r="R58" s="590"/>
      <c r="S58" s="1597"/>
    </row>
    <row r="59" spans="1:19" ht="15.75" thickTop="1">
      <c r="A59" s="14"/>
      <c r="B59" s="15"/>
      <c r="C59" s="16"/>
      <c r="D59" s="16"/>
      <c r="E59" s="17"/>
      <c r="F59" s="18" t="s">
        <v>567</v>
      </c>
      <c r="G59" s="19"/>
      <c r="H59" s="20"/>
      <c r="I59" s="61">
        <f>SUM(I24:I58)</f>
        <v>105897.5</v>
      </c>
      <c r="J59" s="20"/>
      <c r="K59" s="61">
        <f>SUM(K24:K58)</f>
        <v>0</v>
      </c>
      <c r="L59" s="20"/>
      <c r="M59" s="61">
        <f>SUM(M23:M58)</f>
        <v>0</v>
      </c>
      <c r="N59" s="20"/>
      <c r="O59" s="61">
        <f>SUM(O23:O58)</f>
        <v>0</v>
      </c>
      <c r="P59" s="20"/>
      <c r="Q59" s="61">
        <f>SUM(Q24:Q58)</f>
        <v>0</v>
      </c>
      <c r="R59" s="20"/>
      <c r="S59" s="61">
        <f>SUM(S24:S58)</f>
        <v>0</v>
      </c>
    </row>
    <row r="60" spans="1:19">
      <c r="A60" s="624"/>
      <c r="B60" s="1156"/>
      <c r="C60" s="1157"/>
      <c r="D60" s="1157"/>
      <c r="E60" s="1158"/>
      <c r="F60" s="1159" t="s">
        <v>568</v>
      </c>
      <c r="G60" s="1160"/>
      <c r="H60" s="593">
        <v>0</v>
      </c>
      <c r="I60" s="592"/>
      <c r="J60" s="593">
        <v>0</v>
      </c>
      <c r="K60" s="592"/>
      <c r="L60" s="593">
        <v>0.02</v>
      </c>
      <c r="M60" s="592"/>
      <c r="N60" s="593">
        <v>0.02</v>
      </c>
      <c r="O60" s="592"/>
      <c r="P60" s="593">
        <v>0.02</v>
      </c>
      <c r="Q60" s="592"/>
      <c r="R60" s="593">
        <v>0.02</v>
      </c>
      <c r="S60" s="592"/>
    </row>
    <row r="61" spans="1:19">
      <c r="A61" s="624"/>
      <c r="B61" s="1156"/>
      <c r="C61" s="1157"/>
      <c r="D61" s="1157"/>
      <c r="E61" s="1158"/>
      <c r="F61" s="1159" t="s">
        <v>569</v>
      </c>
      <c r="G61" s="1160"/>
      <c r="H61" s="594"/>
      <c r="I61" s="595">
        <f>H60*$I$59</f>
        <v>0</v>
      </c>
      <c r="J61" s="594"/>
      <c r="K61" s="595">
        <f>J60*$K$59</f>
        <v>0</v>
      </c>
      <c r="L61" s="594"/>
      <c r="M61" s="595">
        <f>L60*$M$59</f>
        <v>0</v>
      </c>
      <c r="N61" s="594"/>
      <c r="O61" s="595">
        <f>N60*$O$59</f>
        <v>0</v>
      </c>
      <c r="P61" s="594"/>
      <c r="Q61" s="595">
        <f>P60*$Q$59</f>
        <v>0</v>
      </c>
      <c r="R61" s="594"/>
      <c r="S61" s="595">
        <f>R60*S59</f>
        <v>0</v>
      </c>
    </row>
    <row r="62" spans="1:19">
      <c r="A62" s="624"/>
      <c r="B62" s="1156"/>
      <c r="C62" s="1157"/>
      <c r="D62" s="1157"/>
      <c r="E62" s="1158"/>
      <c r="F62" s="1159"/>
      <c r="G62" s="1160"/>
      <c r="H62" s="1458"/>
      <c r="I62" s="596"/>
      <c r="J62" s="594"/>
      <c r="K62" s="596"/>
      <c r="L62" s="594"/>
      <c r="M62" s="596"/>
      <c r="N62" s="594"/>
      <c r="O62" s="596"/>
      <c r="P62" s="594"/>
      <c r="Q62" s="596"/>
      <c r="R62" s="594"/>
      <c r="S62" s="596"/>
    </row>
    <row r="63" spans="1:19">
      <c r="A63" s="624"/>
      <c r="B63" s="1156"/>
      <c r="C63" s="1157"/>
      <c r="D63" s="1157"/>
      <c r="E63" s="1158"/>
      <c r="F63" s="1159" t="s">
        <v>570</v>
      </c>
      <c r="G63" s="1160"/>
      <c r="H63" s="597"/>
      <c r="I63" s="598">
        <f>SUM(I59:I62)</f>
        <v>105897.5</v>
      </c>
      <c r="J63" s="597"/>
      <c r="K63" s="598">
        <f>SUM(K59:K61)</f>
        <v>0</v>
      </c>
      <c r="L63" s="597"/>
      <c r="M63" s="598">
        <f>SUM(M59:M61)</f>
        <v>0</v>
      </c>
      <c r="N63" s="597"/>
      <c r="O63" s="598">
        <f>SUM(O59:O61)</f>
        <v>0</v>
      </c>
      <c r="P63" s="597"/>
      <c r="Q63" s="598">
        <f>SUM(Q59:Q61)</f>
        <v>0</v>
      </c>
      <c r="R63" s="597"/>
      <c r="S63" s="598">
        <f>SUM(S59:S61)</f>
        <v>0</v>
      </c>
    </row>
    <row r="64" spans="1:19">
      <c r="A64" s="624"/>
      <c r="B64" s="1156"/>
      <c r="C64" s="1157"/>
      <c r="D64" s="1157"/>
      <c r="E64" s="1158"/>
      <c r="F64" s="1161" t="s">
        <v>571</v>
      </c>
      <c r="G64" s="1162"/>
      <c r="H64" s="599"/>
      <c r="I64" s="600" t="e">
        <f>I63/'Area Calculations'!$J$4</f>
        <v>#DIV/0!</v>
      </c>
      <c r="J64" s="599"/>
      <c r="K64" s="600" t="e">
        <f>K63/'Area Calculations'!$J$4</f>
        <v>#DIV/0!</v>
      </c>
      <c r="L64" s="599"/>
      <c r="M64" s="600" t="e">
        <f>M63/'Area Calculations'!$J$4</f>
        <v>#DIV/0!</v>
      </c>
      <c r="N64" s="599"/>
      <c r="O64" s="600" t="e">
        <f>O63/'Area Calculations'!$J$4</f>
        <v>#DIV/0!</v>
      </c>
      <c r="P64" s="599"/>
      <c r="Q64" s="600" t="e">
        <f>Q63/'Area Calculations'!$J$4</f>
        <v>#DIV/0!</v>
      </c>
      <c r="R64" s="599"/>
      <c r="S64" s="600" t="e">
        <f>S63/'Area Calculations'!$J$4</f>
        <v>#DIV/0!</v>
      </c>
    </row>
    <row r="65" spans="1:19">
      <c r="A65" s="624"/>
      <c r="B65" s="1156"/>
      <c r="C65" s="1157"/>
      <c r="D65" s="1157"/>
      <c r="E65" s="1158"/>
      <c r="F65" s="1161" t="s">
        <v>572</v>
      </c>
      <c r="G65" s="1163"/>
      <c r="H65" s="599"/>
      <c r="I65" s="600" t="e">
        <f>I63/'Area Calculations'!#REF!</f>
        <v>#REF!</v>
      </c>
      <c r="J65" s="599"/>
      <c r="K65" s="600" t="e">
        <f>K63/'Area Calculations'!#REF!</f>
        <v>#REF!</v>
      </c>
      <c r="L65" s="599"/>
      <c r="M65" s="600" t="e">
        <f>M63/'Area Calculations'!#REF!</f>
        <v>#REF!</v>
      </c>
      <c r="N65" s="599"/>
      <c r="O65" s="600" t="e">
        <f>O63/'Area Calculations'!#REF!</f>
        <v>#REF!</v>
      </c>
      <c r="P65" s="599"/>
      <c r="Q65" s="600" t="e">
        <f>Q63/'Area Calculations'!#REF!</f>
        <v>#REF!</v>
      </c>
      <c r="R65" s="599"/>
      <c r="S65" s="600" t="e">
        <f>S63/'Area Calculations'!#REF!</f>
        <v>#REF!</v>
      </c>
    </row>
    <row r="66" spans="1:19" ht="15.75" thickBot="1">
      <c r="A66" s="624"/>
      <c r="B66" s="1156"/>
      <c r="C66" s="1157"/>
      <c r="D66" s="1157"/>
      <c r="E66" s="1158"/>
      <c r="F66" s="1159"/>
      <c r="G66" s="1533"/>
      <c r="H66" s="601"/>
      <c r="I66" s="602"/>
      <c r="J66" s="603"/>
      <c r="K66" s="603"/>
      <c r="L66" s="603"/>
      <c r="M66" s="603"/>
      <c r="N66" s="603"/>
      <c r="O66" s="603"/>
      <c r="P66" s="603"/>
      <c r="Q66" s="603"/>
      <c r="R66" s="603"/>
      <c r="S66" s="603"/>
    </row>
    <row r="67" spans="1:19" ht="16.5" thickTop="1" thickBot="1">
      <c r="A67" s="726" t="s">
        <v>573</v>
      </c>
      <c r="B67" s="727"/>
      <c r="C67" s="12"/>
      <c r="D67" s="12"/>
      <c r="E67" s="12"/>
      <c r="F67" s="12"/>
      <c r="G67" s="13"/>
      <c r="H67" s="21"/>
      <c r="I67" s="21"/>
      <c r="J67" s="21"/>
      <c r="K67" s="21"/>
      <c r="L67" s="21"/>
      <c r="M67" s="21"/>
      <c r="N67" s="21"/>
      <c r="O67" s="21"/>
      <c r="P67" s="21"/>
      <c r="Q67" s="21"/>
      <c r="R67" s="21"/>
      <c r="S67" s="21"/>
    </row>
    <row r="68" spans="1:19" ht="15.75" thickTop="1">
      <c r="A68" s="1608"/>
      <c r="B68" s="862"/>
      <c r="C68" s="1586"/>
      <c r="D68" s="1586"/>
      <c r="E68" s="1586"/>
      <c r="F68" s="1586"/>
      <c r="G68" s="1587"/>
      <c r="H68" s="1588"/>
      <c r="I68" s="1588"/>
      <c r="J68" s="1588"/>
      <c r="K68" s="1588"/>
      <c r="L68" s="1588"/>
      <c r="M68" s="1588"/>
      <c r="N68" s="1588"/>
      <c r="O68" s="1588"/>
      <c r="P68" s="1588"/>
      <c r="Q68" s="1588"/>
      <c r="R68" s="1588"/>
      <c r="S68" s="1588"/>
    </row>
    <row r="69" spans="1:19">
      <c r="A69" s="1608"/>
      <c r="B69" s="862"/>
      <c r="C69" s="1586"/>
      <c r="D69" s="1586"/>
      <c r="E69" s="1586"/>
      <c r="F69" s="1586"/>
      <c r="G69" s="1587"/>
      <c r="H69" s="1588"/>
      <c r="I69" s="1588"/>
      <c r="J69" s="1588"/>
      <c r="K69" s="1588"/>
      <c r="L69" s="1588"/>
      <c r="M69" s="1588"/>
      <c r="N69" s="1588"/>
      <c r="O69" s="1588"/>
      <c r="P69" s="1588"/>
      <c r="Q69" s="1588"/>
      <c r="R69" s="1588"/>
      <c r="S69" s="1588"/>
    </row>
    <row r="70" spans="1:19" ht="15.75" thickBot="1">
      <c r="A70" s="1608"/>
      <c r="B70" s="862"/>
      <c r="C70" s="1586"/>
      <c r="D70" s="1586"/>
      <c r="E70" s="1586"/>
      <c r="F70" s="1586"/>
      <c r="G70" s="1587"/>
      <c r="H70" s="1588"/>
      <c r="I70" s="1588"/>
      <c r="J70" s="1588"/>
      <c r="K70" s="1588"/>
      <c r="L70" s="1588"/>
      <c r="M70" s="1588"/>
      <c r="N70" s="1588"/>
      <c r="O70" s="1588"/>
      <c r="P70" s="1588"/>
      <c r="Q70" s="1588"/>
      <c r="R70" s="1588"/>
      <c r="S70" s="1588"/>
    </row>
    <row r="71" spans="1:19" s="2" customFormat="1" ht="16.5" thickTop="1" thickBot="1">
      <c r="A71" s="726" t="s">
        <v>574</v>
      </c>
      <c r="B71" s="727"/>
      <c r="C71" s="12"/>
      <c r="D71" s="12"/>
      <c r="E71" s="12"/>
      <c r="F71" s="12"/>
      <c r="G71" s="13"/>
      <c r="H71" s="21"/>
      <c r="I71" s="21"/>
      <c r="J71" s="21"/>
      <c r="K71" s="21"/>
      <c r="L71" s="21"/>
      <c r="M71" s="21"/>
      <c r="N71" s="21"/>
      <c r="O71" s="21"/>
      <c r="P71" s="21"/>
      <c r="Q71" s="21"/>
      <c r="R71" s="21"/>
      <c r="S71" s="21"/>
    </row>
    <row r="72" spans="1:19" s="2" customFormat="1" ht="15.75" thickTop="1">
      <c r="A72" s="1608"/>
      <c r="B72" s="862"/>
      <c r="C72" s="1586"/>
      <c r="D72" s="1586"/>
      <c r="E72" s="1586"/>
      <c r="F72" s="1586"/>
      <c r="G72" s="1587"/>
      <c r="H72" s="1588"/>
      <c r="I72" s="1588"/>
      <c r="J72" s="1588"/>
      <c r="K72" s="1588"/>
      <c r="L72" s="1588"/>
      <c r="M72" s="1588"/>
      <c r="N72" s="1588"/>
      <c r="O72" s="1588"/>
      <c r="P72" s="1588"/>
      <c r="Q72" s="1588"/>
      <c r="R72" s="1588"/>
      <c r="S72" s="1588"/>
    </row>
    <row r="73" spans="1:19" s="2" customFormat="1">
      <c r="A73" s="1608"/>
      <c r="B73" s="862"/>
      <c r="C73" s="1586"/>
      <c r="D73" s="1586"/>
      <c r="E73" s="1586"/>
      <c r="F73" s="1586"/>
      <c r="G73" s="1587"/>
      <c r="H73" s="1588"/>
      <c r="I73" s="1588"/>
      <c r="J73" s="1588"/>
      <c r="K73" s="1588"/>
      <c r="L73" s="1588"/>
      <c r="M73" s="1588"/>
      <c r="N73" s="1588"/>
      <c r="O73" s="1588"/>
      <c r="P73" s="1588"/>
      <c r="Q73" s="1588"/>
      <c r="R73" s="1588"/>
      <c r="S73" s="1588"/>
    </row>
    <row r="74" spans="1:19" ht="15.75" thickBot="1">
      <c r="A74" s="1608"/>
      <c r="B74" s="862"/>
      <c r="C74" s="1586"/>
      <c r="D74" s="1586"/>
      <c r="E74" s="1586"/>
      <c r="F74" s="1586"/>
      <c r="G74" s="1587"/>
      <c r="H74" s="1588"/>
      <c r="I74" s="1588"/>
      <c r="J74" s="1588"/>
      <c r="K74" s="1588"/>
      <c r="L74" s="1588"/>
      <c r="M74" s="1588"/>
      <c r="N74" s="1588"/>
      <c r="O74" s="1588"/>
      <c r="P74" s="1588"/>
      <c r="Q74" s="1588"/>
      <c r="R74" s="1588"/>
      <c r="S74" s="1588"/>
    </row>
    <row r="75" spans="1:19" s="2" customFormat="1" ht="16.5" thickTop="1" thickBot="1">
      <c r="A75" s="726" t="s">
        <v>575</v>
      </c>
      <c r="B75" s="727"/>
      <c r="C75" s="12"/>
      <c r="D75" s="12"/>
      <c r="E75" s="12"/>
      <c r="F75" s="12"/>
      <c r="G75" s="13"/>
      <c r="H75" s="21"/>
      <c r="I75" s="21"/>
      <c r="J75" s="21"/>
      <c r="K75" s="21"/>
      <c r="L75" s="21"/>
      <c r="M75" s="21"/>
      <c r="N75" s="21"/>
      <c r="O75" s="21"/>
      <c r="P75" s="21"/>
      <c r="Q75" s="21"/>
      <c r="R75" s="21"/>
      <c r="S75" s="21"/>
    </row>
    <row r="76" spans="1:19" s="2" customFormat="1" ht="15.75" thickTop="1">
      <c r="A76" s="1608"/>
      <c r="B76" s="862"/>
      <c r="C76" s="1586"/>
      <c r="D76" s="1586"/>
      <c r="E76" s="1586"/>
      <c r="F76" s="1586"/>
      <c r="G76" s="1587"/>
      <c r="H76" s="1588"/>
      <c r="I76" s="1588"/>
      <c r="J76" s="1588"/>
      <c r="K76" s="1588"/>
      <c r="L76" s="1588"/>
      <c r="M76" s="1588"/>
      <c r="N76" s="1588"/>
      <c r="O76" s="1588"/>
      <c r="P76" s="1588"/>
      <c r="Q76" s="1588"/>
      <c r="R76" s="1588"/>
      <c r="S76" s="1588"/>
    </row>
    <row r="77" spans="1:19" s="2" customFormat="1">
      <c r="A77" s="628"/>
      <c r="B77" s="862"/>
      <c r="C77" s="1124"/>
      <c r="D77" s="1124"/>
      <c r="E77" s="1124"/>
      <c r="F77" s="1124"/>
      <c r="G77" s="1133"/>
      <c r="H77" s="604"/>
      <c r="I77" s="604"/>
      <c r="J77" s="604"/>
      <c r="K77" s="604"/>
      <c r="L77" s="604"/>
      <c r="M77" s="604"/>
      <c r="N77" s="604"/>
      <c r="O77" s="604"/>
      <c r="P77" s="604"/>
      <c r="Q77" s="604"/>
      <c r="R77" s="604"/>
      <c r="S77" s="604"/>
    </row>
    <row r="78" spans="1:19" s="2" customFormat="1" ht="15.75" thickBot="1">
      <c r="A78" s="625"/>
      <c r="B78" s="1171"/>
      <c r="C78" s="1124"/>
      <c r="D78" s="1124"/>
      <c r="E78" s="1124"/>
      <c r="F78" s="1124"/>
      <c r="G78" s="1133"/>
      <c r="H78" s="605"/>
      <c r="I78" s="605"/>
      <c r="J78" s="605"/>
      <c r="K78" s="605"/>
      <c r="L78" s="605"/>
      <c r="M78" s="605"/>
      <c r="N78" s="605"/>
      <c r="O78" s="605"/>
      <c r="P78" s="605"/>
      <c r="Q78" s="605"/>
      <c r="R78" s="605"/>
      <c r="S78" s="605"/>
    </row>
    <row r="79" spans="1:19" s="2" customFormat="1" ht="16.5" thickTop="1" thickBot="1">
      <c r="A79" s="726" t="s">
        <v>576</v>
      </c>
      <c r="B79" s="727"/>
      <c r="C79" s="12"/>
      <c r="D79" s="12"/>
      <c r="E79" s="12"/>
      <c r="F79" s="12"/>
      <c r="G79" s="13"/>
      <c r="H79" s="21"/>
      <c r="I79" s="21"/>
      <c r="J79" s="21"/>
      <c r="K79" s="21"/>
      <c r="L79" s="21"/>
      <c r="M79" s="21"/>
      <c r="N79" s="21"/>
      <c r="O79" s="21"/>
      <c r="P79" s="21"/>
      <c r="Q79" s="21"/>
      <c r="R79" s="21"/>
      <c r="S79" s="21"/>
    </row>
    <row r="80" spans="1:19" ht="15.75" thickTop="1">
      <c r="A80" s="1589"/>
      <c r="B80" s="1590"/>
      <c r="C80" s="1586"/>
      <c r="D80" s="1586"/>
      <c r="E80" s="1586"/>
      <c r="F80" s="1586"/>
      <c r="G80" s="1587"/>
      <c r="H80" s="1588"/>
      <c r="I80" s="1588"/>
      <c r="J80" s="1588"/>
      <c r="K80" s="1588"/>
      <c r="L80" s="1588"/>
      <c r="M80" s="1588"/>
      <c r="N80" s="1588"/>
      <c r="O80" s="1588"/>
      <c r="P80" s="1588"/>
      <c r="Q80" s="1588"/>
      <c r="R80" s="1588"/>
      <c r="S80" s="1588"/>
    </row>
    <row r="81" spans="1:19">
      <c r="A81" s="625"/>
      <c r="B81" s="1171"/>
      <c r="C81" s="1124"/>
      <c r="D81" s="1124"/>
      <c r="E81" s="1124"/>
      <c r="F81" s="1124"/>
      <c r="G81" s="1133"/>
      <c r="H81" s="606"/>
      <c r="I81" s="606"/>
      <c r="J81" s="606"/>
      <c r="K81" s="606"/>
      <c r="L81" s="606"/>
      <c r="M81" s="606"/>
      <c r="N81" s="606"/>
      <c r="O81" s="606"/>
      <c r="P81" s="606"/>
      <c r="Q81" s="606"/>
      <c r="R81" s="606"/>
      <c r="S81" s="606"/>
    </row>
    <row r="82" spans="1:19" ht="15.75" thickBot="1">
      <c r="A82" s="625"/>
      <c r="B82" s="1171"/>
      <c r="C82" s="1124"/>
      <c r="D82" s="1124"/>
      <c r="E82" s="1124"/>
      <c r="F82" s="1124"/>
      <c r="G82" s="1133"/>
      <c r="H82" s="606"/>
      <c r="I82" s="606"/>
      <c r="J82" s="606"/>
      <c r="K82" s="606"/>
      <c r="L82" s="606"/>
      <c r="M82" s="606"/>
      <c r="N82" s="606"/>
      <c r="O82" s="606"/>
      <c r="P82" s="606"/>
      <c r="Q82" s="606"/>
      <c r="R82" s="606"/>
      <c r="S82" s="606"/>
    </row>
    <row r="83" spans="1:19" ht="16.5" thickTop="1" thickBot="1">
      <c r="A83" s="726" t="s">
        <v>577</v>
      </c>
      <c r="B83" s="727"/>
      <c r="C83" s="12"/>
      <c r="D83" s="12"/>
      <c r="E83" s="12"/>
      <c r="F83" s="12"/>
      <c r="G83" s="13"/>
      <c r="H83" s="21"/>
      <c r="I83" s="21"/>
      <c r="J83" s="21"/>
      <c r="K83" s="21"/>
      <c r="L83" s="21"/>
      <c r="M83" s="21"/>
      <c r="N83" s="21"/>
      <c r="O83" s="21"/>
      <c r="P83" s="21"/>
      <c r="Q83" s="21"/>
      <c r="R83" s="21"/>
      <c r="S83" s="21"/>
    </row>
    <row r="84" spans="1:19" ht="15.75" thickTop="1">
      <c r="A84" s="628"/>
      <c r="B84" s="862" t="s">
        <v>578</v>
      </c>
      <c r="C84" s="1124"/>
      <c r="D84" s="1124"/>
      <c r="E84" s="1124"/>
      <c r="F84" s="1124"/>
      <c r="G84" s="1133"/>
      <c r="H84" s="606"/>
      <c r="I84" s="606"/>
      <c r="J84" s="606"/>
      <c r="K84" s="606"/>
      <c r="L84" s="606"/>
      <c r="M84" s="606"/>
      <c r="N84" s="606"/>
      <c r="O84" s="606"/>
      <c r="P84" s="606"/>
      <c r="Q84" s="606"/>
      <c r="R84" s="606"/>
      <c r="S84" s="606"/>
    </row>
    <row r="85" spans="1:19">
      <c r="A85" s="628"/>
      <c r="B85" s="862" t="s">
        <v>579</v>
      </c>
      <c r="C85" s="1124"/>
      <c r="D85" s="1124"/>
      <c r="E85" s="1124"/>
      <c r="F85" s="1124"/>
      <c r="G85" s="1133"/>
      <c r="H85" s="606"/>
      <c r="I85" s="606"/>
      <c r="J85" s="606"/>
      <c r="K85" s="606"/>
      <c r="L85" s="606"/>
      <c r="M85" s="606"/>
      <c r="N85" s="606"/>
      <c r="O85" s="606"/>
      <c r="P85" s="606"/>
      <c r="Q85" s="606"/>
      <c r="R85" s="606"/>
      <c r="S85" s="606"/>
    </row>
    <row r="86" spans="1:19">
      <c r="A86" s="628"/>
      <c r="B86" s="862" t="s">
        <v>580</v>
      </c>
      <c r="C86" s="1124"/>
      <c r="D86" s="1124"/>
      <c r="E86" s="1124"/>
      <c r="F86" s="1124"/>
      <c r="G86" s="1133"/>
      <c r="H86" s="606"/>
      <c r="I86" s="606"/>
      <c r="J86" s="606"/>
      <c r="K86" s="606"/>
      <c r="L86" s="606"/>
      <c r="M86" s="606"/>
      <c r="N86" s="606"/>
      <c r="O86" s="606"/>
      <c r="P86" s="606"/>
      <c r="Q86" s="606"/>
      <c r="R86" s="606"/>
      <c r="S86" s="606"/>
    </row>
    <row r="87" spans="1:19">
      <c r="A87" s="628"/>
      <c r="B87" s="862" t="s">
        <v>581</v>
      </c>
      <c r="C87" s="1124"/>
      <c r="D87" s="1124"/>
      <c r="E87" s="1124"/>
      <c r="F87" s="1124"/>
      <c r="G87" s="1133"/>
      <c r="H87" s="606"/>
      <c r="I87" s="606"/>
      <c r="J87" s="606"/>
      <c r="K87" s="606"/>
      <c r="L87" s="606"/>
      <c r="M87" s="606"/>
      <c r="N87" s="606"/>
      <c r="O87" s="606"/>
      <c r="P87" s="606"/>
      <c r="Q87" s="606"/>
      <c r="R87" s="606"/>
      <c r="S87" s="606"/>
    </row>
    <row r="88" spans="1:19" ht="15.75" thickBot="1">
      <c r="A88" s="416"/>
      <c r="B88" s="295"/>
      <c r="C88" s="184"/>
      <c r="D88" s="184"/>
      <c r="E88" s="184"/>
      <c r="F88" s="184"/>
      <c r="G88" s="296"/>
      <c r="H88" s="418"/>
      <c r="I88" s="418"/>
      <c r="J88" s="418"/>
      <c r="K88" s="418"/>
      <c r="L88" s="418"/>
      <c r="M88" s="418"/>
      <c r="N88" s="418"/>
      <c r="O88" s="418"/>
      <c r="P88" s="418"/>
      <c r="Q88" s="418"/>
      <c r="R88" s="418"/>
      <c r="S88" s="418"/>
    </row>
    <row r="89" spans="1:19" ht="16.5" thickTop="1" thickBot="1">
      <c r="A89" s="7" t="s">
        <v>582</v>
      </c>
      <c r="B89" s="8"/>
      <c r="C89" s="12"/>
      <c r="D89" s="12"/>
      <c r="E89" s="12"/>
      <c r="F89" s="12"/>
      <c r="G89" s="13"/>
      <c r="H89" s="21"/>
      <c r="I89" s="21"/>
      <c r="J89" s="21"/>
      <c r="K89" s="21"/>
      <c r="L89" s="21"/>
      <c r="M89" s="21"/>
      <c r="N89" s="21"/>
      <c r="O89" s="21"/>
      <c r="P89" s="21"/>
      <c r="Q89" s="21"/>
      <c r="R89" s="21"/>
      <c r="S89" s="21"/>
    </row>
    <row r="90" spans="1:19" ht="15.75" thickTop="1">
      <c r="A90" s="1608"/>
      <c r="B90" s="1591" t="s">
        <v>583</v>
      </c>
      <c r="C90" s="1586"/>
      <c r="D90" s="1586"/>
      <c r="E90" s="1586"/>
      <c r="F90" s="1586"/>
      <c r="G90" s="1587"/>
      <c r="H90" s="1592"/>
      <c r="I90" s="1592"/>
      <c r="J90" s="1592"/>
      <c r="K90" s="1592"/>
      <c r="L90" s="1592"/>
      <c r="M90" s="1592"/>
      <c r="N90" s="1592"/>
      <c r="O90" s="1592"/>
      <c r="P90" s="1592"/>
      <c r="Q90" s="1592"/>
      <c r="R90" s="1592"/>
      <c r="S90" s="1592"/>
    </row>
    <row r="91" spans="1:19">
      <c r="A91" s="628"/>
      <c r="B91" s="862" t="s">
        <v>584</v>
      </c>
      <c r="C91" s="1124"/>
      <c r="D91" s="1124"/>
      <c r="E91" s="1124"/>
      <c r="F91" s="1124"/>
      <c r="G91" s="1133"/>
      <c r="H91" s="618"/>
      <c r="I91" s="618"/>
      <c r="J91" s="618"/>
      <c r="K91" s="618"/>
      <c r="L91" s="618"/>
      <c r="M91" s="618"/>
      <c r="N91" s="618"/>
      <c r="O91" s="618"/>
      <c r="P91" s="618"/>
      <c r="Q91" s="618"/>
      <c r="R91" s="618"/>
      <c r="S91" s="618"/>
    </row>
    <row r="92" spans="1:19" ht="15.75" thickBot="1">
      <c r="A92" s="607"/>
      <c r="B92" s="608" t="s">
        <v>585</v>
      </c>
      <c r="C92" s="609"/>
      <c r="D92" s="609"/>
      <c r="E92" s="609"/>
      <c r="F92" s="609"/>
      <c r="G92" s="610"/>
      <c r="H92" s="611"/>
      <c r="I92" s="611"/>
      <c r="J92" s="611"/>
      <c r="K92" s="611"/>
      <c r="L92" s="611"/>
      <c r="M92" s="611"/>
      <c r="N92" s="611"/>
      <c r="O92" s="611"/>
      <c r="P92" s="611"/>
      <c r="Q92" s="611"/>
      <c r="R92" s="611"/>
      <c r="S92" s="611"/>
    </row>
    <row r="93" spans="1:19" ht="16.5" thickTop="1" thickBot="1"/>
    <row r="94" spans="1:19" ht="16.5" thickTop="1" thickBot="1">
      <c r="A94" s="92" t="s">
        <v>586</v>
      </c>
      <c r="B94" s="94"/>
    </row>
    <row r="95" spans="1:19" ht="15.75" thickTop="1">
      <c r="A95" s="93" t="s">
        <v>487</v>
      </c>
      <c r="B95" s="612"/>
    </row>
    <row r="96" spans="1:19">
      <c r="A96" s="626" t="s">
        <v>491</v>
      </c>
      <c r="B96" s="612"/>
    </row>
    <row r="97" spans="1:2">
      <c r="A97" s="613" t="s">
        <v>494</v>
      </c>
      <c r="B97" s="614"/>
    </row>
    <row r="98" spans="1:2">
      <c r="A98" s="613" t="s">
        <v>497</v>
      </c>
      <c r="B98" s="622"/>
    </row>
    <row r="99" spans="1:2" ht="15.75" thickBot="1">
      <c r="A99" s="615" t="s">
        <v>587</v>
      </c>
      <c r="B99" s="616">
        <f>H8</f>
        <v>105897.5</v>
      </c>
    </row>
    <row r="100" spans="1:2" ht="15.75" thickTop="1"/>
    <row r="101" spans="1:2">
      <c r="A101" s="95"/>
      <c r="B101" s="1" t="s">
        <v>588</v>
      </c>
    </row>
    <row r="102" spans="1:2">
      <c r="A102" s="96"/>
      <c r="B102"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7:B67"/>
    <mergeCell ref="A71:B71"/>
    <mergeCell ref="A75:B75"/>
    <mergeCell ref="A79:B79"/>
    <mergeCell ref="A83:B83"/>
  </mergeCells>
  <conditionalFormatting sqref="H21:H31 H33:H58 J33:J58 L33:L58 N33:N58 P33:P58 R33:R58">
    <cfRule type="cellIs" dxfId="1465" priority="13" operator="equal">
      <formula>"X"</formula>
    </cfRule>
    <cfRule type="cellIs" dxfId="1464" priority="14" operator="equal">
      <formula>"I"</formula>
    </cfRule>
  </conditionalFormatting>
  <conditionalFormatting sqref="J21:J31">
    <cfRule type="cellIs" dxfId="1463" priority="15" operator="equal">
      <formula>"X"</formula>
    </cfRule>
    <cfRule type="cellIs" dxfId="1462" priority="16" operator="equal">
      <formula>"I"</formula>
    </cfRule>
  </conditionalFormatting>
  <conditionalFormatting sqref="L21:L31">
    <cfRule type="cellIs" dxfId="1461" priority="17" operator="equal">
      <formula>"X"</formula>
    </cfRule>
    <cfRule type="cellIs" dxfId="1460" priority="18" operator="equal">
      <formula>"I"</formula>
    </cfRule>
  </conditionalFormatting>
  <conditionalFormatting sqref="N21:N31">
    <cfRule type="cellIs" dxfId="1459" priority="19" operator="equal">
      <formula>"X"</formula>
    </cfRule>
    <cfRule type="cellIs" dxfId="1458" priority="20" operator="equal">
      <formula>"I"</formula>
    </cfRule>
  </conditionalFormatting>
  <conditionalFormatting sqref="P21:P31">
    <cfRule type="cellIs" dxfId="1457" priority="21" operator="equal">
      <formula>"X"</formula>
    </cfRule>
    <cfRule type="cellIs" dxfId="1456" priority="22" operator="equal">
      <formula>"I"</formula>
    </cfRule>
  </conditionalFormatting>
  <conditionalFormatting sqref="R21:R31">
    <cfRule type="cellIs" dxfId="1455" priority="23" operator="equal">
      <formula>"X"</formula>
    </cfRule>
    <cfRule type="cellIs" dxfId="1454" priority="24" operator="equal">
      <formula>"I"</formula>
    </cfRule>
  </conditionalFormatting>
  <hyperlinks>
    <hyperlink ref="B3" location="'Cost Summary'!A1" display="BACK TO SUMMARY SHEET" xr:uid="{6C5F867E-2E00-4B98-9722-41B6BE50AACC}"/>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BC89-544F-41D5-AC5D-E1C2CE4CAA30}">
  <sheetPr>
    <tabColor rgb="FF92D050"/>
  </sheetPr>
  <dimension ref="A1:S94"/>
  <sheetViews>
    <sheetView zoomScale="95" zoomScaleNormal="9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49"/>
      <c r="I2" s="749"/>
      <c r="J2" s="732"/>
      <c r="K2" s="732"/>
      <c r="L2" s="749"/>
      <c r="M2" s="749"/>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840</v>
      </c>
      <c r="C5" s="1124"/>
      <c r="D5" s="1124"/>
      <c r="E5" s="1124"/>
      <c r="F5" s="1124"/>
      <c r="G5" s="1125" t="s">
        <v>491</v>
      </c>
      <c r="H5" s="1593"/>
      <c r="I5" s="1594"/>
      <c r="J5" s="1593"/>
      <c r="K5" s="1594"/>
      <c r="L5" s="1593"/>
      <c r="M5" s="1594"/>
      <c r="N5" s="1593"/>
      <c r="O5" s="1594"/>
      <c r="P5" s="1593"/>
      <c r="Q5" s="1594"/>
      <c r="R5" s="1593"/>
      <c r="S5" s="1594"/>
    </row>
    <row r="6" spans="1:19">
      <c r="A6" s="627" t="s">
        <v>493</v>
      </c>
      <c r="B6" s="1127" t="s">
        <v>841</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c r="A8" s="414" t="s">
        <v>499</v>
      </c>
      <c r="B8" s="295"/>
      <c r="C8" s="184"/>
      <c r="D8" s="184"/>
      <c r="E8" s="184"/>
      <c r="F8" s="184"/>
      <c r="G8" s="419" t="s">
        <v>499</v>
      </c>
      <c r="H8" s="774">
        <f>I55</f>
        <v>0</v>
      </c>
      <c r="I8" s="775"/>
      <c r="J8" s="774">
        <f>K55</f>
        <v>0</v>
      </c>
      <c r="K8" s="775"/>
      <c r="L8" s="774">
        <f>M55</f>
        <v>0</v>
      </c>
      <c r="M8" s="775"/>
      <c r="N8" s="774">
        <f>O55</f>
        <v>0</v>
      </c>
      <c r="O8" s="775"/>
      <c r="P8" s="774">
        <f>Q55</f>
        <v>0</v>
      </c>
      <c r="Q8" s="775"/>
      <c r="R8" s="774">
        <f>S55</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595"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idden="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idden="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628"/>
      <c r="B21" s="1136" t="s">
        <v>840</v>
      </c>
      <c r="C21" s="1134"/>
      <c r="D21" s="1124"/>
      <c r="E21" s="1124"/>
      <c r="F21" s="1124"/>
      <c r="G21" s="1133"/>
      <c r="H21" s="590"/>
      <c r="I21" s="617"/>
      <c r="J21" s="590"/>
      <c r="K21" s="617"/>
      <c r="L21" s="590"/>
      <c r="M21" s="617"/>
      <c r="N21" s="590"/>
      <c r="O21" s="617"/>
      <c r="P21" s="590"/>
      <c r="Q21" s="617"/>
      <c r="R21" s="590"/>
      <c r="S21" s="617"/>
    </row>
    <row r="22" spans="1:19">
      <c r="A22" s="1596"/>
      <c r="B22" s="374" t="s">
        <v>512</v>
      </c>
      <c r="C22" s="1134"/>
      <c r="D22" s="1124"/>
      <c r="E22" s="1124"/>
      <c r="F22" s="1124"/>
      <c r="G22" s="1133"/>
      <c r="H22" s="590"/>
      <c r="I22" s="1597"/>
      <c r="J22" s="590"/>
      <c r="K22" s="1597"/>
      <c r="L22" s="590"/>
      <c r="M22" s="1597"/>
      <c r="N22" s="590"/>
      <c r="O22" s="1597"/>
      <c r="P22" s="590"/>
      <c r="Q22" s="1597"/>
      <c r="R22" s="590"/>
      <c r="S22" s="1597"/>
    </row>
    <row r="23" spans="1:19">
      <c r="A23" s="1596"/>
      <c r="B23" s="647" t="s">
        <v>513</v>
      </c>
      <c r="C23" s="1134"/>
      <c r="D23" s="1124"/>
      <c r="E23" s="1124"/>
      <c r="F23" s="1124"/>
      <c r="G23" s="1133"/>
      <c r="H23" s="590"/>
      <c r="I23" s="1597"/>
      <c r="J23" s="590"/>
      <c r="K23" s="1597"/>
      <c r="L23" s="590"/>
      <c r="M23" s="1597"/>
      <c r="N23" s="590"/>
      <c r="O23" s="1597"/>
      <c r="P23" s="590"/>
      <c r="Q23" s="1598"/>
      <c r="R23" s="590"/>
      <c r="S23" s="1598"/>
    </row>
    <row r="24" spans="1:19">
      <c r="A24" s="623"/>
      <c r="B24" s="1575" t="s">
        <v>514</v>
      </c>
      <c r="C24" s="1124"/>
      <c r="D24" s="1124"/>
      <c r="E24" s="1124"/>
      <c r="F24" s="1124"/>
      <c r="G24" s="1133"/>
      <c r="H24" s="590"/>
      <c r="I24" s="1598"/>
      <c r="J24" s="590"/>
      <c r="K24" s="1598"/>
      <c r="L24" s="590"/>
      <c r="M24" s="1598"/>
      <c r="N24" s="590"/>
      <c r="O24" s="1597"/>
      <c r="P24" s="590"/>
      <c r="Q24" s="1597"/>
      <c r="R24" s="590"/>
      <c r="S24" s="1597"/>
    </row>
    <row r="25" spans="1:19">
      <c r="A25" s="1596"/>
      <c r="B25" s="1576" t="s">
        <v>515</v>
      </c>
      <c r="C25" s="1124"/>
      <c r="D25" s="1124"/>
      <c r="E25" s="1124"/>
      <c r="F25" s="1124"/>
      <c r="G25" s="1133"/>
      <c r="H25" s="590"/>
      <c r="I25" s="1598"/>
      <c r="J25" s="590"/>
      <c r="K25" s="1598"/>
      <c r="L25" s="590"/>
      <c r="M25" s="1598"/>
      <c r="N25" s="590"/>
      <c r="O25" s="1597"/>
      <c r="P25" s="590"/>
      <c r="Q25" s="1597"/>
      <c r="R25" s="590"/>
      <c r="S25" s="1597"/>
    </row>
    <row r="26" spans="1:19">
      <c r="A26" s="623"/>
      <c r="B26" s="1576" t="s">
        <v>516</v>
      </c>
      <c r="C26" s="1124"/>
      <c r="D26" s="1124"/>
      <c r="E26" s="1124"/>
      <c r="F26" s="1124"/>
      <c r="G26" s="1133"/>
      <c r="H26" s="590"/>
      <c r="I26" s="1598"/>
      <c r="J26" s="590"/>
      <c r="K26" s="1598"/>
      <c r="L26" s="590"/>
      <c r="M26" s="1598"/>
      <c r="N26" s="590"/>
      <c r="O26" s="1597"/>
      <c r="P26" s="590"/>
      <c r="Q26" s="1597"/>
      <c r="R26" s="590"/>
      <c r="S26" s="1597"/>
    </row>
    <row r="27" spans="1:19">
      <c r="A27" s="1596"/>
      <c r="B27" s="1576" t="s">
        <v>517</v>
      </c>
      <c r="C27" s="1124"/>
      <c r="D27" s="1124"/>
      <c r="E27" s="1124"/>
      <c r="F27" s="1124"/>
      <c r="G27" s="1133"/>
      <c r="H27" s="590"/>
      <c r="I27" s="1598"/>
      <c r="J27" s="590"/>
      <c r="K27" s="1598"/>
      <c r="L27" s="590"/>
      <c r="M27" s="1598"/>
      <c r="N27" s="590"/>
      <c r="O27" s="1597"/>
      <c r="P27" s="590"/>
      <c r="Q27" s="1597"/>
      <c r="R27" s="590"/>
      <c r="S27" s="1597"/>
    </row>
    <row r="28" spans="1:19">
      <c r="A28" s="1596"/>
      <c r="B28" s="1576" t="s">
        <v>518</v>
      </c>
      <c r="C28" s="1124"/>
      <c r="D28" s="1124"/>
      <c r="E28" s="1124"/>
      <c r="F28" s="1124"/>
      <c r="G28" s="1133"/>
      <c r="H28" s="590"/>
      <c r="I28" s="1598"/>
      <c r="J28" s="590"/>
      <c r="K28" s="1598"/>
      <c r="L28" s="590"/>
      <c r="M28" s="1598"/>
      <c r="N28" s="590"/>
      <c r="O28" s="1597"/>
      <c r="P28" s="590"/>
      <c r="Q28" s="1597"/>
      <c r="R28" s="590"/>
      <c r="S28" s="1597"/>
    </row>
    <row r="29" spans="1:19">
      <c r="A29" s="1596"/>
      <c r="B29" s="1576" t="s">
        <v>693</v>
      </c>
      <c r="C29" s="1124"/>
      <c r="D29" s="1124"/>
      <c r="E29" s="1124"/>
      <c r="F29" s="1124"/>
      <c r="G29" s="1133"/>
      <c r="H29" s="590"/>
      <c r="I29" s="1598"/>
      <c r="J29" s="590"/>
      <c r="K29" s="1598"/>
      <c r="L29" s="590"/>
      <c r="M29" s="1598"/>
      <c r="N29" s="590"/>
      <c r="O29" s="1597"/>
      <c r="P29" s="590"/>
      <c r="Q29" s="1597"/>
      <c r="R29" s="590"/>
      <c r="S29" s="1597"/>
    </row>
    <row r="30" spans="1:19">
      <c r="A30" s="1596"/>
      <c r="B30" s="1577" t="s">
        <v>519</v>
      </c>
      <c r="C30" s="1124"/>
      <c r="D30" s="1124"/>
      <c r="E30" s="1124"/>
      <c r="F30" s="1124"/>
      <c r="G30" s="1133"/>
      <c r="H30" s="590"/>
      <c r="I30" s="1598"/>
      <c r="J30" s="590"/>
      <c r="K30" s="1598"/>
      <c r="L30" s="590"/>
      <c r="M30" s="1598"/>
      <c r="N30" s="590"/>
      <c r="O30" s="1597"/>
      <c r="P30" s="590"/>
      <c r="Q30" s="1597"/>
      <c r="R30" s="590"/>
      <c r="S30" s="1597"/>
    </row>
    <row r="31" spans="1:19">
      <c r="A31" s="1596"/>
      <c r="B31" s="1578" t="s">
        <v>520</v>
      </c>
      <c r="C31" s="1145"/>
      <c r="D31" s="1145"/>
      <c r="E31" s="1145"/>
      <c r="F31" s="1145"/>
      <c r="G31" s="1599"/>
      <c r="H31" s="619"/>
      <c r="I31" s="1579"/>
      <c r="J31" s="619"/>
      <c r="K31" s="1579"/>
      <c r="L31" s="619"/>
      <c r="M31" s="1579"/>
      <c r="N31" s="619"/>
      <c r="O31" s="1580"/>
      <c r="P31" s="619"/>
      <c r="Q31" s="1580"/>
      <c r="R31" s="619"/>
      <c r="S31" s="1580"/>
    </row>
    <row r="32" spans="1:19">
      <c r="A32" s="1596"/>
      <c r="B32" s="1581"/>
      <c r="C32" s="1124"/>
      <c r="D32" s="1124"/>
      <c r="E32" s="1124"/>
      <c r="F32" s="1124"/>
      <c r="G32" s="1229"/>
      <c r="H32" s="590"/>
      <c r="I32" s="1598"/>
      <c r="J32" s="590"/>
      <c r="K32" s="1598"/>
      <c r="L32" s="590"/>
      <c r="M32" s="1598"/>
      <c r="N32" s="590"/>
      <c r="O32" s="1597"/>
      <c r="P32" s="590"/>
      <c r="Q32" s="1597"/>
      <c r="R32" s="590"/>
      <c r="S32" s="1597"/>
    </row>
    <row r="33" spans="1:19">
      <c r="A33" s="1596"/>
      <c r="B33" s="1606"/>
      <c r="C33" s="1124"/>
      <c r="D33" s="1124"/>
      <c r="E33" s="1124"/>
      <c r="F33" s="1151"/>
      <c r="G33" s="1229"/>
      <c r="H33" s="590"/>
      <c r="I33" s="1598"/>
      <c r="J33" s="590"/>
      <c r="K33" s="1598"/>
      <c r="L33" s="590"/>
      <c r="M33" s="1598"/>
      <c r="N33" s="590"/>
      <c r="O33" s="1597"/>
      <c r="P33" s="590"/>
      <c r="Q33" s="1597"/>
      <c r="R33" s="590"/>
      <c r="S33" s="1597"/>
    </row>
    <row r="34" spans="1:19">
      <c r="A34" s="1596"/>
      <c r="B34" s="1606"/>
      <c r="C34" s="1124"/>
      <c r="D34" s="1124"/>
      <c r="E34" s="1124"/>
      <c r="F34" s="1151"/>
      <c r="G34" s="1229"/>
      <c r="H34" s="590"/>
      <c r="I34" s="1598"/>
      <c r="J34" s="590"/>
      <c r="K34" s="1598"/>
      <c r="L34" s="590"/>
      <c r="M34" s="1598"/>
      <c r="N34" s="590"/>
      <c r="O34" s="1597"/>
      <c r="P34" s="590"/>
      <c r="Q34" s="1597"/>
      <c r="R34" s="590"/>
      <c r="S34" s="1597"/>
    </row>
    <row r="35" spans="1:19">
      <c r="A35" s="1596"/>
      <c r="B35" s="1606"/>
      <c r="C35" s="1124"/>
      <c r="D35" s="1124"/>
      <c r="E35" s="1124"/>
      <c r="F35" s="1151"/>
      <c r="G35" s="1229"/>
      <c r="H35" s="590"/>
      <c r="I35" s="1598"/>
      <c r="J35" s="590"/>
      <c r="K35" s="1598"/>
      <c r="L35" s="590"/>
      <c r="M35" s="1598"/>
      <c r="N35" s="590"/>
      <c r="O35" s="1597"/>
      <c r="P35" s="590"/>
      <c r="Q35" s="1597"/>
      <c r="R35" s="590"/>
      <c r="S35" s="1597"/>
    </row>
    <row r="36" spans="1:19">
      <c r="A36" s="1596"/>
      <c r="B36" s="1606"/>
      <c r="C36" s="1124"/>
      <c r="D36" s="1124"/>
      <c r="E36" s="1124"/>
      <c r="F36" s="1151"/>
      <c r="G36" s="1229"/>
      <c r="H36" s="590"/>
      <c r="I36" s="1598"/>
      <c r="J36" s="590"/>
      <c r="K36" s="1598"/>
      <c r="L36" s="590"/>
      <c r="M36" s="1598"/>
      <c r="N36" s="590"/>
      <c r="O36" s="1597"/>
      <c r="P36" s="590"/>
      <c r="Q36" s="1597"/>
      <c r="R36" s="590"/>
      <c r="S36" s="1597"/>
    </row>
    <row r="37" spans="1:19">
      <c r="A37" s="1596"/>
      <c r="B37" s="1583"/>
      <c r="C37" s="1124"/>
      <c r="D37" s="1124"/>
      <c r="E37" s="1124"/>
      <c r="F37" s="1151"/>
      <c r="G37" s="1229"/>
      <c r="H37" s="590"/>
      <c r="I37" s="1598"/>
      <c r="J37" s="590"/>
      <c r="K37" s="1598"/>
      <c r="L37" s="590"/>
      <c r="M37" s="1598"/>
      <c r="N37" s="590"/>
      <c r="O37" s="1597"/>
      <c r="P37" s="590"/>
      <c r="Q37" s="1597"/>
      <c r="R37" s="590"/>
      <c r="S37" s="1597"/>
    </row>
    <row r="38" spans="1:19">
      <c r="A38" s="1596"/>
      <c r="B38" s="1583"/>
      <c r="C38" s="1124"/>
      <c r="D38" s="1124"/>
      <c r="E38" s="1124"/>
      <c r="F38" s="1151"/>
      <c r="G38" s="1229"/>
      <c r="H38" s="590" t="s">
        <v>709</v>
      </c>
      <c r="I38" s="1598"/>
      <c r="J38" s="590"/>
      <c r="K38" s="1598"/>
      <c r="L38" s="590"/>
      <c r="M38" s="1598"/>
      <c r="N38" s="590"/>
      <c r="O38" s="1597"/>
      <c r="P38" s="590"/>
      <c r="Q38" s="1597"/>
      <c r="R38" s="590"/>
      <c r="S38" s="1597"/>
    </row>
    <row r="39" spans="1:19">
      <c r="A39" s="1596"/>
      <c r="B39" s="1583"/>
      <c r="C39" s="1124"/>
      <c r="D39" s="1124"/>
      <c r="E39" s="1124"/>
      <c r="F39" s="1151"/>
      <c r="G39" s="1229"/>
      <c r="H39" s="590"/>
      <c r="I39" s="1598"/>
      <c r="J39" s="590"/>
      <c r="K39" s="1598"/>
      <c r="L39" s="590"/>
      <c r="M39" s="1598"/>
      <c r="N39" s="590"/>
      <c r="O39" s="1598"/>
      <c r="P39" s="590"/>
      <c r="Q39" s="1598"/>
      <c r="R39" s="590"/>
      <c r="S39" s="1597"/>
    </row>
    <row r="40" spans="1:19">
      <c r="A40" s="1596"/>
      <c r="B40" s="1583"/>
      <c r="C40" s="1124"/>
      <c r="D40" s="1124"/>
      <c r="E40" s="1124"/>
      <c r="F40" s="1151"/>
      <c r="G40" s="1229"/>
      <c r="H40" s="590"/>
      <c r="I40" s="1598"/>
      <c r="J40" s="590"/>
      <c r="K40" s="1598"/>
      <c r="L40" s="590"/>
      <c r="M40" s="1598"/>
      <c r="N40" s="590"/>
      <c r="O40" s="1598"/>
      <c r="P40" s="590"/>
      <c r="Q40" s="1598"/>
      <c r="R40" s="590"/>
      <c r="S40" s="1597"/>
    </row>
    <row r="41" spans="1:19">
      <c r="A41" s="1596"/>
      <c r="B41" s="1583"/>
      <c r="C41" s="1124"/>
      <c r="D41" s="1124"/>
      <c r="E41" s="1124"/>
      <c r="F41" s="1151"/>
      <c r="G41" s="1229"/>
      <c r="H41" s="590"/>
      <c r="I41" s="1598"/>
      <c r="J41" s="590"/>
      <c r="K41" s="1598"/>
      <c r="L41" s="590"/>
      <c r="M41" s="1598"/>
      <c r="N41" s="590"/>
      <c r="O41" s="1598"/>
      <c r="P41" s="590"/>
      <c r="Q41" s="1598"/>
      <c r="R41" s="590"/>
      <c r="S41" s="1597"/>
    </row>
    <row r="42" spans="1:19">
      <c r="A42" s="1596"/>
      <c r="B42" s="1584"/>
      <c r="C42" s="1124"/>
      <c r="D42" s="1124"/>
      <c r="E42" s="1124"/>
      <c r="F42" s="1124"/>
      <c r="G42" s="1229"/>
      <c r="H42" s="590"/>
      <c r="I42" s="1598"/>
      <c r="J42" s="590"/>
      <c r="K42" s="1598"/>
      <c r="L42" s="590"/>
      <c r="M42" s="1598"/>
      <c r="N42" s="590"/>
      <c r="O42" s="1598"/>
      <c r="P42" s="590"/>
      <c r="Q42" s="1598"/>
      <c r="R42" s="590"/>
      <c r="S42" s="1597"/>
    </row>
    <row r="43" spans="1:19">
      <c r="A43" s="1596"/>
      <c r="B43" s="1584"/>
      <c r="C43" s="1124"/>
      <c r="D43" s="1124"/>
      <c r="E43" s="1124"/>
      <c r="F43" s="1124"/>
      <c r="G43" s="1133"/>
      <c r="H43" s="590"/>
      <c r="I43" s="1598"/>
      <c r="J43" s="590"/>
      <c r="K43" s="1598"/>
      <c r="L43" s="590"/>
      <c r="M43" s="1598"/>
      <c r="N43" s="590"/>
      <c r="O43" s="1598"/>
      <c r="P43" s="590"/>
      <c r="Q43" s="1598"/>
      <c r="R43" s="590"/>
      <c r="S43" s="1597"/>
    </row>
    <row r="44" spans="1:19">
      <c r="A44" s="1596"/>
      <c r="B44" s="1584"/>
      <c r="C44" s="1124"/>
      <c r="D44" s="1124"/>
      <c r="E44" s="1124"/>
      <c r="F44" s="1124"/>
      <c r="G44" s="1133"/>
      <c r="H44" s="590"/>
      <c r="I44" s="1598"/>
      <c r="J44" s="590"/>
      <c r="K44" s="1598"/>
      <c r="L44" s="590"/>
      <c r="M44" s="1598"/>
      <c r="N44" s="590"/>
      <c r="O44" s="1598"/>
      <c r="P44" s="590"/>
      <c r="Q44" s="1598"/>
      <c r="R44" s="590"/>
      <c r="S44" s="1597"/>
    </row>
    <row r="45" spans="1:19">
      <c r="A45" s="1596"/>
      <c r="B45" s="1584"/>
      <c r="C45" s="1124"/>
      <c r="D45" s="1124"/>
      <c r="E45" s="1124"/>
      <c r="F45" s="1124"/>
      <c r="G45" s="1133"/>
      <c r="H45" s="590"/>
      <c r="I45" s="1598"/>
      <c r="J45" s="590"/>
      <c r="K45" s="1598"/>
      <c r="L45" s="590"/>
      <c r="M45" s="1598"/>
      <c r="N45" s="590"/>
      <c r="O45" s="1598"/>
      <c r="P45" s="590"/>
      <c r="Q45" s="1598"/>
      <c r="R45" s="590"/>
      <c r="S45" s="1597"/>
    </row>
    <row r="46" spans="1:19">
      <c r="A46" s="1596"/>
      <c r="B46" s="1584"/>
      <c r="C46" s="1124"/>
      <c r="D46" s="1124"/>
      <c r="E46" s="1124"/>
      <c r="F46" s="1124"/>
      <c r="G46" s="1133"/>
      <c r="H46" s="590"/>
      <c r="I46" s="1598"/>
      <c r="J46" s="590"/>
      <c r="K46" s="1598"/>
      <c r="L46" s="590"/>
      <c r="M46" s="1598"/>
      <c r="N46" s="590"/>
      <c r="O46" s="1598"/>
      <c r="P46" s="590"/>
      <c r="Q46" s="1598"/>
      <c r="R46" s="590"/>
      <c r="S46" s="1597"/>
    </row>
    <row r="47" spans="1:19">
      <c r="A47" s="1596"/>
      <c r="B47" s="1584"/>
      <c r="C47" s="1124"/>
      <c r="D47" s="1124"/>
      <c r="E47" s="1124"/>
      <c r="F47" s="1124"/>
      <c r="G47" s="1133"/>
      <c r="H47" s="590"/>
      <c r="I47" s="1598"/>
      <c r="J47" s="590"/>
      <c r="K47" s="1597"/>
      <c r="L47" s="590"/>
      <c r="M47" s="1598"/>
      <c r="N47" s="590"/>
      <c r="O47" s="1598"/>
      <c r="P47" s="590"/>
      <c r="Q47" s="1598"/>
      <c r="R47" s="590"/>
      <c r="S47" s="1597"/>
    </row>
    <row r="48" spans="1:19">
      <c r="A48" s="623"/>
      <c r="B48" s="1584"/>
      <c r="C48" s="1124"/>
      <c r="D48" s="1124"/>
      <c r="E48" s="1124"/>
      <c r="F48" s="1124"/>
      <c r="G48" s="1133"/>
      <c r="H48" s="590"/>
      <c r="I48" s="1585"/>
      <c r="J48" s="590"/>
      <c r="K48" s="1598"/>
      <c r="L48" s="590"/>
      <c r="M48" s="1598"/>
      <c r="N48" s="590"/>
      <c r="O48" s="1598"/>
      <c r="P48" s="590"/>
      <c r="Q48" s="1597"/>
      <c r="R48" s="590"/>
      <c r="S48" s="1597"/>
    </row>
    <row r="49" spans="1:19">
      <c r="A49" s="1596"/>
      <c r="B49" s="1607"/>
      <c r="C49" s="1134"/>
      <c r="D49" s="1124"/>
      <c r="E49" s="1124"/>
      <c r="F49" s="1124"/>
      <c r="G49" s="1133"/>
      <c r="H49" s="590"/>
      <c r="I49" s="1597"/>
      <c r="J49" s="590"/>
      <c r="K49" s="1597"/>
      <c r="L49" s="590"/>
      <c r="M49" s="1597"/>
      <c r="N49" s="590"/>
      <c r="O49" s="1597"/>
      <c r="P49" s="590"/>
      <c r="Q49" s="1597"/>
      <c r="R49" s="590"/>
      <c r="S49" s="1597"/>
    </row>
    <row r="50" spans="1:19">
      <c r="A50" s="623"/>
      <c r="B50" s="1607"/>
      <c r="C50" s="1134"/>
      <c r="D50" s="1124"/>
      <c r="E50" s="1124"/>
      <c r="F50" s="1124"/>
      <c r="G50" s="1133"/>
      <c r="H50" s="590"/>
      <c r="I50" s="1585"/>
      <c r="J50" s="590"/>
      <c r="K50" s="1597"/>
      <c r="L50" s="590"/>
      <c r="M50" s="1597"/>
      <c r="N50" s="590"/>
      <c r="O50" s="1597"/>
      <c r="P50" s="590"/>
      <c r="Q50" s="1597"/>
      <c r="R50" s="590"/>
      <c r="S50" s="1597"/>
    </row>
    <row r="51" spans="1:19">
      <c r="A51" s="14"/>
      <c r="B51" s="15"/>
      <c r="C51" s="16"/>
      <c r="D51" s="16"/>
      <c r="E51" s="17"/>
      <c r="F51" s="18" t="s">
        <v>567</v>
      </c>
      <c r="G51" s="19"/>
      <c r="H51" s="20"/>
      <c r="I51" s="61">
        <f>SUM(I23:I50)</f>
        <v>0</v>
      </c>
      <c r="J51" s="20"/>
      <c r="K51" s="61">
        <f>SUM(K23:K50)</f>
        <v>0</v>
      </c>
      <c r="L51" s="20"/>
      <c r="M51" s="61">
        <f>SUM(M22:M50)</f>
        <v>0</v>
      </c>
      <c r="N51" s="20"/>
      <c r="O51" s="61">
        <f>SUM(O22:O50)</f>
        <v>0</v>
      </c>
      <c r="P51" s="20"/>
      <c r="Q51" s="61">
        <f>SUM(Q23:Q50)</f>
        <v>0</v>
      </c>
      <c r="R51" s="20"/>
      <c r="S51" s="61">
        <f>SUM(S23:S50)</f>
        <v>0</v>
      </c>
    </row>
    <row r="52" spans="1:19">
      <c r="A52" s="624"/>
      <c r="B52" s="1156"/>
      <c r="C52" s="1157"/>
      <c r="D52" s="1157"/>
      <c r="E52" s="1158"/>
      <c r="F52" s="1159" t="s">
        <v>568</v>
      </c>
      <c r="G52" s="1160"/>
      <c r="H52" s="593">
        <v>0</v>
      </c>
      <c r="I52" s="592"/>
      <c r="J52" s="593">
        <v>0</v>
      </c>
      <c r="K52" s="592"/>
      <c r="L52" s="593">
        <v>0.02</v>
      </c>
      <c r="M52" s="592"/>
      <c r="N52" s="593">
        <v>0.02</v>
      </c>
      <c r="O52" s="592"/>
      <c r="P52" s="593">
        <v>0.02</v>
      </c>
      <c r="Q52" s="592"/>
      <c r="R52" s="593">
        <v>0.02</v>
      </c>
      <c r="S52" s="592"/>
    </row>
    <row r="53" spans="1:19">
      <c r="A53" s="624"/>
      <c r="B53" s="1156"/>
      <c r="C53" s="1157"/>
      <c r="D53" s="1157"/>
      <c r="E53" s="1158"/>
      <c r="F53" s="1159" t="s">
        <v>569</v>
      </c>
      <c r="G53" s="1160"/>
      <c r="H53" s="594"/>
      <c r="I53" s="595">
        <f>H52*$I$51</f>
        <v>0</v>
      </c>
      <c r="J53" s="594"/>
      <c r="K53" s="595">
        <f>J52*$K$51</f>
        <v>0</v>
      </c>
      <c r="L53" s="594"/>
      <c r="M53" s="595">
        <f>L52*$M$51</f>
        <v>0</v>
      </c>
      <c r="N53" s="594"/>
      <c r="O53" s="595">
        <f>N52*$O$51</f>
        <v>0</v>
      </c>
      <c r="P53" s="594"/>
      <c r="Q53" s="595">
        <f>P52*$Q$51</f>
        <v>0</v>
      </c>
      <c r="R53" s="594"/>
      <c r="S53" s="595">
        <f>R52*S51</f>
        <v>0</v>
      </c>
    </row>
    <row r="54" spans="1:19">
      <c r="A54" s="624"/>
      <c r="B54" s="1156"/>
      <c r="C54" s="1157"/>
      <c r="D54" s="1157"/>
      <c r="E54" s="1158"/>
      <c r="F54" s="1159"/>
      <c r="G54" s="1160"/>
      <c r="H54" s="1458"/>
      <c r="I54" s="596"/>
      <c r="J54" s="594"/>
      <c r="K54" s="596"/>
      <c r="L54" s="594"/>
      <c r="M54" s="596"/>
      <c r="N54" s="594"/>
      <c r="O54" s="596"/>
      <c r="P54" s="594"/>
      <c r="Q54" s="596"/>
      <c r="R54" s="594"/>
      <c r="S54" s="596"/>
    </row>
    <row r="55" spans="1:19">
      <c r="A55" s="624"/>
      <c r="B55" s="1156"/>
      <c r="C55" s="1157"/>
      <c r="D55" s="1157"/>
      <c r="E55" s="1158"/>
      <c r="F55" s="1159" t="s">
        <v>570</v>
      </c>
      <c r="G55" s="1160"/>
      <c r="H55" s="597"/>
      <c r="I55" s="598">
        <f>SUM(I51:I54)</f>
        <v>0</v>
      </c>
      <c r="J55" s="597"/>
      <c r="K55" s="598">
        <f>SUM(K51:K53)</f>
        <v>0</v>
      </c>
      <c r="L55" s="597"/>
      <c r="M55" s="598">
        <f>SUM(M51:M53)</f>
        <v>0</v>
      </c>
      <c r="N55" s="597"/>
      <c r="O55" s="598">
        <f>SUM(O51:O53)</f>
        <v>0</v>
      </c>
      <c r="P55" s="597"/>
      <c r="Q55" s="598">
        <f>SUM(Q51:Q53)</f>
        <v>0</v>
      </c>
      <c r="R55" s="597"/>
      <c r="S55" s="598">
        <f>SUM(S51:S53)</f>
        <v>0</v>
      </c>
    </row>
    <row r="56" spans="1:19">
      <c r="A56" s="624"/>
      <c r="B56" s="1156"/>
      <c r="C56" s="1157"/>
      <c r="D56" s="1157"/>
      <c r="E56" s="1158"/>
      <c r="F56" s="1161" t="s">
        <v>571</v>
      </c>
      <c r="G56" s="1162"/>
      <c r="H56" s="599"/>
      <c r="I56" s="600" t="e">
        <f>I55/'Area Calculations'!$J$4</f>
        <v>#DIV/0!</v>
      </c>
      <c r="J56" s="599"/>
      <c r="K56" s="600" t="e">
        <f>K55/'Area Calculations'!$J$4</f>
        <v>#DIV/0!</v>
      </c>
      <c r="L56" s="599"/>
      <c r="M56" s="600" t="e">
        <f>M55/'Area Calculations'!$J$4</f>
        <v>#DIV/0!</v>
      </c>
      <c r="N56" s="599"/>
      <c r="O56" s="600" t="e">
        <f>O55/'Area Calculations'!$J$4</f>
        <v>#DIV/0!</v>
      </c>
      <c r="P56" s="599"/>
      <c r="Q56" s="600" t="e">
        <f>Q55/'Area Calculations'!$J$4</f>
        <v>#DIV/0!</v>
      </c>
      <c r="R56" s="599"/>
      <c r="S56" s="600" t="e">
        <f>S55/'Area Calculations'!$J$4</f>
        <v>#DIV/0!</v>
      </c>
    </row>
    <row r="57" spans="1:19">
      <c r="A57" s="624"/>
      <c r="B57" s="1156"/>
      <c r="C57" s="1157"/>
      <c r="D57" s="1157"/>
      <c r="E57" s="1158"/>
      <c r="F57" s="1161" t="s">
        <v>572</v>
      </c>
      <c r="G57" s="1163"/>
      <c r="H57" s="599"/>
      <c r="I57" s="600" t="e">
        <f>I55/'Area Calculations'!#REF!</f>
        <v>#REF!</v>
      </c>
      <c r="J57" s="599"/>
      <c r="K57" s="600" t="e">
        <f>K55/'Area Calculations'!#REF!</f>
        <v>#REF!</v>
      </c>
      <c r="L57" s="599"/>
      <c r="M57" s="600" t="e">
        <f>M55/'Area Calculations'!#REF!</f>
        <v>#REF!</v>
      </c>
      <c r="N57" s="599"/>
      <c r="O57" s="600" t="e">
        <f>O55/'Area Calculations'!#REF!</f>
        <v>#REF!</v>
      </c>
      <c r="P57" s="599"/>
      <c r="Q57" s="600" t="e">
        <f>Q55/'Area Calculations'!#REF!</f>
        <v>#REF!</v>
      </c>
      <c r="R57" s="599"/>
      <c r="S57" s="600" t="e">
        <f>S55/'Area Calculations'!#REF!</f>
        <v>#REF!</v>
      </c>
    </row>
    <row r="58" spans="1:19">
      <c r="A58" s="624"/>
      <c r="B58" s="1156"/>
      <c r="C58" s="1157"/>
      <c r="D58" s="1157"/>
      <c r="E58" s="1158"/>
      <c r="F58" s="1159"/>
      <c r="G58" s="1533"/>
      <c r="H58" s="601"/>
      <c r="I58" s="602"/>
      <c r="J58" s="603"/>
      <c r="K58" s="603"/>
      <c r="L58" s="603"/>
      <c r="M58" s="603"/>
      <c r="N58" s="603"/>
      <c r="O58" s="603"/>
      <c r="P58" s="603"/>
      <c r="Q58" s="603"/>
      <c r="R58" s="603"/>
      <c r="S58" s="603"/>
    </row>
    <row r="59" spans="1:19">
      <c r="A59" s="726" t="s">
        <v>573</v>
      </c>
      <c r="B59" s="727"/>
      <c r="C59" s="12"/>
      <c r="D59" s="12"/>
      <c r="E59" s="12"/>
      <c r="F59" s="12"/>
      <c r="G59" s="13"/>
      <c r="H59" s="21"/>
      <c r="I59" s="21"/>
      <c r="J59" s="21"/>
      <c r="K59" s="21"/>
      <c r="L59" s="21"/>
      <c r="M59" s="21"/>
      <c r="N59" s="21"/>
      <c r="O59" s="21"/>
      <c r="P59" s="21"/>
      <c r="Q59" s="21"/>
      <c r="R59" s="21"/>
      <c r="S59" s="21"/>
    </row>
    <row r="60" spans="1:19">
      <c r="A60" s="1608"/>
      <c r="B60" s="862"/>
      <c r="C60" s="1586"/>
      <c r="D60" s="1586"/>
      <c r="E60" s="1586"/>
      <c r="F60" s="1586"/>
      <c r="G60" s="1587"/>
      <c r="H60" s="1588"/>
      <c r="I60" s="1588"/>
      <c r="J60" s="1588"/>
      <c r="K60" s="1588"/>
      <c r="L60" s="1588"/>
      <c r="M60" s="1588"/>
      <c r="N60" s="1588"/>
      <c r="O60" s="1588"/>
      <c r="P60" s="1588"/>
      <c r="Q60" s="1588"/>
      <c r="R60" s="1588"/>
      <c r="S60" s="1588"/>
    </row>
    <row r="61" spans="1:19">
      <c r="A61" s="1608"/>
      <c r="B61" s="862"/>
      <c r="C61" s="1586"/>
      <c r="D61" s="1586"/>
      <c r="E61" s="1586"/>
      <c r="F61" s="1586"/>
      <c r="G61" s="1587"/>
      <c r="H61" s="1588"/>
      <c r="I61" s="1588"/>
      <c r="J61" s="1588"/>
      <c r="K61" s="1588"/>
      <c r="L61" s="1588"/>
      <c r="M61" s="1588"/>
      <c r="N61" s="1588"/>
      <c r="O61" s="1588"/>
      <c r="P61" s="1588"/>
      <c r="Q61" s="1588"/>
      <c r="R61" s="1588"/>
      <c r="S61" s="1588"/>
    </row>
    <row r="62" spans="1:19">
      <c r="A62" s="1608"/>
      <c r="B62" s="862"/>
      <c r="C62" s="1586"/>
      <c r="D62" s="1586"/>
      <c r="E62" s="1586"/>
      <c r="F62" s="1586"/>
      <c r="G62" s="1587"/>
      <c r="H62" s="1588"/>
      <c r="I62" s="1588"/>
      <c r="J62" s="1588"/>
      <c r="K62" s="1588"/>
      <c r="L62" s="1588"/>
      <c r="M62" s="1588"/>
      <c r="N62" s="1588"/>
      <c r="O62" s="1588"/>
      <c r="P62" s="1588"/>
      <c r="Q62" s="1588"/>
      <c r="R62" s="1588"/>
      <c r="S62" s="1588"/>
    </row>
    <row r="63" spans="1:19" s="2" customFormat="1">
      <c r="A63" s="726" t="s">
        <v>574</v>
      </c>
      <c r="B63" s="727"/>
      <c r="C63" s="12"/>
      <c r="D63" s="12"/>
      <c r="E63" s="12"/>
      <c r="F63" s="12"/>
      <c r="G63" s="13"/>
      <c r="H63" s="21"/>
      <c r="I63" s="21"/>
      <c r="J63" s="21"/>
      <c r="K63" s="21"/>
      <c r="L63" s="21"/>
      <c r="M63" s="21"/>
      <c r="N63" s="21"/>
      <c r="O63" s="21"/>
      <c r="P63" s="21"/>
      <c r="Q63" s="21"/>
      <c r="R63" s="21"/>
      <c r="S63" s="21"/>
    </row>
    <row r="64" spans="1:19" s="2" customFormat="1">
      <c r="A64" s="1608"/>
      <c r="B64" s="862"/>
      <c r="C64" s="1586"/>
      <c r="D64" s="1586"/>
      <c r="E64" s="1586"/>
      <c r="F64" s="1586"/>
      <c r="G64" s="1587"/>
      <c r="H64" s="1588"/>
      <c r="I64" s="1588"/>
      <c r="J64" s="1588"/>
      <c r="K64" s="1588"/>
      <c r="L64" s="1588"/>
      <c r="M64" s="1588"/>
      <c r="N64" s="1588"/>
      <c r="O64" s="1588"/>
      <c r="P64" s="1588"/>
      <c r="Q64" s="1588"/>
      <c r="R64" s="1588"/>
      <c r="S64" s="1588"/>
    </row>
    <row r="65" spans="1:19" s="2" customFormat="1">
      <c r="A65" s="1608"/>
      <c r="B65" s="862"/>
      <c r="C65" s="1586"/>
      <c r="D65" s="1586"/>
      <c r="E65" s="1586"/>
      <c r="F65" s="1586"/>
      <c r="G65" s="1587"/>
      <c r="H65" s="1588"/>
      <c r="I65" s="1588"/>
      <c r="J65" s="1588"/>
      <c r="K65" s="1588"/>
      <c r="L65" s="1588"/>
      <c r="M65" s="1588"/>
      <c r="N65" s="1588"/>
      <c r="O65" s="1588"/>
      <c r="P65" s="1588"/>
      <c r="Q65" s="1588"/>
      <c r="R65" s="1588"/>
      <c r="S65" s="1588"/>
    </row>
    <row r="66" spans="1:19">
      <c r="A66" s="1608"/>
      <c r="B66" s="862"/>
      <c r="C66" s="1586"/>
      <c r="D66" s="1586"/>
      <c r="E66" s="1586"/>
      <c r="F66" s="1586"/>
      <c r="G66" s="1587"/>
      <c r="H66" s="1588"/>
      <c r="I66" s="1588"/>
      <c r="J66" s="1588"/>
      <c r="K66" s="1588"/>
      <c r="L66" s="1588"/>
      <c r="M66" s="1588"/>
      <c r="N66" s="1588"/>
      <c r="O66" s="1588"/>
      <c r="P66" s="1588"/>
      <c r="Q66" s="1588"/>
      <c r="R66" s="1588"/>
      <c r="S66" s="1588"/>
    </row>
    <row r="67" spans="1:19" s="2" customFormat="1">
      <c r="A67" s="726" t="s">
        <v>575</v>
      </c>
      <c r="B67" s="727"/>
      <c r="C67" s="12"/>
      <c r="D67" s="12"/>
      <c r="E67" s="12"/>
      <c r="F67" s="12"/>
      <c r="G67" s="13"/>
      <c r="H67" s="21"/>
      <c r="I67" s="21"/>
      <c r="J67" s="21"/>
      <c r="K67" s="21"/>
      <c r="L67" s="21"/>
      <c r="M67" s="21"/>
      <c r="N67" s="21"/>
      <c r="O67" s="21"/>
      <c r="P67" s="21"/>
      <c r="Q67" s="21"/>
      <c r="R67" s="21"/>
      <c r="S67" s="21"/>
    </row>
    <row r="68" spans="1:19" s="2" customFormat="1">
      <c r="A68" s="1608"/>
      <c r="B68" s="862"/>
      <c r="C68" s="1586"/>
      <c r="D68" s="1586"/>
      <c r="E68" s="1586"/>
      <c r="F68" s="1586"/>
      <c r="G68" s="1587"/>
      <c r="H68" s="1588"/>
      <c r="I68" s="1588"/>
      <c r="J68" s="1588"/>
      <c r="K68" s="1588"/>
      <c r="L68" s="1588"/>
      <c r="M68" s="1588"/>
      <c r="N68" s="1588"/>
      <c r="O68" s="1588"/>
      <c r="P68" s="1588"/>
      <c r="Q68" s="1588"/>
      <c r="R68" s="1588"/>
      <c r="S68" s="1588"/>
    </row>
    <row r="69" spans="1:19" s="2" customFormat="1">
      <c r="A69" s="628"/>
      <c r="B69" s="862"/>
      <c r="C69" s="1124"/>
      <c r="D69" s="1124"/>
      <c r="E69" s="1124"/>
      <c r="F69" s="1124"/>
      <c r="G69" s="1133"/>
      <c r="H69" s="604"/>
      <c r="I69" s="604"/>
      <c r="J69" s="604"/>
      <c r="K69" s="604"/>
      <c r="L69" s="604"/>
      <c r="M69" s="604"/>
      <c r="N69" s="604"/>
      <c r="O69" s="604"/>
      <c r="P69" s="604"/>
      <c r="Q69" s="604"/>
      <c r="R69" s="604"/>
      <c r="S69" s="604"/>
    </row>
    <row r="70" spans="1:19" s="2" customFormat="1">
      <c r="A70" s="625"/>
      <c r="B70" s="1171"/>
      <c r="C70" s="1124"/>
      <c r="D70" s="1124"/>
      <c r="E70" s="1124"/>
      <c r="F70" s="1124"/>
      <c r="G70" s="1133"/>
      <c r="H70" s="605"/>
      <c r="I70" s="605"/>
      <c r="J70" s="605"/>
      <c r="K70" s="605"/>
      <c r="L70" s="605"/>
      <c r="M70" s="605"/>
      <c r="N70" s="605"/>
      <c r="O70" s="605"/>
      <c r="P70" s="605"/>
      <c r="Q70" s="605"/>
      <c r="R70" s="605"/>
      <c r="S70" s="605"/>
    </row>
    <row r="71" spans="1:19" s="2" customFormat="1">
      <c r="A71" s="726" t="s">
        <v>576</v>
      </c>
      <c r="B71" s="727"/>
      <c r="C71" s="12"/>
      <c r="D71" s="12"/>
      <c r="E71" s="12"/>
      <c r="F71" s="12"/>
      <c r="G71" s="13"/>
      <c r="H71" s="21"/>
      <c r="I71" s="21"/>
      <c r="J71" s="21"/>
      <c r="K71" s="21"/>
      <c r="L71" s="21"/>
      <c r="M71" s="21"/>
      <c r="N71" s="21"/>
      <c r="O71" s="21"/>
      <c r="P71" s="21"/>
      <c r="Q71" s="21"/>
      <c r="R71" s="21"/>
      <c r="S71" s="21"/>
    </row>
    <row r="72" spans="1:19">
      <c r="A72" s="1589"/>
      <c r="B72" s="1590"/>
      <c r="C72" s="1586"/>
      <c r="D72" s="1586"/>
      <c r="E72" s="1586"/>
      <c r="F72" s="1586"/>
      <c r="G72" s="1587"/>
      <c r="H72" s="1588"/>
      <c r="I72" s="1588"/>
      <c r="J72" s="1588"/>
      <c r="K72" s="1588"/>
      <c r="L72" s="1588"/>
      <c r="M72" s="1588"/>
      <c r="N72" s="1588"/>
      <c r="O72" s="1588"/>
      <c r="P72" s="1588"/>
      <c r="Q72" s="1588"/>
      <c r="R72" s="1588"/>
      <c r="S72" s="1588"/>
    </row>
    <row r="73" spans="1:19">
      <c r="A73" s="625"/>
      <c r="B73" s="1171"/>
      <c r="C73" s="1124"/>
      <c r="D73" s="1124"/>
      <c r="E73" s="1124"/>
      <c r="F73" s="1124"/>
      <c r="G73" s="1133"/>
      <c r="H73" s="606"/>
      <c r="I73" s="606"/>
      <c r="J73" s="606"/>
      <c r="K73" s="606"/>
      <c r="L73" s="606"/>
      <c r="M73" s="606"/>
      <c r="N73" s="606"/>
      <c r="O73" s="606"/>
      <c r="P73" s="606"/>
      <c r="Q73" s="606"/>
      <c r="R73" s="606"/>
      <c r="S73" s="606"/>
    </row>
    <row r="74" spans="1:19">
      <c r="A74" s="625"/>
      <c r="B74" s="1171"/>
      <c r="C74" s="1124"/>
      <c r="D74" s="1124"/>
      <c r="E74" s="1124"/>
      <c r="F74" s="1124"/>
      <c r="G74" s="1133"/>
      <c r="H74" s="606"/>
      <c r="I74" s="606"/>
      <c r="J74" s="606"/>
      <c r="K74" s="606"/>
      <c r="L74" s="606"/>
      <c r="M74" s="606"/>
      <c r="N74" s="606"/>
      <c r="O74" s="606"/>
      <c r="P74" s="606"/>
      <c r="Q74" s="606"/>
      <c r="R74" s="606"/>
      <c r="S74" s="606"/>
    </row>
    <row r="75" spans="1:19">
      <c r="A75" s="726" t="s">
        <v>577</v>
      </c>
      <c r="B75" s="727"/>
      <c r="C75" s="12"/>
      <c r="D75" s="12"/>
      <c r="E75" s="12"/>
      <c r="F75" s="12"/>
      <c r="G75" s="13"/>
      <c r="H75" s="21"/>
      <c r="I75" s="21"/>
      <c r="J75" s="21"/>
      <c r="K75" s="21"/>
      <c r="L75" s="21"/>
      <c r="M75" s="21"/>
      <c r="N75" s="21"/>
      <c r="O75" s="21"/>
      <c r="P75" s="21"/>
      <c r="Q75" s="21"/>
      <c r="R75" s="21"/>
      <c r="S75" s="21"/>
    </row>
    <row r="76" spans="1:19">
      <c r="A76" s="628"/>
      <c r="B76" s="862" t="s">
        <v>578</v>
      </c>
      <c r="C76" s="1124"/>
      <c r="D76" s="1124"/>
      <c r="E76" s="1124"/>
      <c r="F76" s="1124"/>
      <c r="G76" s="1133"/>
      <c r="H76" s="606"/>
      <c r="I76" s="606"/>
      <c r="J76" s="606"/>
      <c r="K76" s="606"/>
      <c r="L76" s="606"/>
      <c r="M76" s="606"/>
      <c r="N76" s="606"/>
      <c r="O76" s="606"/>
      <c r="P76" s="606"/>
      <c r="Q76" s="606"/>
      <c r="R76" s="606"/>
      <c r="S76" s="606"/>
    </row>
    <row r="77" spans="1:19">
      <c r="A77" s="628"/>
      <c r="B77" s="862" t="s">
        <v>579</v>
      </c>
      <c r="C77" s="1124"/>
      <c r="D77" s="1124"/>
      <c r="E77" s="1124"/>
      <c r="F77" s="1124"/>
      <c r="G77" s="1133"/>
      <c r="H77" s="606"/>
      <c r="I77" s="606"/>
      <c r="J77" s="606"/>
      <c r="K77" s="606"/>
      <c r="L77" s="606"/>
      <c r="M77" s="606"/>
      <c r="N77" s="606"/>
      <c r="O77" s="606"/>
      <c r="P77" s="606"/>
      <c r="Q77" s="606"/>
      <c r="R77" s="606"/>
      <c r="S77" s="606"/>
    </row>
    <row r="78" spans="1:19">
      <c r="A78" s="628"/>
      <c r="B78" s="862" t="s">
        <v>580</v>
      </c>
      <c r="C78" s="1124"/>
      <c r="D78" s="1124"/>
      <c r="E78" s="1124"/>
      <c r="F78" s="1124"/>
      <c r="G78" s="1133"/>
      <c r="H78" s="606"/>
      <c r="I78" s="606"/>
      <c r="J78" s="606"/>
      <c r="K78" s="606"/>
      <c r="L78" s="606"/>
      <c r="M78" s="606"/>
      <c r="N78" s="606"/>
      <c r="O78" s="606"/>
      <c r="P78" s="606"/>
      <c r="Q78" s="606"/>
      <c r="R78" s="606"/>
      <c r="S78" s="606"/>
    </row>
    <row r="79" spans="1:19">
      <c r="A79" s="628"/>
      <c r="B79" s="862" t="s">
        <v>581</v>
      </c>
      <c r="C79" s="1124"/>
      <c r="D79" s="1124"/>
      <c r="E79" s="1124"/>
      <c r="F79" s="1124"/>
      <c r="G79" s="1133"/>
      <c r="H79" s="606"/>
      <c r="I79" s="606"/>
      <c r="J79" s="606"/>
      <c r="K79" s="606"/>
      <c r="L79" s="606"/>
      <c r="M79" s="606"/>
      <c r="N79" s="606"/>
      <c r="O79" s="606"/>
      <c r="P79" s="606"/>
      <c r="Q79" s="606"/>
      <c r="R79" s="606"/>
      <c r="S79" s="606"/>
    </row>
    <row r="80" spans="1:19">
      <c r="A80" s="416"/>
      <c r="B80" s="295"/>
      <c r="C80" s="184"/>
      <c r="D80" s="184"/>
      <c r="E80" s="184"/>
      <c r="F80" s="184"/>
      <c r="G80" s="296"/>
      <c r="H80" s="418"/>
      <c r="I80" s="418"/>
      <c r="J80" s="418"/>
      <c r="K80" s="418"/>
      <c r="L80" s="418"/>
      <c r="M80" s="418"/>
      <c r="N80" s="418"/>
      <c r="O80" s="418"/>
      <c r="P80" s="418"/>
      <c r="Q80" s="418"/>
      <c r="R80" s="418"/>
      <c r="S80" s="418"/>
    </row>
    <row r="81" spans="1:19">
      <c r="A81" s="7" t="s">
        <v>582</v>
      </c>
      <c r="B81" s="8"/>
      <c r="C81" s="12"/>
      <c r="D81" s="12"/>
      <c r="E81" s="12"/>
      <c r="F81" s="12"/>
      <c r="G81" s="13"/>
      <c r="H81" s="21"/>
      <c r="I81" s="21"/>
      <c r="J81" s="21"/>
      <c r="K81" s="21"/>
      <c r="L81" s="21"/>
      <c r="M81" s="21"/>
      <c r="N81" s="21"/>
      <c r="O81" s="21"/>
      <c r="P81" s="21"/>
      <c r="Q81" s="21"/>
      <c r="R81" s="21"/>
      <c r="S81" s="21"/>
    </row>
    <row r="82" spans="1:19">
      <c r="A82" s="1608"/>
      <c r="B82" s="1591" t="s">
        <v>583</v>
      </c>
      <c r="C82" s="1586"/>
      <c r="D82" s="1586"/>
      <c r="E82" s="1586"/>
      <c r="F82" s="1586"/>
      <c r="G82" s="1587"/>
      <c r="H82" s="1592"/>
      <c r="I82" s="1592"/>
      <c r="J82" s="1592"/>
      <c r="K82" s="1592"/>
      <c r="L82" s="1592"/>
      <c r="M82" s="1592"/>
      <c r="N82" s="1592"/>
      <c r="O82" s="1592"/>
      <c r="P82" s="1592"/>
      <c r="Q82" s="1592"/>
      <c r="R82" s="1592"/>
      <c r="S82" s="1592"/>
    </row>
    <row r="83" spans="1:19">
      <c r="A83" s="628"/>
      <c r="B83" s="862" t="s">
        <v>584</v>
      </c>
      <c r="C83" s="1124"/>
      <c r="D83" s="1124"/>
      <c r="E83" s="1124"/>
      <c r="F83" s="1124"/>
      <c r="G83" s="1133"/>
      <c r="H83" s="618"/>
      <c r="I83" s="618"/>
      <c r="J83" s="618"/>
      <c r="K83" s="618"/>
      <c r="L83" s="618"/>
      <c r="M83" s="618"/>
      <c r="N83" s="618"/>
      <c r="O83" s="618"/>
      <c r="P83" s="618"/>
      <c r="Q83" s="618"/>
      <c r="R83" s="618"/>
      <c r="S83" s="618"/>
    </row>
    <row r="84" spans="1:19">
      <c r="A84" s="607"/>
      <c r="B84" s="608" t="s">
        <v>585</v>
      </c>
      <c r="C84" s="609"/>
      <c r="D84" s="609"/>
      <c r="E84" s="609"/>
      <c r="F84" s="609"/>
      <c r="G84" s="610"/>
      <c r="H84" s="611"/>
      <c r="I84" s="611"/>
      <c r="J84" s="611"/>
      <c r="K84" s="611"/>
      <c r="L84" s="611"/>
      <c r="M84" s="611"/>
      <c r="N84" s="611"/>
      <c r="O84" s="611"/>
      <c r="P84" s="611"/>
      <c r="Q84" s="611"/>
      <c r="R84" s="611"/>
      <c r="S84" s="611"/>
    </row>
    <row r="86" spans="1:19">
      <c r="A86" s="92" t="s">
        <v>586</v>
      </c>
      <c r="B86" s="94"/>
    </row>
    <row r="87" spans="1:19">
      <c r="A87" s="93" t="s">
        <v>487</v>
      </c>
      <c r="B87" s="612"/>
    </row>
    <row r="88" spans="1:19">
      <c r="A88" s="626" t="s">
        <v>491</v>
      </c>
      <c r="B88" s="612"/>
    </row>
    <row r="89" spans="1:19">
      <c r="A89" s="613" t="s">
        <v>494</v>
      </c>
      <c r="B89" s="614"/>
    </row>
    <row r="90" spans="1:19">
      <c r="A90" s="613" t="s">
        <v>497</v>
      </c>
      <c r="B90" s="622"/>
    </row>
    <row r="91" spans="1:19">
      <c r="A91" s="615" t="s">
        <v>587</v>
      </c>
      <c r="B91" s="616"/>
    </row>
    <row r="93" spans="1:19">
      <c r="A93" s="95"/>
      <c r="B93" s="1" t="s">
        <v>588</v>
      </c>
    </row>
    <row r="94" spans="1:19">
      <c r="A94" s="96"/>
      <c r="B94"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9:B59"/>
    <mergeCell ref="A63:B63"/>
    <mergeCell ref="A67:B67"/>
    <mergeCell ref="A71:B71"/>
    <mergeCell ref="A75:B75"/>
  </mergeCells>
  <conditionalFormatting sqref="H20:H30">
    <cfRule type="cellIs" dxfId="1453" priority="13" operator="equal">
      <formula>"X"</formula>
    </cfRule>
    <cfRule type="cellIs" dxfId="1452" priority="14" operator="equal">
      <formula>"I"</formula>
    </cfRule>
  </conditionalFormatting>
  <conditionalFormatting sqref="H32:H50">
    <cfRule type="cellIs" dxfId="1451" priority="1" operator="equal">
      <formula>"X"</formula>
    </cfRule>
    <cfRule type="cellIs" dxfId="1450" priority="2" operator="equal">
      <formula>"I"</formula>
    </cfRule>
  </conditionalFormatting>
  <conditionalFormatting sqref="J20:J30">
    <cfRule type="cellIs" dxfId="1449" priority="15" operator="equal">
      <formula>"X"</formula>
    </cfRule>
    <cfRule type="cellIs" dxfId="1448" priority="16" operator="equal">
      <formula>"I"</formula>
    </cfRule>
  </conditionalFormatting>
  <conditionalFormatting sqref="J32:J50">
    <cfRule type="cellIs" dxfId="1447" priority="3" operator="equal">
      <formula>"X"</formula>
    </cfRule>
    <cfRule type="cellIs" dxfId="1446" priority="4" operator="equal">
      <formula>"I"</formula>
    </cfRule>
  </conditionalFormatting>
  <conditionalFormatting sqref="L20:L30">
    <cfRule type="cellIs" dxfId="1445" priority="17" operator="equal">
      <formula>"X"</formula>
    </cfRule>
    <cfRule type="cellIs" dxfId="1444" priority="18" operator="equal">
      <formula>"I"</formula>
    </cfRule>
  </conditionalFormatting>
  <conditionalFormatting sqref="L32:L50">
    <cfRule type="cellIs" dxfId="1443" priority="5" operator="equal">
      <formula>"X"</formula>
    </cfRule>
    <cfRule type="cellIs" dxfId="1442" priority="6" operator="equal">
      <formula>"I"</formula>
    </cfRule>
  </conditionalFormatting>
  <conditionalFormatting sqref="N20:N30">
    <cfRule type="cellIs" dxfId="1441" priority="19" operator="equal">
      <formula>"X"</formula>
    </cfRule>
    <cfRule type="cellIs" dxfId="1440" priority="20" operator="equal">
      <formula>"I"</formula>
    </cfRule>
  </conditionalFormatting>
  <conditionalFormatting sqref="N32:N50">
    <cfRule type="cellIs" dxfId="1439" priority="7" operator="equal">
      <formula>"X"</formula>
    </cfRule>
    <cfRule type="cellIs" dxfId="1438" priority="8" operator="equal">
      <formula>"I"</formula>
    </cfRule>
  </conditionalFormatting>
  <conditionalFormatting sqref="P20:P30">
    <cfRule type="cellIs" dxfId="1437" priority="21" operator="equal">
      <formula>"X"</formula>
    </cfRule>
    <cfRule type="cellIs" dxfId="1436" priority="22" operator="equal">
      <formula>"I"</formula>
    </cfRule>
  </conditionalFormatting>
  <conditionalFormatting sqref="P32:P50">
    <cfRule type="cellIs" dxfId="1435" priority="9" operator="equal">
      <formula>"X"</formula>
    </cfRule>
    <cfRule type="cellIs" dxfId="1434" priority="10" operator="equal">
      <formula>"I"</formula>
    </cfRule>
  </conditionalFormatting>
  <conditionalFormatting sqref="R20:R30">
    <cfRule type="cellIs" dxfId="1433" priority="23" operator="equal">
      <formula>"X"</formula>
    </cfRule>
    <cfRule type="cellIs" dxfId="1432" priority="24" operator="equal">
      <formula>"I"</formula>
    </cfRule>
  </conditionalFormatting>
  <conditionalFormatting sqref="R32:R50">
    <cfRule type="cellIs" dxfId="1431" priority="11" operator="equal">
      <formula>"X"</formula>
    </cfRule>
    <cfRule type="cellIs" dxfId="1430" priority="12" operator="equal">
      <formula>"I"</formula>
    </cfRule>
  </conditionalFormatting>
  <hyperlinks>
    <hyperlink ref="B3" location="'Cost Summary'!A1" display="BACK TO SUMMARY SHEET" xr:uid="{5C29D3FE-DC9F-42AA-8199-4F5F650B263E}"/>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C06B-799F-40CB-9E54-0BB4C6B4AB81}">
  <sheetPr>
    <tabColor rgb="FF92D050"/>
  </sheetPr>
  <dimension ref="A1:S94"/>
  <sheetViews>
    <sheetView zoomScale="95" zoomScaleNormal="9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49"/>
      <c r="I2" s="749"/>
      <c r="J2" s="732"/>
      <c r="K2" s="732"/>
      <c r="L2" s="749"/>
      <c r="M2" s="749"/>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842</v>
      </c>
      <c r="C5" s="1124"/>
      <c r="D5" s="1124"/>
      <c r="E5" s="1124"/>
      <c r="F5" s="1124"/>
      <c r="G5" s="1125" t="s">
        <v>491</v>
      </c>
      <c r="H5" s="1593"/>
      <c r="I5" s="1594"/>
      <c r="J5" s="1593"/>
      <c r="K5" s="1594"/>
      <c r="L5" s="1593"/>
      <c r="M5" s="1594"/>
      <c r="N5" s="1593"/>
      <c r="O5" s="1594"/>
      <c r="P5" s="1593"/>
      <c r="Q5" s="1594"/>
      <c r="R5" s="1593"/>
      <c r="S5" s="1594"/>
    </row>
    <row r="6" spans="1:19">
      <c r="A6" s="627" t="s">
        <v>493</v>
      </c>
      <c r="B6" s="1127" t="s">
        <v>843</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c r="A8" s="414" t="s">
        <v>499</v>
      </c>
      <c r="B8" s="295"/>
      <c r="C8" s="184"/>
      <c r="D8" s="184"/>
      <c r="E8" s="184"/>
      <c r="F8" s="184"/>
      <c r="G8" s="419" t="s">
        <v>499</v>
      </c>
      <c r="H8" s="774">
        <f>I55</f>
        <v>0</v>
      </c>
      <c r="I8" s="775"/>
      <c r="J8" s="774">
        <f>K55</f>
        <v>0</v>
      </c>
      <c r="K8" s="775"/>
      <c r="L8" s="774">
        <f>M55</f>
        <v>0</v>
      </c>
      <c r="M8" s="775"/>
      <c r="N8" s="774">
        <f>O55</f>
        <v>0</v>
      </c>
      <c r="O8" s="775"/>
      <c r="P8" s="774">
        <f>Q55</f>
        <v>0</v>
      </c>
      <c r="Q8" s="775"/>
      <c r="R8" s="774">
        <f>S55</f>
        <v>0</v>
      </c>
      <c r="S8" s="77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595"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idden="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idden="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c r="A20" s="628"/>
      <c r="B20" s="862"/>
      <c r="C20" s="1134"/>
      <c r="D20" s="1124"/>
      <c r="E20" s="1124"/>
      <c r="F20" s="1124"/>
      <c r="G20" s="1133"/>
      <c r="H20" s="590"/>
      <c r="I20" s="617"/>
      <c r="J20" s="590"/>
      <c r="K20" s="617"/>
      <c r="L20" s="590"/>
      <c r="M20" s="617"/>
      <c r="N20" s="590"/>
      <c r="O20" s="617"/>
      <c r="P20" s="590"/>
      <c r="Q20" s="617"/>
      <c r="R20" s="590"/>
      <c r="S20" s="617"/>
    </row>
    <row r="21" spans="1:19">
      <c r="A21" s="628"/>
      <c r="B21" s="1136" t="s">
        <v>842</v>
      </c>
      <c r="C21" s="1134"/>
      <c r="D21" s="1124"/>
      <c r="E21" s="1124"/>
      <c r="F21" s="1124"/>
      <c r="G21" s="1133"/>
      <c r="H21" s="590"/>
      <c r="I21" s="617"/>
      <c r="J21" s="590"/>
      <c r="K21" s="617"/>
      <c r="L21" s="590"/>
      <c r="M21" s="617"/>
      <c r="N21" s="590"/>
      <c r="O21" s="617"/>
      <c r="P21" s="590"/>
      <c r="Q21" s="617"/>
      <c r="R21" s="590"/>
      <c r="S21" s="617"/>
    </row>
    <row r="22" spans="1:19">
      <c r="A22" s="1596"/>
      <c r="B22" s="374" t="s">
        <v>512</v>
      </c>
      <c r="C22" s="1134"/>
      <c r="D22" s="1124"/>
      <c r="E22" s="1124"/>
      <c r="F22" s="1124"/>
      <c r="G22" s="1133"/>
      <c r="H22" s="590"/>
      <c r="I22" s="1597"/>
      <c r="J22" s="590"/>
      <c r="K22" s="1597"/>
      <c r="L22" s="590"/>
      <c r="M22" s="1597"/>
      <c r="N22" s="590"/>
      <c r="O22" s="1597"/>
      <c r="P22" s="590"/>
      <c r="Q22" s="1597"/>
      <c r="R22" s="590"/>
      <c r="S22" s="1597"/>
    </row>
    <row r="23" spans="1:19">
      <c r="A23" s="1596"/>
      <c r="B23" s="647" t="s">
        <v>513</v>
      </c>
      <c r="C23" s="1134"/>
      <c r="D23" s="1124"/>
      <c r="E23" s="1124"/>
      <c r="F23" s="1124"/>
      <c r="G23" s="1133"/>
      <c r="H23" s="590"/>
      <c r="I23" s="1597"/>
      <c r="J23" s="590"/>
      <c r="K23" s="1597"/>
      <c r="L23" s="590"/>
      <c r="M23" s="1597"/>
      <c r="N23" s="590"/>
      <c r="O23" s="1597"/>
      <c r="P23" s="590"/>
      <c r="Q23" s="1598"/>
      <c r="R23" s="590"/>
      <c r="S23" s="1598"/>
    </row>
    <row r="24" spans="1:19">
      <c r="A24" s="623"/>
      <c r="B24" s="1575" t="s">
        <v>514</v>
      </c>
      <c r="C24" s="1124"/>
      <c r="D24" s="1124"/>
      <c r="E24" s="1124"/>
      <c r="F24" s="1124"/>
      <c r="G24" s="1133"/>
      <c r="H24" s="590"/>
      <c r="I24" s="1598"/>
      <c r="J24" s="590"/>
      <c r="K24" s="1598"/>
      <c r="L24" s="590"/>
      <c r="M24" s="1598"/>
      <c r="N24" s="590"/>
      <c r="O24" s="1597"/>
      <c r="P24" s="590"/>
      <c r="Q24" s="1597"/>
      <c r="R24" s="590"/>
      <c r="S24" s="1597"/>
    </row>
    <row r="25" spans="1:19">
      <c r="A25" s="1596"/>
      <c r="B25" s="1576" t="s">
        <v>515</v>
      </c>
      <c r="C25" s="1124"/>
      <c r="D25" s="1124"/>
      <c r="E25" s="1124"/>
      <c r="F25" s="1124"/>
      <c r="G25" s="1133"/>
      <c r="H25" s="590"/>
      <c r="I25" s="1598"/>
      <c r="J25" s="590"/>
      <c r="K25" s="1598"/>
      <c r="L25" s="590"/>
      <c r="M25" s="1598"/>
      <c r="N25" s="590"/>
      <c r="O25" s="1597"/>
      <c r="P25" s="590"/>
      <c r="Q25" s="1597"/>
      <c r="R25" s="590"/>
      <c r="S25" s="1597"/>
    </row>
    <row r="26" spans="1:19">
      <c r="A26" s="623"/>
      <c r="B26" s="1576" t="s">
        <v>516</v>
      </c>
      <c r="C26" s="1124"/>
      <c r="D26" s="1124"/>
      <c r="E26" s="1124"/>
      <c r="F26" s="1124"/>
      <c r="G26" s="1133"/>
      <c r="H26" s="590"/>
      <c r="I26" s="1598"/>
      <c r="J26" s="590"/>
      <c r="K26" s="1598"/>
      <c r="L26" s="590"/>
      <c r="M26" s="1598"/>
      <c r="N26" s="590"/>
      <c r="O26" s="1597"/>
      <c r="P26" s="590"/>
      <c r="Q26" s="1597"/>
      <c r="R26" s="590"/>
      <c r="S26" s="1597"/>
    </row>
    <row r="27" spans="1:19">
      <c r="A27" s="1596"/>
      <c r="B27" s="1576" t="s">
        <v>517</v>
      </c>
      <c r="C27" s="1124"/>
      <c r="D27" s="1124"/>
      <c r="E27" s="1124"/>
      <c r="F27" s="1124"/>
      <c r="G27" s="1133"/>
      <c r="H27" s="590"/>
      <c r="I27" s="1598"/>
      <c r="J27" s="590"/>
      <c r="K27" s="1598"/>
      <c r="L27" s="590"/>
      <c r="M27" s="1598"/>
      <c r="N27" s="590"/>
      <c r="O27" s="1597"/>
      <c r="P27" s="590"/>
      <c r="Q27" s="1597"/>
      <c r="R27" s="590"/>
      <c r="S27" s="1597"/>
    </row>
    <row r="28" spans="1:19">
      <c r="A28" s="1596"/>
      <c r="B28" s="1576" t="s">
        <v>518</v>
      </c>
      <c r="C28" s="1124"/>
      <c r="D28" s="1124"/>
      <c r="E28" s="1124"/>
      <c r="F28" s="1124"/>
      <c r="G28" s="1133"/>
      <c r="H28" s="590"/>
      <c r="I28" s="1598"/>
      <c r="J28" s="590"/>
      <c r="K28" s="1598"/>
      <c r="L28" s="590"/>
      <c r="M28" s="1598"/>
      <c r="N28" s="590"/>
      <c r="O28" s="1597"/>
      <c r="P28" s="590"/>
      <c r="Q28" s="1597"/>
      <c r="R28" s="590"/>
      <c r="S28" s="1597"/>
    </row>
    <row r="29" spans="1:19">
      <c r="A29" s="1596"/>
      <c r="B29" s="1576" t="s">
        <v>693</v>
      </c>
      <c r="C29" s="1124"/>
      <c r="D29" s="1124"/>
      <c r="E29" s="1124"/>
      <c r="F29" s="1124"/>
      <c r="G29" s="1133"/>
      <c r="H29" s="590"/>
      <c r="I29" s="1598"/>
      <c r="J29" s="590"/>
      <c r="K29" s="1598"/>
      <c r="L29" s="590"/>
      <c r="M29" s="1598"/>
      <c r="N29" s="590"/>
      <c r="O29" s="1597"/>
      <c r="P29" s="590"/>
      <c r="Q29" s="1597"/>
      <c r="R29" s="590"/>
      <c r="S29" s="1597"/>
    </row>
    <row r="30" spans="1:19">
      <c r="A30" s="1596"/>
      <c r="B30" s="1577" t="s">
        <v>519</v>
      </c>
      <c r="C30" s="1124"/>
      <c r="D30" s="1124"/>
      <c r="E30" s="1124"/>
      <c r="F30" s="1124"/>
      <c r="G30" s="1133"/>
      <c r="H30" s="590"/>
      <c r="I30" s="1598"/>
      <c r="J30" s="590"/>
      <c r="K30" s="1598"/>
      <c r="L30" s="590"/>
      <c r="M30" s="1598"/>
      <c r="N30" s="590"/>
      <c r="O30" s="1597"/>
      <c r="P30" s="590"/>
      <c r="Q30" s="1597"/>
      <c r="R30" s="590"/>
      <c r="S30" s="1597"/>
    </row>
    <row r="31" spans="1:19">
      <c r="A31" s="1596"/>
      <c r="B31" s="1578" t="s">
        <v>520</v>
      </c>
      <c r="C31" s="1145"/>
      <c r="D31" s="1145"/>
      <c r="E31" s="1145"/>
      <c r="F31" s="1145"/>
      <c r="G31" s="1599"/>
      <c r="H31" s="619"/>
      <c r="I31" s="1579"/>
      <c r="J31" s="619"/>
      <c r="K31" s="1579"/>
      <c r="L31" s="619"/>
      <c r="M31" s="1579"/>
      <c r="N31" s="619"/>
      <c r="O31" s="1580"/>
      <c r="P31" s="619"/>
      <c r="Q31" s="1580"/>
      <c r="R31" s="619"/>
      <c r="S31" s="1580"/>
    </row>
    <row r="32" spans="1:19">
      <c r="A32" s="1596"/>
      <c r="B32" s="1581"/>
      <c r="C32" s="1124"/>
      <c r="D32" s="1124"/>
      <c r="E32" s="1124"/>
      <c r="F32" s="1124"/>
      <c r="G32" s="1229"/>
      <c r="H32" s="590"/>
      <c r="I32" s="1598"/>
      <c r="J32" s="590"/>
      <c r="K32" s="1598"/>
      <c r="L32" s="590"/>
      <c r="M32" s="1598"/>
      <c r="N32" s="590"/>
      <c r="O32" s="1597"/>
      <c r="P32" s="590"/>
      <c r="Q32" s="1597"/>
      <c r="R32" s="590"/>
      <c r="S32" s="1597"/>
    </row>
    <row r="33" spans="1:19">
      <c r="A33" s="1596"/>
      <c r="B33" s="1606"/>
      <c r="C33" s="1124"/>
      <c r="D33" s="1124"/>
      <c r="E33" s="1124"/>
      <c r="F33" s="1151"/>
      <c r="G33" s="1229"/>
      <c r="H33" s="590"/>
      <c r="I33" s="1598"/>
      <c r="J33" s="590"/>
      <c r="K33" s="1598"/>
      <c r="L33" s="590"/>
      <c r="M33" s="1598"/>
      <c r="N33" s="590"/>
      <c r="O33" s="1597"/>
      <c r="P33" s="590"/>
      <c r="Q33" s="1597"/>
      <c r="R33" s="590"/>
      <c r="S33" s="1597"/>
    </row>
    <row r="34" spans="1:19">
      <c r="A34" s="1596"/>
      <c r="B34" s="1606"/>
      <c r="C34" s="1124"/>
      <c r="D34" s="1124"/>
      <c r="E34" s="1124"/>
      <c r="F34" s="1151"/>
      <c r="G34" s="1229"/>
      <c r="H34" s="590"/>
      <c r="I34" s="1598"/>
      <c r="J34" s="590"/>
      <c r="K34" s="1598"/>
      <c r="L34" s="590"/>
      <c r="M34" s="1598"/>
      <c r="N34" s="590"/>
      <c r="O34" s="1597"/>
      <c r="P34" s="590"/>
      <c r="Q34" s="1597"/>
      <c r="R34" s="590"/>
      <c r="S34" s="1597"/>
    </row>
    <row r="35" spans="1:19">
      <c r="A35" s="1596"/>
      <c r="B35" s="1606"/>
      <c r="C35" s="1124"/>
      <c r="D35" s="1124"/>
      <c r="E35" s="1124"/>
      <c r="F35" s="1151"/>
      <c r="G35" s="1229"/>
      <c r="H35" s="590"/>
      <c r="I35" s="1598"/>
      <c r="J35" s="590"/>
      <c r="K35" s="1598"/>
      <c r="L35" s="590"/>
      <c r="M35" s="1598"/>
      <c r="N35" s="590"/>
      <c r="O35" s="1597"/>
      <c r="P35" s="590"/>
      <c r="Q35" s="1597"/>
      <c r="R35" s="590"/>
      <c r="S35" s="1597"/>
    </row>
    <row r="36" spans="1:19">
      <c r="A36" s="1596"/>
      <c r="B36" s="1606"/>
      <c r="C36" s="1124"/>
      <c r="D36" s="1124"/>
      <c r="E36" s="1124"/>
      <c r="F36" s="1151"/>
      <c r="G36" s="1229"/>
      <c r="H36" s="590"/>
      <c r="I36" s="1598"/>
      <c r="J36" s="590"/>
      <c r="K36" s="1598"/>
      <c r="L36" s="590"/>
      <c r="M36" s="1598"/>
      <c r="N36" s="590"/>
      <c r="O36" s="1597"/>
      <c r="P36" s="590"/>
      <c r="Q36" s="1597"/>
      <c r="R36" s="590"/>
      <c r="S36" s="1597"/>
    </row>
    <row r="37" spans="1:19">
      <c r="A37" s="1596"/>
      <c r="B37" s="1583"/>
      <c r="C37" s="1124"/>
      <c r="D37" s="1124"/>
      <c r="E37" s="1124"/>
      <c r="F37" s="1151"/>
      <c r="G37" s="1229"/>
      <c r="H37" s="590"/>
      <c r="I37" s="1598"/>
      <c r="J37" s="590"/>
      <c r="K37" s="1598"/>
      <c r="L37" s="590"/>
      <c r="M37" s="1598"/>
      <c r="N37" s="590"/>
      <c r="O37" s="1597"/>
      <c r="P37" s="590"/>
      <c r="Q37" s="1597"/>
      <c r="R37" s="590"/>
      <c r="S37" s="1597"/>
    </row>
    <row r="38" spans="1:19">
      <c r="A38" s="1596"/>
      <c r="B38" s="1583"/>
      <c r="C38" s="1124"/>
      <c r="D38" s="1124"/>
      <c r="E38" s="1124"/>
      <c r="F38" s="1151"/>
      <c r="G38" s="1229"/>
      <c r="H38" s="590" t="s">
        <v>709</v>
      </c>
      <c r="I38" s="1598"/>
      <c r="J38" s="590"/>
      <c r="K38" s="1598"/>
      <c r="L38" s="590"/>
      <c r="M38" s="1598"/>
      <c r="N38" s="590"/>
      <c r="O38" s="1597"/>
      <c r="P38" s="590"/>
      <c r="Q38" s="1597"/>
      <c r="R38" s="590"/>
      <c r="S38" s="1597"/>
    </row>
    <row r="39" spans="1:19">
      <c r="A39" s="1596"/>
      <c r="B39" s="1583"/>
      <c r="C39" s="1124"/>
      <c r="D39" s="1124"/>
      <c r="E39" s="1124"/>
      <c r="F39" s="1151"/>
      <c r="G39" s="1229"/>
      <c r="H39" s="590"/>
      <c r="I39" s="1598"/>
      <c r="J39" s="590"/>
      <c r="K39" s="1598"/>
      <c r="L39" s="590"/>
      <c r="M39" s="1598"/>
      <c r="N39" s="590"/>
      <c r="O39" s="1598"/>
      <c r="P39" s="590"/>
      <c r="Q39" s="1598"/>
      <c r="R39" s="590"/>
      <c r="S39" s="1597"/>
    </row>
    <row r="40" spans="1:19">
      <c r="A40" s="1596"/>
      <c r="B40" s="1583"/>
      <c r="C40" s="1124"/>
      <c r="D40" s="1124"/>
      <c r="E40" s="1124"/>
      <c r="F40" s="1151"/>
      <c r="G40" s="1229"/>
      <c r="H40" s="590"/>
      <c r="I40" s="1598"/>
      <c r="J40" s="590"/>
      <c r="K40" s="1598"/>
      <c r="L40" s="590"/>
      <c r="M40" s="1598"/>
      <c r="N40" s="590"/>
      <c r="O40" s="1598"/>
      <c r="P40" s="590"/>
      <c r="Q40" s="1598"/>
      <c r="R40" s="590"/>
      <c r="S40" s="1597"/>
    </row>
    <row r="41" spans="1:19">
      <c r="A41" s="1596"/>
      <c r="B41" s="1583"/>
      <c r="C41" s="1124"/>
      <c r="D41" s="1124"/>
      <c r="E41" s="1124"/>
      <c r="F41" s="1151"/>
      <c r="G41" s="1229"/>
      <c r="H41" s="590"/>
      <c r="I41" s="1598"/>
      <c r="J41" s="590"/>
      <c r="K41" s="1598"/>
      <c r="L41" s="590"/>
      <c r="M41" s="1598"/>
      <c r="N41" s="590"/>
      <c r="O41" s="1598"/>
      <c r="P41" s="590"/>
      <c r="Q41" s="1598"/>
      <c r="R41" s="590"/>
      <c r="S41" s="1597"/>
    </row>
    <row r="42" spans="1:19">
      <c r="A42" s="1596"/>
      <c r="B42" s="1584"/>
      <c r="C42" s="1124"/>
      <c r="D42" s="1124"/>
      <c r="E42" s="1124"/>
      <c r="F42" s="1124"/>
      <c r="G42" s="1229"/>
      <c r="H42" s="590"/>
      <c r="I42" s="1598"/>
      <c r="J42" s="590"/>
      <c r="K42" s="1598"/>
      <c r="L42" s="590"/>
      <c r="M42" s="1598"/>
      <c r="N42" s="590"/>
      <c r="O42" s="1598"/>
      <c r="P42" s="590"/>
      <c r="Q42" s="1598"/>
      <c r="R42" s="590"/>
      <c r="S42" s="1597"/>
    </row>
    <row r="43" spans="1:19">
      <c r="A43" s="1596"/>
      <c r="B43" s="1584"/>
      <c r="C43" s="1124"/>
      <c r="D43" s="1124"/>
      <c r="E43" s="1124"/>
      <c r="F43" s="1124"/>
      <c r="G43" s="1133"/>
      <c r="H43" s="590"/>
      <c r="I43" s="1598"/>
      <c r="J43" s="590"/>
      <c r="K43" s="1598"/>
      <c r="L43" s="590"/>
      <c r="M43" s="1598"/>
      <c r="N43" s="590"/>
      <c r="O43" s="1598"/>
      <c r="P43" s="590"/>
      <c r="Q43" s="1598"/>
      <c r="R43" s="590"/>
      <c r="S43" s="1597"/>
    </row>
    <row r="44" spans="1:19">
      <c r="A44" s="1596"/>
      <c r="B44" s="1584"/>
      <c r="C44" s="1124"/>
      <c r="D44" s="1124"/>
      <c r="E44" s="1124"/>
      <c r="F44" s="1124"/>
      <c r="G44" s="1133"/>
      <c r="H44" s="590"/>
      <c r="I44" s="1598"/>
      <c r="J44" s="590"/>
      <c r="K44" s="1598"/>
      <c r="L44" s="590"/>
      <c r="M44" s="1598"/>
      <c r="N44" s="590"/>
      <c r="O44" s="1598"/>
      <c r="P44" s="590"/>
      <c r="Q44" s="1598"/>
      <c r="R44" s="590"/>
      <c r="S44" s="1597"/>
    </row>
    <row r="45" spans="1:19">
      <c r="A45" s="1596"/>
      <c r="B45" s="1584"/>
      <c r="C45" s="1124"/>
      <c r="D45" s="1124"/>
      <c r="E45" s="1124"/>
      <c r="F45" s="1124"/>
      <c r="G45" s="1133"/>
      <c r="H45" s="590"/>
      <c r="I45" s="1598"/>
      <c r="J45" s="590"/>
      <c r="K45" s="1598"/>
      <c r="L45" s="590"/>
      <c r="M45" s="1598"/>
      <c r="N45" s="590"/>
      <c r="O45" s="1598"/>
      <c r="P45" s="590"/>
      <c r="Q45" s="1598"/>
      <c r="R45" s="590"/>
      <c r="S45" s="1597"/>
    </row>
    <row r="46" spans="1:19">
      <c r="A46" s="1596"/>
      <c r="B46" s="1584"/>
      <c r="C46" s="1124"/>
      <c r="D46" s="1124"/>
      <c r="E46" s="1124"/>
      <c r="F46" s="1124"/>
      <c r="G46" s="1133"/>
      <c r="H46" s="590"/>
      <c r="I46" s="1598"/>
      <c r="J46" s="590"/>
      <c r="K46" s="1598"/>
      <c r="L46" s="590"/>
      <c r="M46" s="1598"/>
      <c r="N46" s="590"/>
      <c r="O46" s="1598"/>
      <c r="P46" s="590"/>
      <c r="Q46" s="1598"/>
      <c r="R46" s="590"/>
      <c r="S46" s="1597"/>
    </row>
    <row r="47" spans="1:19">
      <c r="A47" s="1596"/>
      <c r="B47" s="1584"/>
      <c r="C47" s="1124"/>
      <c r="D47" s="1124"/>
      <c r="E47" s="1124"/>
      <c r="F47" s="1124"/>
      <c r="G47" s="1133"/>
      <c r="H47" s="590"/>
      <c r="I47" s="1598"/>
      <c r="J47" s="590"/>
      <c r="K47" s="1597"/>
      <c r="L47" s="590"/>
      <c r="M47" s="1598"/>
      <c r="N47" s="590"/>
      <c r="O47" s="1598"/>
      <c r="P47" s="590"/>
      <c r="Q47" s="1598"/>
      <c r="R47" s="590"/>
      <c r="S47" s="1597"/>
    </row>
    <row r="48" spans="1:19">
      <c r="A48" s="623"/>
      <c r="B48" s="1584"/>
      <c r="C48" s="1124"/>
      <c r="D48" s="1124"/>
      <c r="E48" s="1124"/>
      <c r="F48" s="1124"/>
      <c r="G48" s="1133"/>
      <c r="H48" s="590"/>
      <c r="I48" s="1585"/>
      <c r="J48" s="590"/>
      <c r="K48" s="1598"/>
      <c r="L48" s="590"/>
      <c r="M48" s="1598"/>
      <c r="N48" s="590"/>
      <c r="O48" s="1598"/>
      <c r="P48" s="590"/>
      <c r="Q48" s="1597"/>
      <c r="R48" s="590"/>
      <c r="S48" s="1597"/>
    </row>
    <row r="49" spans="1:19">
      <c r="A49" s="1596"/>
      <c r="B49" s="1607"/>
      <c r="C49" s="1134"/>
      <c r="D49" s="1124"/>
      <c r="E49" s="1124"/>
      <c r="F49" s="1124"/>
      <c r="G49" s="1133"/>
      <c r="H49" s="590"/>
      <c r="I49" s="1597"/>
      <c r="J49" s="590"/>
      <c r="K49" s="1597"/>
      <c r="L49" s="590"/>
      <c r="M49" s="1597"/>
      <c r="N49" s="590"/>
      <c r="O49" s="1597"/>
      <c r="P49" s="590"/>
      <c r="Q49" s="1597"/>
      <c r="R49" s="590"/>
      <c r="S49" s="1597"/>
    </row>
    <row r="50" spans="1:19">
      <c r="A50" s="623"/>
      <c r="B50" s="1607"/>
      <c r="C50" s="1134"/>
      <c r="D50" s="1124"/>
      <c r="E50" s="1124"/>
      <c r="F50" s="1124"/>
      <c r="G50" s="1133"/>
      <c r="H50" s="590"/>
      <c r="I50" s="1585"/>
      <c r="J50" s="590"/>
      <c r="K50" s="1597"/>
      <c r="L50" s="590"/>
      <c r="M50" s="1597"/>
      <c r="N50" s="590"/>
      <c r="O50" s="1597"/>
      <c r="P50" s="590"/>
      <c r="Q50" s="1597"/>
      <c r="R50" s="590"/>
      <c r="S50" s="1597"/>
    </row>
    <row r="51" spans="1:19">
      <c r="A51" s="14"/>
      <c r="B51" s="15"/>
      <c r="C51" s="16"/>
      <c r="D51" s="16"/>
      <c r="E51" s="17"/>
      <c r="F51" s="18" t="s">
        <v>567</v>
      </c>
      <c r="G51" s="19"/>
      <c r="H51" s="20"/>
      <c r="I51" s="61">
        <f>SUM(I23:I50)</f>
        <v>0</v>
      </c>
      <c r="J51" s="20"/>
      <c r="K51" s="61">
        <f>SUM(K23:K50)</f>
        <v>0</v>
      </c>
      <c r="L51" s="20"/>
      <c r="M51" s="61">
        <f>SUM(M22:M50)</f>
        <v>0</v>
      </c>
      <c r="N51" s="20"/>
      <c r="O51" s="61">
        <f>SUM(O22:O50)</f>
        <v>0</v>
      </c>
      <c r="P51" s="20"/>
      <c r="Q51" s="61">
        <f>SUM(Q23:Q50)</f>
        <v>0</v>
      </c>
      <c r="R51" s="20"/>
      <c r="S51" s="61">
        <f>SUM(S23:S50)</f>
        <v>0</v>
      </c>
    </row>
    <row r="52" spans="1:19">
      <c r="A52" s="624"/>
      <c r="B52" s="1156"/>
      <c r="C52" s="1157"/>
      <c r="D52" s="1157"/>
      <c r="E52" s="1158"/>
      <c r="F52" s="1159" t="s">
        <v>568</v>
      </c>
      <c r="G52" s="1160"/>
      <c r="H52" s="593">
        <v>0</v>
      </c>
      <c r="I52" s="592"/>
      <c r="J52" s="593">
        <v>0</v>
      </c>
      <c r="K52" s="592"/>
      <c r="L52" s="593">
        <v>0.02</v>
      </c>
      <c r="M52" s="592"/>
      <c r="N52" s="593">
        <v>0.02</v>
      </c>
      <c r="O52" s="592"/>
      <c r="P52" s="593">
        <v>0.02</v>
      </c>
      <c r="Q52" s="592"/>
      <c r="R52" s="593">
        <v>0.02</v>
      </c>
      <c r="S52" s="592"/>
    </row>
    <row r="53" spans="1:19">
      <c r="A53" s="624"/>
      <c r="B53" s="1156"/>
      <c r="C53" s="1157"/>
      <c r="D53" s="1157"/>
      <c r="E53" s="1158"/>
      <c r="F53" s="1159" t="s">
        <v>569</v>
      </c>
      <c r="G53" s="1160"/>
      <c r="H53" s="594"/>
      <c r="I53" s="595">
        <f>H52*$I$51</f>
        <v>0</v>
      </c>
      <c r="J53" s="594"/>
      <c r="K53" s="595">
        <f>J52*$K$51</f>
        <v>0</v>
      </c>
      <c r="L53" s="594"/>
      <c r="M53" s="595">
        <f>L52*$M$51</f>
        <v>0</v>
      </c>
      <c r="N53" s="594"/>
      <c r="O53" s="595">
        <f>N52*$O$51</f>
        <v>0</v>
      </c>
      <c r="P53" s="594"/>
      <c r="Q53" s="595">
        <f>P52*$Q$51</f>
        <v>0</v>
      </c>
      <c r="R53" s="594"/>
      <c r="S53" s="595">
        <f>R52*S51</f>
        <v>0</v>
      </c>
    </row>
    <row r="54" spans="1:19">
      <c r="A54" s="624"/>
      <c r="B54" s="1156"/>
      <c r="C54" s="1157"/>
      <c r="D54" s="1157"/>
      <c r="E54" s="1158"/>
      <c r="F54" s="1159"/>
      <c r="G54" s="1160"/>
      <c r="H54" s="1458"/>
      <c r="I54" s="596"/>
      <c r="J54" s="594"/>
      <c r="K54" s="596"/>
      <c r="L54" s="594"/>
      <c r="M54" s="596"/>
      <c r="N54" s="594"/>
      <c r="O54" s="596"/>
      <c r="P54" s="594"/>
      <c r="Q54" s="596"/>
      <c r="R54" s="594"/>
      <c r="S54" s="596"/>
    </row>
    <row r="55" spans="1:19">
      <c r="A55" s="624"/>
      <c r="B55" s="1156"/>
      <c r="C55" s="1157"/>
      <c r="D55" s="1157"/>
      <c r="E55" s="1158"/>
      <c r="F55" s="1159" t="s">
        <v>570</v>
      </c>
      <c r="G55" s="1160"/>
      <c r="H55" s="597"/>
      <c r="I55" s="598">
        <f>SUM(I51:I54)</f>
        <v>0</v>
      </c>
      <c r="J55" s="597"/>
      <c r="K55" s="598">
        <f>SUM(K51:K53)</f>
        <v>0</v>
      </c>
      <c r="L55" s="597"/>
      <c r="M55" s="598">
        <f>SUM(M51:M53)</f>
        <v>0</v>
      </c>
      <c r="N55" s="597"/>
      <c r="O55" s="598">
        <f>SUM(O51:O53)</f>
        <v>0</v>
      </c>
      <c r="P55" s="597"/>
      <c r="Q55" s="598">
        <f>SUM(Q51:Q53)</f>
        <v>0</v>
      </c>
      <c r="R55" s="597"/>
      <c r="S55" s="598">
        <f>SUM(S51:S53)</f>
        <v>0</v>
      </c>
    </row>
    <row r="56" spans="1:19">
      <c r="A56" s="624"/>
      <c r="B56" s="1156"/>
      <c r="C56" s="1157"/>
      <c r="D56" s="1157"/>
      <c r="E56" s="1158"/>
      <c r="F56" s="1161" t="s">
        <v>571</v>
      </c>
      <c r="G56" s="1162"/>
      <c r="H56" s="599"/>
      <c r="I56" s="600" t="e">
        <f>I55/'Area Calculations'!$J$4</f>
        <v>#DIV/0!</v>
      </c>
      <c r="J56" s="599"/>
      <c r="K56" s="600" t="e">
        <f>K55/'Area Calculations'!$J$4</f>
        <v>#DIV/0!</v>
      </c>
      <c r="L56" s="599"/>
      <c r="M56" s="600" t="e">
        <f>M55/'Area Calculations'!$J$4</f>
        <v>#DIV/0!</v>
      </c>
      <c r="N56" s="599"/>
      <c r="O56" s="600" t="e">
        <f>O55/'Area Calculations'!$J$4</f>
        <v>#DIV/0!</v>
      </c>
      <c r="P56" s="599"/>
      <c r="Q56" s="600" t="e">
        <f>Q55/'Area Calculations'!$J$4</f>
        <v>#DIV/0!</v>
      </c>
      <c r="R56" s="599"/>
      <c r="S56" s="600" t="e">
        <f>S55/'Area Calculations'!$J$4</f>
        <v>#DIV/0!</v>
      </c>
    </row>
    <row r="57" spans="1:19">
      <c r="A57" s="624"/>
      <c r="B57" s="1156"/>
      <c r="C57" s="1157"/>
      <c r="D57" s="1157"/>
      <c r="E57" s="1158"/>
      <c r="F57" s="1161" t="s">
        <v>572</v>
      </c>
      <c r="G57" s="1163"/>
      <c r="H57" s="599"/>
      <c r="I57" s="600" t="e">
        <f>I55/'Area Calculations'!#REF!</f>
        <v>#REF!</v>
      </c>
      <c r="J57" s="599"/>
      <c r="K57" s="600" t="e">
        <f>K55/'Area Calculations'!#REF!</f>
        <v>#REF!</v>
      </c>
      <c r="L57" s="599"/>
      <c r="M57" s="600" t="e">
        <f>M55/'Area Calculations'!#REF!</f>
        <v>#REF!</v>
      </c>
      <c r="N57" s="599"/>
      <c r="O57" s="600" t="e">
        <f>O55/'Area Calculations'!#REF!</f>
        <v>#REF!</v>
      </c>
      <c r="P57" s="599"/>
      <c r="Q57" s="600" t="e">
        <f>Q55/'Area Calculations'!#REF!</f>
        <v>#REF!</v>
      </c>
      <c r="R57" s="599"/>
      <c r="S57" s="600" t="e">
        <f>S55/'Area Calculations'!#REF!</f>
        <v>#REF!</v>
      </c>
    </row>
    <row r="58" spans="1:19">
      <c r="A58" s="624"/>
      <c r="B58" s="1156"/>
      <c r="C58" s="1157"/>
      <c r="D58" s="1157"/>
      <c r="E58" s="1158"/>
      <c r="F58" s="1159"/>
      <c r="G58" s="1533"/>
      <c r="H58" s="601"/>
      <c r="I58" s="602"/>
      <c r="J58" s="603"/>
      <c r="K58" s="603"/>
      <c r="L58" s="603"/>
      <c r="M58" s="603"/>
      <c r="N58" s="603"/>
      <c r="O58" s="603"/>
      <c r="P58" s="603"/>
      <c r="Q58" s="603"/>
      <c r="R58" s="603"/>
      <c r="S58" s="603"/>
    </row>
    <row r="59" spans="1:19">
      <c r="A59" s="726" t="s">
        <v>573</v>
      </c>
      <c r="B59" s="727"/>
      <c r="C59" s="12"/>
      <c r="D59" s="12"/>
      <c r="E59" s="12"/>
      <c r="F59" s="12"/>
      <c r="G59" s="13"/>
      <c r="H59" s="21"/>
      <c r="I59" s="21"/>
      <c r="J59" s="21"/>
      <c r="K59" s="21"/>
      <c r="L59" s="21"/>
      <c r="M59" s="21"/>
      <c r="N59" s="21"/>
      <c r="O59" s="21"/>
      <c r="P59" s="21"/>
      <c r="Q59" s="21"/>
      <c r="R59" s="21"/>
      <c r="S59" s="21"/>
    </row>
    <row r="60" spans="1:19">
      <c r="A60" s="1608"/>
      <c r="B60" s="862"/>
      <c r="C60" s="1586"/>
      <c r="D60" s="1586"/>
      <c r="E60" s="1586"/>
      <c r="F60" s="1586"/>
      <c r="G60" s="1587"/>
      <c r="H60" s="1588"/>
      <c r="I60" s="1588"/>
      <c r="J60" s="1588"/>
      <c r="K60" s="1588"/>
      <c r="L60" s="1588"/>
      <c r="M60" s="1588"/>
      <c r="N60" s="1588"/>
      <c r="O60" s="1588"/>
      <c r="P60" s="1588"/>
      <c r="Q60" s="1588"/>
      <c r="R60" s="1588"/>
      <c r="S60" s="1588"/>
    </row>
    <row r="61" spans="1:19">
      <c r="A61" s="1608"/>
      <c r="B61" s="862"/>
      <c r="C61" s="1586"/>
      <c r="D61" s="1586"/>
      <c r="E61" s="1586"/>
      <c r="F61" s="1586"/>
      <c r="G61" s="1587"/>
      <c r="H61" s="1588"/>
      <c r="I61" s="1588"/>
      <c r="J61" s="1588"/>
      <c r="K61" s="1588"/>
      <c r="L61" s="1588"/>
      <c r="M61" s="1588"/>
      <c r="N61" s="1588"/>
      <c r="O61" s="1588"/>
      <c r="P61" s="1588"/>
      <c r="Q61" s="1588"/>
      <c r="R61" s="1588"/>
      <c r="S61" s="1588"/>
    </row>
    <row r="62" spans="1:19">
      <c r="A62" s="1608"/>
      <c r="B62" s="862"/>
      <c r="C62" s="1586"/>
      <c r="D62" s="1586"/>
      <c r="E62" s="1586"/>
      <c r="F62" s="1586"/>
      <c r="G62" s="1587"/>
      <c r="H62" s="1588"/>
      <c r="I62" s="1588"/>
      <c r="J62" s="1588"/>
      <c r="K62" s="1588"/>
      <c r="L62" s="1588"/>
      <c r="M62" s="1588"/>
      <c r="N62" s="1588"/>
      <c r="O62" s="1588"/>
      <c r="P62" s="1588"/>
      <c r="Q62" s="1588"/>
      <c r="R62" s="1588"/>
      <c r="S62" s="1588"/>
    </row>
    <row r="63" spans="1:19" s="2" customFormat="1">
      <c r="A63" s="726" t="s">
        <v>574</v>
      </c>
      <c r="B63" s="727"/>
      <c r="C63" s="12"/>
      <c r="D63" s="12"/>
      <c r="E63" s="12"/>
      <c r="F63" s="12"/>
      <c r="G63" s="13"/>
      <c r="H63" s="21"/>
      <c r="I63" s="21"/>
      <c r="J63" s="21"/>
      <c r="K63" s="21"/>
      <c r="L63" s="21"/>
      <c r="M63" s="21"/>
      <c r="N63" s="21"/>
      <c r="O63" s="21"/>
      <c r="P63" s="21"/>
      <c r="Q63" s="21"/>
      <c r="R63" s="21"/>
      <c r="S63" s="21"/>
    </row>
    <row r="64" spans="1:19" s="2" customFormat="1">
      <c r="A64" s="1608"/>
      <c r="B64" s="862"/>
      <c r="C64" s="1586"/>
      <c r="D64" s="1586"/>
      <c r="E64" s="1586"/>
      <c r="F64" s="1586"/>
      <c r="G64" s="1587"/>
      <c r="H64" s="1588"/>
      <c r="I64" s="1588"/>
      <c r="J64" s="1588"/>
      <c r="K64" s="1588"/>
      <c r="L64" s="1588"/>
      <c r="M64" s="1588"/>
      <c r="N64" s="1588"/>
      <c r="O64" s="1588"/>
      <c r="P64" s="1588"/>
      <c r="Q64" s="1588"/>
      <c r="R64" s="1588"/>
      <c r="S64" s="1588"/>
    </row>
    <row r="65" spans="1:19" s="2" customFormat="1">
      <c r="A65" s="1608"/>
      <c r="B65" s="862"/>
      <c r="C65" s="1586"/>
      <c r="D65" s="1586"/>
      <c r="E65" s="1586"/>
      <c r="F65" s="1586"/>
      <c r="G65" s="1587"/>
      <c r="H65" s="1588"/>
      <c r="I65" s="1588"/>
      <c r="J65" s="1588"/>
      <c r="K65" s="1588"/>
      <c r="L65" s="1588"/>
      <c r="M65" s="1588"/>
      <c r="N65" s="1588"/>
      <c r="O65" s="1588"/>
      <c r="P65" s="1588"/>
      <c r="Q65" s="1588"/>
      <c r="R65" s="1588"/>
      <c r="S65" s="1588"/>
    </row>
    <row r="66" spans="1:19">
      <c r="A66" s="1608"/>
      <c r="B66" s="862"/>
      <c r="C66" s="1586"/>
      <c r="D66" s="1586"/>
      <c r="E66" s="1586"/>
      <c r="F66" s="1586"/>
      <c r="G66" s="1587"/>
      <c r="H66" s="1588"/>
      <c r="I66" s="1588"/>
      <c r="J66" s="1588"/>
      <c r="K66" s="1588"/>
      <c r="L66" s="1588"/>
      <c r="M66" s="1588"/>
      <c r="N66" s="1588"/>
      <c r="O66" s="1588"/>
      <c r="P66" s="1588"/>
      <c r="Q66" s="1588"/>
      <c r="R66" s="1588"/>
      <c r="S66" s="1588"/>
    </row>
    <row r="67" spans="1:19" s="2" customFormat="1">
      <c r="A67" s="726" t="s">
        <v>575</v>
      </c>
      <c r="B67" s="727"/>
      <c r="C67" s="12"/>
      <c r="D67" s="12"/>
      <c r="E67" s="12"/>
      <c r="F67" s="12"/>
      <c r="G67" s="13"/>
      <c r="H67" s="21"/>
      <c r="I67" s="21"/>
      <c r="J67" s="21"/>
      <c r="K67" s="21"/>
      <c r="L67" s="21"/>
      <c r="M67" s="21"/>
      <c r="N67" s="21"/>
      <c r="O67" s="21"/>
      <c r="P67" s="21"/>
      <c r="Q67" s="21"/>
      <c r="R67" s="21"/>
      <c r="S67" s="21"/>
    </row>
    <row r="68" spans="1:19" s="2" customFormat="1">
      <c r="A68" s="1608"/>
      <c r="B68" s="862"/>
      <c r="C68" s="1586"/>
      <c r="D68" s="1586"/>
      <c r="E68" s="1586"/>
      <c r="F68" s="1586"/>
      <c r="G68" s="1587"/>
      <c r="H68" s="1588"/>
      <c r="I68" s="1588"/>
      <c r="J68" s="1588"/>
      <c r="K68" s="1588"/>
      <c r="L68" s="1588"/>
      <c r="M68" s="1588"/>
      <c r="N68" s="1588"/>
      <c r="O68" s="1588"/>
      <c r="P68" s="1588"/>
      <c r="Q68" s="1588"/>
      <c r="R68" s="1588"/>
      <c r="S68" s="1588"/>
    </row>
    <row r="69" spans="1:19" s="2" customFormat="1">
      <c r="A69" s="628"/>
      <c r="B69" s="862"/>
      <c r="C69" s="1124"/>
      <c r="D69" s="1124"/>
      <c r="E69" s="1124"/>
      <c r="F69" s="1124"/>
      <c r="G69" s="1133"/>
      <c r="H69" s="604"/>
      <c r="I69" s="604"/>
      <c r="J69" s="604"/>
      <c r="K69" s="604"/>
      <c r="L69" s="604"/>
      <c r="M69" s="604"/>
      <c r="N69" s="604"/>
      <c r="O69" s="604"/>
      <c r="P69" s="604"/>
      <c r="Q69" s="604"/>
      <c r="R69" s="604"/>
      <c r="S69" s="604"/>
    </row>
    <row r="70" spans="1:19" s="2" customFormat="1">
      <c r="A70" s="625"/>
      <c r="B70" s="1171"/>
      <c r="C70" s="1124"/>
      <c r="D70" s="1124"/>
      <c r="E70" s="1124"/>
      <c r="F70" s="1124"/>
      <c r="G70" s="1133"/>
      <c r="H70" s="605"/>
      <c r="I70" s="605"/>
      <c r="J70" s="605"/>
      <c r="K70" s="605"/>
      <c r="L70" s="605"/>
      <c r="M70" s="605"/>
      <c r="N70" s="605"/>
      <c r="O70" s="605"/>
      <c r="P70" s="605"/>
      <c r="Q70" s="605"/>
      <c r="R70" s="605"/>
      <c r="S70" s="605"/>
    </row>
    <row r="71" spans="1:19" s="2" customFormat="1">
      <c r="A71" s="726" t="s">
        <v>576</v>
      </c>
      <c r="B71" s="727"/>
      <c r="C71" s="12"/>
      <c r="D71" s="12"/>
      <c r="E71" s="12"/>
      <c r="F71" s="12"/>
      <c r="G71" s="13"/>
      <c r="H71" s="21"/>
      <c r="I71" s="21"/>
      <c r="J71" s="21"/>
      <c r="K71" s="21"/>
      <c r="L71" s="21"/>
      <c r="M71" s="21"/>
      <c r="N71" s="21"/>
      <c r="O71" s="21"/>
      <c r="P71" s="21"/>
      <c r="Q71" s="21"/>
      <c r="R71" s="21"/>
      <c r="S71" s="21"/>
    </row>
    <row r="72" spans="1:19">
      <c r="A72" s="1589"/>
      <c r="B72" s="1590"/>
      <c r="C72" s="1586"/>
      <c r="D72" s="1586"/>
      <c r="E72" s="1586"/>
      <c r="F72" s="1586"/>
      <c r="G72" s="1587"/>
      <c r="H72" s="1588"/>
      <c r="I72" s="1588"/>
      <c r="J72" s="1588"/>
      <c r="K72" s="1588"/>
      <c r="L72" s="1588"/>
      <c r="M72" s="1588"/>
      <c r="N72" s="1588"/>
      <c r="O72" s="1588"/>
      <c r="P72" s="1588"/>
      <c r="Q72" s="1588"/>
      <c r="R72" s="1588"/>
      <c r="S72" s="1588"/>
    </row>
    <row r="73" spans="1:19">
      <c r="A73" s="625"/>
      <c r="B73" s="1171"/>
      <c r="C73" s="1124"/>
      <c r="D73" s="1124"/>
      <c r="E73" s="1124"/>
      <c r="F73" s="1124"/>
      <c r="G73" s="1133"/>
      <c r="H73" s="606"/>
      <c r="I73" s="606"/>
      <c r="J73" s="606"/>
      <c r="K73" s="606"/>
      <c r="L73" s="606"/>
      <c r="M73" s="606"/>
      <c r="N73" s="606"/>
      <c r="O73" s="606"/>
      <c r="P73" s="606"/>
      <c r="Q73" s="606"/>
      <c r="R73" s="606"/>
      <c r="S73" s="606"/>
    </row>
    <row r="74" spans="1:19">
      <c r="A74" s="625"/>
      <c r="B74" s="1171"/>
      <c r="C74" s="1124"/>
      <c r="D74" s="1124"/>
      <c r="E74" s="1124"/>
      <c r="F74" s="1124"/>
      <c r="G74" s="1133"/>
      <c r="H74" s="606"/>
      <c r="I74" s="606"/>
      <c r="J74" s="606"/>
      <c r="K74" s="606"/>
      <c r="L74" s="606"/>
      <c r="M74" s="606"/>
      <c r="N74" s="606"/>
      <c r="O74" s="606"/>
      <c r="P74" s="606"/>
      <c r="Q74" s="606"/>
      <c r="R74" s="606"/>
      <c r="S74" s="606"/>
    </row>
    <row r="75" spans="1:19">
      <c r="A75" s="726" t="s">
        <v>577</v>
      </c>
      <c r="B75" s="727"/>
      <c r="C75" s="12"/>
      <c r="D75" s="12"/>
      <c r="E75" s="12"/>
      <c r="F75" s="12"/>
      <c r="G75" s="13"/>
      <c r="H75" s="21"/>
      <c r="I75" s="21"/>
      <c r="J75" s="21"/>
      <c r="K75" s="21"/>
      <c r="L75" s="21"/>
      <c r="M75" s="21"/>
      <c r="N75" s="21"/>
      <c r="O75" s="21"/>
      <c r="P75" s="21"/>
      <c r="Q75" s="21"/>
      <c r="R75" s="21"/>
      <c r="S75" s="21"/>
    </row>
    <row r="76" spans="1:19">
      <c r="A76" s="628"/>
      <c r="B76" s="862" t="s">
        <v>578</v>
      </c>
      <c r="C76" s="1124"/>
      <c r="D76" s="1124"/>
      <c r="E76" s="1124"/>
      <c r="F76" s="1124"/>
      <c r="G76" s="1133"/>
      <c r="H76" s="606"/>
      <c r="I76" s="606"/>
      <c r="J76" s="606"/>
      <c r="K76" s="606"/>
      <c r="L76" s="606"/>
      <c r="M76" s="606"/>
      <c r="N76" s="606"/>
      <c r="O76" s="606"/>
      <c r="P76" s="606"/>
      <c r="Q76" s="606"/>
      <c r="R76" s="606"/>
      <c r="S76" s="606"/>
    </row>
    <row r="77" spans="1:19">
      <c r="A77" s="628"/>
      <c r="B77" s="862" t="s">
        <v>579</v>
      </c>
      <c r="C77" s="1124"/>
      <c r="D77" s="1124"/>
      <c r="E77" s="1124"/>
      <c r="F77" s="1124"/>
      <c r="G77" s="1133"/>
      <c r="H77" s="606"/>
      <c r="I77" s="606"/>
      <c r="J77" s="606"/>
      <c r="K77" s="606"/>
      <c r="L77" s="606"/>
      <c r="M77" s="606"/>
      <c r="N77" s="606"/>
      <c r="O77" s="606"/>
      <c r="P77" s="606"/>
      <c r="Q77" s="606"/>
      <c r="R77" s="606"/>
      <c r="S77" s="606"/>
    </row>
    <row r="78" spans="1:19">
      <c r="A78" s="628"/>
      <c r="B78" s="862" t="s">
        <v>580</v>
      </c>
      <c r="C78" s="1124"/>
      <c r="D78" s="1124"/>
      <c r="E78" s="1124"/>
      <c r="F78" s="1124"/>
      <c r="G78" s="1133"/>
      <c r="H78" s="606"/>
      <c r="I78" s="606"/>
      <c r="J78" s="606"/>
      <c r="K78" s="606"/>
      <c r="L78" s="606"/>
      <c r="M78" s="606"/>
      <c r="N78" s="606"/>
      <c r="O78" s="606"/>
      <c r="P78" s="606"/>
      <c r="Q78" s="606"/>
      <c r="R78" s="606"/>
      <c r="S78" s="606"/>
    </row>
    <row r="79" spans="1:19">
      <c r="A79" s="628"/>
      <c r="B79" s="862" t="s">
        <v>581</v>
      </c>
      <c r="C79" s="1124"/>
      <c r="D79" s="1124"/>
      <c r="E79" s="1124"/>
      <c r="F79" s="1124"/>
      <c r="G79" s="1133"/>
      <c r="H79" s="606"/>
      <c r="I79" s="606"/>
      <c r="J79" s="606"/>
      <c r="K79" s="606"/>
      <c r="L79" s="606"/>
      <c r="M79" s="606"/>
      <c r="N79" s="606"/>
      <c r="O79" s="606"/>
      <c r="P79" s="606"/>
      <c r="Q79" s="606"/>
      <c r="R79" s="606"/>
      <c r="S79" s="606"/>
    </row>
    <row r="80" spans="1:19">
      <c r="A80" s="416"/>
      <c r="B80" s="295"/>
      <c r="C80" s="184"/>
      <c r="D80" s="184"/>
      <c r="E80" s="184"/>
      <c r="F80" s="184"/>
      <c r="G80" s="296"/>
      <c r="H80" s="418"/>
      <c r="I80" s="418"/>
      <c r="J80" s="418"/>
      <c r="K80" s="418"/>
      <c r="L80" s="418"/>
      <c r="M80" s="418"/>
      <c r="N80" s="418"/>
      <c r="O80" s="418"/>
      <c r="P80" s="418"/>
      <c r="Q80" s="418"/>
      <c r="R80" s="418"/>
      <c r="S80" s="418"/>
    </row>
    <row r="81" spans="1:19">
      <c r="A81" s="7" t="s">
        <v>582</v>
      </c>
      <c r="B81" s="8"/>
      <c r="C81" s="12"/>
      <c r="D81" s="12"/>
      <c r="E81" s="12"/>
      <c r="F81" s="12"/>
      <c r="G81" s="13"/>
      <c r="H81" s="21"/>
      <c r="I81" s="21"/>
      <c r="J81" s="21"/>
      <c r="K81" s="21"/>
      <c r="L81" s="21"/>
      <c r="M81" s="21"/>
      <c r="N81" s="21"/>
      <c r="O81" s="21"/>
      <c r="P81" s="21"/>
      <c r="Q81" s="21"/>
      <c r="R81" s="21"/>
      <c r="S81" s="21"/>
    </row>
    <row r="82" spans="1:19">
      <c r="A82" s="1608"/>
      <c r="B82" s="1591" t="s">
        <v>583</v>
      </c>
      <c r="C82" s="1586"/>
      <c r="D82" s="1586"/>
      <c r="E82" s="1586"/>
      <c r="F82" s="1586"/>
      <c r="G82" s="1587"/>
      <c r="H82" s="1592"/>
      <c r="I82" s="1592"/>
      <c r="J82" s="1592"/>
      <c r="K82" s="1592"/>
      <c r="L82" s="1592"/>
      <c r="M82" s="1592"/>
      <c r="N82" s="1592"/>
      <c r="O82" s="1592"/>
      <c r="P82" s="1592"/>
      <c r="Q82" s="1592"/>
      <c r="R82" s="1592"/>
      <c r="S82" s="1592"/>
    </row>
    <row r="83" spans="1:19">
      <c r="A83" s="628"/>
      <c r="B83" s="862" t="s">
        <v>584</v>
      </c>
      <c r="C83" s="1124"/>
      <c r="D83" s="1124"/>
      <c r="E83" s="1124"/>
      <c r="F83" s="1124"/>
      <c r="G83" s="1133"/>
      <c r="H83" s="618"/>
      <c r="I83" s="618"/>
      <c r="J83" s="618"/>
      <c r="K83" s="618"/>
      <c r="L83" s="618"/>
      <c r="M83" s="618"/>
      <c r="N83" s="618"/>
      <c r="O83" s="618"/>
      <c r="P83" s="618"/>
      <c r="Q83" s="618"/>
      <c r="R83" s="618"/>
      <c r="S83" s="618"/>
    </row>
    <row r="84" spans="1:19">
      <c r="A84" s="607"/>
      <c r="B84" s="608" t="s">
        <v>585</v>
      </c>
      <c r="C84" s="609"/>
      <c r="D84" s="609"/>
      <c r="E84" s="609"/>
      <c r="F84" s="609"/>
      <c r="G84" s="610"/>
      <c r="H84" s="611"/>
      <c r="I84" s="611"/>
      <c r="J84" s="611"/>
      <c r="K84" s="611"/>
      <c r="L84" s="611"/>
      <c r="M84" s="611"/>
      <c r="N84" s="611"/>
      <c r="O84" s="611"/>
      <c r="P84" s="611"/>
      <c r="Q84" s="611"/>
      <c r="R84" s="611"/>
      <c r="S84" s="611"/>
    </row>
    <row r="86" spans="1:19">
      <c r="A86" s="92" t="s">
        <v>586</v>
      </c>
      <c r="B86" s="94"/>
    </row>
    <row r="87" spans="1:19">
      <c r="A87" s="93" t="s">
        <v>487</v>
      </c>
      <c r="B87" s="612"/>
    </row>
    <row r="88" spans="1:19">
      <c r="A88" s="626" t="s">
        <v>491</v>
      </c>
      <c r="B88" s="612"/>
    </row>
    <row r="89" spans="1:19">
      <c r="A89" s="613" t="s">
        <v>494</v>
      </c>
      <c r="B89" s="614"/>
    </row>
    <row r="90" spans="1:19">
      <c r="A90" s="613" t="s">
        <v>497</v>
      </c>
      <c r="B90" s="622"/>
    </row>
    <row r="91" spans="1:19">
      <c r="A91" s="615" t="s">
        <v>587</v>
      </c>
      <c r="B91" s="616"/>
    </row>
    <row r="93" spans="1:19">
      <c r="A93" s="95"/>
      <c r="B93" s="1" t="s">
        <v>588</v>
      </c>
    </row>
    <row r="94" spans="1:19">
      <c r="A94" s="96"/>
      <c r="B94"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9:B59"/>
    <mergeCell ref="A63:B63"/>
    <mergeCell ref="A67:B67"/>
    <mergeCell ref="A71:B71"/>
    <mergeCell ref="A75:B75"/>
  </mergeCells>
  <conditionalFormatting sqref="H20:H30">
    <cfRule type="cellIs" dxfId="1429" priority="13" operator="equal">
      <formula>"X"</formula>
    </cfRule>
    <cfRule type="cellIs" dxfId="1428" priority="14" operator="equal">
      <formula>"I"</formula>
    </cfRule>
  </conditionalFormatting>
  <conditionalFormatting sqref="H32:H50">
    <cfRule type="cellIs" dxfId="1427" priority="1" operator="equal">
      <formula>"X"</formula>
    </cfRule>
    <cfRule type="cellIs" dxfId="1426" priority="2" operator="equal">
      <formula>"I"</formula>
    </cfRule>
  </conditionalFormatting>
  <conditionalFormatting sqref="J20:J30">
    <cfRule type="cellIs" dxfId="1425" priority="15" operator="equal">
      <formula>"X"</formula>
    </cfRule>
    <cfRule type="cellIs" dxfId="1424" priority="16" operator="equal">
      <formula>"I"</formula>
    </cfRule>
  </conditionalFormatting>
  <conditionalFormatting sqref="J32:J50">
    <cfRule type="cellIs" dxfId="1423" priority="3" operator="equal">
      <formula>"X"</formula>
    </cfRule>
    <cfRule type="cellIs" dxfId="1422" priority="4" operator="equal">
      <formula>"I"</formula>
    </cfRule>
  </conditionalFormatting>
  <conditionalFormatting sqref="L20:L30">
    <cfRule type="cellIs" dxfId="1421" priority="17" operator="equal">
      <formula>"X"</formula>
    </cfRule>
    <cfRule type="cellIs" dxfId="1420" priority="18" operator="equal">
      <formula>"I"</formula>
    </cfRule>
  </conditionalFormatting>
  <conditionalFormatting sqref="L32:L50">
    <cfRule type="cellIs" dxfId="1419" priority="5" operator="equal">
      <formula>"X"</formula>
    </cfRule>
    <cfRule type="cellIs" dxfId="1418" priority="6" operator="equal">
      <formula>"I"</formula>
    </cfRule>
  </conditionalFormatting>
  <conditionalFormatting sqref="N20:N30">
    <cfRule type="cellIs" dxfId="1417" priority="19" operator="equal">
      <formula>"X"</formula>
    </cfRule>
    <cfRule type="cellIs" dxfId="1416" priority="20" operator="equal">
      <formula>"I"</formula>
    </cfRule>
  </conditionalFormatting>
  <conditionalFormatting sqref="N32:N50">
    <cfRule type="cellIs" dxfId="1415" priority="7" operator="equal">
      <formula>"X"</formula>
    </cfRule>
    <cfRule type="cellIs" dxfId="1414" priority="8" operator="equal">
      <formula>"I"</formula>
    </cfRule>
  </conditionalFormatting>
  <conditionalFormatting sqref="P20:P30">
    <cfRule type="cellIs" dxfId="1413" priority="21" operator="equal">
      <formula>"X"</formula>
    </cfRule>
    <cfRule type="cellIs" dxfId="1412" priority="22" operator="equal">
      <formula>"I"</formula>
    </cfRule>
  </conditionalFormatting>
  <conditionalFormatting sqref="P32:P50">
    <cfRule type="cellIs" dxfId="1411" priority="9" operator="equal">
      <formula>"X"</formula>
    </cfRule>
    <cfRule type="cellIs" dxfId="1410" priority="10" operator="equal">
      <formula>"I"</formula>
    </cfRule>
  </conditionalFormatting>
  <conditionalFormatting sqref="R20:R30">
    <cfRule type="cellIs" dxfId="1409" priority="23" operator="equal">
      <formula>"X"</formula>
    </cfRule>
    <cfRule type="cellIs" dxfId="1408" priority="24" operator="equal">
      <formula>"I"</formula>
    </cfRule>
  </conditionalFormatting>
  <conditionalFormatting sqref="R32:R50">
    <cfRule type="cellIs" dxfId="1407" priority="11" operator="equal">
      <formula>"X"</formula>
    </cfRule>
    <cfRule type="cellIs" dxfId="1406" priority="12" operator="equal">
      <formula>"I"</formula>
    </cfRule>
  </conditionalFormatting>
  <hyperlinks>
    <hyperlink ref="B3" location="'Cost Summary'!A1" display="BACK TO SUMMARY SHEET" xr:uid="{A6506E05-1622-4266-AC0A-2371EC1C9A53}"/>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FA88-1782-4707-8620-B9366DC54E8A}">
  <sheetPr>
    <tabColor rgb="FF92D050"/>
  </sheetPr>
  <dimension ref="A1:AH106"/>
  <sheetViews>
    <sheetView zoomScale="85" zoomScaleNormal="85" workbookViewId="0">
      <pane xSplit="2" ySplit="9" topLeftCell="C32" activePane="bottomRight" state="frozen"/>
      <selection pane="bottomRight" activeCell="F55" sqref="F55"/>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4" width="12.28515625" style="2" customWidth="1"/>
    <col min="5"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49"/>
      <c r="I2" s="749"/>
      <c r="J2" s="732"/>
      <c r="K2" s="732"/>
      <c r="L2" s="749"/>
      <c r="M2" s="749"/>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613</v>
      </c>
      <c r="C5" s="1124"/>
      <c r="D5" s="1124"/>
      <c r="E5" s="1124"/>
      <c r="F5" s="1124"/>
      <c r="G5" s="1125" t="s">
        <v>491</v>
      </c>
      <c r="H5" s="1593"/>
      <c r="I5" s="1594"/>
      <c r="J5" s="1593"/>
      <c r="K5" s="1594"/>
      <c r="L5" s="1593"/>
      <c r="M5" s="1594"/>
      <c r="N5" s="1593"/>
      <c r="O5" s="1594"/>
      <c r="P5" s="1593"/>
      <c r="Q5" s="1594"/>
      <c r="R5" s="1593"/>
      <c r="S5" s="1594"/>
    </row>
    <row r="6" spans="1:19">
      <c r="A6" s="627" t="s">
        <v>493</v>
      </c>
      <c r="B6" s="1127" t="s">
        <v>612</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ht="15.75" thickBot="1">
      <c r="A8" s="414" t="s">
        <v>499</v>
      </c>
      <c r="B8" s="295"/>
      <c r="C8" s="184"/>
      <c r="D8" s="184"/>
      <c r="E8" s="184"/>
      <c r="F8" s="184"/>
      <c r="G8" s="419" t="s">
        <v>499</v>
      </c>
      <c r="H8" s="774">
        <f>I67</f>
        <v>348565.00778017635</v>
      </c>
      <c r="I8" s="775"/>
      <c r="J8" s="774">
        <f>K67</f>
        <v>0</v>
      </c>
      <c r="K8" s="775"/>
      <c r="L8" s="774">
        <f>M67</f>
        <v>0</v>
      </c>
      <c r="M8" s="775"/>
      <c r="N8" s="774">
        <f>O67</f>
        <v>0</v>
      </c>
      <c r="O8" s="775"/>
      <c r="P8" s="774">
        <f>Q67</f>
        <v>0</v>
      </c>
      <c r="Q8" s="775"/>
      <c r="R8" s="774">
        <f>S67</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95" t="s">
        <v>508</v>
      </c>
      <c r="C10" s="1124"/>
      <c r="D10" s="1124"/>
      <c r="E10" s="1124"/>
      <c r="F10" s="1124"/>
      <c r="G10" s="1133"/>
      <c r="H10" s="617"/>
      <c r="I10" s="617"/>
      <c r="J10" s="617"/>
      <c r="K10" s="617"/>
      <c r="L10" s="617"/>
      <c r="M10" s="617"/>
      <c r="N10" s="617"/>
      <c r="O10" s="617"/>
      <c r="P10" s="617"/>
      <c r="Q10" s="617"/>
      <c r="R10" s="617"/>
      <c r="S10" s="617"/>
    </row>
    <row r="11" spans="1:19" hidden="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idden="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idden="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idden="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idden="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idden="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idden="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idden="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idden="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idden="1">
      <c r="A20" s="628"/>
      <c r="B20" s="862"/>
      <c r="C20" s="1134"/>
      <c r="D20" s="1124"/>
      <c r="E20" s="1124"/>
      <c r="F20" s="1124"/>
      <c r="G20" s="1133"/>
      <c r="H20" s="617"/>
      <c r="I20" s="617"/>
      <c r="J20" s="617"/>
      <c r="K20" s="617"/>
      <c r="L20" s="617"/>
      <c r="M20" s="617"/>
      <c r="N20" s="617"/>
      <c r="O20" s="617"/>
      <c r="P20" s="617"/>
      <c r="Q20" s="617"/>
      <c r="R20" s="617"/>
      <c r="S20" s="617"/>
    </row>
    <row r="21" spans="1:19" hidden="1">
      <c r="A21" s="628"/>
      <c r="B21" s="862"/>
      <c r="C21" s="1134"/>
      <c r="D21" s="1124"/>
      <c r="E21" s="1124"/>
      <c r="F21" s="1124"/>
      <c r="G21" s="1133"/>
      <c r="H21" s="590"/>
      <c r="I21" s="617"/>
      <c r="J21" s="590"/>
      <c r="K21" s="617"/>
      <c r="L21" s="590"/>
      <c r="M21" s="617"/>
      <c r="N21" s="590"/>
      <c r="O21" s="617"/>
      <c r="P21" s="590"/>
      <c r="Q21" s="617"/>
      <c r="R21" s="590"/>
      <c r="S21" s="617"/>
    </row>
    <row r="22" spans="1:19" ht="16.5" thickTop="1" thickBot="1">
      <c r="A22" s="628"/>
      <c r="B22" s="1136" t="s">
        <v>613</v>
      </c>
      <c r="C22" s="1134"/>
      <c r="D22" s="1124"/>
      <c r="E22" s="1124"/>
      <c r="F22" s="1124"/>
      <c r="G22" s="1133"/>
      <c r="H22" s="590"/>
      <c r="I22" s="617"/>
      <c r="J22" s="590"/>
      <c r="K22" s="617"/>
      <c r="L22" s="590"/>
      <c r="M22" s="617"/>
      <c r="N22" s="590"/>
      <c r="O22" s="617"/>
      <c r="P22" s="590"/>
      <c r="Q22" s="617"/>
      <c r="R22" s="590"/>
      <c r="S22" s="617"/>
    </row>
    <row r="23" spans="1:19" ht="15.75" thickBot="1">
      <c r="A23" s="1596"/>
      <c r="B23" s="374" t="s">
        <v>512</v>
      </c>
      <c r="C23" s="1134"/>
      <c r="D23" s="1124"/>
      <c r="E23" s="1124"/>
      <c r="F23" s="1124"/>
      <c r="G23" s="1133"/>
      <c r="H23" s="590"/>
      <c r="I23" s="1597"/>
      <c r="J23" s="590"/>
      <c r="K23" s="1597"/>
      <c r="L23" s="590"/>
      <c r="M23" s="1597"/>
      <c r="N23" s="590"/>
      <c r="O23" s="1597"/>
      <c r="P23" s="590"/>
      <c r="Q23" s="1597"/>
      <c r="R23" s="590"/>
      <c r="S23" s="1597"/>
    </row>
    <row r="24" spans="1:19">
      <c r="A24" s="1596"/>
      <c r="B24" s="647" t="s">
        <v>513</v>
      </c>
      <c r="C24" s="1134"/>
      <c r="D24" s="1124"/>
      <c r="E24" s="1124"/>
      <c r="F24" s="1124"/>
      <c r="G24" s="1133"/>
      <c r="H24" s="590"/>
      <c r="I24" s="1597"/>
      <c r="J24" s="590"/>
      <c r="K24" s="1597"/>
      <c r="L24" s="590"/>
      <c r="M24" s="1597"/>
      <c r="N24" s="590"/>
      <c r="O24" s="1597"/>
      <c r="P24" s="590"/>
      <c r="Q24" s="1598"/>
      <c r="R24" s="590"/>
      <c r="S24" s="1598"/>
    </row>
    <row r="25" spans="1:19">
      <c r="A25" s="623"/>
      <c r="B25" s="1575" t="s">
        <v>514</v>
      </c>
      <c r="C25" s="1124"/>
      <c r="D25" s="1124"/>
      <c r="E25" s="1124"/>
      <c r="F25" s="1124"/>
      <c r="G25" s="1133"/>
      <c r="H25" s="590"/>
      <c r="I25" s="1598"/>
      <c r="J25" s="590"/>
      <c r="K25" s="1598"/>
      <c r="L25" s="590"/>
      <c r="M25" s="1598"/>
      <c r="N25" s="590"/>
      <c r="O25" s="1597"/>
      <c r="P25" s="590"/>
      <c r="Q25" s="1597"/>
      <c r="R25" s="590"/>
      <c r="S25" s="1597"/>
    </row>
    <row r="26" spans="1:19">
      <c r="A26" s="1596"/>
      <c r="B26" s="1576" t="s">
        <v>515</v>
      </c>
      <c r="C26" s="1124"/>
      <c r="D26" s="1124"/>
      <c r="E26" s="1124"/>
      <c r="F26" s="1124"/>
      <c r="G26" s="1133"/>
      <c r="H26" s="590"/>
      <c r="I26" s="1598"/>
      <c r="J26" s="590"/>
      <c r="K26" s="1598"/>
      <c r="L26" s="590"/>
      <c r="M26" s="1598"/>
      <c r="N26" s="590"/>
      <c r="O26" s="1597"/>
      <c r="P26" s="590"/>
      <c r="Q26" s="1597"/>
      <c r="R26" s="590"/>
      <c r="S26" s="1597"/>
    </row>
    <row r="27" spans="1:19">
      <c r="A27" s="623"/>
      <c r="B27" s="1576" t="s">
        <v>516</v>
      </c>
      <c r="C27" s="1124"/>
      <c r="D27" s="1124"/>
      <c r="E27" s="1124"/>
      <c r="F27" s="1124"/>
      <c r="G27" s="1133"/>
      <c r="H27" s="590"/>
      <c r="I27" s="1598"/>
      <c r="J27" s="590"/>
      <c r="K27" s="1598"/>
      <c r="L27" s="590"/>
      <c r="M27" s="1598"/>
      <c r="N27" s="590"/>
      <c r="O27" s="1597"/>
      <c r="P27" s="590"/>
      <c r="Q27" s="1597"/>
      <c r="R27" s="590"/>
      <c r="S27" s="1597"/>
    </row>
    <row r="28" spans="1:19">
      <c r="A28" s="1596"/>
      <c r="B28" s="1576" t="s">
        <v>517</v>
      </c>
      <c r="C28" s="1124"/>
      <c r="D28" s="1124"/>
      <c r="E28" s="1124"/>
      <c r="F28" s="1124"/>
      <c r="G28" s="1133"/>
      <c r="H28" s="590"/>
      <c r="I28" s="1598"/>
      <c r="J28" s="590"/>
      <c r="K28" s="1598"/>
      <c r="L28" s="590"/>
      <c r="M28" s="1598"/>
      <c r="N28" s="590"/>
      <c r="O28" s="1597"/>
      <c r="P28" s="590"/>
      <c r="Q28" s="1597"/>
      <c r="R28" s="590"/>
      <c r="S28" s="1597"/>
    </row>
    <row r="29" spans="1:19">
      <c r="A29" s="1596"/>
      <c r="B29" s="1576" t="s">
        <v>518</v>
      </c>
      <c r="C29" s="1124"/>
      <c r="D29" s="1124"/>
      <c r="E29" s="1124"/>
      <c r="F29" s="1124"/>
      <c r="G29" s="1133"/>
      <c r="H29" s="590"/>
      <c r="I29" s="1598"/>
      <c r="J29" s="590"/>
      <c r="K29" s="1598"/>
      <c r="L29" s="590"/>
      <c r="M29" s="1598"/>
      <c r="N29" s="590"/>
      <c r="O29" s="1597"/>
      <c r="P29" s="590"/>
      <c r="Q29" s="1597"/>
      <c r="R29" s="590"/>
      <c r="S29" s="1597"/>
    </row>
    <row r="30" spans="1:19">
      <c r="A30" s="1596"/>
      <c r="B30" s="1576" t="s">
        <v>693</v>
      </c>
      <c r="C30" s="1124"/>
      <c r="D30" s="1124"/>
      <c r="E30" s="1124"/>
      <c r="F30" s="1124"/>
      <c r="G30" s="1133"/>
      <c r="H30" s="590"/>
      <c r="I30" s="1598"/>
      <c r="J30" s="590"/>
      <c r="K30" s="1598"/>
      <c r="L30" s="590"/>
      <c r="M30" s="1598"/>
      <c r="N30" s="590"/>
      <c r="O30" s="1597"/>
      <c r="P30" s="590"/>
      <c r="Q30" s="1597"/>
      <c r="R30" s="590"/>
      <c r="S30" s="1597"/>
    </row>
    <row r="31" spans="1:19">
      <c r="A31" s="1596"/>
      <c r="B31" s="1577" t="s">
        <v>519</v>
      </c>
      <c r="C31" s="1124"/>
      <c r="D31" s="1124"/>
      <c r="E31" s="1124"/>
      <c r="F31" s="1124"/>
      <c r="G31" s="1133"/>
      <c r="H31" s="590"/>
      <c r="I31" s="1598"/>
      <c r="J31" s="590"/>
      <c r="K31" s="1598"/>
      <c r="L31" s="590"/>
      <c r="M31" s="1598"/>
      <c r="N31" s="590"/>
      <c r="O31" s="1597"/>
      <c r="P31" s="590"/>
      <c r="Q31" s="1597"/>
      <c r="R31" s="590"/>
      <c r="S31" s="1597"/>
    </row>
    <row r="32" spans="1:19">
      <c r="A32" s="1596"/>
      <c r="B32" s="1609" t="s">
        <v>520</v>
      </c>
      <c r="C32" s="1145"/>
      <c r="D32" s="1145"/>
      <c r="E32" s="1145"/>
      <c r="F32" s="1145"/>
      <c r="G32" s="1599"/>
      <c r="H32" s="619"/>
      <c r="I32" s="1579"/>
      <c r="J32" s="619"/>
      <c r="K32" s="1579"/>
      <c r="L32" s="619"/>
      <c r="M32" s="1579"/>
      <c r="N32" s="619"/>
      <c r="O32" s="1580"/>
      <c r="P32" s="619"/>
      <c r="Q32" s="1580"/>
      <c r="R32" s="619"/>
      <c r="S32" s="1580"/>
    </row>
    <row r="33" spans="1:19">
      <c r="A33" s="1596"/>
      <c r="B33" s="1610"/>
      <c r="C33" s="1124"/>
      <c r="D33" s="1124"/>
      <c r="E33" s="1124"/>
      <c r="F33" s="1124"/>
      <c r="G33" s="1133"/>
      <c r="H33" s="590"/>
      <c r="I33" s="1598"/>
      <c r="J33" s="590"/>
      <c r="K33" s="1598"/>
      <c r="L33" s="590"/>
      <c r="M33" s="1598"/>
      <c r="N33" s="590"/>
      <c r="O33" s="1597"/>
      <c r="P33" s="590"/>
      <c r="Q33" s="1597"/>
      <c r="R33" s="590"/>
      <c r="S33" s="1597"/>
    </row>
    <row r="34" spans="1:19">
      <c r="A34" s="1596"/>
      <c r="B34" s="1611" t="s">
        <v>694</v>
      </c>
      <c r="C34" s="1216"/>
      <c r="D34" s="1216"/>
      <c r="E34" s="1216"/>
      <c r="F34" s="1216"/>
      <c r="G34" s="1218"/>
      <c r="H34" s="620"/>
      <c r="I34" s="1601"/>
      <c r="J34" s="620"/>
      <c r="K34" s="1601"/>
      <c r="L34" s="620"/>
      <c r="M34" s="1601"/>
      <c r="N34" s="620"/>
      <c r="O34" s="1602"/>
      <c r="P34" s="620"/>
      <c r="Q34" s="1602"/>
      <c r="R34" s="620"/>
      <c r="S34" s="1602"/>
    </row>
    <row r="35" spans="1:19">
      <c r="A35" s="1596"/>
      <c r="B35" s="1610"/>
      <c r="C35" s="1124"/>
      <c r="D35" s="1124"/>
      <c r="E35" s="1124"/>
      <c r="F35" s="1124"/>
      <c r="G35" s="1133"/>
      <c r="H35" s="590"/>
      <c r="I35" s="1598"/>
      <c r="J35" s="590"/>
      <c r="K35" s="1598"/>
      <c r="L35" s="590"/>
      <c r="M35" s="1598"/>
      <c r="N35" s="590"/>
      <c r="O35" s="1597"/>
      <c r="P35" s="590"/>
      <c r="Q35" s="1597"/>
      <c r="R35" s="590"/>
      <c r="S35" s="1597"/>
    </row>
    <row r="36" spans="1:19">
      <c r="A36" s="1596"/>
      <c r="B36" s="1612" t="s">
        <v>695</v>
      </c>
      <c r="C36" s="1223"/>
      <c r="D36" s="1223"/>
      <c r="E36" s="1223"/>
      <c r="F36" s="1223"/>
      <c r="G36" s="1225"/>
      <c r="H36" s="621"/>
      <c r="I36" s="1604"/>
      <c r="J36" s="621"/>
      <c r="K36" s="1604"/>
      <c r="L36" s="621"/>
      <c r="M36" s="1604"/>
      <c r="N36" s="621"/>
      <c r="O36" s="1605"/>
      <c r="P36" s="621"/>
      <c r="Q36" s="1605"/>
      <c r="R36" s="621"/>
      <c r="S36" s="1605"/>
    </row>
    <row r="37" spans="1:19">
      <c r="A37" s="1596"/>
      <c r="B37" s="467" t="s">
        <v>844</v>
      </c>
      <c r="C37" s="1613" t="s">
        <v>697</v>
      </c>
      <c r="D37" s="1614">
        <f>'Cost Summary'!$J$7</f>
        <v>663</v>
      </c>
      <c r="E37" s="1614" t="s">
        <v>723</v>
      </c>
      <c r="F37" s="1615">
        <v>2.5</v>
      </c>
      <c r="G37" s="1616">
        <f>D37*F37</f>
        <v>1657.5</v>
      </c>
      <c r="H37" s="590"/>
      <c r="I37" s="1616">
        <f>G37</f>
        <v>1657.5</v>
      </c>
      <c r="J37" s="590"/>
      <c r="K37" s="1598"/>
      <c r="L37" s="590"/>
      <c r="M37" s="1598"/>
      <c r="N37" s="590"/>
      <c r="O37" s="1597"/>
      <c r="P37" s="590"/>
      <c r="Q37" s="1597"/>
      <c r="R37" s="590"/>
      <c r="S37" s="1597"/>
    </row>
    <row r="38" spans="1:19">
      <c r="A38" s="1596"/>
      <c r="B38" s="1610" t="s">
        <v>845</v>
      </c>
      <c r="C38" s="1124" t="s">
        <v>697</v>
      </c>
      <c r="D38" s="1124">
        <f>D37</f>
        <v>663</v>
      </c>
      <c r="E38" s="1124" t="s">
        <v>723</v>
      </c>
      <c r="F38" s="1615">
        <v>1.5</v>
      </c>
      <c r="G38" s="1616">
        <f>D38*F38</f>
        <v>994.5</v>
      </c>
      <c r="H38" s="590"/>
      <c r="I38" s="1616">
        <f>G38</f>
        <v>994.5</v>
      </c>
      <c r="J38" s="590"/>
      <c r="K38" s="1598"/>
      <c r="L38" s="590"/>
      <c r="M38" s="1598"/>
      <c r="N38" s="590"/>
      <c r="O38" s="1597"/>
      <c r="P38" s="590"/>
      <c r="Q38" s="1597"/>
      <c r="R38" s="590"/>
      <c r="S38" s="1597"/>
    </row>
    <row r="39" spans="1:19">
      <c r="A39" s="1596"/>
      <c r="B39" s="1617" t="s">
        <v>846</v>
      </c>
      <c r="C39" s="1124"/>
      <c r="D39" s="1124">
        <f>'Cost Summary'!$J$8*4.3*0.05</f>
        <v>2.15</v>
      </c>
      <c r="E39" s="1124"/>
      <c r="F39" s="1615">
        <f>'Labor Rates Calculator'!$G$29*40</f>
        <v>2124.6254570228484</v>
      </c>
      <c r="G39" s="1616">
        <f t="shared" ref="G39" si="0">D39*F39</f>
        <v>4567.9447325991241</v>
      </c>
      <c r="H39" s="590"/>
      <c r="I39" s="1616">
        <f t="shared" ref="I39" si="1">G39</f>
        <v>4567.9447325991241</v>
      </c>
      <c r="J39" s="590"/>
      <c r="K39" s="1598"/>
      <c r="L39" s="590"/>
      <c r="M39" s="1598"/>
      <c r="N39" s="590"/>
      <c r="O39" s="1597"/>
      <c r="P39" s="590"/>
      <c r="Q39" s="1597"/>
      <c r="R39" s="590"/>
      <c r="S39" s="1597"/>
    </row>
    <row r="40" spans="1:19">
      <c r="A40" s="1596"/>
      <c r="B40" s="1610"/>
      <c r="C40" s="1124"/>
      <c r="D40" s="1124"/>
      <c r="E40" s="1124"/>
      <c r="F40" s="1124"/>
      <c r="G40" s="1616"/>
      <c r="H40" s="590"/>
      <c r="I40" s="1616"/>
      <c r="J40" s="590"/>
      <c r="K40" s="1598"/>
      <c r="L40" s="590"/>
      <c r="M40" s="1598"/>
      <c r="N40" s="590"/>
      <c r="O40" s="1597"/>
      <c r="P40" s="590"/>
      <c r="Q40" s="1597"/>
      <c r="R40" s="590"/>
      <c r="S40" s="1597"/>
    </row>
    <row r="41" spans="1:19">
      <c r="A41" s="1596"/>
      <c r="B41" s="1611" t="s">
        <v>649</v>
      </c>
      <c r="C41" s="1216"/>
      <c r="D41" s="1216"/>
      <c r="E41" s="1216"/>
      <c r="F41" s="1216"/>
      <c r="G41" s="1218"/>
      <c r="H41" s="620"/>
      <c r="I41" s="1601"/>
      <c r="J41" s="620"/>
      <c r="K41" s="1601"/>
      <c r="L41" s="620"/>
      <c r="M41" s="1601"/>
      <c r="N41" s="620"/>
      <c r="O41" s="1602"/>
      <c r="P41" s="620"/>
      <c r="Q41" s="1602"/>
      <c r="R41" s="620"/>
      <c r="S41" s="1602"/>
    </row>
    <row r="42" spans="1:19">
      <c r="A42" s="1596"/>
      <c r="B42" s="1610"/>
      <c r="C42" s="1124"/>
      <c r="D42" s="1124"/>
      <c r="E42" s="1124"/>
      <c r="F42" s="1124"/>
      <c r="G42" s="1133"/>
      <c r="H42" s="590"/>
      <c r="I42" s="1598"/>
      <c r="J42" s="590"/>
      <c r="K42" s="1598"/>
      <c r="L42" s="590"/>
      <c r="M42" s="1598"/>
      <c r="N42" s="590"/>
      <c r="O42" s="1597"/>
      <c r="P42" s="590"/>
      <c r="Q42" s="1597"/>
      <c r="R42" s="590"/>
      <c r="S42" s="1597"/>
    </row>
    <row r="43" spans="1:19">
      <c r="A43" s="1596"/>
      <c r="B43" s="1612" t="s">
        <v>700</v>
      </c>
      <c r="C43" s="1223"/>
      <c r="D43" s="1223"/>
      <c r="E43" s="1223"/>
      <c r="F43" s="1223"/>
      <c r="G43" s="1225"/>
      <c r="H43" s="621"/>
      <c r="I43" s="1604"/>
      <c r="J43" s="621"/>
      <c r="K43" s="1604"/>
      <c r="L43" s="621"/>
      <c r="M43" s="1604"/>
      <c r="N43" s="621"/>
      <c r="O43" s="1605"/>
      <c r="P43" s="621"/>
      <c r="Q43" s="1605"/>
      <c r="R43" s="621"/>
      <c r="S43" s="1605"/>
    </row>
    <row r="44" spans="1:19">
      <c r="A44" s="1596"/>
      <c r="B44" s="467" t="s">
        <v>844</v>
      </c>
      <c r="C44" s="1613" t="s">
        <v>702</v>
      </c>
      <c r="D44" s="1614">
        <f>'Cost Summary'!$N$7</f>
        <v>11678</v>
      </c>
      <c r="E44" s="1614" t="s">
        <v>723</v>
      </c>
      <c r="F44" s="1615">
        <v>8</v>
      </c>
      <c r="G44" s="1616">
        <f>D44*F44</f>
        <v>93424</v>
      </c>
      <c r="H44" s="590"/>
      <c r="I44" s="1616">
        <f>G44</f>
        <v>93424</v>
      </c>
      <c r="J44" s="590"/>
      <c r="K44" s="1598"/>
      <c r="L44" s="590"/>
      <c r="M44" s="1598"/>
      <c r="N44" s="590"/>
      <c r="O44" s="1597"/>
      <c r="P44" s="590"/>
      <c r="Q44" s="1597"/>
      <c r="R44" s="590"/>
      <c r="S44" s="1597"/>
    </row>
    <row r="45" spans="1:19">
      <c r="A45" s="1596"/>
      <c r="B45" s="1610" t="s">
        <v>845</v>
      </c>
      <c r="C45" s="1124" t="s">
        <v>702</v>
      </c>
      <c r="D45" s="1124">
        <f>D44</f>
        <v>11678</v>
      </c>
      <c r="E45" s="1124" t="s">
        <v>723</v>
      </c>
      <c r="F45" s="1615">
        <v>1.5</v>
      </c>
      <c r="G45" s="1616">
        <f>D45*F45</f>
        <v>17517</v>
      </c>
      <c r="H45" s="590"/>
      <c r="I45" s="1616">
        <f>G45</f>
        <v>17517</v>
      </c>
      <c r="J45" s="590"/>
      <c r="K45" s="1598"/>
      <c r="L45" s="590"/>
      <c r="M45" s="1598"/>
      <c r="N45" s="590"/>
      <c r="O45" s="1597"/>
      <c r="P45" s="590"/>
      <c r="Q45" s="1597"/>
      <c r="R45" s="590"/>
      <c r="S45" s="1597"/>
    </row>
    <row r="46" spans="1:19">
      <c r="A46" s="1596"/>
      <c r="B46" s="1617" t="s">
        <v>846</v>
      </c>
      <c r="C46" s="1124"/>
      <c r="D46" s="1124">
        <f>'Cost Summary'!$N$8*4.3*0.5</f>
        <v>30.099999999999998</v>
      </c>
      <c r="E46" s="1124"/>
      <c r="F46" s="1615">
        <f>'Labor Rates Calculator'!$G$29*40</f>
        <v>2124.6254570228484</v>
      </c>
      <c r="G46" s="1616">
        <f t="shared" ref="G46" si="2">D46*F46</f>
        <v>63951.22625638773</v>
      </c>
      <c r="H46" s="590"/>
      <c r="I46" s="1616">
        <f t="shared" ref="I46" si="3">G46</f>
        <v>63951.22625638773</v>
      </c>
      <c r="J46" s="590"/>
      <c r="K46" s="1598"/>
      <c r="L46" s="590"/>
      <c r="M46" s="1598"/>
      <c r="N46" s="590"/>
      <c r="O46" s="1597"/>
      <c r="P46" s="590"/>
      <c r="Q46" s="1597"/>
      <c r="R46" s="590"/>
      <c r="S46" s="1597"/>
    </row>
    <row r="47" spans="1:19">
      <c r="A47" s="1596"/>
      <c r="B47" s="1610"/>
      <c r="C47" s="1124"/>
      <c r="D47" s="1124"/>
      <c r="E47" s="1124"/>
      <c r="F47" s="1124"/>
      <c r="G47" s="1133"/>
      <c r="H47" s="590"/>
      <c r="I47" s="1598"/>
      <c r="J47" s="590"/>
      <c r="K47" s="1598"/>
      <c r="L47" s="590"/>
      <c r="M47" s="1598"/>
      <c r="N47" s="590"/>
      <c r="O47" s="1597"/>
      <c r="P47" s="590"/>
      <c r="Q47" s="1597"/>
      <c r="R47" s="590"/>
      <c r="S47" s="1597"/>
    </row>
    <row r="48" spans="1:19">
      <c r="A48" s="1596"/>
      <c r="B48" s="1611" t="s">
        <v>703</v>
      </c>
      <c r="C48" s="1216"/>
      <c r="D48" s="1216"/>
      <c r="E48" s="1216"/>
      <c r="F48" s="1216"/>
      <c r="G48" s="1218"/>
      <c r="H48" s="620"/>
      <c r="I48" s="1601"/>
      <c r="J48" s="620"/>
      <c r="K48" s="1601"/>
      <c r="L48" s="620"/>
      <c r="M48" s="1601"/>
      <c r="N48" s="620"/>
      <c r="O48" s="1602"/>
      <c r="P48" s="620"/>
      <c r="Q48" s="1602"/>
      <c r="R48" s="620"/>
      <c r="S48" s="1602"/>
    </row>
    <row r="49" spans="1:19">
      <c r="A49" s="1596"/>
      <c r="B49" s="1610"/>
      <c r="C49" s="1124"/>
      <c r="D49" s="1124"/>
      <c r="E49" s="1124"/>
      <c r="F49" s="1124"/>
      <c r="G49" s="1133"/>
      <c r="H49" s="590"/>
      <c r="I49" s="1598"/>
      <c r="J49" s="590"/>
      <c r="K49" s="1598"/>
      <c r="L49" s="590"/>
      <c r="M49" s="1598"/>
      <c r="N49" s="590"/>
      <c r="O49" s="1597"/>
      <c r="P49" s="590"/>
      <c r="Q49" s="1597"/>
      <c r="R49" s="590"/>
      <c r="S49" s="1597"/>
    </row>
    <row r="50" spans="1:19">
      <c r="A50" s="1596"/>
      <c r="B50" s="1612" t="s">
        <v>704</v>
      </c>
      <c r="C50" s="1223"/>
      <c r="D50" s="1223"/>
      <c r="E50" s="1223"/>
      <c r="F50" s="1223"/>
      <c r="G50" s="1225"/>
      <c r="H50" s="621"/>
      <c r="I50" s="1604"/>
      <c r="J50" s="621"/>
      <c r="K50" s="1604"/>
      <c r="L50" s="621"/>
      <c r="M50" s="1604"/>
      <c r="N50" s="621"/>
      <c r="O50" s="1605"/>
      <c r="P50" s="621"/>
      <c r="Q50" s="1605"/>
      <c r="R50" s="621"/>
      <c r="S50" s="1605"/>
    </row>
    <row r="51" spans="1:19">
      <c r="A51" s="1596"/>
      <c r="B51" s="467" t="s">
        <v>844</v>
      </c>
      <c r="C51" s="1613" t="s">
        <v>702</v>
      </c>
      <c r="D51" s="1614">
        <f>'Cost Summary'!$R$7</f>
        <v>11225</v>
      </c>
      <c r="E51" s="1614" t="s">
        <v>723</v>
      </c>
      <c r="F51" s="1615">
        <v>8</v>
      </c>
      <c r="G51" s="1616">
        <f>D51*F51</f>
        <v>89800</v>
      </c>
      <c r="H51" s="590"/>
      <c r="I51" s="1616">
        <f>G51</f>
        <v>89800</v>
      </c>
      <c r="J51" s="590"/>
      <c r="K51" s="1598"/>
      <c r="L51" s="590"/>
      <c r="M51" s="1598"/>
      <c r="N51" s="590"/>
      <c r="O51" s="1597"/>
      <c r="P51" s="590"/>
      <c r="Q51" s="1597"/>
      <c r="R51" s="590"/>
      <c r="S51" s="1597"/>
    </row>
    <row r="52" spans="1:19">
      <c r="A52" s="1596"/>
      <c r="B52" s="1610" t="s">
        <v>845</v>
      </c>
      <c r="C52" s="1124" t="s">
        <v>702</v>
      </c>
      <c r="D52" s="1124">
        <f>D51</f>
        <v>11225</v>
      </c>
      <c r="E52" s="1124" t="s">
        <v>723</v>
      </c>
      <c r="F52" s="1615">
        <v>1.5</v>
      </c>
      <c r="G52" s="1616">
        <f>D52*F52</f>
        <v>16837.5</v>
      </c>
      <c r="H52" s="590"/>
      <c r="I52" s="1616">
        <f>G52</f>
        <v>16837.5</v>
      </c>
      <c r="J52" s="590"/>
      <c r="K52" s="1598"/>
      <c r="L52" s="590"/>
      <c r="M52" s="1598"/>
      <c r="N52" s="590"/>
      <c r="O52" s="1597"/>
      <c r="P52" s="590"/>
      <c r="Q52" s="1597"/>
      <c r="R52" s="590"/>
      <c r="S52" s="1597"/>
    </row>
    <row r="53" spans="1:19">
      <c r="A53" s="1596"/>
      <c r="B53" s="1617" t="s">
        <v>846</v>
      </c>
      <c r="C53" s="1124"/>
      <c r="D53" s="1124">
        <f>'Cost Summary'!$R$8*4.3*0.5</f>
        <v>25.799999999999997</v>
      </c>
      <c r="E53" s="1124"/>
      <c r="F53" s="1615">
        <f>'Labor Rates Calculator'!$G$29*40</f>
        <v>2124.6254570228484</v>
      </c>
      <c r="G53" s="1616">
        <f t="shared" ref="G53" si="4">D53*F53</f>
        <v>54815.336791189482</v>
      </c>
      <c r="H53" s="590"/>
      <c r="I53" s="1616">
        <f t="shared" ref="I53" si="5">G53</f>
        <v>54815.336791189482</v>
      </c>
      <c r="J53" s="590"/>
      <c r="K53" s="1598"/>
      <c r="L53" s="590"/>
      <c r="M53" s="1598"/>
      <c r="N53" s="590"/>
      <c r="O53" s="1597"/>
      <c r="P53" s="590"/>
      <c r="Q53" s="1597"/>
      <c r="R53" s="590"/>
      <c r="S53" s="1597"/>
    </row>
    <row r="54" spans="1:19">
      <c r="A54" s="1596"/>
      <c r="B54" s="1618" t="s">
        <v>847</v>
      </c>
      <c r="C54" s="1124"/>
      <c r="D54" s="1124">
        <f>'02A Demolition'!$D$49</f>
        <v>25</v>
      </c>
      <c r="E54" s="1124" t="s">
        <v>116</v>
      </c>
      <c r="F54" s="1615">
        <v>200</v>
      </c>
      <c r="G54" s="1616">
        <f t="shared" ref="G54" si="6">D54*F54</f>
        <v>5000</v>
      </c>
      <c r="H54" s="590"/>
      <c r="I54" s="1616">
        <f t="shared" ref="I54" si="7">G54</f>
        <v>5000</v>
      </c>
      <c r="J54" s="590"/>
      <c r="K54" s="1598"/>
      <c r="L54" s="590"/>
      <c r="M54" s="1598"/>
      <c r="N54" s="590"/>
      <c r="O54" s="1597"/>
      <c r="P54" s="590"/>
      <c r="Q54" s="1597"/>
      <c r="R54" s="590"/>
      <c r="S54" s="1597"/>
    </row>
    <row r="55" spans="1:19">
      <c r="A55" s="1596"/>
      <c r="B55" s="1610"/>
      <c r="C55" s="1124"/>
      <c r="D55" s="1124"/>
      <c r="E55" s="1124"/>
      <c r="F55" s="1124"/>
      <c r="G55" s="1133"/>
      <c r="H55" s="590"/>
      <c r="I55" s="1598"/>
      <c r="J55" s="590"/>
      <c r="K55" s="1598"/>
      <c r="L55" s="590"/>
      <c r="M55" s="1598"/>
      <c r="N55" s="590"/>
      <c r="O55" s="1597"/>
      <c r="P55" s="590"/>
      <c r="Q55" s="1597"/>
      <c r="R55" s="590"/>
      <c r="S55" s="1597"/>
    </row>
    <row r="56" spans="1:19">
      <c r="A56" s="1596"/>
      <c r="B56" s="1611" t="s">
        <v>705</v>
      </c>
      <c r="C56" s="1216"/>
      <c r="D56" s="1216"/>
      <c r="E56" s="1216"/>
      <c r="F56" s="1216"/>
      <c r="G56" s="1218"/>
      <c r="H56" s="620"/>
      <c r="I56" s="1601"/>
      <c r="J56" s="620"/>
      <c r="K56" s="1601"/>
      <c r="L56" s="620"/>
      <c r="M56" s="1601"/>
      <c r="N56" s="620"/>
      <c r="O56" s="1602"/>
      <c r="P56" s="620"/>
      <c r="Q56" s="1602"/>
      <c r="R56" s="620"/>
      <c r="S56" s="1602"/>
    </row>
    <row r="57" spans="1:19">
      <c r="A57" s="1596"/>
      <c r="B57" s="1610"/>
      <c r="C57" s="1124"/>
      <c r="D57" s="1124"/>
      <c r="E57" s="1124"/>
      <c r="F57" s="1124"/>
      <c r="G57" s="1133"/>
      <c r="H57" s="590"/>
      <c r="I57" s="1598"/>
      <c r="J57" s="590"/>
      <c r="K57" s="1598"/>
      <c r="L57" s="590"/>
      <c r="M57" s="1598"/>
      <c r="N57" s="590"/>
      <c r="O57" s="1597"/>
      <c r="P57" s="590"/>
      <c r="Q57" s="1597"/>
      <c r="R57" s="590"/>
      <c r="S57" s="1597"/>
    </row>
    <row r="58" spans="1:19">
      <c r="A58" s="1596"/>
      <c r="B58" s="1612" t="s">
        <v>602</v>
      </c>
      <c r="C58" s="1223"/>
      <c r="D58" s="1223"/>
      <c r="E58" s="1223"/>
      <c r="F58" s="1223"/>
      <c r="G58" s="1225"/>
      <c r="H58" s="621"/>
      <c r="I58" s="1604"/>
      <c r="J58" s="621"/>
      <c r="K58" s="1604"/>
      <c r="L58" s="621"/>
      <c r="M58" s="1604"/>
      <c r="N58" s="621"/>
      <c r="O58" s="1605"/>
      <c r="P58" s="621"/>
      <c r="Q58" s="1605"/>
      <c r="R58" s="621"/>
      <c r="S58" s="1605"/>
    </row>
    <row r="59" spans="1:19">
      <c r="A59" s="1596"/>
      <c r="B59" s="1610"/>
      <c r="C59" s="1124"/>
      <c r="D59" s="1124"/>
      <c r="E59" s="1124"/>
      <c r="F59" s="1124"/>
      <c r="G59" s="1133"/>
      <c r="H59" s="590"/>
      <c r="I59" s="1598"/>
      <c r="J59" s="590"/>
      <c r="K59" s="1598"/>
      <c r="L59" s="590"/>
      <c r="M59" s="1598"/>
      <c r="N59" s="590"/>
      <c r="O59" s="1597"/>
      <c r="P59" s="590"/>
      <c r="Q59" s="1597"/>
      <c r="R59" s="590"/>
      <c r="S59" s="1597"/>
    </row>
    <row r="60" spans="1:19">
      <c r="A60" s="1596"/>
      <c r="B60" s="1610"/>
      <c r="C60" s="1124"/>
      <c r="D60" s="1124"/>
      <c r="E60" s="1124"/>
      <c r="F60" s="1124"/>
      <c r="G60" s="1133"/>
      <c r="H60" s="590"/>
      <c r="I60" s="1598"/>
      <c r="J60" s="590"/>
      <c r="K60" s="1598"/>
      <c r="L60" s="590"/>
      <c r="M60" s="1598"/>
      <c r="N60" s="590"/>
      <c r="O60" s="1597"/>
      <c r="P60" s="590"/>
      <c r="Q60" s="1597"/>
      <c r="R60" s="590"/>
      <c r="S60" s="1597"/>
    </row>
    <row r="61" spans="1:19">
      <c r="A61" s="1596"/>
      <c r="B61" s="1584"/>
      <c r="C61" s="1124"/>
      <c r="D61" s="1124"/>
      <c r="E61" s="1124"/>
      <c r="F61" s="1124"/>
      <c r="G61" s="1133"/>
      <c r="H61" s="590"/>
      <c r="I61" s="1598"/>
      <c r="J61" s="590"/>
      <c r="K61" s="1598"/>
      <c r="L61" s="590"/>
      <c r="M61" s="1598"/>
      <c r="N61" s="590"/>
      <c r="O61" s="1598"/>
      <c r="P61" s="590"/>
      <c r="Q61" s="1598"/>
      <c r="R61" s="590"/>
      <c r="S61" s="1597"/>
    </row>
    <row r="62" spans="1:19" ht="15.75" thickBot="1">
      <c r="A62" s="623"/>
      <c r="B62" s="1584"/>
      <c r="C62" s="184"/>
      <c r="D62" s="184"/>
      <c r="E62" s="184"/>
      <c r="F62" s="184"/>
      <c r="G62" s="296"/>
      <c r="H62" s="590"/>
      <c r="I62" s="1585"/>
      <c r="J62" s="590"/>
      <c r="K62" s="1598"/>
      <c r="L62" s="590"/>
      <c r="M62" s="1598"/>
      <c r="N62" s="590"/>
      <c r="O62" s="1598"/>
      <c r="P62" s="590"/>
      <c r="Q62" s="1597"/>
      <c r="R62" s="590"/>
      <c r="S62" s="1597"/>
    </row>
    <row r="63" spans="1:19" ht="15.75" thickTop="1">
      <c r="A63" s="14"/>
      <c r="B63" s="15"/>
      <c r="C63" s="16"/>
      <c r="D63" s="16"/>
      <c r="E63" s="17"/>
      <c r="F63" s="18" t="s">
        <v>567</v>
      </c>
      <c r="G63" s="19"/>
      <c r="H63" s="20"/>
      <c r="I63" s="61">
        <f>SUM(I24:I62)</f>
        <v>348565.00778017635</v>
      </c>
      <c r="J63" s="20"/>
      <c r="K63" s="61">
        <f>SUM(K24:K62)</f>
        <v>0</v>
      </c>
      <c r="L63" s="20"/>
      <c r="M63" s="61">
        <f>SUM(M23:M62)</f>
        <v>0</v>
      </c>
      <c r="N63" s="20"/>
      <c r="O63" s="61">
        <f>SUM(O23:O62)</f>
        <v>0</v>
      </c>
      <c r="P63" s="20"/>
      <c r="Q63" s="61">
        <f>SUM(Q24:Q62)</f>
        <v>0</v>
      </c>
      <c r="R63" s="20"/>
      <c r="S63" s="61">
        <f>SUM(S24:S62)</f>
        <v>0</v>
      </c>
    </row>
    <row r="64" spans="1:19">
      <c r="A64" s="624"/>
      <c r="B64" s="1156"/>
      <c r="C64" s="1157"/>
      <c r="D64" s="1157"/>
      <c r="E64" s="1158"/>
      <c r="F64" s="1159" t="s">
        <v>568</v>
      </c>
      <c r="G64" s="1160"/>
      <c r="H64" s="593">
        <v>0</v>
      </c>
      <c r="I64" s="592"/>
      <c r="J64" s="593">
        <v>0</v>
      </c>
      <c r="K64" s="592"/>
      <c r="L64" s="593">
        <v>0</v>
      </c>
      <c r="M64" s="592"/>
      <c r="N64" s="593">
        <v>0</v>
      </c>
      <c r="O64" s="592"/>
      <c r="P64" s="593">
        <v>0</v>
      </c>
      <c r="Q64" s="592"/>
      <c r="R64" s="593">
        <v>0</v>
      </c>
      <c r="S64" s="592"/>
    </row>
    <row r="65" spans="1:34">
      <c r="A65" s="624"/>
      <c r="B65" s="1156"/>
      <c r="C65" s="1157"/>
      <c r="D65" s="1157"/>
      <c r="E65" s="1158"/>
      <c r="F65" s="1159" t="s">
        <v>569</v>
      </c>
      <c r="G65" s="1160"/>
      <c r="H65" s="594"/>
      <c r="I65" s="595">
        <f>H64*$I$63</f>
        <v>0</v>
      </c>
      <c r="J65" s="594"/>
      <c r="K65" s="595">
        <f>J64*$K$63</f>
        <v>0</v>
      </c>
      <c r="L65" s="594"/>
      <c r="M65" s="595">
        <f>L64*$M$63</f>
        <v>0</v>
      </c>
      <c r="N65" s="594"/>
      <c r="O65" s="595">
        <f>N64*$O$63</f>
        <v>0</v>
      </c>
      <c r="P65" s="594"/>
      <c r="Q65" s="595">
        <f>P64*$Q$63</f>
        <v>0</v>
      </c>
      <c r="R65" s="594"/>
      <c r="S65" s="595">
        <f>R64*S63</f>
        <v>0</v>
      </c>
    </row>
    <row r="66" spans="1:34">
      <c r="A66" s="624"/>
      <c r="B66" s="1156"/>
      <c r="C66" s="1157"/>
      <c r="D66" s="1157"/>
      <c r="E66" s="1158"/>
      <c r="F66" s="1159"/>
      <c r="G66" s="1160"/>
      <c r="H66" s="1458"/>
      <c r="I66" s="595"/>
      <c r="J66" s="594"/>
      <c r="K66" s="596"/>
      <c r="L66" s="594"/>
      <c r="M66" s="596"/>
      <c r="N66" s="594"/>
      <c r="O66" s="596"/>
      <c r="P66" s="594"/>
      <c r="Q66" s="596"/>
      <c r="R66" s="594"/>
      <c r="S66" s="596"/>
    </row>
    <row r="67" spans="1:34">
      <c r="A67" s="624"/>
      <c r="B67" s="1156"/>
      <c r="C67" s="1157"/>
      <c r="D67" s="1157"/>
      <c r="E67" s="1158"/>
      <c r="F67" s="1159" t="s">
        <v>570</v>
      </c>
      <c r="G67" s="1160"/>
      <c r="H67" s="597"/>
      <c r="I67" s="595">
        <f>SUM(I63:I66)</f>
        <v>348565.00778017635</v>
      </c>
      <c r="J67" s="597"/>
      <c r="K67" s="598">
        <f>SUM(K63:K65)</f>
        <v>0</v>
      </c>
      <c r="L67" s="597"/>
      <c r="M67" s="598">
        <f>SUM(M63:M65)</f>
        <v>0</v>
      </c>
      <c r="N67" s="597"/>
      <c r="O67" s="598">
        <f>SUM(O63:O65)</f>
        <v>0</v>
      </c>
      <c r="P67" s="597"/>
      <c r="Q67" s="598">
        <f>SUM(Q63:Q65)</f>
        <v>0</v>
      </c>
      <c r="R67" s="597"/>
      <c r="S67" s="598">
        <f>SUM(S63:S65)</f>
        <v>0</v>
      </c>
    </row>
    <row r="68" spans="1:34">
      <c r="A68" s="624"/>
      <c r="B68" s="1156"/>
      <c r="C68" s="1157"/>
      <c r="D68" s="1157"/>
      <c r="E68" s="1158"/>
      <c r="F68" s="1161" t="s">
        <v>571</v>
      </c>
      <c r="G68" s="1162"/>
      <c r="H68" s="599"/>
      <c r="I68" s="600" t="e">
        <f>I67/'Area Calculations'!$J$4</f>
        <v>#DIV/0!</v>
      </c>
      <c r="J68" s="599"/>
      <c r="K68" s="600" t="e">
        <f>K67/'Area Calculations'!$J$4</f>
        <v>#DIV/0!</v>
      </c>
      <c r="L68" s="599"/>
      <c r="M68" s="600" t="e">
        <f>M67/'Area Calculations'!$J$4</f>
        <v>#DIV/0!</v>
      </c>
      <c r="N68" s="599"/>
      <c r="O68" s="600" t="e">
        <f>O67/'Area Calculations'!$J$4</f>
        <v>#DIV/0!</v>
      </c>
      <c r="P68" s="599"/>
      <c r="Q68" s="600" t="e">
        <f>Q67/'Area Calculations'!$J$4</f>
        <v>#DIV/0!</v>
      </c>
      <c r="R68" s="599"/>
      <c r="S68" s="600" t="e">
        <f>S67/'Area Calculations'!$J$4</f>
        <v>#DIV/0!</v>
      </c>
    </row>
    <row r="69" spans="1:34">
      <c r="A69" s="624"/>
      <c r="B69" s="1156"/>
      <c r="C69" s="1157"/>
      <c r="D69" s="1157"/>
      <c r="E69" s="1158"/>
      <c r="F69" s="1161" t="s">
        <v>572</v>
      </c>
      <c r="G69" s="1163"/>
      <c r="H69" s="599"/>
      <c r="I69" s="600" t="e">
        <f>I67/'Area Calculations'!#REF!</f>
        <v>#REF!</v>
      </c>
      <c r="J69" s="599"/>
      <c r="K69" s="600" t="e">
        <f>K67/'Area Calculations'!#REF!</f>
        <v>#REF!</v>
      </c>
      <c r="L69" s="599"/>
      <c r="M69" s="600" t="e">
        <f>M67/'Area Calculations'!#REF!</f>
        <v>#REF!</v>
      </c>
      <c r="N69" s="599"/>
      <c r="O69" s="600" t="e">
        <f>O67/'Area Calculations'!#REF!</f>
        <v>#REF!</v>
      </c>
      <c r="P69" s="599"/>
      <c r="Q69" s="600" t="e">
        <f>Q67/'Area Calculations'!#REF!</f>
        <v>#REF!</v>
      </c>
      <c r="R69" s="599"/>
      <c r="S69" s="600" t="e">
        <f>S67/'Area Calculations'!#REF!</f>
        <v>#REF!</v>
      </c>
    </row>
    <row r="70" spans="1:34" ht="15.75" thickBot="1">
      <c r="A70" s="624"/>
      <c r="B70" s="1156"/>
      <c r="C70" s="1157"/>
      <c r="D70" s="1157"/>
      <c r="E70" s="1158"/>
      <c r="F70" s="1159"/>
      <c r="G70" s="1533"/>
      <c r="H70" s="601"/>
      <c r="I70" s="602"/>
      <c r="J70" s="603"/>
      <c r="K70" s="603"/>
      <c r="L70" s="603"/>
      <c r="M70" s="603"/>
      <c r="N70" s="603"/>
      <c r="O70" s="603"/>
      <c r="P70" s="603"/>
      <c r="Q70" s="603"/>
      <c r="R70" s="603"/>
      <c r="S70" s="603"/>
    </row>
    <row r="71" spans="1:34" ht="16.5" thickTop="1" thickBot="1">
      <c r="A71" s="726" t="s">
        <v>573</v>
      </c>
      <c r="B71" s="727"/>
      <c r="C71" s="12"/>
      <c r="D71" s="12"/>
      <c r="E71" s="12"/>
      <c r="F71" s="12"/>
      <c r="G71" s="13"/>
      <c r="H71" s="21"/>
      <c r="I71" s="21"/>
      <c r="J71" s="21"/>
      <c r="K71" s="21"/>
      <c r="L71" s="21"/>
      <c r="M71" s="21"/>
      <c r="N71" s="21"/>
      <c r="O71" s="21"/>
      <c r="P71" s="21"/>
      <c r="Q71" s="21"/>
      <c r="R71" s="21"/>
      <c r="S71" s="21"/>
    </row>
    <row r="72" spans="1:34" ht="15.75" thickTop="1">
      <c r="A72" s="1608"/>
      <c r="B72" s="862"/>
      <c r="C72" s="1586"/>
      <c r="D72" s="1586"/>
      <c r="E72" s="1586"/>
      <c r="F72" s="1586"/>
      <c r="G72" s="1587"/>
      <c r="H72" s="1588"/>
      <c r="I72" s="1588"/>
      <c r="J72" s="1588"/>
      <c r="K72" s="1588"/>
      <c r="L72" s="1588"/>
      <c r="M72" s="1588"/>
      <c r="N72" s="1588"/>
      <c r="O72" s="1588"/>
      <c r="P72" s="1588"/>
      <c r="Q72" s="1588"/>
      <c r="R72" s="1588"/>
      <c r="S72" s="1588"/>
    </row>
    <row r="73" spans="1:34">
      <c r="A73" s="1608"/>
      <c r="B73" s="862"/>
      <c r="C73" s="1586"/>
      <c r="D73" s="1586"/>
      <c r="E73" s="1586"/>
      <c r="F73" s="1586"/>
      <c r="G73" s="1587"/>
      <c r="H73" s="1588"/>
      <c r="I73" s="1588"/>
      <c r="J73" s="1588"/>
      <c r="K73" s="1588"/>
      <c r="L73" s="1588"/>
      <c r="M73" s="1588"/>
      <c r="N73" s="1588"/>
      <c r="O73" s="1588"/>
      <c r="P73" s="1588"/>
      <c r="Q73" s="1588"/>
      <c r="R73" s="1588"/>
      <c r="S73" s="1588"/>
    </row>
    <row r="74" spans="1:34" ht="15.75" thickBot="1">
      <c r="A74" s="1608"/>
      <c r="B74" s="862"/>
      <c r="C74" s="1586"/>
      <c r="D74" s="1586"/>
      <c r="E74" s="1586"/>
      <c r="F74" s="1586"/>
      <c r="G74" s="1587"/>
      <c r="H74" s="1588"/>
      <c r="I74" s="1588"/>
      <c r="J74" s="1588"/>
      <c r="K74" s="1588"/>
      <c r="L74" s="1588"/>
      <c r="M74" s="1588"/>
      <c r="N74" s="1588"/>
      <c r="O74" s="1588"/>
      <c r="P74" s="1588"/>
      <c r="Q74" s="1588"/>
      <c r="R74" s="1588"/>
      <c r="S74" s="1588"/>
    </row>
    <row r="75" spans="1:34" s="2" customFormat="1" ht="16.5" thickTop="1" thickBot="1">
      <c r="A75" s="726" t="s">
        <v>574</v>
      </c>
      <c r="B75" s="727"/>
      <c r="C75" s="12"/>
      <c r="D75" s="12"/>
      <c r="E75" s="12"/>
      <c r="F75" s="12"/>
      <c r="G75" s="13"/>
      <c r="H75" s="21"/>
      <c r="I75" s="21"/>
      <c r="J75" s="21"/>
      <c r="K75" s="21"/>
      <c r="L75" s="21"/>
      <c r="M75" s="21"/>
      <c r="N75" s="21"/>
      <c r="O75" s="21"/>
      <c r="P75" s="21"/>
      <c r="Q75" s="21"/>
      <c r="R75" s="21"/>
      <c r="S75" s="21"/>
      <c r="T75"/>
      <c r="U75"/>
      <c r="V75"/>
      <c r="W75"/>
      <c r="X75"/>
      <c r="Y75"/>
      <c r="Z75"/>
      <c r="AA75"/>
      <c r="AB75"/>
      <c r="AC75"/>
      <c r="AD75"/>
      <c r="AE75"/>
      <c r="AF75"/>
      <c r="AG75"/>
      <c r="AH75"/>
    </row>
    <row r="76" spans="1:34" s="2" customFormat="1" ht="15.75" thickTop="1">
      <c r="A76" s="1608"/>
      <c r="B76" s="862"/>
      <c r="C76" s="1586"/>
      <c r="D76" s="1586"/>
      <c r="E76" s="1586"/>
      <c r="F76" s="1586"/>
      <c r="G76" s="1587"/>
      <c r="H76" s="1588"/>
      <c r="I76" s="1588"/>
      <c r="J76" s="1588"/>
      <c r="K76" s="1588"/>
      <c r="L76" s="1588"/>
      <c r="M76" s="1588"/>
      <c r="N76" s="1588"/>
      <c r="O76" s="1588"/>
      <c r="P76" s="1588"/>
      <c r="Q76" s="1588"/>
      <c r="R76" s="1588"/>
      <c r="S76" s="1588"/>
      <c r="T76"/>
      <c r="U76"/>
      <c r="V76"/>
      <c r="W76"/>
      <c r="X76"/>
      <c r="Y76"/>
      <c r="Z76"/>
      <c r="AA76"/>
      <c r="AB76"/>
      <c r="AC76"/>
      <c r="AD76"/>
      <c r="AE76"/>
      <c r="AF76"/>
      <c r="AG76"/>
      <c r="AH76"/>
    </row>
    <row r="77" spans="1:34" s="2" customFormat="1">
      <c r="A77" s="1608"/>
      <c r="B77" s="862"/>
      <c r="C77" s="1586"/>
      <c r="D77" s="1586"/>
      <c r="E77" s="1586"/>
      <c r="F77" s="1586"/>
      <c r="G77" s="1587"/>
      <c r="H77" s="1588"/>
      <c r="I77" s="1588"/>
      <c r="J77" s="1588"/>
      <c r="K77" s="1588"/>
      <c r="L77" s="1588"/>
      <c r="M77" s="1588"/>
      <c r="N77" s="1588"/>
      <c r="O77" s="1588"/>
      <c r="P77" s="1588"/>
      <c r="Q77" s="1588"/>
      <c r="R77" s="1588"/>
      <c r="S77" s="1588"/>
      <c r="T77"/>
      <c r="U77"/>
      <c r="V77"/>
      <c r="W77"/>
      <c r="X77"/>
      <c r="Y77"/>
      <c r="Z77"/>
      <c r="AA77"/>
      <c r="AB77"/>
      <c r="AC77"/>
      <c r="AD77"/>
      <c r="AE77"/>
      <c r="AF77"/>
      <c r="AG77"/>
      <c r="AH77"/>
    </row>
    <row r="78" spans="1:34" ht="15.75" thickBot="1">
      <c r="A78" s="1608"/>
      <c r="B78" s="862"/>
      <c r="C78" s="1586"/>
      <c r="D78" s="1586"/>
      <c r="E78" s="1586"/>
      <c r="F78" s="1586"/>
      <c r="G78" s="1587"/>
      <c r="H78" s="1588"/>
      <c r="I78" s="1588"/>
      <c r="J78" s="1588"/>
      <c r="K78" s="1588"/>
      <c r="L78" s="1588"/>
      <c r="M78" s="1588"/>
      <c r="N78" s="1588"/>
      <c r="O78" s="1588"/>
      <c r="P78" s="1588"/>
      <c r="Q78" s="1588"/>
      <c r="R78" s="1588"/>
      <c r="S78" s="1588"/>
    </row>
    <row r="79" spans="1:34" s="2" customFormat="1" ht="16.5" thickTop="1" thickBot="1">
      <c r="A79" s="726" t="s">
        <v>575</v>
      </c>
      <c r="B79" s="727"/>
      <c r="C79" s="12"/>
      <c r="D79" s="12"/>
      <c r="E79" s="12"/>
      <c r="F79" s="12"/>
      <c r="G79" s="13"/>
      <c r="H79" s="21"/>
      <c r="I79" s="21"/>
      <c r="J79" s="21"/>
      <c r="K79" s="21"/>
      <c r="L79" s="21"/>
      <c r="M79" s="21"/>
      <c r="N79" s="21"/>
      <c r="O79" s="21"/>
      <c r="P79" s="21"/>
      <c r="Q79" s="21"/>
      <c r="R79" s="21"/>
      <c r="S79" s="21"/>
      <c r="T79"/>
      <c r="U79"/>
      <c r="V79"/>
      <c r="W79"/>
      <c r="X79"/>
      <c r="Y79"/>
      <c r="Z79"/>
      <c r="AA79"/>
      <c r="AB79"/>
      <c r="AC79"/>
      <c r="AD79"/>
      <c r="AE79"/>
      <c r="AF79"/>
      <c r="AG79"/>
      <c r="AH79"/>
    </row>
    <row r="80" spans="1:34" s="2" customFormat="1" ht="15.75" thickTop="1">
      <c r="A80" s="1608"/>
      <c r="B80" s="862"/>
      <c r="C80" s="1586"/>
      <c r="D80" s="1586"/>
      <c r="E80" s="1586"/>
      <c r="F80" s="1586"/>
      <c r="G80" s="1587"/>
      <c r="H80" s="1588"/>
      <c r="I80" s="1588"/>
      <c r="J80" s="1588"/>
      <c r="K80" s="1588"/>
      <c r="L80" s="1588"/>
      <c r="M80" s="1588"/>
      <c r="N80" s="1588"/>
      <c r="O80" s="1588"/>
      <c r="P80" s="1588"/>
      <c r="Q80" s="1588"/>
      <c r="R80" s="1588"/>
      <c r="S80" s="1588"/>
      <c r="T80"/>
      <c r="U80"/>
      <c r="V80"/>
      <c r="W80"/>
      <c r="X80"/>
      <c r="Y80"/>
      <c r="Z80"/>
      <c r="AA80"/>
      <c r="AB80"/>
      <c r="AC80"/>
      <c r="AD80"/>
      <c r="AE80"/>
      <c r="AF80"/>
      <c r="AG80"/>
      <c r="AH80"/>
    </row>
    <row r="81" spans="1:34" s="2" customFormat="1">
      <c r="A81" s="628"/>
      <c r="B81" s="862"/>
      <c r="C81" s="1124"/>
      <c r="D81" s="1124"/>
      <c r="E81" s="1124"/>
      <c r="F81" s="1124"/>
      <c r="G81" s="1133"/>
      <c r="H81" s="604"/>
      <c r="I81" s="604"/>
      <c r="J81" s="604"/>
      <c r="K81" s="604"/>
      <c r="L81" s="604"/>
      <c r="M81" s="604"/>
      <c r="N81" s="604"/>
      <c r="O81" s="604"/>
      <c r="P81" s="604"/>
      <c r="Q81" s="604"/>
      <c r="R81" s="604"/>
      <c r="S81" s="604"/>
      <c r="T81"/>
      <c r="U81"/>
      <c r="V81"/>
      <c r="W81"/>
      <c r="X81"/>
      <c r="Y81"/>
      <c r="Z81"/>
      <c r="AA81"/>
      <c r="AB81"/>
      <c r="AC81"/>
      <c r="AD81"/>
      <c r="AE81"/>
      <c r="AF81"/>
      <c r="AG81"/>
      <c r="AH81"/>
    </row>
    <row r="82" spans="1:34" s="2" customFormat="1" ht="15.75" thickBot="1">
      <c r="A82" s="625"/>
      <c r="B82" s="1171"/>
      <c r="C82" s="1124"/>
      <c r="D82" s="1124"/>
      <c r="E82" s="1124"/>
      <c r="F82" s="1124"/>
      <c r="G82" s="1133"/>
      <c r="H82" s="605"/>
      <c r="I82" s="605"/>
      <c r="J82" s="605"/>
      <c r="K82" s="605"/>
      <c r="L82" s="605"/>
      <c r="M82" s="605"/>
      <c r="N82" s="605"/>
      <c r="O82" s="605"/>
      <c r="P82" s="605"/>
      <c r="Q82" s="605"/>
      <c r="R82" s="605"/>
      <c r="S82" s="605"/>
    </row>
    <row r="83" spans="1:34" s="2" customFormat="1" ht="16.5" thickTop="1" thickBot="1">
      <c r="A83" s="726" t="s">
        <v>576</v>
      </c>
      <c r="B83" s="727"/>
      <c r="C83" s="12"/>
      <c r="D83" s="12"/>
      <c r="E83" s="12"/>
      <c r="F83" s="12"/>
      <c r="G83" s="13"/>
      <c r="H83" s="21"/>
      <c r="I83" s="21"/>
      <c r="J83" s="21"/>
      <c r="K83" s="21"/>
      <c r="L83" s="21"/>
      <c r="M83" s="21"/>
      <c r="N83" s="21"/>
      <c r="O83" s="21"/>
      <c r="P83" s="21"/>
      <c r="Q83" s="21"/>
      <c r="R83" s="21"/>
      <c r="S83" s="21"/>
      <c r="T83"/>
      <c r="U83"/>
      <c r="V83"/>
      <c r="W83"/>
      <c r="X83"/>
      <c r="Y83"/>
      <c r="Z83"/>
      <c r="AA83"/>
      <c r="AB83"/>
      <c r="AC83"/>
      <c r="AD83"/>
      <c r="AE83"/>
      <c r="AF83"/>
      <c r="AG83"/>
      <c r="AH83"/>
    </row>
    <row r="84" spans="1:34" ht="15.75" thickTop="1">
      <c r="A84" s="1589"/>
      <c r="B84" s="1590"/>
      <c r="C84" s="1586"/>
      <c r="D84" s="1586"/>
      <c r="E84" s="1586"/>
      <c r="F84" s="1586"/>
      <c r="G84" s="1587"/>
      <c r="H84" s="1588"/>
      <c r="I84" s="1588"/>
      <c r="J84" s="1588"/>
      <c r="K84" s="1588"/>
      <c r="L84" s="1588"/>
      <c r="M84" s="1588"/>
      <c r="N84" s="1588"/>
      <c r="O84" s="1588"/>
      <c r="P84" s="1588"/>
      <c r="Q84" s="1588"/>
      <c r="R84" s="1588"/>
      <c r="S84" s="1588"/>
      <c r="T84" s="2"/>
      <c r="U84" s="2"/>
      <c r="V84" s="2"/>
      <c r="W84" s="2"/>
      <c r="X84" s="2"/>
      <c r="Y84" s="2"/>
      <c r="Z84" s="2"/>
      <c r="AA84" s="2"/>
      <c r="AB84" s="2"/>
      <c r="AC84" s="2"/>
      <c r="AD84" s="2"/>
      <c r="AE84" s="2"/>
      <c r="AF84" s="2"/>
      <c r="AG84" s="2"/>
      <c r="AH84" s="2"/>
    </row>
    <row r="85" spans="1:34">
      <c r="A85" s="625"/>
      <c r="B85" s="1171"/>
      <c r="C85" s="1124"/>
      <c r="D85" s="1124"/>
      <c r="E85" s="1124"/>
      <c r="F85" s="1124"/>
      <c r="G85" s="1133"/>
      <c r="H85" s="606"/>
      <c r="I85" s="606"/>
      <c r="J85" s="606"/>
      <c r="K85" s="606"/>
      <c r="L85" s="606"/>
      <c r="M85" s="606"/>
      <c r="N85" s="606"/>
      <c r="O85" s="606"/>
      <c r="P85" s="606"/>
      <c r="Q85" s="606"/>
      <c r="R85" s="606"/>
      <c r="S85" s="606"/>
      <c r="T85" s="2"/>
      <c r="U85" s="2"/>
      <c r="V85" s="2"/>
      <c r="W85" s="2"/>
      <c r="X85" s="2"/>
      <c r="Y85" s="2"/>
      <c r="Z85" s="2"/>
      <c r="AA85" s="2"/>
      <c r="AB85" s="2"/>
      <c r="AC85" s="2"/>
      <c r="AD85" s="2"/>
      <c r="AE85" s="2"/>
      <c r="AF85" s="2"/>
      <c r="AG85" s="2"/>
      <c r="AH85" s="2"/>
    </row>
    <row r="86" spans="1:34" ht="15.75" thickBot="1">
      <c r="A86" s="625"/>
      <c r="B86" s="1171"/>
      <c r="C86" s="1124"/>
      <c r="D86" s="1124"/>
      <c r="E86" s="1124"/>
      <c r="F86" s="1124"/>
      <c r="G86" s="1133"/>
      <c r="H86" s="606"/>
      <c r="I86" s="606"/>
      <c r="J86" s="606"/>
      <c r="K86" s="606"/>
      <c r="L86" s="606"/>
      <c r="M86" s="606"/>
      <c r="N86" s="606"/>
      <c r="O86" s="606"/>
      <c r="P86" s="606"/>
      <c r="Q86" s="606"/>
      <c r="R86" s="606"/>
      <c r="S86" s="606"/>
      <c r="T86" s="2"/>
      <c r="U86" s="2"/>
      <c r="V86" s="2"/>
      <c r="W86" s="2"/>
      <c r="X86" s="2"/>
      <c r="Y86" s="2"/>
      <c r="Z86" s="2"/>
      <c r="AA86" s="2"/>
      <c r="AB86" s="2"/>
      <c r="AC86" s="2"/>
      <c r="AD86" s="2"/>
      <c r="AE86" s="2"/>
      <c r="AF86" s="2"/>
      <c r="AG86" s="2"/>
      <c r="AH86" s="2"/>
    </row>
    <row r="87" spans="1:34" ht="16.5" thickTop="1" thickBot="1">
      <c r="A87" s="726" t="s">
        <v>577</v>
      </c>
      <c r="B87" s="727"/>
      <c r="C87" s="12"/>
      <c r="D87" s="12"/>
      <c r="E87" s="12"/>
      <c r="F87" s="12"/>
      <c r="G87" s="13"/>
      <c r="H87" s="21"/>
      <c r="I87" s="21"/>
      <c r="J87" s="21"/>
      <c r="K87" s="21"/>
      <c r="L87" s="21"/>
      <c r="M87" s="21"/>
      <c r="N87" s="21"/>
      <c r="O87" s="21"/>
      <c r="P87" s="21"/>
      <c r="Q87" s="21"/>
      <c r="R87" s="21"/>
      <c r="S87" s="21"/>
    </row>
    <row r="88" spans="1:34" ht="15.75" thickTop="1">
      <c r="A88" s="628"/>
      <c r="B88" s="862" t="s">
        <v>578</v>
      </c>
      <c r="C88" s="1124"/>
      <c r="D88" s="1124"/>
      <c r="E88" s="1124"/>
      <c r="F88" s="1124"/>
      <c r="G88" s="1133"/>
      <c r="H88" s="606"/>
      <c r="I88" s="606"/>
      <c r="J88" s="606"/>
      <c r="K88" s="606"/>
      <c r="L88" s="606"/>
      <c r="M88" s="606"/>
      <c r="N88" s="606"/>
      <c r="O88" s="606"/>
      <c r="P88" s="606"/>
      <c r="Q88" s="606"/>
      <c r="R88" s="606"/>
      <c r="S88" s="606"/>
    </row>
    <row r="89" spans="1:34">
      <c r="A89" s="628"/>
      <c r="B89" s="862" t="s">
        <v>579</v>
      </c>
      <c r="C89" s="1124"/>
      <c r="D89" s="1124"/>
      <c r="E89" s="1124"/>
      <c r="F89" s="1124"/>
      <c r="G89" s="1133"/>
      <c r="H89" s="606"/>
      <c r="I89" s="606"/>
      <c r="J89" s="606"/>
      <c r="K89" s="606"/>
      <c r="L89" s="606"/>
      <c r="M89" s="606"/>
      <c r="N89" s="606"/>
      <c r="O89" s="606"/>
      <c r="P89" s="606"/>
      <c r="Q89" s="606"/>
      <c r="R89" s="606"/>
      <c r="S89" s="606"/>
    </row>
    <row r="90" spans="1:34">
      <c r="A90" s="628"/>
      <c r="B90" s="862" t="s">
        <v>580</v>
      </c>
      <c r="C90" s="1124"/>
      <c r="D90" s="1124"/>
      <c r="E90" s="1124"/>
      <c r="F90" s="1124"/>
      <c r="G90" s="1133"/>
      <c r="H90" s="606"/>
      <c r="I90" s="606"/>
      <c r="J90" s="606"/>
      <c r="K90" s="606"/>
      <c r="L90" s="606"/>
      <c r="M90" s="606"/>
      <c r="N90" s="606"/>
      <c r="O90" s="606"/>
      <c r="P90" s="606"/>
      <c r="Q90" s="606"/>
      <c r="R90" s="606"/>
      <c r="S90" s="606"/>
    </row>
    <row r="91" spans="1:34">
      <c r="A91" s="628"/>
      <c r="B91" s="862" t="s">
        <v>581</v>
      </c>
      <c r="C91" s="1124"/>
      <c r="D91" s="1124"/>
      <c r="E91" s="1124"/>
      <c r="F91" s="1124"/>
      <c r="G91" s="1133"/>
      <c r="H91" s="606"/>
      <c r="I91" s="606"/>
      <c r="J91" s="606"/>
      <c r="K91" s="606"/>
      <c r="L91" s="606"/>
      <c r="M91" s="606"/>
      <c r="N91" s="606"/>
      <c r="O91" s="606"/>
      <c r="P91" s="606"/>
      <c r="Q91" s="606"/>
      <c r="R91" s="606"/>
      <c r="S91" s="606"/>
    </row>
    <row r="92" spans="1:34" ht="15.75" thickBot="1">
      <c r="A92" s="416"/>
      <c r="B92" s="295"/>
      <c r="C92" s="184"/>
      <c r="D92" s="184"/>
      <c r="E92" s="184"/>
      <c r="F92" s="184"/>
      <c r="G92" s="296"/>
      <c r="H92" s="418"/>
      <c r="I92" s="418"/>
      <c r="J92" s="418"/>
      <c r="K92" s="418"/>
      <c r="L92" s="418"/>
      <c r="M92" s="418"/>
      <c r="N92" s="418"/>
      <c r="O92" s="418"/>
      <c r="P92" s="418"/>
      <c r="Q92" s="418"/>
      <c r="R92" s="418"/>
      <c r="S92" s="418"/>
    </row>
    <row r="93" spans="1:34" ht="16.5" thickTop="1" thickBot="1">
      <c r="A93" s="7" t="s">
        <v>582</v>
      </c>
      <c r="B93" s="8"/>
      <c r="C93" s="12"/>
      <c r="D93" s="12"/>
      <c r="E93" s="12"/>
      <c r="F93" s="12"/>
      <c r="G93" s="13"/>
      <c r="H93" s="21"/>
      <c r="I93" s="21"/>
      <c r="J93" s="21"/>
      <c r="K93" s="21"/>
      <c r="L93" s="21"/>
      <c r="M93" s="21"/>
      <c r="N93" s="21"/>
      <c r="O93" s="21"/>
      <c r="P93" s="21"/>
      <c r="Q93" s="21"/>
      <c r="R93" s="21"/>
      <c r="S93" s="21"/>
    </row>
    <row r="94" spans="1:34" ht="15.75" thickTop="1">
      <c r="A94" s="1608"/>
      <c r="B94" s="1591" t="s">
        <v>583</v>
      </c>
      <c r="C94" s="1586"/>
      <c r="D94" s="1586"/>
      <c r="E94" s="1586"/>
      <c r="F94" s="1586"/>
      <c r="G94" s="1587"/>
      <c r="H94" s="1592"/>
      <c r="I94" s="1592"/>
      <c r="J94" s="1592"/>
      <c r="K94" s="1592"/>
      <c r="L94" s="1592"/>
      <c r="M94" s="1592"/>
      <c r="N94" s="1592"/>
      <c r="O94" s="1592"/>
      <c r="P94" s="1592"/>
      <c r="Q94" s="1592"/>
      <c r="R94" s="1592"/>
      <c r="S94" s="1592"/>
    </row>
    <row r="95" spans="1:34">
      <c r="A95" s="628"/>
      <c r="B95" s="862" t="s">
        <v>584</v>
      </c>
      <c r="C95" s="1124"/>
      <c r="D95" s="1124"/>
      <c r="E95" s="1124"/>
      <c r="F95" s="1124"/>
      <c r="G95" s="1133"/>
      <c r="H95" s="618"/>
      <c r="I95" s="618"/>
      <c r="J95" s="618"/>
      <c r="K95" s="618"/>
      <c r="L95" s="618"/>
      <c r="M95" s="618"/>
      <c r="N95" s="618"/>
      <c r="O95" s="618"/>
      <c r="P95" s="618"/>
      <c r="Q95" s="618"/>
      <c r="R95" s="618"/>
      <c r="S95" s="618"/>
    </row>
    <row r="96" spans="1:34" ht="15.75" thickBot="1">
      <c r="A96" s="607"/>
      <c r="B96" s="608" t="s">
        <v>585</v>
      </c>
      <c r="C96" s="609"/>
      <c r="D96" s="609"/>
      <c r="E96" s="609"/>
      <c r="F96" s="609"/>
      <c r="G96" s="610"/>
      <c r="H96" s="611"/>
      <c r="I96" s="611"/>
      <c r="J96" s="611"/>
      <c r="K96" s="611"/>
      <c r="L96" s="611"/>
      <c r="M96" s="611"/>
      <c r="N96" s="611"/>
      <c r="O96" s="611"/>
      <c r="P96" s="611"/>
      <c r="Q96" s="611"/>
      <c r="R96" s="611"/>
      <c r="S96" s="611"/>
    </row>
    <row r="97" spans="1:2" ht="16.5" thickTop="1" thickBot="1"/>
    <row r="98" spans="1:2" ht="16.5" thickTop="1" thickBot="1">
      <c r="A98" s="92" t="s">
        <v>586</v>
      </c>
      <c r="B98" s="94"/>
    </row>
    <row r="99" spans="1:2" ht="15.75" thickTop="1">
      <c r="A99" s="93" t="s">
        <v>487</v>
      </c>
      <c r="B99" s="612"/>
    </row>
    <row r="100" spans="1:2">
      <c r="A100" s="626" t="s">
        <v>491</v>
      </c>
      <c r="B100" s="612"/>
    </row>
    <row r="101" spans="1:2">
      <c r="A101" s="613" t="s">
        <v>494</v>
      </c>
      <c r="B101" s="614"/>
    </row>
    <row r="102" spans="1:2">
      <c r="A102" s="613" t="s">
        <v>497</v>
      </c>
      <c r="B102" s="622"/>
    </row>
    <row r="103" spans="1:2" ht="15.75" thickBot="1">
      <c r="A103" s="615" t="s">
        <v>587</v>
      </c>
      <c r="B103" s="616">
        <f>H8</f>
        <v>348565.00778017635</v>
      </c>
    </row>
    <row r="104" spans="1:2" ht="15.75" thickTop="1"/>
    <row r="105" spans="1:2">
      <c r="A105" s="95"/>
      <c r="B105" s="1" t="s">
        <v>588</v>
      </c>
    </row>
    <row r="106" spans="1:2">
      <c r="A106" s="96"/>
      <c r="B106"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71:B71"/>
    <mergeCell ref="A75:B75"/>
    <mergeCell ref="A79:B79"/>
    <mergeCell ref="A83:B83"/>
    <mergeCell ref="A87:B87"/>
  </mergeCells>
  <conditionalFormatting sqref="H21:H31 H33:H62 J33:J62 L33:L62 N33:N62 P33:P62 R33:R62">
    <cfRule type="cellIs" dxfId="1405" priority="13" operator="equal">
      <formula>"X"</formula>
    </cfRule>
    <cfRule type="cellIs" dxfId="1404" priority="14" operator="equal">
      <formula>"I"</formula>
    </cfRule>
  </conditionalFormatting>
  <conditionalFormatting sqref="J21:J31">
    <cfRule type="cellIs" dxfId="1403" priority="15" operator="equal">
      <formula>"X"</formula>
    </cfRule>
    <cfRule type="cellIs" dxfId="1402" priority="16" operator="equal">
      <formula>"I"</formula>
    </cfRule>
  </conditionalFormatting>
  <conditionalFormatting sqref="L21:L31">
    <cfRule type="cellIs" dxfId="1401" priority="17" operator="equal">
      <formula>"X"</formula>
    </cfRule>
    <cfRule type="cellIs" dxfId="1400" priority="18" operator="equal">
      <formula>"I"</formula>
    </cfRule>
  </conditionalFormatting>
  <conditionalFormatting sqref="N21:N31">
    <cfRule type="cellIs" dxfId="1399" priority="19" operator="equal">
      <formula>"X"</formula>
    </cfRule>
    <cfRule type="cellIs" dxfId="1398" priority="20" operator="equal">
      <formula>"I"</formula>
    </cfRule>
  </conditionalFormatting>
  <conditionalFormatting sqref="P21:P31">
    <cfRule type="cellIs" dxfId="1397" priority="21" operator="equal">
      <formula>"X"</formula>
    </cfRule>
    <cfRule type="cellIs" dxfId="1396" priority="22" operator="equal">
      <formula>"I"</formula>
    </cfRule>
  </conditionalFormatting>
  <conditionalFormatting sqref="R21:R31">
    <cfRule type="cellIs" dxfId="1395" priority="23" operator="equal">
      <formula>"X"</formula>
    </cfRule>
    <cfRule type="cellIs" dxfId="1394" priority="24" operator="equal">
      <formula>"I"</formula>
    </cfRule>
  </conditionalFormatting>
  <hyperlinks>
    <hyperlink ref="B3" location="'Cost Summary'!A1" display="BACK TO SUMMARY SHEET" xr:uid="{CE16CE51-0B09-43B2-B471-F9D1C78D2788}"/>
  </hyperlinks>
  <pageMargins left="0.7" right="0.7" top="0.75" bottom="0.75" header="0.3" footer="0.3"/>
  <pageSetup orientation="portrait"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D9E7-3057-498B-B35B-03FE0DDD491F}">
  <sheetPr>
    <tabColor rgb="FF92D050"/>
  </sheetPr>
  <dimension ref="A1:S97"/>
  <sheetViews>
    <sheetView zoomScaleNormal="100" workbookViewId="0">
      <pane xSplit="2" ySplit="9" topLeftCell="C29" activePane="bottomRight" state="frozen"/>
      <selection pane="bottomRight" activeCell="F38" sqref="F38"/>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7.5703125" style="2" customWidth="1"/>
    <col min="5" max="5" width="5.5703125" style="2" customWidth="1"/>
    <col min="6" max="6" width="9.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49"/>
      <c r="I2" s="749"/>
      <c r="J2" s="732"/>
      <c r="K2" s="732"/>
      <c r="L2" s="749"/>
      <c r="M2" s="749"/>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615</v>
      </c>
      <c r="C5" s="1124"/>
      <c r="D5" s="1124"/>
      <c r="E5" s="1124"/>
      <c r="F5" s="1124"/>
      <c r="G5" s="1125" t="s">
        <v>491</v>
      </c>
      <c r="H5" s="1593"/>
      <c r="I5" s="1594"/>
      <c r="J5" s="1593"/>
      <c r="K5" s="1594"/>
      <c r="L5" s="1593"/>
      <c r="M5" s="1594"/>
      <c r="N5" s="1593"/>
      <c r="O5" s="1594"/>
      <c r="P5" s="1593"/>
      <c r="Q5" s="1594"/>
      <c r="R5" s="1593"/>
      <c r="S5" s="1594"/>
    </row>
    <row r="6" spans="1:19">
      <c r="A6" s="627" t="s">
        <v>493</v>
      </c>
      <c r="B6" s="1127" t="s">
        <v>614</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ht="15.75" thickBot="1">
      <c r="A8" s="414" t="s">
        <v>499</v>
      </c>
      <c r="B8" s="295"/>
      <c r="C8" s="184"/>
      <c r="D8" s="184"/>
      <c r="E8" s="184"/>
      <c r="F8" s="184"/>
      <c r="G8" s="419" t="s">
        <v>499</v>
      </c>
      <c r="H8" s="774">
        <f>I58</f>
        <v>41580</v>
      </c>
      <c r="I8" s="775"/>
      <c r="J8" s="774">
        <f>K58</f>
        <v>0</v>
      </c>
      <c r="K8" s="775"/>
      <c r="L8" s="774">
        <f>M58</f>
        <v>0</v>
      </c>
      <c r="M8" s="775"/>
      <c r="N8" s="774">
        <f>O58</f>
        <v>0</v>
      </c>
      <c r="O8" s="775"/>
      <c r="P8" s="774">
        <f>Q58</f>
        <v>0</v>
      </c>
      <c r="Q8" s="775"/>
      <c r="R8" s="774">
        <f>S58</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95"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1608"/>
      <c r="C20" s="1134"/>
      <c r="D20" s="1124"/>
      <c r="E20" s="1124"/>
      <c r="F20" s="1124"/>
      <c r="G20" s="1133"/>
      <c r="H20" s="590"/>
      <c r="I20" s="1619"/>
      <c r="J20" s="590"/>
      <c r="K20" s="1619"/>
      <c r="L20" s="590"/>
      <c r="M20" s="1619"/>
      <c r="N20" s="590"/>
      <c r="O20" s="1619"/>
      <c r="P20" s="590"/>
      <c r="Q20" s="1619"/>
      <c r="R20" s="590"/>
      <c r="S20" s="1619"/>
    </row>
    <row r="21" spans="1:19" ht="15.75" thickBot="1">
      <c r="A21" s="1608"/>
      <c r="B21" s="1136" t="s">
        <v>615</v>
      </c>
      <c r="C21" s="1134"/>
      <c r="D21" s="1124"/>
      <c r="E21" s="1124"/>
      <c r="F21" s="1124"/>
      <c r="G21" s="1133"/>
      <c r="H21" s="590"/>
      <c r="I21" s="1619"/>
      <c r="J21" s="590"/>
      <c r="K21" s="1619"/>
      <c r="L21" s="590"/>
      <c r="M21" s="1619"/>
      <c r="N21" s="590"/>
      <c r="O21" s="1619"/>
      <c r="P21" s="590"/>
      <c r="Q21" s="1619"/>
      <c r="R21" s="590"/>
      <c r="S21" s="1619"/>
    </row>
    <row r="22" spans="1:19" ht="15.75" thickBot="1">
      <c r="A22" s="1596"/>
      <c r="B22" s="374" t="s">
        <v>512</v>
      </c>
      <c r="C22" s="1134"/>
      <c r="D22" s="1124"/>
      <c r="E22" s="1124"/>
      <c r="F22" s="1124"/>
      <c r="G22" s="1133"/>
      <c r="H22" s="590"/>
      <c r="I22" s="1597"/>
      <c r="J22" s="590"/>
      <c r="K22" s="1597"/>
      <c r="L22" s="590"/>
      <c r="M22" s="1597"/>
      <c r="N22" s="590"/>
      <c r="O22" s="1597"/>
      <c r="P22" s="590"/>
      <c r="Q22" s="1597"/>
      <c r="R22" s="590"/>
      <c r="S22" s="1597"/>
    </row>
    <row r="23" spans="1:19">
      <c r="A23" s="1596"/>
      <c r="B23" s="647" t="s">
        <v>513</v>
      </c>
      <c r="C23" s="1134"/>
      <c r="D23" s="1124"/>
      <c r="E23" s="1124"/>
      <c r="F23" s="1124"/>
      <c r="G23" s="1133"/>
      <c r="H23" s="590"/>
      <c r="I23" s="1597"/>
      <c r="J23" s="590"/>
      <c r="K23" s="1597"/>
      <c r="L23" s="590"/>
      <c r="M23" s="1597"/>
      <c r="N23" s="590"/>
      <c r="O23" s="1597"/>
      <c r="P23" s="590"/>
      <c r="Q23" s="1598"/>
      <c r="R23" s="590"/>
      <c r="S23" s="1598"/>
    </row>
    <row r="24" spans="1:19">
      <c r="A24" s="623"/>
      <c r="B24" s="1575" t="s">
        <v>514</v>
      </c>
      <c r="C24" s="1124"/>
      <c r="D24" s="1124"/>
      <c r="E24" s="1124"/>
      <c r="F24" s="1124"/>
      <c r="G24" s="1133"/>
      <c r="H24" s="590"/>
      <c r="I24" s="1598"/>
      <c r="J24" s="590"/>
      <c r="K24" s="1598"/>
      <c r="L24" s="590"/>
      <c r="M24" s="1598"/>
      <c r="N24" s="590"/>
      <c r="O24" s="1597"/>
      <c r="P24" s="590"/>
      <c r="Q24" s="1597"/>
      <c r="R24" s="590"/>
      <c r="S24" s="1597"/>
    </row>
    <row r="25" spans="1:19">
      <c r="A25" s="1596"/>
      <c r="B25" s="1576" t="s">
        <v>515</v>
      </c>
      <c r="C25" s="1124"/>
      <c r="D25" s="1124"/>
      <c r="E25" s="1124"/>
      <c r="F25" s="1124"/>
      <c r="G25" s="1133"/>
      <c r="H25" s="590"/>
      <c r="I25" s="1598"/>
      <c r="J25" s="590"/>
      <c r="K25" s="1598"/>
      <c r="L25" s="590"/>
      <c r="M25" s="1598"/>
      <c r="N25" s="590"/>
      <c r="O25" s="1597"/>
      <c r="P25" s="590"/>
      <c r="Q25" s="1597"/>
      <c r="R25" s="590"/>
      <c r="S25" s="1597"/>
    </row>
    <row r="26" spans="1:19">
      <c r="A26" s="623"/>
      <c r="B26" s="1576" t="s">
        <v>516</v>
      </c>
      <c r="C26" s="1124"/>
      <c r="D26" s="1124"/>
      <c r="E26" s="1124"/>
      <c r="F26" s="1124"/>
      <c r="G26" s="1133"/>
      <c r="H26" s="590"/>
      <c r="I26" s="1598"/>
      <c r="J26" s="590"/>
      <c r="K26" s="1598"/>
      <c r="L26" s="590"/>
      <c r="M26" s="1598"/>
      <c r="N26" s="590"/>
      <c r="O26" s="1597"/>
      <c r="P26" s="590"/>
      <c r="Q26" s="1597"/>
      <c r="R26" s="590"/>
      <c r="S26" s="1597"/>
    </row>
    <row r="27" spans="1:19">
      <c r="A27" s="1596"/>
      <c r="B27" s="1576" t="s">
        <v>517</v>
      </c>
      <c r="C27" s="1124"/>
      <c r="D27" s="1124"/>
      <c r="E27" s="1124"/>
      <c r="F27" s="1124"/>
      <c r="G27" s="1133"/>
      <c r="H27" s="590"/>
      <c r="I27" s="1598"/>
      <c r="J27" s="590"/>
      <c r="K27" s="1598"/>
      <c r="L27" s="590"/>
      <c r="M27" s="1598"/>
      <c r="N27" s="590"/>
      <c r="O27" s="1597"/>
      <c r="P27" s="590"/>
      <c r="Q27" s="1597"/>
      <c r="R27" s="590"/>
      <c r="S27" s="1597"/>
    </row>
    <row r="28" spans="1:19">
      <c r="A28" s="1596"/>
      <c r="B28" s="1576" t="s">
        <v>518</v>
      </c>
      <c r="C28" s="1124"/>
      <c r="D28" s="1124"/>
      <c r="E28" s="1124"/>
      <c r="F28" s="1124"/>
      <c r="G28" s="1133"/>
      <c r="H28" s="590"/>
      <c r="I28" s="1598"/>
      <c r="J28" s="590"/>
      <c r="K28" s="1598"/>
      <c r="L28" s="590"/>
      <c r="M28" s="1598"/>
      <c r="N28" s="590"/>
      <c r="O28" s="1597"/>
      <c r="P28" s="590"/>
      <c r="Q28" s="1597"/>
      <c r="R28" s="590"/>
      <c r="S28" s="1597"/>
    </row>
    <row r="29" spans="1:19">
      <c r="A29" s="1596"/>
      <c r="B29" s="1576" t="s">
        <v>693</v>
      </c>
      <c r="C29" s="1124"/>
      <c r="D29" s="1124"/>
      <c r="E29" s="1124"/>
      <c r="F29" s="1124"/>
      <c r="G29" s="1133"/>
      <c r="H29" s="590"/>
      <c r="I29" s="1598"/>
      <c r="J29" s="590"/>
      <c r="K29" s="1598"/>
      <c r="L29" s="590"/>
      <c r="M29" s="1598"/>
      <c r="N29" s="590"/>
      <c r="O29" s="1597"/>
      <c r="P29" s="590"/>
      <c r="Q29" s="1597"/>
      <c r="R29" s="590"/>
      <c r="S29" s="1597"/>
    </row>
    <row r="30" spans="1:19">
      <c r="A30" s="1596"/>
      <c r="B30" s="1577" t="s">
        <v>519</v>
      </c>
      <c r="C30" s="1124"/>
      <c r="D30" s="1124"/>
      <c r="E30" s="1124"/>
      <c r="F30" s="1124"/>
      <c r="G30" s="1133"/>
      <c r="H30" s="590"/>
      <c r="I30" s="1598"/>
      <c r="J30" s="590"/>
      <c r="K30" s="1598"/>
      <c r="L30" s="590"/>
      <c r="M30" s="1598"/>
      <c r="N30" s="590"/>
      <c r="O30" s="1597"/>
      <c r="P30" s="590"/>
      <c r="Q30" s="1597"/>
      <c r="R30" s="590"/>
      <c r="S30" s="1597"/>
    </row>
    <row r="31" spans="1:19">
      <c r="A31" s="1596"/>
      <c r="B31" s="1609" t="s">
        <v>520</v>
      </c>
      <c r="C31" s="1145"/>
      <c r="D31" s="1145"/>
      <c r="E31" s="1145"/>
      <c r="F31" s="1145"/>
      <c r="G31" s="1147"/>
      <c r="H31" s="619"/>
      <c r="I31" s="1579"/>
      <c r="J31" s="619"/>
      <c r="K31" s="1579"/>
      <c r="L31" s="619"/>
      <c r="M31" s="1579"/>
      <c r="N31" s="619"/>
      <c r="O31" s="1580"/>
      <c r="P31" s="619"/>
      <c r="Q31" s="1580"/>
      <c r="R31" s="619"/>
      <c r="S31" s="1580"/>
    </row>
    <row r="32" spans="1:19">
      <c r="A32" s="1596"/>
      <c r="B32" s="1581" t="s">
        <v>748</v>
      </c>
      <c r="C32" s="1124"/>
      <c r="D32" s="1124"/>
      <c r="E32" s="1124"/>
      <c r="F32" s="1124"/>
      <c r="G32" s="1133"/>
      <c r="H32" s="590"/>
      <c r="I32" s="1598"/>
      <c r="J32" s="590"/>
      <c r="K32" s="1598"/>
      <c r="L32" s="590"/>
      <c r="M32" s="1598"/>
      <c r="N32" s="590"/>
      <c r="O32" s="1597"/>
      <c r="P32" s="590"/>
      <c r="Q32" s="1597"/>
      <c r="R32" s="590"/>
      <c r="S32" s="1597"/>
    </row>
    <row r="33" spans="1:19">
      <c r="A33" s="1596"/>
      <c r="B33" s="1610"/>
      <c r="C33" s="1124"/>
      <c r="D33" s="1124"/>
      <c r="E33" s="1124"/>
      <c r="F33" s="1124"/>
      <c r="G33" s="1133"/>
      <c r="H33" s="590"/>
      <c r="I33" s="1598"/>
      <c r="J33" s="590"/>
      <c r="K33" s="1598"/>
      <c r="L33" s="590"/>
      <c r="M33" s="1598"/>
      <c r="N33" s="590"/>
      <c r="O33" s="1597"/>
      <c r="P33" s="590"/>
      <c r="Q33" s="1597"/>
      <c r="R33" s="590"/>
      <c r="S33" s="1597"/>
    </row>
    <row r="34" spans="1:19">
      <c r="A34" s="1596"/>
      <c r="B34" s="1611" t="s">
        <v>694</v>
      </c>
      <c r="C34" s="1216"/>
      <c r="D34" s="1216"/>
      <c r="E34" s="1216"/>
      <c r="F34" s="1216"/>
      <c r="G34" s="1218"/>
      <c r="H34" s="620"/>
      <c r="I34" s="1601"/>
      <c r="J34" s="620"/>
      <c r="K34" s="1601"/>
      <c r="L34" s="620"/>
      <c r="M34" s="1601"/>
      <c r="N34" s="620"/>
      <c r="O34" s="1602"/>
      <c r="P34" s="620"/>
      <c r="Q34" s="1602"/>
      <c r="R34" s="620"/>
      <c r="S34" s="1602"/>
    </row>
    <row r="35" spans="1:19">
      <c r="A35" s="1596"/>
      <c r="B35" s="1610"/>
      <c r="C35" s="1124"/>
      <c r="D35" s="1124"/>
      <c r="E35" s="1124"/>
      <c r="F35" s="1124"/>
      <c r="G35" s="1133"/>
      <c r="H35" s="590"/>
      <c r="I35" s="1598"/>
      <c r="J35" s="590"/>
      <c r="K35" s="1598"/>
      <c r="L35" s="590"/>
      <c r="M35" s="1598"/>
      <c r="N35" s="590"/>
      <c r="O35" s="1597"/>
      <c r="P35" s="590"/>
      <c r="Q35" s="1597"/>
      <c r="R35" s="590"/>
      <c r="S35" s="1597"/>
    </row>
    <row r="36" spans="1:19">
      <c r="A36" s="1596"/>
      <c r="B36" s="1612" t="s">
        <v>695</v>
      </c>
      <c r="C36" s="1223"/>
      <c r="D36" s="1223"/>
      <c r="E36" s="1223"/>
      <c r="F36" s="1223"/>
      <c r="G36" s="1225"/>
      <c r="H36" s="621"/>
      <c r="I36" s="1604"/>
      <c r="J36" s="621"/>
      <c r="K36" s="1604"/>
      <c r="L36" s="621"/>
      <c r="M36" s="1604"/>
      <c r="N36" s="621"/>
      <c r="O36" s="1605"/>
      <c r="P36" s="621"/>
      <c r="Q36" s="1605"/>
      <c r="R36" s="621"/>
      <c r="S36" s="1605"/>
    </row>
    <row r="37" spans="1:19">
      <c r="A37" s="1596"/>
      <c r="B37" s="1610" t="s">
        <v>848</v>
      </c>
      <c r="C37" s="1228" t="s">
        <v>697</v>
      </c>
      <c r="D37" s="1426">
        <v>1024</v>
      </c>
      <c r="E37" s="1124" t="s">
        <v>723</v>
      </c>
      <c r="F37" s="1620">
        <v>7</v>
      </c>
      <c r="G37" s="1616">
        <f>D37*F37</f>
        <v>7168</v>
      </c>
      <c r="H37" s="590"/>
      <c r="I37" s="1598">
        <f>G37</f>
        <v>7168</v>
      </c>
      <c r="J37" s="590"/>
      <c r="K37" s="1598"/>
      <c r="L37" s="590"/>
      <c r="M37" s="1598"/>
      <c r="N37" s="590"/>
      <c r="O37" s="1597"/>
      <c r="P37" s="590"/>
      <c r="Q37" s="1597"/>
      <c r="R37" s="590"/>
      <c r="S37" s="1597"/>
    </row>
    <row r="38" spans="1:19">
      <c r="A38" s="1596"/>
      <c r="B38" s="1610"/>
      <c r="C38" s="1124"/>
      <c r="D38" s="1124"/>
      <c r="E38" s="1124"/>
      <c r="F38" s="1124"/>
      <c r="G38" s="1133"/>
      <c r="H38" s="590"/>
      <c r="I38" s="1598"/>
      <c r="J38" s="590"/>
      <c r="K38" s="1598"/>
      <c r="L38" s="590"/>
      <c r="M38" s="1598"/>
      <c r="N38" s="590"/>
      <c r="O38" s="1597"/>
      <c r="P38" s="590"/>
      <c r="Q38" s="1597"/>
      <c r="R38" s="590"/>
      <c r="S38" s="1597"/>
    </row>
    <row r="39" spans="1:19">
      <c r="A39" s="1596"/>
      <c r="B39" s="1611" t="s">
        <v>649</v>
      </c>
      <c r="C39" s="1216"/>
      <c r="D39" s="1216"/>
      <c r="E39" s="1216"/>
      <c r="F39" s="1216"/>
      <c r="G39" s="1218"/>
      <c r="H39" s="620"/>
      <c r="I39" s="1601"/>
      <c r="J39" s="620"/>
      <c r="K39" s="1601"/>
      <c r="L39" s="620"/>
      <c r="M39" s="1601"/>
      <c r="N39" s="620"/>
      <c r="O39" s="1602"/>
      <c r="P39" s="620"/>
      <c r="Q39" s="1602"/>
      <c r="R39" s="620"/>
      <c r="S39" s="1602"/>
    </row>
    <row r="40" spans="1:19">
      <c r="A40" s="1596"/>
      <c r="B40" s="1610"/>
      <c r="C40" s="1124"/>
      <c r="D40" s="1124"/>
      <c r="E40" s="1124"/>
      <c r="F40" s="1124"/>
      <c r="G40" s="1133"/>
      <c r="H40" s="590"/>
      <c r="I40" s="1598"/>
      <c r="J40" s="590"/>
      <c r="K40" s="1598"/>
      <c r="L40" s="590"/>
      <c r="M40" s="1598"/>
      <c r="N40" s="590"/>
      <c r="O40" s="1597"/>
      <c r="P40" s="590"/>
      <c r="Q40" s="1597"/>
      <c r="R40" s="590"/>
      <c r="S40" s="1597"/>
    </row>
    <row r="41" spans="1:19">
      <c r="A41" s="1596"/>
      <c r="B41" s="1612" t="s">
        <v>700</v>
      </c>
      <c r="C41" s="1223"/>
      <c r="D41" s="1223"/>
      <c r="E41" s="1223"/>
      <c r="F41" s="1223"/>
      <c r="G41" s="1225"/>
      <c r="H41" s="621"/>
      <c r="I41" s="1604"/>
      <c r="J41" s="621"/>
      <c r="K41" s="1604"/>
      <c r="L41" s="621"/>
      <c r="M41" s="1604"/>
      <c r="N41" s="621"/>
      <c r="O41" s="1605"/>
      <c r="P41" s="621"/>
      <c r="Q41" s="1605"/>
      <c r="R41" s="621"/>
      <c r="S41" s="1605"/>
    </row>
    <row r="42" spans="1:19">
      <c r="A42" s="1596"/>
      <c r="B42" s="1610"/>
      <c r="C42" s="1124"/>
      <c r="D42" s="1124"/>
      <c r="E42" s="1124"/>
      <c r="F42" s="1124"/>
      <c r="G42" s="1133"/>
      <c r="H42" s="590"/>
      <c r="I42" s="1598"/>
      <c r="J42" s="590"/>
      <c r="K42" s="1598"/>
      <c r="L42" s="590"/>
      <c r="M42" s="1598"/>
      <c r="N42" s="590"/>
      <c r="O42" s="1597"/>
      <c r="P42" s="590"/>
      <c r="Q42" s="1597"/>
      <c r="R42" s="590"/>
      <c r="S42" s="1597"/>
    </row>
    <row r="43" spans="1:19">
      <c r="A43" s="1596"/>
      <c r="B43" s="1611" t="s">
        <v>703</v>
      </c>
      <c r="C43" s="1216"/>
      <c r="D43" s="1216"/>
      <c r="E43" s="1216"/>
      <c r="F43" s="1216"/>
      <c r="G43" s="1218"/>
      <c r="H43" s="620"/>
      <c r="I43" s="1601"/>
      <c r="J43" s="620"/>
      <c r="K43" s="1601"/>
      <c r="L43" s="620"/>
      <c r="M43" s="1601"/>
      <c r="N43" s="620"/>
      <c r="O43" s="1602"/>
      <c r="P43" s="620"/>
      <c r="Q43" s="1602"/>
      <c r="R43" s="620"/>
      <c r="S43" s="1602"/>
    </row>
    <row r="44" spans="1:19">
      <c r="A44" s="1596"/>
      <c r="B44" s="1610"/>
      <c r="C44" s="1124"/>
      <c r="D44" s="1124"/>
      <c r="E44" s="1124"/>
      <c r="F44" s="1124"/>
      <c r="G44" s="1133"/>
      <c r="H44" s="590"/>
      <c r="I44" s="1598"/>
      <c r="J44" s="590"/>
      <c r="K44" s="1598"/>
      <c r="L44" s="590"/>
      <c r="M44" s="1598"/>
      <c r="N44" s="590"/>
      <c r="O44" s="1597"/>
      <c r="P44" s="590"/>
      <c r="Q44" s="1597"/>
      <c r="R44" s="590"/>
      <c r="S44" s="1597"/>
    </row>
    <row r="45" spans="1:19">
      <c r="A45" s="1596"/>
      <c r="B45" s="1612" t="s">
        <v>704</v>
      </c>
      <c r="C45" s="1223"/>
      <c r="D45" s="1223"/>
      <c r="E45" s="1223"/>
      <c r="F45" s="1223"/>
      <c r="G45" s="1225"/>
      <c r="H45" s="621"/>
      <c r="I45" s="1604"/>
      <c r="J45" s="621"/>
      <c r="K45" s="1604"/>
      <c r="L45" s="621"/>
      <c r="M45" s="1604"/>
      <c r="N45" s="621"/>
      <c r="O45" s="1605"/>
      <c r="P45" s="621"/>
      <c r="Q45" s="1605"/>
      <c r="R45" s="621"/>
      <c r="S45" s="1605"/>
    </row>
    <row r="46" spans="1:19">
      <c r="A46" s="1596"/>
      <c r="B46" s="1610" t="s">
        <v>849</v>
      </c>
      <c r="C46" s="1124" t="s">
        <v>850</v>
      </c>
      <c r="D46" s="1124">
        <v>4916</v>
      </c>
      <c r="E46" s="1124" t="s">
        <v>723</v>
      </c>
      <c r="F46" s="1621">
        <f>F37</f>
        <v>7</v>
      </c>
      <c r="G46" s="1616">
        <f>D46*F46</f>
        <v>34412</v>
      </c>
      <c r="H46" s="590"/>
      <c r="I46" s="1598">
        <f>G46</f>
        <v>34412</v>
      </c>
      <c r="J46" s="590"/>
      <c r="K46" s="1598"/>
      <c r="L46" s="590"/>
      <c r="M46" s="1598"/>
      <c r="N46" s="590"/>
      <c r="O46" s="1597"/>
      <c r="P46" s="590"/>
      <c r="Q46" s="1597"/>
      <c r="R46" s="590"/>
      <c r="S46" s="1597"/>
    </row>
    <row r="47" spans="1:19">
      <c r="A47" s="1596"/>
      <c r="B47" s="1610"/>
      <c r="C47" s="1124"/>
      <c r="D47" s="1124"/>
      <c r="E47" s="1124"/>
      <c r="F47" s="1124"/>
      <c r="G47" s="1133"/>
      <c r="H47" s="590"/>
      <c r="I47" s="1598"/>
      <c r="J47" s="590"/>
      <c r="K47" s="1598"/>
      <c r="L47" s="590"/>
      <c r="M47" s="1598"/>
      <c r="N47" s="590"/>
      <c r="O47" s="1597"/>
      <c r="P47" s="590"/>
      <c r="Q47" s="1597"/>
      <c r="R47" s="590"/>
      <c r="S47" s="1597"/>
    </row>
    <row r="48" spans="1:19">
      <c r="A48" s="1596"/>
      <c r="B48" s="1611" t="s">
        <v>705</v>
      </c>
      <c r="C48" s="1216"/>
      <c r="D48" s="1216"/>
      <c r="E48" s="1216"/>
      <c r="F48" s="1216"/>
      <c r="G48" s="1218"/>
      <c r="H48" s="620"/>
      <c r="I48" s="1601"/>
      <c r="J48" s="620"/>
      <c r="K48" s="1601"/>
      <c r="L48" s="620"/>
      <c r="M48" s="1601"/>
      <c r="N48" s="620"/>
      <c r="O48" s="1602"/>
      <c r="P48" s="620"/>
      <c r="Q48" s="1602"/>
      <c r="R48" s="620"/>
      <c r="S48" s="1602"/>
    </row>
    <row r="49" spans="1:19">
      <c r="A49" s="1596"/>
      <c r="B49" s="1610"/>
      <c r="C49" s="1124"/>
      <c r="D49" s="1124"/>
      <c r="E49" s="1124"/>
      <c r="F49" s="1124"/>
      <c r="G49" s="1133"/>
      <c r="H49" s="590"/>
      <c r="I49" s="1598"/>
      <c r="J49" s="590"/>
      <c r="K49" s="1598"/>
      <c r="L49" s="590"/>
      <c r="M49" s="1598"/>
      <c r="N49" s="590"/>
      <c r="O49" s="1597"/>
      <c r="P49" s="590"/>
      <c r="Q49" s="1597"/>
      <c r="R49" s="590"/>
      <c r="S49" s="1597"/>
    </row>
    <row r="50" spans="1:19">
      <c r="A50" s="1596"/>
      <c r="B50" s="1612" t="s">
        <v>602</v>
      </c>
      <c r="C50" s="1223"/>
      <c r="D50" s="1223"/>
      <c r="E50" s="1223"/>
      <c r="F50" s="1223"/>
      <c r="G50" s="1225"/>
      <c r="H50" s="621"/>
      <c r="I50" s="1604"/>
      <c r="J50" s="621"/>
      <c r="K50" s="1604"/>
      <c r="L50" s="621"/>
      <c r="M50" s="1604"/>
      <c r="N50" s="621"/>
      <c r="O50" s="1605"/>
      <c r="P50" s="621"/>
      <c r="Q50" s="1605"/>
      <c r="R50" s="621"/>
      <c r="S50" s="1605"/>
    </row>
    <row r="51" spans="1:19">
      <c r="A51" s="1596"/>
      <c r="B51" s="1551"/>
      <c r="C51" s="1124"/>
      <c r="D51" s="1124"/>
      <c r="E51" s="1124"/>
      <c r="F51" s="1124"/>
      <c r="G51" s="1133"/>
      <c r="H51" s="590"/>
      <c r="I51" s="1598"/>
      <c r="J51" s="590"/>
      <c r="K51" s="1598"/>
      <c r="L51" s="590"/>
      <c r="M51" s="1598"/>
      <c r="N51" s="590"/>
      <c r="O51" s="1598"/>
      <c r="P51" s="590"/>
      <c r="Q51" s="1598"/>
      <c r="R51" s="590"/>
      <c r="S51" s="1597"/>
    </row>
    <row r="52" spans="1:19">
      <c r="A52" s="1596"/>
      <c r="B52" s="1584"/>
      <c r="C52" s="1124"/>
      <c r="D52" s="1124"/>
      <c r="E52" s="1124"/>
      <c r="F52" s="1124"/>
      <c r="G52" s="1133"/>
      <c r="H52" s="590"/>
      <c r="I52" s="1598"/>
      <c r="J52" s="590"/>
      <c r="K52" s="1598"/>
      <c r="L52" s="590"/>
      <c r="M52" s="1598"/>
      <c r="N52" s="590"/>
      <c r="O52" s="1598"/>
      <c r="P52" s="590"/>
      <c r="Q52" s="1598"/>
      <c r="R52" s="590"/>
      <c r="S52" s="1597"/>
    </row>
    <row r="53" spans="1:19" ht="15.75" thickBot="1">
      <c r="A53" s="623"/>
      <c r="B53" s="1584"/>
      <c r="C53" s="184"/>
      <c r="D53" s="184"/>
      <c r="E53" s="184"/>
      <c r="F53" s="184"/>
      <c r="G53" s="296"/>
      <c r="H53" s="590"/>
      <c r="I53" s="1585"/>
      <c r="J53" s="590"/>
      <c r="K53" s="1598"/>
      <c r="L53" s="590"/>
      <c r="M53" s="1598"/>
      <c r="N53" s="590"/>
      <c r="O53" s="1598"/>
      <c r="P53" s="590"/>
      <c r="Q53" s="1597"/>
      <c r="R53" s="590"/>
      <c r="S53" s="1597"/>
    </row>
    <row r="54" spans="1:19" ht="15.75" thickTop="1">
      <c r="A54" s="14"/>
      <c r="B54" s="15"/>
      <c r="C54" s="16"/>
      <c r="D54" s="16"/>
      <c r="E54" s="17"/>
      <c r="F54" s="18" t="s">
        <v>567</v>
      </c>
      <c r="G54" s="19"/>
      <c r="H54" s="20"/>
      <c r="I54" s="61">
        <f>SUM(I23:I53)</f>
        <v>41580</v>
      </c>
      <c r="J54" s="20"/>
      <c r="K54" s="61">
        <f>SUM(K23:K53)</f>
        <v>0</v>
      </c>
      <c r="L54" s="20"/>
      <c r="M54" s="61">
        <f>SUM(M22:M53)</f>
        <v>0</v>
      </c>
      <c r="N54" s="20"/>
      <c r="O54" s="61">
        <f>SUM(O22:O53)</f>
        <v>0</v>
      </c>
      <c r="P54" s="20"/>
      <c r="Q54" s="61">
        <f>SUM(Q23:Q53)</f>
        <v>0</v>
      </c>
      <c r="R54" s="20"/>
      <c r="S54" s="61">
        <f>SUM(S23:S53)</f>
        <v>0</v>
      </c>
    </row>
    <row r="55" spans="1:19">
      <c r="A55" s="624"/>
      <c r="B55" s="1156"/>
      <c r="C55" s="1157"/>
      <c r="D55" s="1157"/>
      <c r="E55" s="1158"/>
      <c r="F55" s="1159" t="s">
        <v>568</v>
      </c>
      <c r="G55" s="1160"/>
      <c r="H55" s="593">
        <v>0</v>
      </c>
      <c r="I55" s="592"/>
      <c r="J55" s="593">
        <v>0</v>
      </c>
      <c r="K55" s="592"/>
      <c r="L55" s="593">
        <v>0</v>
      </c>
      <c r="M55" s="592"/>
      <c r="N55" s="593">
        <v>0</v>
      </c>
      <c r="O55" s="592"/>
      <c r="P55" s="593">
        <v>0</v>
      </c>
      <c r="Q55" s="592"/>
      <c r="R55" s="593">
        <v>0</v>
      </c>
      <c r="S55" s="592"/>
    </row>
    <row r="56" spans="1:19">
      <c r="A56" s="624"/>
      <c r="B56" s="1156"/>
      <c r="C56" s="1157"/>
      <c r="D56" s="1157"/>
      <c r="E56" s="1158"/>
      <c r="F56" s="1159" t="s">
        <v>569</v>
      </c>
      <c r="G56" s="1160"/>
      <c r="H56" s="594"/>
      <c r="I56" s="595">
        <f>H55*$I$54</f>
        <v>0</v>
      </c>
      <c r="J56" s="594"/>
      <c r="K56" s="595">
        <f>J55*$K$54</f>
        <v>0</v>
      </c>
      <c r="L56" s="594"/>
      <c r="M56" s="595">
        <f>L55*$M$54</f>
        <v>0</v>
      </c>
      <c r="N56" s="594"/>
      <c r="O56" s="595">
        <f>N55*$O$54</f>
        <v>0</v>
      </c>
      <c r="P56" s="594"/>
      <c r="Q56" s="595">
        <f>P55*$Q$54</f>
        <v>0</v>
      </c>
      <c r="R56" s="594"/>
      <c r="S56" s="595">
        <f>R55*S54</f>
        <v>0</v>
      </c>
    </row>
    <row r="57" spans="1:19">
      <c r="A57" s="624"/>
      <c r="B57" s="1156"/>
      <c r="C57" s="1157"/>
      <c r="D57" s="1157"/>
      <c r="E57" s="1158"/>
      <c r="F57" s="1159"/>
      <c r="G57" s="1160"/>
      <c r="H57" s="594"/>
      <c r="I57" s="596"/>
      <c r="J57" s="594"/>
      <c r="K57" s="596"/>
      <c r="L57" s="594"/>
      <c r="M57" s="596"/>
      <c r="N57" s="594"/>
      <c r="O57" s="596"/>
      <c r="P57" s="594"/>
      <c r="Q57" s="596"/>
      <c r="R57" s="594"/>
      <c r="S57" s="596"/>
    </row>
    <row r="58" spans="1:19">
      <c r="A58" s="624"/>
      <c r="B58" s="1156"/>
      <c r="C58" s="1157"/>
      <c r="D58" s="1157"/>
      <c r="E58" s="1158"/>
      <c r="F58" s="1159" t="s">
        <v>570</v>
      </c>
      <c r="G58" s="1160"/>
      <c r="H58" s="597"/>
      <c r="I58" s="598">
        <f>SUM(I54:I56)</f>
        <v>41580</v>
      </c>
      <c r="J58" s="597"/>
      <c r="K58" s="598">
        <f>SUM(K54:K56)</f>
        <v>0</v>
      </c>
      <c r="L58" s="597"/>
      <c r="M58" s="598">
        <f>SUM(M54:M56)</f>
        <v>0</v>
      </c>
      <c r="N58" s="597"/>
      <c r="O58" s="598">
        <f>SUM(O54:O56)</f>
        <v>0</v>
      </c>
      <c r="P58" s="597"/>
      <c r="Q58" s="598">
        <f>SUM(Q54:Q56)</f>
        <v>0</v>
      </c>
      <c r="R58" s="597"/>
      <c r="S58" s="598">
        <f>SUM(S54:S56)</f>
        <v>0</v>
      </c>
    </row>
    <row r="59" spans="1:19">
      <c r="A59" s="624"/>
      <c r="B59" s="1156"/>
      <c r="C59" s="1157"/>
      <c r="D59" s="1157"/>
      <c r="E59" s="1158"/>
      <c r="F59" s="1161" t="s">
        <v>571</v>
      </c>
      <c r="G59" s="1162"/>
      <c r="H59" s="599"/>
      <c r="I59" s="600" t="e">
        <f>I58/'Area Calculations'!$J$4</f>
        <v>#DIV/0!</v>
      </c>
      <c r="J59" s="599"/>
      <c r="K59" s="600" t="e">
        <f>K58/'Area Calculations'!$J$4</f>
        <v>#DIV/0!</v>
      </c>
      <c r="L59" s="599"/>
      <c r="M59" s="600" t="e">
        <f>M58/'Area Calculations'!$J$4</f>
        <v>#DIV/0!</v>
      </c>
      <c r="N59" s="599"/>
      <c r="O59" s="600" t="e">
        <f>O58/'Area Calculations'!$J$4</f>
        <v>#DIV/0!</v>
      </c>
      <c r="P59" s="599"/>
      <c r="Q59" s="600" t="e">
        <f>Q58/'Area Calculations'!$J$4</f>
        <v>#DIV/0!</v>
      </c>
      <c r="R59" s="599"/>
      <c r="S59" s="600" t="e">
        <f>S58/'Area Calculations'!$J$4</f>
        <v>#DIV/0!</v>
      </c>
    </row>
    <row r="60" spans="1:19">
      <c r="A60" s="624"/>
      <c r="B60" s="1156"/>
      <c r="C60" s="1157"/>
      <c r="D60" s="1157"/>
      <c r="E60" s="1158"/>
      <c r="F60" s="1161" t="s">
        <v>572</v>
      </c>
      <c r="G60" s="1163"/>
      <c r="H60" s="599"/>
      <c r="I60" s="600" t="e">
        <f>I58/'Area Calculations'!#REF!</f>
        <v>#REF!</v>
      </c>
      <c r="J60" s="599"/>
      <c r="K60" s="600" t="e">
        <f>K58/'Area Calculations'!#REF!</f>
        <v>#REF!</v>
      </c>
      <c r="L60" s="599"/>
      <c r="M60" s="600" t="e">
        <f>M58/'Area Calculations'!#REF!</f>
        <v>#REF!</v>
      </c>
      <c r="N60" s="599"/>
      <c r="O60" s="600" t="e">
        <f>O58/'Area Calculations'!#REF!</f>
        <v>#REF!</v>
      </c>
      <c r="P60" s="599"/>
      <c r="Q60" s="600" t="e">
        <f>Q58/'Area Calculations'!#REF!</f>
        <v>#REF!</v>
      </c>
      <c r="R60" s="599"/>
      <c r="S60" s="600" t="e">
        <f>S58/'Area Calculations'!#REF!</f>
        <v>#REF!</v>
      </c>
    </row>
    <row r="61" spans="1:19" ht="15.75" thickBot="1">
      <c r="A61" s="624"/>
      <c r="B61" s="1156"/>
      <c r="C61" s="1157"/>
      <c r="D61" s="1157"/>
      <c r="E61" s="1158"/>
      <c r="F61" s="1159"/>
      <c r="G61" s="1533"/>
      <c r="H61" s="601"/>
      <c r="I61" s="602"/>
      <c r="J61" s="603"/>
      <c r="K61" s="603"/>
      <c r="L61" s="603"/>
      <c r="M61" s="603"/>
      <c r="N61" s="603"/>
      <c r="O61" s="603"/>
      <c r="P61" s="603"/>
      <c r="Q61" s="603"/>
      <c r="R61" s="603"/>
      <c r="S61" s="603"/>
    </row>
    <row r="62" spans="1:19" ht="16.5" thickTop="1" thickBot="1">
      <c r="A62" s="726" t="s">
        <v>573</v>
      </c>
      <c r="B62" s="727"/>
      <c r="C62" s="12"/>
      <c r="D62" s="12"/>
      <c r="E62" s="12"/>
      <c r="F62" s="12"/>
      <c r="G62" s="13"/>
      <c r="H62" s="21"/>
      <c r="I62" s="21"/>
      <c r="J62" s="21"/>
      <c r="K62" s="21"/>
      <c r="L62" s="21"/>
      <c r="M62" s="21"/>
      <c r="N62" s="21"/>
      <c r="O62" s="21"/>
      <c r="P62" s="21"/>
      <c r="Q62" s="21"/>
      <c r="R62" s="21"/>
      <c r="S62" s="21"/>
    </row>
    <row r="63" spans="1:19" ht="15.75" thickTop="1">
      <c r="A63" s="1608"/>
      <c r="B63" s="862"/>
      <c r="C63" s="1586"/>
      <c r="D63" s="1586"/>
      <c r="E63" s="1586"/>
      <c r="F63" s="1586"/>
      <c r="G63" s="1587"/>
      <c r="H63" s="1588"/>
      <c r="I63" s="1588"/>
      <c r="J63" s="1588"/>
      <c r="K63" s="1588"/>
      <c r="L63" s="1588"/>
      <c r="M63" s="1588"/>
      <c r="N63" s="1588"/>
      <c r="O63" s="1588"/>
      <c r="P63" s="1588"/>
      <c r="Q63" s="1588"/>
      <c r="R63" s="1588"/>
      <c r="S63" s="1588"/>
    </row>
    <row r="64" spans="1:19">
      <c r="A64" s="1608"/>
      <c r="B64" s="862"/>
      <c r="C64" s="1586"/>
      <c r="D64" s="1586"/>
      <c r="E64" s="1586"/>
      <c r="F64" s="1586"/>
      <c r="G64" s="1587"/>
      <c r="H64" s="1588"/>
      <c r="I64" s="1588"/>
      <c r="J64" s="1588"/>
      <c r="K64" s="1588"/>
      <c r="L64" s="1588"/>
      <c r="M64" s="1588"/>
      <c r="N64" s="1588"/>
      <c r="O64" s="1588"/>
      <c r="P64" s="1588"/>
      <c r="Q64" s="1588"/>
      <c r="R64" s="1588"/>
      <c r="S64" s="1588"/>
    </row>
    <row r="65" spans="1:19" ht="15.75" thickBot="1">
      <c r="A65" s="1608"/>
      <c r="B65" s="862"/>
      <c r="C65" s="1586"/>
      <c r="D65" s="1586"/>
      <c r="E65" s="1586"/>
      <c r="F65" s="1586"/>
      <c r="G65" s="1587"/>
      <c r="H65" s="1588"/>
      <c r="I65" s="1588"/>
      <c r="J65" s="1588"/>
      <c r="K65" s="1588"/>
      <c r="L65" s="1588"/>
      <c r="M65" s="1588"/>
      <c r="N65" s="1588"/>
      <c r="O65" s="1588"/>
      <c r="P65" s="1588"/>
      <c r="Q65" s="1588"/>
      <c r="R65" s="1588"/>
      <c r="S65" s="1588"/>
    </row>
    <row r="66" spans="1:19" s="2" customFormat="1" ht="16.5" thickTop="1" thickBot="1">
      <c r="A66" s="726" t="s">
        <v>574</v>
      </c>
      <c r="B66" s="727"/>
      <c r="C66" s="12"/>
      <c r="D66" s="12"/>
      <c r="E66" s="12"/>
      <c r="F66" s="12"/>
      <c r="G66" s="13"/>
      <c r="H66" s="21"/>
      <c r="I66" s="21"/>
      <c r="J66" s="21"/>
      <c r="K66" s="21"/>
      <c r="L66" s="21"/>
      <c r="M66" s="21"/>
      <c r="N66" s="21"/>
      <c r="O66" s="21"/>
      <c r="P66" s="21"/>
      <c r="Q66" s="21"/>
      <c r="R66" s="21"/>
      <c r="S66" s="21"/>
    </row>
    <row r="67" spans="1:19" s="2" customFormat="1" ht="15.75" thickTop="1">
      <c r="A67" s="1608"/>
      <c r="B67" s="862"/>
      <c r="C67" s="1586"/>
      <c r="D67" s="1586"/>
      <c r="E67" s="1586"/>
      <c r="F67" s="1586"/>
      <c r="G67" s="1587"/>
      <c r="H67" s="1588"/>
      <c r="I67" s="1588"/>
      <c r="J67" s="1588"/>
      <c r="K67" s="1588"/>
      <c r="L67" s="1588"/>
      <c r="M67" s="1588"/>
      <c r="N67" s="1588"/>
      <c r="O67" s="1588"/>
      <c r="P67" s="1588"/>
      <c r="Q67" s="1588"/>
      <c r="R67" s="1588"/>
      <c r="S67" s="1588"/>
    </row>
    <row r="68" spans="1:19" s="2" customFormat="1">
      <c r="A68" s="1608"/>
      <c r="B68" s="862"/>
      <c r="C68" s="1586"/>
      <c r="D68" s="1586"/>
      <c r="E68" s="1586"/>
      <c r="F68" s="1586"/>
      <c r="G68" s="1587"/>
      <c r="H68" s="1588"/>
      <c r="I68" s="1588"/>
      <c r="J68" s="1588"/>
      <c r="K68" s="1588"/>
      <c r="L68" s="1588"/>
      <c r="M68" s="1588"/>
      <c r="N68" s="1588"/>
      <c r="O68" s="1588"/>
      <c r="P68" s="1588"/>
      <c r="Q68" s="1588"/>
      <c r="R68" s="1588"/>
      <c r="S68" s="1588"/>
    </row>
    <row r="69" spans="1:19" ht="15.75" thickBot="1">
      <c r="A69" s="1608"/>
      <c r="B69" s="862"/>
      <c r="C69" s="1586"/>
      <c r="D69" s="1586"/>
      <c r="E69" s="1586"/>
      <c r="F69" s="1586"/>
      <c r="G69" s="1587"/>
      <c r="H69" s="1588"/>
      <c r="I69" s="1588"/>
      <c r="J69" s="1588"/>
      <c r="K69" s="1588"/>
      <c r="L69" s="1588"/>
      <c r="M69" s="1588"/>
      <c r="N69" s="1588"/>
      <c r="O69" s="1588"/>
      <c r="P69" s="1588"/>
      <c r="Q69" s="1588"/>
      <c r="R69" s="1588"/>
      <c r="S69" s="1588"/>
    </row>
    <row r="70" spans="1:19" s="2" customFormat="1" ht="16.5" thickTop="1" thickBot="1">
      <c r="A70" s="726" t="s">
        <v>575</v>
      </c>
      <c r="B70" s="727"/>
      <c r="C70" s="12"/>
      <c r="D70" s="12"/>
      <c r="E70" s="12"/>
      <c r="F70" s="12"/>
      <c r="G70" s="13"/>
      <c r="H70" s="21"/>
      <c r="I70" s="21"/>
      <c r="J70" s="21"/>
      <c r="K70" s="21"/>
      <c r="L70" s="21"/>
      <c r="M70" s="21"/>
      <c r="N70" s="21"/>
      <c r="O70" s="21"/>
      <c r="P70" s="21"/>
      <c r="Q70" s="21"/>
      <c r="R70" s="21"/>
      <c r="S70" s="21"/>
    </row>
    <row r="71" spans="1:19" s="2" customFormat="1" ht="15.75" thickTop="1">
      <c r="A71" s="1608"/>
      <c r="B71" s="862"/>
      <c r="C71" s="1586"/>
      <c r="D71" s="1586"/>
      <c r="E71" s="1586"/>
      <c r="F71" s="1586"/>
      <c r="G71" s="1587"/>
      <c r="H71" s="1588"/>
      <c r="I71" s="1588"/>
      <c r="J71" s="1588"/>
      <c r="K71" s="1588"/>
      <c r="L71" s="1588"/>
      <c r="M71" s="1588"/>
      <c r="N71" s="1588"/>
      <c r="O71" s="1588"/>
      <c r="P71" s="1588"/>
      <c r="Q71" s="1588"/>
      <c r="R71" s="1588"/>
      <c r="S71" s="1588"/>
    </row>
    <row r="72" spans="1:19" s="2" customFormat="1">
      <c r="A72" s="628"/>
      <c r="B72" s="862"/>
      <c r="C72" s="1124"/>
      <c r="D72" s="1124"/>
      <c r="E72" s="1124"/>
      <c r="F72" s="1124"/>
      <c r="G72" s="1133"/>
      <c r="H72" s="604"/>
      <c r="I72" s="604"/>
      <c r="J72" s="604"/>
      <c r="K72" s="604"/>
      <c r="L72" s="604"/>
      <c r="M72" s="604"/>
      <c r="N72" s="604"/>
      <c r="O72" s="604"/>
      <c r="P72" s="604"/>
      <c r="Q72" s="604"/>
      <c r="R72" s="604"/>
      <c r="S72" s="604"/>
    </row>
    <row r="73" spans="1:19" s="2" customFormat="1" ht="15.75" thickBot="1">
      <c r="A73" s="625"/>
      <c r="B73" s="1171"/>
      <c r="C73" s="1124"/>
      <c r="D73" s="1124"/>
      <c r="E73" s="1124"/>
      <c r="F73" s="1124"/>
      <c r="G73" s="1133"/>
      <c r="H73" s="605"/>
      <c r="I73" s="605"/>
      <c r="J73" s="605"/>
      <c r="K73" s="605"/>
      <c r="L73" s="605"/>
      <c r="M73" s="605"/>
      <c r="N73" s="605"/>
      <c r="O73" s="605"/>
      <c r="P73" s="605"/>
      <c r="Q73" s="605"/>
      <c r="R73" s="605"/>
      <c r="S73" s="605"/>
    </row>
    <row r="74" spans="1:19" s="2" customFormat="1" ht="16.5" thickTop="1" thickBot="1">
      <c r="A74" s="726" t="s">
        <v>576</v>
      </c>
      <c r="B74" s="727"/>
      <c r="C74" s="12"/>
      <c r="D74" s="12"/>
      <c r="E74" s="12"/>
      <c r="F74" s="12"/>
      <c r="G74" s="13"/>
      <c r="H74" s="21"/>
      <c r="I74" s="21"/>
      <c r="J74" s="21"/>
      <c r="K74" s="21"/>
      <c r="L74" s="21"/>
      <c r="M74" s="21"/>
      <c r="N74" s="21"/>
      <c r="O74" s="21"/>
      <c r="P74" s="21"/>
      <c r="Q74" s="21"/>
      <c r="R74" s="21"/>
      <c r="S74" s="21"/>
    </row>
    <row r="75" spans="1:19" ht="15.75" thickTop="1">
      <c r="A75" s="1589"/>
      <c r="B75" s="1590"/>
      <c r="C75" s="1586"/>
      <c r="D75" s="1586"/>
      <c r="E75" s="1586"/>
      <c r="F75" s="1586"/>
      <c r="G75" s="1587"/>
      <c r="H75" s="1588"/>
      <c r="I75" s="1588"/>
      <c r="J75" s="1588"/>
      <c r="K75" s="1588"/>
      <c r="L75" s="1588"/>
      <c r="M75" s="1588"/>
      <c r="N75" s="1588"/>
      <c r="O75" s="1588"/>
      <c r="P75" s="1588"/>
      <c r="Q75" s="1588"/>
      <c r="R75" s="1588"/>
      <c r="S75" s="1588"/>
    </row>
    <row r="76" spans="1:19">
      <c r="A76" s="625"/>
      <c r="B76" s="1171"/>
      <c r="C76" s="1124"/>
      <c r="D76" s="1124"/>
      <c r="E76" s="1124"/>
      <c r="F76" s="1124"/>
      <c r="G76" s="1133"/>
      <c r="H76" s="606"/>
      <c r="I76" s="606"/>
      <c r="J76" s="606"/>
      <c r="K76" s="606"/>
      <c r="L76" s="606"/>
      <c r="M76" s="606"/>
      <c r="N76" s="606"/>
      <c r="O76" s="606"/>
      <c r="P76" s="606"/>
      <c r="Q76" s="606"/>
      <c r="R76" s="606"/>
      <c r="S76" s="606"/>
    </row>
    <row r="77" spans="1:19" ht="15.75" thickBot="1">
      <c r="A77" s="625"/>
      <c r="B77" s="1171"/>
      <c r="C77" s="1124"/>
      <c r="D77" s="1124"/>
      <c r="E77" s="1124"/>
      <c r="F77" s="1124"/>
      <c r="G77" s="1133"/>
      <c r="H77" s="606"/>
      <c r="I77" s="606"/>
      <c r="J77" s="606"/>
      <c r="K77" s="606"/>
      <c r="L77" s="606"/>
      <c r="M77" s="606"/>
      <c r="N77" s="606"/>
      <c r="O77" s="606"/>
      <c r="P77" s="606"/>
      <c r="Q77" s="606"/>
      <c r="R77" s="606"/>
      <c r="S77" s="606"/>
    </row>
    <row r="78" spans="1:19" ht="16.5" thickTop="1" thickBot="1">
      <c r="A78" s="726" t="s">
        <v>577</v>
      </c>
      <c r="B78" s="727"/>
      <c r="C78" s="12"/>
      <c r="D78" s="12"/>
      <c r="E78" s="12"/>
      <c r="F78" s="12"/>
      <c r="G78" s="13"/>
      <c r="H78" s="21"/>
      <c r="I78" s="21"/>
      <c r="J78" s="21"/>
      <c r="K78" s="21"/>
      <c r="L78" s="21"/>
      <c r="M78" s="21"/>
      <c r="N78" s="21"/>
      <c r="O78" s="21"/>
      <c r="P78" s="21"/>
      <c r="Q78" s="21"/>
      <c r="R78" s="21"/>
      <c r="S78" s="21"/>
    </row>
    <row r="79" spans="1:19" ht="15.75" thickTop="1">
      <c r="A79" s="628"/>
      <c r="B79" s="862" t="s">
        <v>578</v>
      </c>
      <c r="C79" s="1124"/>
      <c r="D79" s="1124"/>
      <c r="E79" s="1124"/>
      <c r="F79" s="1124"/>
      <c r="G79" s="1133"/>
      <c r="H79" s="606"/>
      <c r="I79" s="606"/>
      <c r="J79" s="606"/>
      <c r="K79" s="606"/>
      <c r="L79" s="606"/>
      <c r="M79" s="606"/>
      <c r="N79" s="606"/>
      <c r="O79" s="606"/>
      <c r="P79" s="606"/>
      <c r="Q79" s="606"/>
      <c r="R79" s="606"/>
      <c r="S79" s="606"/>
    </row>
    <row r="80" spans="1:19">
      <c r="A80" s="628"/>
      <c r="B80" s="862" t="s">
        <v>579</v>
      </c>
      <c r="C80" s="1124"/>
      <c r="D80" s="1124"/>
      <c r="E80" s="1124"/>
      <c r="F80" s="1124"/>
      <c r="G80" s="1133"/>
      <c r="H80" s="606"/>
      <c r="I80" s="606"/>
      <c r="J80" s="606"/>
      <c r="K80" s="606"/>
      <c r="L80" s="606"/>
      <c r="M80" s="606"/>
      <c r="N80" s="606"/>
      <c r="O80" s="606"/>
      <c r="P80" s="606"/>
      <c r="Q80" s="606"/>
      <c r="R80" s="606"/>
      <c r="S80" s="606"/>
    </row>
    <row r="81" spans="1:19">
      <c r="A81" s="628"/>
      <c r="B81" s="862" t="s">
        <v>580</v>
      </c>
      <c r="C81" s="1124"/>
      <c r="D81" s="1124"/>
      <c r="E81" s="1124"/>
      <c r="F81" s="1124"/>
      <c r="G81" s="1133"/>
      <c r="H81" s="606"/>
      <c r="I81" s="606"/>
      <c r="J81" s="606"/>
      <c r="K81" s="606"/>
      <c r="L81" s="606"/>
      <c r="M81" s="606"/>
      <c r="N81" s="606"/>
      <c r="O81" s="606"/>
      <c r="P81" s="606"/>
      <c r="Q81" s="606"/>
      <c r="R81" s="606"/>
      <c r="S81" s="606"/>
    </row>
    <row r="82" spans="1:19">
      <c r="A82" s="628"/>
      <c r="B82" s="862" t="s">
        <v>581</v>
      </c>
      <c r="C82" s="1124"/>
      <c r="D82" s="1124"/>
      <c r="E82" s="1124"/>
      <c r="F82" s="1124"/>
      <c r="G82" s="1133"/>
      <c r="H82" s="606"/>
      <c r="I82" s="606"/>
      <c r="J82" s="606"/>
      <c r="K82" s="606"/>
      <c r="L82" s="606"/>
      <c r="M82" s="606"/>
      <c r="N82" s="606"/>
      <c r="O82" s="606"/>
      <c r="P82" s="606"/>
      <c r="Q82" s="606"/>
      <c r="R82" s="606"/>
      <c r="S82" s="606"/>
    </row>
    <row r="83" spans="1:19" ht="15.75" thickBot="1">
      <c r="A83" s="416"/>
      <c r="B83" s="295"/>
      <c r="C83" s="184"/>
      <c r="D83" s="184"/>
      <c r="E83" s="184"/>
      <c r="F83" s="184"/>
      <c r="G83" s="296"/>
      <c r="H83" s="418"/>
      <c r="I83" s="418"/>
      <c r="J83" s="418"/>
      <c r="K83" s="418"/>
      <c r="L83" s="418"/>
      <c r="M83" s="418"/>
      <c r="N83" s="418"/>
      <c r="O83" s="418"/>
      <c r="P83" s="418"/>
      <c r="Q83" s="418"/>
      <c r="R83" s="418"/>
      <c r="S83" s="418"/>
    </row>
    <row r="84" spans="1:19" ht="16.5" thickTop="1" thickBot="1">
      <c r="A84" s="7" t="s">
        <v>582</v>
      </c>
      <c r="B84" s="8"/>
      <c r="C84" s="12"/>
      <c r="D84" s="12"/>
      <c r="E84" s="12"/>
      <c r="F84" s="12"/>
      <c r="G84" s="13"/>
      <c r="H84" s="21"/>
      <c r="I84" s="21"/>
      <c r="J84" s="21"/>
      <c r="K84" s="21"/>
      <c r="L84" s="21"/>
      <c r="M84" s="21"/>
      <c r="N84" s="21"/>
      <c r="O84" s="21"/>
      <c r="P84" s="21"/>
      <c r="Q84" s="21"/>
      <c r="R84" s="21"/>
      <c r="S84" s="21"/>
    </row>
    <row r="85" spans="1:19" ht="15.75" thickTop="1">
      <c r="A85" s="1608"/>
      <c r="B85" s="1591" t="s">
        <v>583</v>
      </c>
      <c r="C85" s="1586"/>
      <c r="D85" s="1586"/>
      <c r="E85" s="1586"/>
      <c r="F85" s="1586"/>
      <c r="G85" s="1587"/>
      <c r="H85" s="1592"/>
      <c r="I85" s="1592"/>
      <c r="J85" s="1592"/>
      <c r="K85" s="1592"/>
      <c r="L85" s="1592"/>
      <c r="M85" s="1592"/>
      <c r="N85" s="1592"/>
      <c r="O85" s="1592"/>
      <c r="P85" s="1592"/>
      <c r="Q85" s="1592"/>
      <c r="R85" s="1592"/>
      <c r="S85" s="1592"/>
    </row>
    <row r="86" spans="1:19">
      <c r="A86" s="628"/>
      <c r="B86" s="862" t="s">
        <v>584</v>
      </c>
      <c r="C86" s="1124"/>
      <c r="D86" s="1124"/>
      <c r="E86" s="1124"/>
      <c r="F86" s="1124"/>
      <c r="G86" s="1133"/>
      <c r="H86" s="618"/>
      <c r="I86" s="618"/>
      <c r="J86" s="618"/>
      <c r="K86" s="618"/>
      <c r="L86" s="618"/>
      <c r="M86" s="618"/>
      <c r="N86" s="618"/>
      <c r="O86" s="618"/>
      <c r="P86" s="618"/>
      <c r="Q86" s="618"/>
      <c r="R86" s="618"/>
      <c r="S86" s="618"/>
    </row>
    <row r="87" spans="1:19" ht="15.75" thickBot="1">
      <c r="A87" s="607"/>
      <c r="B87" s="608" t="s">
        <v>585</v>
      </c>
      <c r="C87" s="609"/>
      <c r="D87" s="609"/>
      <c r="E87" s="609"/>
      <c r="F87" s="609"/>
      <c r="G87" s="610"/>
      <c r="H87" s="611"/>
      <c r="I87" s="611"/>
      <c r="J87" s="611"/>
      <c r="K87" s="611"/>
      <c r="L87" s="611"/>
      <c r="M87" s="611"/>
      <c r="N87" s="611"/>
      <c r="O87" s="611"/>
      <c r="P87" s="611"/>
      <c r="Q87" s="611"/>
      <c r="R87" s="611"/>
      <c r="S87" s="611"/>
    </row>
    <row r="88" spans="1:19" ht="16.5" thickTop="1" thickBot="1"/>
    <row r="89" spans="1:19" ht="16.5" thickTop="1" thickBot="1">
      <c r="A89" s="92" t="s">
        <v>586</v>
      </c>
      <c r="B89" s="94"/>
    </row>
    <row r="90" spans="1:19" ht="15.75" thickTop="1">
      <c r="A90" s="93" t="s">
        <v>487</v>
      </c>
      <c r="B90" s="612"/>
    </row>
    <row r="91" spans="1:19">
      <c r="A91" s="626" t="s">
        <v>491</v>
      </c>
      <c r="B91" s="612"/>
    </row>
    <row r="92" spans="1:19">
      <c r="A92" s="613" t="s">
        <v>494</v>
      </c>
      <c r="B92" s="614"/>
    </row>
    <row r="93" spans="1:19">
      <c r="A93" s="613" t="s">
        <v>497</v>
      </c>
      <c r="B93" s="622"/>
    </row>
    <row r="94" spans="1:19" ht="15.75" thickBot="1">
      <c r="A94" s="615" t="s">
        <v>587</v>
      </c>
      <c r="B94" s="616">
        <f>H8</f>
        <v>41580</v>
      </c>
    </row>
    <row r="95" spans="1:19" ht="15.75" thickTop="1"/>
    <row r="96" spans="1:19">
      <c r="A96" s="95"/>
      <c r="B96" s="1" t="s">
        <v>588</v>
      </c>
    </row>
    <row r="97" spans="1:2">
      <c r="A97" s="96"/>
      <c r="B97"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2:B62"/>
    <mergeCell ref="A66:B66"/>
    <mergeCell ref="A70:B70"/>
    <mergeCell ref="A74:B74"/>
    <mergeCell ref="A78:B78"/>
  </mergeCells>
  <conditionalFormatting sqref="H20:H30 H32:H53 J32:J53 L32:L53 N32:N53 P32:P53 R32:R53">
    <cfRule type="cellIs" dxfId="1393" priority="15" operator="equal">
      <formula>"X"</formula>
    </cfRule>
    <cfRule type="cellIs" dxfId="1392" priority="16" operator="equal">
      <formula>"I"</formula>
    </cfRule>
  </conditionalFormatting>
  <conditionalFormatting sqref="J20:J30">
    <cfRule type="cellIs" dxfId="1391" priority="17" operator="equal">
      <formula>"X"</formula>
    </cfRule>
    <cfRule type="cellIs" dxfId="1390" priority="18" operator="equal">
      <formula>"I"</formula>
    </cfRule>
  </conditionalFormatting>
  <conditionalFormatting sqref="L20:L30">
    <cfRule type="cellIs" dxfId="1389" priority="19" operator="equal">
      <formula>"X"</formula>
    </cfRule>
    <cfRule type="cellIs" dxfId="1388" priority="20" operator="equal">
      <formula>"I"</formula>
    </cfRule>
  </conditionalFormatting>
  <conditionalFormatting sqref="N20:N30">
    <cfRule type="cellIs" dxfId="1387" priority="21" operator="equal">
      <formula>"X"</formula>
    </cfRule>
    <cfRule type="cellIs" dxfId="1386" priority="22" operator="equal">
      <formula>"I"</formula>
    </cfRule>
  </conditionalFormatting>
  <conditionalFormatting sqref="P20:P30">
    <cfRule type="cellIs" dxfId="1385" priority="23" operator="equal">
      <formula>"X"</formula>
    </cfRule>
    <cfRule type="cellIs" dxfId="1384" priority="24" operator="equal">
      <formula>"I"</formula>
    </cfRule>
  </conditionalFormatting>
  <conditionalFormatting sqref="R20:R30">
    <cfRule type="cellIs" dxfId="1383" priority="25" operator="equal">
      <formula>"X"</formula>
    </cfRule>
    <cfRule type="cellIs" dxfId="1382" priority="26" operator="equal">
      <formula>"I"</formula>
    </cfRule>
  </conditionalFormatting>
  <hyperlinks>
    <hyperlink ref="B3" location="'Cost Summary'!A1" display="BACK TO SUMMARY SHEET" xr:uid="{D77A0BA9-822F-446D-85CA-CA8C7BBE98C4}"/>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C7E3-BEC4-4C8D-8E0D-0DCC00A7DBE3}">
  <sheetPr>
    <tabColor rgb="FF92D050"/>
  </sheetPr>
  <dimension ref="A1:S103"/>
  <sheetViews>
    <sheetView zoomScale="95" zoomScaleNormal="95" workbookViewId="0">
      <pane xSplit="2" ySplit="19" topLeftCell="H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5.5703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49"/>
      <c r="I2" s="749"/>
      <c r="J2" s="732"/>
      <c r="K2" s="732"/>
      <c r="L2" s="749"/>
      <c r="M2" s="749"/>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851</v>
      </c>
      <c r="C5" s="1124"/>
      <c r="D5" s="1124"/>
      <c r="E5" s="1124"/>
      <c r="F5" s="1124"/>
      <c r="G5" s="1125" t="s">
        <v>491</v>
      </c>
      <c r="H5" s="1593"/>
      <c r="I5" s="1594"/>
      <c r="J5" s="1593"/>
      <c r="K5" s="1594"/>
      <c r="L5" s="1593"/>
      <c r="M5" s="1594"/>
      <c r="N5" s="1593"/>
      <c r="O5" s="1594"/>
      <c r="P5" s="1593"/>
      <c r="Q5" s="1594"/>
      <c r="R5" s="1593"/>
      <c r="S5" s="1594"/>
    </row>
    <row r="6" spans="1:19">
      <c r="A6" s="627" t="s">
        <v>493</v>
      </c>
      <c r="B6" s="1127" t="s">
        <v>852</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ht="15.75" thickBot="1">
      <c r="A8" s="414" t="s">
        <v>499</v>
      </c>
      <c r="B8" s="295"/>
      <c r="C8" s="184"/>
      <c r="D8" s="184"/>
      <c r="E8" s="184"/>
      <c r="F8" s="184"/>
      <c r="G8" s="419" t="s">
        <v>499</v>
      </c>
      <c r="H8" s="774">
        <f>I64</f>
        <v>0</v>
      </c>
      <c r="I8" s="775"/>
      <c r="J8" s="774">
        <f>K64</f>
        <v>0</v>
      </c>
      <c r="K8" s="775"/>
      <c r="L8" s="774">
        <f>M64</f>
        <v>0</v>
      </c>
      <c r="M8" s="775"/>
      <c r="N8" s="774">
        <f>O64</f>
        <v>0</v>
      </c>
      <c r="O8" s="775"/>
      <c r="P8" s="774">
        <f>Q64</f>
        <v>0</v>
      </c>
      <c r="Q8" s="775"/>
      <c r="R8" s="774">
        <f>S64</f>
        <v>0</v>
      </c>
      <c r="S8" s="77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95" t="s">
        <v>508</v>
      </c>
      <c r="C10" s="1124"/>
      <c r="D10" s="1124"/>
      <c r="E10" s="1124"/>
      <c r="F10" s="1124"/>
      <c r="G10" s="1133"/>
      <c r="H10" s="617"/>
      <c r="I10" s="617"/>
      <c r="J10" s="617"/>
      <c r="K10" s="617"/>
      <c r="L10" s="617"/>
      <c r="M10" s="617"/>
      <c r="N10" s="617"/>
      <c r="O10" s="617"/>
      <c r="P10" s="617"/>
      <c r="Q10" s="617"/>
      <c r="R10" s="617"/>
      <c r="S10" s="617"/>
    </row>
    <row r="11" spans="1:19" ht="15.75" hidden="1" thickTop="1">
      <c r="A11" s="628"/>
      <c r="B11" s="862" t="str">
        <f>'Area Calculations'!M62</f>
        <v>Architectural Drawings  by</v>
      </c>
      <c r="C11" s="1134" t="s">
        <v>509</v>
      </c>
      <c r="D11" s="1124"/>
      <c r="E11" s="1124"/>
      <c r="F11" s="1124"/>
      <c r="G11" s="1133"/>
      <c r="H11" s="617"/>
      <c r="I11" s="617"/>
      <c r="J11" s="617"/>
      <c r="K11" s="617"/>
      <c r="L11" s="617"/>
      <c r="M11" s="617"/>
      <c r="N11" s="617"/>
      <c r="O11" s="617"/>
      <c r="P11" s="617"/>
      <c r="Q11" s="617"/>
      <c r="R11" s="617"/>
      <c r="S11" s="617"/>
    </row>
    <row r="12" spans="1:19" ht="15.75" hidden="1" thickTop="1">
      <c r="A12" s="628"/>
      <c r="B12" s="862" t="str">
        <f>'Area Calculations'!M63</f>
        <v>Structural Drawings by</v>
      </c>
      <c r="C12" s="1134" t="s">
        <v>509</v>
      </c>
      <c r="D12" s="1124"/>
      <c r="E12" s="1124"/>
      <c r="F12" s="1124"/>
      <c r="G12" s="1133"/>
      <c r="H12" s="617"/>
      <c r="I12" s="617"/>
      <c r="J12" s="617"/>
      <c r="K12" s="617"/>
      <c r="L12" s="617"/>
      <c r="M12" s="617"/>
      <c r="N12" s="617"/>
      <c r="O12" s="617"/>
      <c r="P12" s="617"/>
      <c r="Q12" s="617"/>
      <c r="R12" s="617"/>
      <c r="S12" s="617"/>
    </row>
    <row r="13" spans="1:19" ht="15.75" hidden="1" thickTop="1">
      <c r="A13" s="628"/>
      <c r="B13" s="862" t="str">
        <f>'Area Calculations'!M64</f>
        <v>MEP FA FP Drawings by</v>
      </c>
      <c r="C13" s="1134" t="s">
        <v>509</v>
      </c>
      <c r="D13" s="1124"/>
      <c r="E13" s="1124"/>
      <c r="F13" s="1124"/>
      <c r="G13" s="1133"/>
      <c r="H13" s="617"/>
      <c r="I13" s="617"/>
      <c r="J13" s="617"/>
      <c r="K13" s="617"/>
      <c r="L13" s="617"/>
      <c r="M13" s="617"/>
      <c r="N13" s="617"/>
      <c r="O13" s="617"/>
      <c r="P13" s="617"/>
      <c r="Q13" s="617"/>
      <c r="R13" s="617"/>
      <c r="S13" s="617"/>
    </row>
    <row r="14" spans="1:19" ht="15.75" hidden="1" thickTop="1">
      <c r="A14" s="628"/>
      <c r="B14" s="862" t="str">
        <f>'Area Calculations'!M65</f>
        <v xml:space="preserve">Civil Drawings by </v>
      </c>
      <c r="C14" s="1134" t="s">
        <v>509</v>
      </c>
      <c r="D14" s="1124"/>
      <c r="E14" s="1124"/>
      <c r="F14" s="1124"/>
      <c r="G14" s="1133"/>
      <c r="H14" s="617"/>
      <c r="I14" s="617"/>
      <c r="J14" s="617"/>
      <c r="K14" s="617"/>
      <c r="L14" s="617"/>
      <c r="M14" s="617"/>
      <c r="N14" s="617"/>
      <c r="O14" s="617"/>
      <c r="P14" s="617"/>
      <c r="Q14" s="617"/>
      <c r="R14" s="617"/>
      <c r="S14" s="617"/>
    </row>
    <row r="15" spans="1:19" ht="15.75" hidden="1" thickTop="1">
      <c r="A15" s="628"/>
      <c r="B15" s="862" t="str">
        <f>'Area Calculations'!M66</f>
        <v>Land scape Drawings by</v>
      </c>
      <c r="C15" s="1134" t="s">
        <v>509</v>
      </c>
      <c r="D15" s="1124"/>
      <c r="E15" s="1124"/>
      <c r="F15" s="1124"/>
      <c r="G15" s="1133"/>
      <c r="H15" s="617"/>
      <c r="I15" s="617"/>
      <c r="J15" s="617"/>
      <c r="K15" s="617"/>
      <c r="L15" s="617"/>
      <c r="M15" s="617"/>
      <c r="N15" s="617"/>
      <c r="O15" s="617"/>
      <c r="P15" s="617"/>
      <c r="Q15" s="617"/>
      <c r="R15" s="617"/>
      <c r="S15" s="617"/>
    </row>
    <row r="16" spans="1:19" ht="15.75" hidden="1" thickTop="1">
      <c r="A16" s="628"/>
      <c r="B16" s="862" t="str">
        <f>'Area Calculations'!M67</f>
        <v>Kitchen Drawings by</v>
      </c>
      <c r="C16" s="1134" t="s">
        <v>509</v>
      </c>
      <c r="D16" s="1124"/>
      <c r="E16" s="1124"/>
      <c r="F16" s="1124"/>
      <c r="G16" s="1133"/>
      <c r="H16" s="617"/>
      <c r="I16" s="617"/>
      <c r="J16" s="617"/>
      <c r="K16" s="617"/>
      <c r="L16" s="617"/>
      <c r="M16" s="617"/>
      <c r="N16" s="617"/>
      <c r="O16" s="617"/>
      <c r="P16" s="617"/>
      <c r="Q16" s="617"/>
      <c r="R16" s="617"/>
      <c r="S16" s="617"/>
    </row>
    <row r="17" spans="1:19" ht="15.75" hidden="1" thickTop="1">
      <c r="A17" s="628"/>
      <c r="B17" s="862" t="str">
        <f>'Area Calculations'!M68</f>
        <v>Storefront Designer by</v>
      </c>
      <c r="C17" s="1134" t="s">
        <v>509</v>
      </c>
      <c r="D17" s="1124"/>
      <c r="E17" s="1124"/>
      <c r="F17" s="1124"/>
      <c r="G17" s="1133"/>
      <c r="H17" s="617"/>
      <c r="I17" s="617"/>
      <c r="J17" s="617"/>
      <c r="K17" s="617"/>
      <c r="L17" s="617"/>
      <c r="M17" s="617"/>
      <c r="N17" s="617"/>
      <c r="O17" s="617"/>
      <c r="P17" s="617"/>
      <c r="Q17" s="617"/>
      <c r="R17" s="617"/>
      <c r="S17" s="617"/>
    </row>
    <row r="18" spans="1:19" ht="15.75" hidden="1" thickTop="1">
      <c r="A18" s="628"/>
      <c r="B18" s="862" t="str">
        <f>'Area Calculations'!M69</f>
        <v>Geotech report by</v>
      </c>
      <c r="C18" s="1134" t="s">
        <v>509</v>
      </c>
      <c r="D18" s="1124"/>
      <c r="E18" s="1124"/>
      <c r="F18" s="1124"/>
      <c r="G18" s="1133"/>
      <c r="H18" s="617"/>
      <c r="I18" s="617"/>
      <c r="J18" s="617"/>
      <c r="K18" s="617"/>
      <c r="L18" s="617"/>
      <c r="M18" s="617"/>
      <c r="N18" s="617"/>
      <c r="O18" s="617"/>
      <c r="P18" s="617"/>
      <c r="Q18" s="617"/>
      <c r="R18" s="617"/>
      <c r="S18" s="617"/>
    </row>
    <row r="19" spans="1:19" ht="15.75" hidden="1" thickTop="1">
      <c r="A19" s="628"/>
      <c r="B19" s="862" t="str">
        <f>'Area Calculations'!M70</f>
        <v>Specifications</v>
      </c>
      <c r="C19" s="1134" t="s">
        <v>509</v>
      </c>
      <c r="D19" s="1124"/>
      <c r="E19" s="1124"/>
      <c r="F19" s="1124"/>
      <c r="G19" s="1133"/>
      <c r="H19" s="617"/>
      <c r="I19" s="617"/>
      <c r="J19" s="617"/>
      <c r="K19" s="617"/>
      <c r="L19" s="617"/>
      <c r="M19" s="617"/>
      <c r="N19" s="617"/>
      <c r="O19" s="617"/>
      <c r="P19" s="617"/>
      <c r="Q19" s="617"/>
      <c r="R19" s="617"/>
      <c r="S19" s="617"/>
    </row>
    <row r="20" spans="1:19" ht="15.75" thickTop="1">
      <c r="A20" s="628"/>
      <c r="B20" s="862"/>
      <c r="C20" s="1134"/>
      <c r="D20" s="1124"/>
      <c r="E20" s="1124"/>
      <c r="F20" s="1124"/>
      <c r="G20" s="1133"/>
      <c r="H20" s="590"/>
      <c r="I20" s="617"/>
      <c r="J20" s="590"/>
      <c r="K20" s="617"/>
      <c r="L20" s="590"/>
      <c r="M20" s="617"/>
      <c r="N20" s="590"/>
      <c r="O20" s="617"/>
      <c r="P20" s="590"/>
      <c r="Q20" s="617"/>
      <c r="R20" s="590"/>
      <c r="S20" s="617"/>
    </row>
    <row r="21" spans="1:19" ht="15.75" thickBot="1">
      <c r="A21" s="628"/>
      <c r="B21" s="1136" t="s">
        <v>851</v>
      </c>
      <c r="C21" s="1134"/>
      <c r="D21" s="1124"/>
      <c r="E21" s="1124"/>
      <c r="F21" s="1124"/>
      <c r="G21" s="1133"/>
      <c r="H21" s="590"/>
      <c r="I21" s="617"/>
      <c r="J21" s="590"/>
      <c r="K21" s="617"/>
      <c r="L21" s="590"/>
      <c r="M21" s="617"/>
      <c r="N21" s="590"/>
      <c r="O21" s="617"/>
      <c r="P21" s="590"/>
      <c r="Q21" s="617"/>
      <c r="R21" s="590"/>
      <c r="S21" s="617"/>
    </row>
    <row r="22" spans="1:19" ht="15.75" thickBot="1">
      <c r="A22" s="1596"/>
      <c r="B22" s="374" t="s">
        <v>512</v>
      </c>
      <c r="C22" s="1134"/>
      <c r="D22" s="1124"/>
      <c r="E22" s="1124"/>
      <c r="F22" s="1124"/>
      <c r="G22" s="1133"/>
      <c r="H22" s="590"/>
      <c r="I22" s="1597"/>
      <c r="J22" s="590"/>
      <c r="K22" s="1597"/>
      <c r="L22" s="590"/>
      <c r="M22" s="1597"/>
      <c r="N22" s="590"/>
      <c r="O22" s="1597"/>
      <c r="P22" s="590"/>
      <c r="Q22" s="1597"/>
      <c r="R22" s="590"/>
      <c r="S22" s="1597"/>
    </row>
    <row r="23" spans="1:19">
      <c r="A23" s="1596"/>
      <c r="B23" s="647" t="s">
        <v>513</v>
      </c>
      <c r="C23" s="1134"/>
      <c r="D23" s="1124"/>
      <c r="E23" s="1124"/>
      <c r="F23" s="1124"/>
      <c r="G23" s="1133"/>
      <c r="H23" s="590"/>
      <c r="I23" s="1597"/>
      <c r="J23" s="590"/>
      <c r="K23" s="1597"/>
      <c r="L23" s="590"/>
      <c r="M23" s="1597"/>
      <c r="N23" s="590"/>
      <c r="O23" s="1597"/>
      <c r="P23" s="590"/>
      <c r="Q23" s="1598"/>
      <c r="R23" s="590"/>
      <c r="S23" s="1598"/>
    </row>
    <row r="24" spans="1:19">
      <c r="A24" s="623"/>
      <c r="B24" s="1575" t="s">
        <v>514</v>
      </c>
      <c r="C24" s="1124"/>
      <c r="D24" s="1124"/>
      <c r="E24" s="1124"/>
      <c r="F24" s="1124"/>
      <c r="G24" s="1133"/>
      <c r="H24" s="590"/>
      <c r="I24" s="1598"/>
      <c r="J24" s="590"/>
      <c r="K24" s="1598"/>
      <c r="L24" s="590"/>
      <c r="M24" s="1598"/>
      <c r="N24" s="590"/>
      <c r="O24" s="1597"/>
      <c r="P24" s="590"/>
      <c r="Q24" s="1597"/>
      <c r="R24" s="590"/>
      <c r="S24" s="1597"/>
    </row>
    <row r="25" spans="1:19">
      <c r="A25" s="1596"/>
      <c r="B25" s="1576" t="s">
        <v>515</v>
      </c>
      <c r="C25" s="1124"/>
      <c r="D25" s="1124"/>
      <c r="E25" s="1124"/>
      <c r="F25" s="1124"/>
      <c r="G25" s="1133"/>
      <c r="H25" s="590"/>
      <c r="I25" s="1598"/>
      <c r="J25" s="590"/>
      <c r="K25" s="1598"/>
      <c r="L25" s="590"/>
      <c r="M25" s="1598"/>
      <c r="N25" s="590"/>
      <c r="O25" s="1597"/>
      <c r="P25" s="590"/>
      <c r="Q25" s="1597"/>
      <c r="R25" s="590"/>
      <c r="S25" s="1597"/>
    </row>
    <row r="26" spans="1:19">
      <c r="A26" s="623"/>
      <c r="B26" s="1576" t="s">
        <v>516</v>
      </c>
      <c r="C26" s="1124"/>
      <c r="D26" s="1124"/>
      <c r="E26" s="1124"/>
      <c r="F26" s="1124"/>
      <c r="G26" s="1133"/>
      <c r="H26" s="590"/>
      <c r="I26" s="1598"/>
      <c r="J26" s="590"/>
      <c r="K26" s="1598"/>
      <c r="L26" s="590"/>
      <c r="M26" s="1598"/>
      <c r="N26" s="590"/>
      <c r="O26" s="1597"/>
      <c r="P26" s="590"/>
      <c r="Q26" s="1597"/>
      <c r="R26" s="590"/>
      <c r="S26" s="1597"/>
    </row>
    <row r="27" spans="1:19">
      <c r="A27" s="1596"/>
      <c r="B27" s="1576" t="s">
        <v>517</v>
      </c>
      <c r="C27" s="1124"/>
      <c r="D27" s="1124"/>
      <c r="E27" s="1124"/>
      <c r="F27" s="1124"/>
      <c r="G27" s="1133"/>
      <c r="H27" s="590"/>
      <c r="I27" s="1598"/>
      <c r="J27" s="590"/>
      <c r="K27" s="1598"/>
      <c r="L27" s="590"/>
      <c r="M27" s="1598"/>
      <c r="N27" s="590"/>
      <c r="O27" s="1597"/>
      <c r="P27" s="590"/>
      <c r="Q27" s="1597"/>
      <c r="R27" s="590"/>
      <c r="S27" s="1597"/>
    </row>
    <row r="28" spans="1:19">
      <c r="A28" s="1596"/>
      <c r="B28" s="1576" t="s">
        <v>518</v>
      </c>
      <c r="C28" s="1124"/>
      <c r="D28" s="1124"/>
      <c r="E28" s="1124"/>
      <c r="F28" s="1124"/>
      <c r="G28" s="1133"/>
      <c r="H28" s="590"/>
      <c r="I28" s="1598"/>
      <c r="J28" s="590"/>
      <c r="K28" s="1598"/>
      <c r="L28" s="590"/>
      <c r="M28" s="1598"/>
      <c r="N28" s="590"/>
      <c r="O28" s="1597"/>
      <c r="P28" s="590"/>
      <c r="Q28" s="1597"/>
      <c r="R28" s="590"/>
      <c r="S28" s="1597"/>
    </row>
    <row r="29" spans="1:19">
      <c r="A29" s="1596"/>
      <c r="B29" s="1576" t="s">
        <v>693</v>
      </c>
      <c r="C29" s="1124"/>
      <c r="D29" s="1124"/>
      <c r="E29" s="1124"/>
      <c r="F29" s="1124"/>
      <c r="G29" s="1133"/>
      <c r="H29" s="590"/>
      <c r="I29" s="1598"/>
      <c r="J29" s="590"/>
      <c r="K29" s="1598"/>
      <c r="L29" s="590"/>
      <c r="M29" s="1598"/>
      <c r="N29" s="590"/>
      <c r="O29" s="1597"/>
      <c r="P29" s="590"/>
      <c r="Q29" s="1597"/>
      <c r="R29" s="590"/>
      <c r="S29" s="1597"/>
    </row>
    <row r="30" spans="1:19">
      <c r="A30" s="1596"/>
      <c r="B30" s="1577" t="s">
        <v>519</v>
      </c>
      <c r="C30" s="1124"/>
      <c r="D30" s="1124"/>
      <c r="E30" s="1124"/>
      <c r="F30" s="1124"/>
      <c r="G30" s="1133"/>
      <c r="H30" s="590"/>
      <c r="I30" s="1598"/>
      <c r="J30" s="590"/>
      <c r="K30" s="1598"/>
      <c r="L30" s="590"/>
      <c r="M30" s="1598"/>
      <c r="N30" s="590"/>
      <c r="O30" s="1597"/>
      <c r="P30" s="590"/>
      <c r="Q30" s="1597"/>
      <c r="R30" s="590"/>
      <c r="S30" s="1597"/>
    </row>
    <row r="31" spans="1:19">
      <c r="A31" s="1596"/>
      <c r="B31" s="1578" t="s">
        <v>520</v>
      </c>
      <c r="C31" s="1145"/>
      <c r="D31" s="1145"/>
      <c r="E31" s="1145"/>
      <c r="F31" s="1145"/>
      <c r="G31" s="1599"/>
      <c r="H31" s="619"/>
      <c r="I31" s="1579"/>
      <c r="J31" s="619"/>
      <c r="K31" s="1579"/>
      <c r="L31" s="619"/>
      <c r="M31" s="1579"/>
      <c r="N31" s="619"/>
      <c r="O31" s="1580"/>
      <c r="P31" s="619"/>
      <c r="Q31" s="1580"/>
      <c r="R31" s="619"/>
      <c r="S31" s="1580"/>
    </row>
    <row r="32" spans="1:19">
      <c r="A32" s="1596"/>
      <c r="B32" s="1622"/>
      <c r="C32" s="1124"/>
      <c r="D32" s="1124"/>
      <c r="E32" s="1124"/>
      <c r="F32" s="1151"/>
      <c r="G32" s="1133"/>
      <c r="H32" s="590"/>
      <c r="I32" s="1598"/>
      <c r="J32" s="590"/>
      <c r="K32" s="1598"/>
      <c r="L32" s="590"/>
      <c r="M32" s="1598"/>
      <c r="N32" s="590"/>
      <c r="O32" s="1597"/>
      <c r="P32" s="590"/>
      <c r="Q32" s="1597"/>
      <c r="R32" s="590"/>
      <c r="S32" s="1597"/>
    </row>
    <row r="33" spans="1:19">
      <c r="A33" s="1596"/>
      <c r="B33" s="1623"/>
      <c r="C33" s="1124"/>
      <c r="D33" s="1124"/>
      <c r="E33" s="1124"/>
      <c r="F33" s="1124"/>
      <c r="G33" s="1133"/>
      <c r="H33" s="590"/>
      <c r="I33" s="1598"/>
      <c r="J33" s="590"/>
      <c r="K33" s="1598"/>
      <c r="L33" s="590"/>
      <c r="M33" s="1598"/>
      <c r="N33" s="590"/>
      <c r="O33" s="1597"/>
      <c r="P33" s="590"/>
      <c r="Q33" s="1597"/>
      <c r="R33" s="590"/>
      <c r="S33" s="1597"/>
    </row>
    <row r="34" spans="1:19">
      <c r="A34" s="1596"/>
      <c r="B34" s="1624" t="s">
        <v>853</v>
      </c>
      <c r="C34" s="1124"/>
      <c r="D34" s="1124"/>
      <c r="E34" s="1124"/>
      <c r="F34" s="1124"/>
      <c r="G34" s="1133"/>
      <c r="H34" s="590"/>
      <c r="I34" s="1598"/>
      <c r="J34" s="590"/>
      <c r="K34" s="1598"/>
      <c r="L34" s="590"/>
      <c r="M34" s="1598"/>
      <c r="N34" s="590"/>
      <c r="O34" s="1597"/>
      <c r="P34" s="590"/>
      <c r="Q34" s="1597"/>
      <c r="R34" s="590"/>
      <c r="S34" s="1597"/>
    </row>
    <row r="35" spans="1:19">
      <c r="A35" s="1596"/>
      <c r="B35" s="1625" t="s">
        <v>854</v>
      </c>
      <c r="C35" s="1124"/>
      <c r="D35" s="1124"/>
      <c r="E35" s="1124"/>
      <c r="F35" s="1124"/>
      <c r="G35" s="1133"/>
      <c r="H35" s="590"/>
      <c r="I35" s="1598"/>
      <c r="J35" s="590"/>
      <c r="K35" s="1598"/>
      <c r="L35" s="590"/>
      <c r="M35" s="1598"/>
      <c r="N35" s="590"/>
      <c r="O35" s="1597"/>
      <c r="P35" s="590"/>
      <c r="Q35" s="1597"/>
      <c r="R35" s="590"/>
      <c r="S35" s="1597"/>
    </row>
    <row r="36" spans="1:19">
      <c r="A36" s="1596"/>
      <c r="B36" s="1625" t="s">
        <v>855</v>
      </c>
      <c r="C36" s="1124"/>
      <c r="D36" s="1124"/>
      <c r="E36" s="1124"/>
      <c r="F36" s="1124"/>
      <c r="G36" s="1133"/>
      <c r="H36" s="590"/>
      <c r="I36" s="1598"/>
      <c r="J36" s="590"/>
      <c r="K36" s="1598"/>
      <c r="L36" s="590"/>
      <c r="M36" s="1598"/>
      <c r="N36" s="590"/>
      <c r="O36" s="1597"/>
      <c r="P36" s="590"/>
      <c r="Q36" s="1597"/>
      <c r="R36" s="590"/>
      <c r="S36" s="1597"/>
    </row>
    <row r="37" spans="1:19">
      <c r="A37" s="1596"/>
      <c r="B37" s="1625" t="s">
        <v>856</v>
      </c>
      <c r="C37" s="1124"/>
      <c r="D37" s="1124"/>
      <c r="E37" s="1124"/>
      <c r="F37" s="1124"/>
      <c r="G37" s="1133"/>
      <c r="H37" s="590"/>
      <c r="I37" s="1598"/>
      <c r="J37" s="590" t="s">
        <v>710</v>
      </c>
      <c r="K37" s="1598"/>
      <c r="L37" s="590"/>
      <c r="M37" s="1598"/>
      <c r="N37" s="590"/>
      <c r="O37" s="1597"/>
      <c r="P37" s="590"/>
      <c r="Q37" s="1597"/>
      <c r="R37" s="590"/>
      <c r="S37" s="1597"/>
    </row>
    <row r="38" spans="1:19">
      <c r="A38" s="1596"/>
      <c r="B38" s="1625"/>
      <c r="C38" s="1124"/>
      <c r="D38" s="1124"/>
      <c r="E38" s="1124"/>
      <c r="F38" s="1124"/>
      <c r="G38" s="1133"/>
      <c r="H38" s="590"/>
      <c r="I38" s="1598"/>
      <c r="J38" s="590"/>
      <c r="K38" s="1598"/>
      <c r="L38" s="590"/>
      <c r="M38" s="1598"/>
      <c r="N38" s="590"/>
      <c r="O38" s="1597"/>
      <c r="P38" s="590"/>
      <c r="Q38" s="1597"/>
      <c r="R38" s="590"/>
      <c r="S38" s="1597"/>
    </row>
    <row r="39" spans="1:19">
      <c r="A39" s="1596"/>
      <c r="B39" s="1625" t="s">
        <v>857</v>
      </c>
      <c r="C39" s="1124"/>
      <c r="D39" s="1124"/>
      <c r="E39" s="1124"/>
      <c r="F39" s="1124"/>
      <c r="G39" s="1133"/>
      <c r="H39" s="590"/>
      <c r="I39" s="1598"/>
      <c r="J39" s="590"/>
      <c r="K39" s="1598"/>
      <c r="L39" s="590"/>
      <c r="M39" s="1598"/>
      <c r="N39" s="590"/>
      <c r="O39" s="1597"/>
      <c r="P39" s="590"/>
      <c r="Q39" s="1597"/>
      <c r="R39" s="590"/>
      <c r="S39" s="1597"/>
    </row>
    <row r="40" spans="1:19">
      <c r="A40" s="1596"/>
      <c r="B40" s="1625" t="s">
        <v>855</v>
      </c>
      <c r="C40" s="1124"/>
      <c r="D40" s="1124"/>
      <c r="E40" s="1124"/>
      <c r="F40" s="1124"/>
      <c r="G40" s="1133"/>
      <c r="H40" s="590"/>
      <c r="I40" s="1598"/>
      <c r="J40" s="590"/>
      <c r="K40" s="1598"/>
      <c r="L40" s="590"/>
      <c r="M40" s="1598"/>
      <c r="N40" s="590"/>
      <c r="O40" s="1597"/>
      <c r="P40" s="590"/>
      <c r="Q40" s="1597"/>
      <c r="R40" s="590"/>
      <c r="S40" s="1597"/>
    </row>
    <row r="41" spans="1:19">
      <c r="A41" s="1596"/>
      <c r="B41" s="1625" t="s">
        <v>856</v>
      </c>
      <c r="C41" s="1124"/>
      <c r="D41" s="1124"/>
      <c r="E41" s="1124"/>
      <c r="F41" s="1124"/>
      <c r="G41" s="1133"/>
      <c r="H41" s="590"/>
      <c r="I41" s="1598"/>
      <c r="J41" s="590"/>
      <c r="K41" s="1598"/>
      <c r="L41" s="590"/>
      <c r="M41" s="1598"/>
      <c r="N41" s="590"/>
      <c r="O41" s="1597"/>
      <c r="P41" s="590"/>
      <c r="Q41" s="1597"/>
      <c r="R41" s="590"/>
      <c r="S41" s="1597"/>
    </row>
    <row r="42" spans="1:19">
      <c r="A42" s="1596"/>
      <c r="B42" s="1625"/>
      <c r="C42" s="1124"/>
      <c r="D42" s="1124"/>
      <c r="E42" s="1124"/>
      <c r="F42" s="1124"/>
      <c r="G42" s="1133"/>
      <c r="H42" s="590"/>
      <c r="I42" s="1598"/>
      <c r="J42" s="590"/>
      <c r="K42" s="1598"/>
      <c r="L42" s="590"/>
      <c r="M42" s="1598"/>
      <c r="N42" s="590"/>
      <c r="O42" s="1597"/>
      <c r="P42" s="590"/>
      <c r="Q42" s="1597"/>
      <c r="R42" s="590"/>
      <c r="S42" s="1597"/>
    </row>
    <row r="43" spans="1:19">
      <c r="A43" s="1596"/>
      <c r="B43" s="1624" t="s">
        <v>858</v>
      </c>
      <c r="C43" s="1124"/>
      <c r="D43" s="1124"/>
      <c r="E43" s="1124"/>
      <c r="F43" s="1124"/>
      <c r="G43" s="1133"/>
      <c r="H43" s="590"/>
      <c r="I43" s="1598"/>
      <c r="J43" s="590"/>
      <c r="K43" s="1598"/>
      <c r="L43" s="590"/>
      <c r="M43" s="1598"/>
      <c r="N43" s="590"/>
      <c r="O43" s="1597"/>
      <c r="P43" s="590"/>
      <c r="Q43" s="1597"/>
      <c r="R43" s="590"/>
      <c r="S43" s="1597"/>
    </row>
    <row r="44" spans="1:19">
      <c r="A44" s="1596"/>
      <c r="B44" s="1625" t="s">
        <v>859</v>
      </c>
      <c r="C44" s="1124"/>
      <c r="D44" s="1124"/>
      <c r="E44" s="1124"/>
      <c r="F44" s="1124"/>
      <c r="G44" s="1133"/>
      <c r="H44" s="590"/>
      <c r="I44" s="1598"/>
      <c r="J44" s="590"/>
      <c r="K44" s="1598"/>
      <c r="L44" s="590"/>
      <c r="M44" s="1598"/>
      <c r="N44" s="590"/>
      <c r="O44" s="1597"/>
      <c r="P44" s="590"/>
      <c r="Q44" s="1597"/>
      <c r="R44" s="590"/>
      <c r="S44" s="1597"/>
    </row>
    <row r="45" spans="1:19">
      <c r="A45" s="1596"/>
      <c r="B45" s="1625" t="s">
        <v>860</v>
      </c>
      <c r="C45" s="1124"/>
      <c r="D45" s="1124"/>
      <c r="E45" s="1124"/>
      <c r="F45" s="1124"/>
      <c r="G45" s="1133"/>
      <c r="H45" s="590"/>
      <c r="I45" s="1598"/>
      <c r="J45" s="590"/>
      <c r="K45" s="1598"/>
      <c r="L45" s="590"/>
      <c r="M45" s="1598"/>
      <c r="N45" s="590"/>
      <c r="O45" s="1597"/>
      <c r="P45" s="590"/>
      <c r="Q45" s="1597"/>
      <c r="R45" s="590"/>
      <c r="S45" s="1597"/>
    </row>
    <row r="46" spans="1:19">
      <c r="A46" s="1596"/>
      <c r="B46" s="1625"/>
      <c r="C46" s="1124"/>
      <c r="D46" s="1124"/>
      <c r="E46" s="1124"/>
      <c r="F46" s="1124"/>
      <c r="G46" s="1133"/>
      <c r="H46" s="590"/>
      <c r="I46" s="1598"/>
      <c r="J46" s="590"/>
      <c r="K46" s="1598"/>
      <c r="L46" s="590"/>
      <c r="M46" s="1598"/>
      <c r="N46" s="590"/>
      <c r="O46" s="1597"/>
      <c r="P46" s="590"/>
      <c r="Q46" s="1597"/>
      <c r="R46" s="590"/>
      <c r="S46" s="1597"/>
    </row>
    <row r="47" spans="1:19">
      <c r="A47" s="1596"/>
      <c r="B47" s="1624" t="s">
        <v>861</v>
      </c>
      <c r="C47" s="1124"/>
      <c r="D47" s="1124"/>
      <c r="E47" s="1124"/>
      <c r="F47" s="1124"/>
      <c r="G47" s="1133"/>
      <c r="H47" s="590"/>
      <c r="I47" s="1598"/>
      <c r="J47" s="590"/>
      <c r="K47" s="1598"/>
      <c r="L47" s="590"/>
      <c r="M47" s="1598"/>
      <c r="N47" s="590"/>
      <c r="O47" s="1597"/>
      <c r="P47" s="590"/>
      <c r="Q47" s="1597"/>
      <c r="R47" s="590"/>
      <c r="S47" s="1597"/>
    </row>
    <row r="48" spans="1:19">
      <c r="A48" s="1596"/>
      <c r="B48" s="1625" t="s">
        <v>862</v>
      </c>
      <c r="C48" s="1124"/>
      <c r="D48" s="1124"/>
      <c r="E48" s="1124"/>
      <c r="F48" s="1124"/>
      <c r="G48" s="1133"/>
      <c r="H48" s="590"/>
      <c r="I48" s="1598"/>
      <c r="J48" s="590"/>
      <c r="K48" s="1598"/>
      <c r="L48" s="590"/>
      <c r="M48" s="1598"/>
      <c r="N48" s="590"/>
      <c r="O48" s="1597"/>
      <c r="P48" s="590"/>
      <c r="Q48" s="1597"/>
      <c r="R48" s="590"/>
      <c r="S48" s="1597"/>
    </row>
    <row r="49" spans="1:19">
      <c r="A49" s="1596"/>
      <c r="B49" s="1625" t="s">
        <v>863</v>
      </c>
      <c r="C49" s="1124"/>
      <c r="D49" s="1124"/>
      <c r="E49" s="1124"/>
      <c r="F49" s="1124"/>
      <c r="G49" s="1133"/>
      <c r="H49" s="590"/>
      <c r="I49" s="1598"/>
      <c r="J49" s="590"/>
      <c r="K49" s="1598"/>
      <c r="L49" s="590"/>
      <c r="M49" s="1598"/>
      <c r="N49" s="590"/>
      <c r="O49" s="1597"/>
      <c r="P49" s="590"/>
      <c r="Q49" s="1597"/>
      <c r="R49" s="590"/>
      <c r="S49" s="1597"/>
    </row>
    <row r="50" spans="1:19">
      <c r="A50" s="1596"/>
      <c r="B50" s="1625"/>
      <c r="C50" s="1124"/>
      <c r="D50" s="1124"/>
      <c r="E50" s="1124"/>
      <c r="F50" s="1124"/>
      <c r="G50" s="1133"/>
      <c r="H50" s="590"/>
      <c r="I50" s="1598"/>
      <c r="J50" s="590"/>
      <c r="K50" s="1598"/>
      <c r="L50" s="590"/>
      <c r="M50" s="1598"/>
      <c r="N50" s="590"/>
      <c r="O50" s="1597"/>
      <c r="P50" s="590"/>
      <c r="Q50" s="1597"/>
      <c r="R50" s="590"/>
      <c r="S50" s="1597"/>
    </row>
    <row r="51" spans="1:19">
      <c r="A51" s="1596"/>
      <c r="B51" s="1624" t="s">
        <v>864</v>
      </c>
      <c r="C51" s="1124"/>
      <c r="D51" s="1124"/>
      <c r="E51" s="1124"/>
      <c r="F51" s="1124"/>
      <c r="G51" s="1133"/>
      <c r="H51" s="590"/>
      <c r="I51" s="1598"/>
      <c r="J51" s="590"/>
      <c r="K51" s="1598"/>
      <c r="L51" s="590"/>
      <c r="M51" s="1598"/>
      <c r="N51" s="590"/>
      <c r="O51" s="1597"/>
      <c r="P51" s="590"/>
      <c r="Q51" s="1597"/>
      <c r="R51" s="590"/>
      <c r="S51" s="1597"/>
    </row>
    <row r="52" spans="1:19">
      <c r="A52" s="1596"/>
      <c r="B52" s="1625" t="s">
        <v>865</v>
      </c>
      <c r="C52" s="1124"/>
      <c r="D52" s="1124"/>
      <c r="E52" s="1124"/>
      <c r="F52" s="1124"/>
      <c r="G52" s="1133"/>
      <c r="H52" s="590"/>
      <c r="I52" s="1598"/>
      <c r="J52" s="590"/>
      <c r="K52" s="1598"/>
      <c r="L52" s="590"/>
      <c r="M52" s="1598"/>
      <c r="N52" s="590"/>
      <c r="O52" s="1597"/>
      <c r="P52" s="590"/>
      <c r="Q52" s="1597"/>
      <c r="R52" s="590"/>
      <c r="S52" s="1597"/>
    </row>
    <row r="53" spans="1:19">
      <c r="A53" s="1596"/>
      <c r="B53" s="1625" t="s">
        <v>866</v>
      </c>
      <c r="C53" s="1124"/>
      <c r="D53" s="1124"/>
      <c r="E53" s="1124"/>
      <c r="F53" s="1124"/>
      <c r="G53" s="1133"/>
      <c r="H53" s="590"/>
      <c r="I53" s="1598"/>
      <c r="J53" s="590"/>
      <c r="K53" s="1598"/>
      <c r="L53" s="590"/>
      <c r="M53" s="1598"/>
      <c r="N53" s="590"/>
      <c r="O53" s="1597"/>
      <c r="P53" s="590"/>
      <c r="Q53" s="1597"/>
      <c r="R53" s="590"/>
      <c r="S53" s="1597"/>
    </row>
    <row r="54" spans="1:19">
      <c r="A54" s="1596"/>
      <c r="B54" s="1625" t="s">
        <v>867</v>
      </c>
      <c r="C54" s="1124"/>
      <c r="D54" s="1124"/>
      <c r="E54" s="1124"/>
      <c r="F54" s="1124"/>
      <c r="G54" s="1133"/>
      <c r="H54" s="590"/>
      <c r="I54" s="1598"/>
      <c r="J54" s="590"/>
      <c r="K54" s="1598"/>
      <c r="L54" s="590"/>
      <c r="M54" s="1598"/>
      <c r="N54" s="590"/>
      <c r="O54" s="1597"/>
      <c r="P54" s="590"/>
      <c r="Q54" s="1597"/>
      <c r="R54" s="590"/>
      <c r="S54" s="1597"/>
    </row>
    <row r="55" spans="1:19">
      <c r="A55" s="1596"/>
      <c r="B55" s="1625"/>
      <c r="C55" s="1124"/>
      <c r="D55" s="1124"/>
      <c r="E55" s="1124"/>
      <c r="F55" s="1124"/>
      <c r="G55" s="1133"/>
      <c r="H55" s="590"/>
      <c r="I55" s="1598"/>
      <c r="J55" s="590"/>
      <c r="K55" s="1598"/>
      <c r="L55" s="590"/>
      <c r="M55" s="1598"/>
      <c r="N55" s="590"/>
      <c r="O55" s="1597"/>
      <c r="P55" s="590"/>
      <c r="Q55" s="1597"/>
      <c r="R55" s="590"/>
      <c r="S55" s="1597"/>
    </row>
    <row r="56" spans="1:19">
      <c r="A56" s="1596"/>
      <c r="B56" s="1625"/>
      <c r="C56" s="1124"/>
      <c r="D56" s="1124"/>
      <c r="E56" s="1124"/>
      <c r="F56" s="1124"/>
      <c r="G56" s="1133"/>
      <c r="H56" s="590"/>
      <c r="I56" s="1598"/>
      <c r="J56" s="590"/>
      <c r="K56" s="1598"/>
      <c r="L56" s="590"/>
      <c r="M56" s="1598"/>
      <c r="N56" s="590"/>
      <c r="O56" s="1597"/>
      <c r="P56" s="590"/>
      <c r="Q56" s="1597"/>
      <c r="R56" s="590"/>
      <c r="S56" s="1597"/>
    </row>
    <row r="57" spans="1:19">
      <c r="A57" s="1596"/>
      <c r="B57" s="1625"/>
      <c r="C57" s="1124"/>
      <c r="D57" s="1124"/>
      <c r="E57" s="1124"/>
      <c r="F57" s="1124"/>
      <c r="G57" s="1133"/>
      <c r="H57" s="590"/>
      <c r="I57" s="1598"/>
      <c r="J57" s="590"/>
      <c r="K57" s="1598"/>
      <c r="L57" s="590"/>
      <c r="M57" s="1598"/>
      <c r="N57" s="590"/>
      <c r="O57" s="1597"/>
      <c r="P57" s="590"/>
      <c r="Q57" s="1597"/>
      <c r="R57" s="590"/>
      <c r="S57" s="1597"/>
    </row>
    <row r="58" spans="1:19">
      <c r="A58" s="1596"/>
      <c r="B58" s="1625"/>
      <c r="C58" s="1124"/>
      <c r="D58" s="1124"/>
      <c r="E58" s="1124"/>
      <c r="F58" s="1124"/>
      <c r="G58" s="1133"/>
      <c r="H58" s="590"/>
      <c r="I58" s="1598"/>
      <c r="J58" s="590"/>
      <c r="K58" s="1598"/>
      <c r="L58" s="590"/>
      <c r="M58" s="1598"/>
      <c r="N58" s="590"/>
      <c r="O58" s="1597"/>
      <c r="P58" s="590"/>
      <c r="Q58" s="1597"/>
      <c r="R58" s="590"/>
      <c r="S58" s="1597"/>
    </row>
    <row r="59" spans="1:19" ht="15.75" thickBot="1">
      <c r="A59" s="1596"/>
      <c r="B59" s="1625"/>
      <c r="C59" s="1124"/>
      <c r="D59" s="1124"/>
      <c r="E59" s="1124"/>
      <c r="F59" s="1124"/>
      <c r="G59" s="1133"/>
      <c r="H59" s="590"/>
      <c r="I59" s="1598"/>
      <c r="J59" s="590"/>
      <c r="K59" s="1598"/>
      <c r="L59" s="590"/>
      <c r="M59" s="1598"/>
      <c r="N59" s="590"/>
      <c r="O59" s="1597"/>
      <c r="P59" s="590"/>
      <c r="Q59" s="1597"/>
      <c r="R59" s="590"/>
      <c r="S59" s="1597"/>
    </row>
    <row r="60" spans="1:19" ht="15.75" thickTop="1">
      <c r="A60" s="14"/>
      <c r="B60" s="15"/>
      <c r="C60" s="16"/>
      <c r="D60" s="16"/>
      <c r="E60" s="17"/>
      <c r="F60" s="18" t="s">
        <v>567</v>
      </c>
      <c r="G60" s="19"/>
      <c r="H60" s="20"/>
      <c r="I60" s="61">
        <f>SUM(I23:I59)</f>
        <v>0</v>
      </c>
      <c r="J60" s="20"/>
      <c r="K60" s="61">
        <f>SUM(K23:K59)</f>
        <v>0</v>
      </c>
      <c r="L60" s="20"/>
      <c r="M60" s="61">
        <f>SUM(M22:M59)</f>
        <v>0</v>
      </c>
      <c r="N60" s="20"/>
      <c r="O60" s="61">
        <f>SUM(O22:O59)</f>
        <v>0</v>
      </c>
      <c r="P60" s="20"/>
      <c r="Q60" s="61">
        <f>SUM(Q23:Q59)</f>
        <v>0</v>
      </c>
      <c r="R60" s="20"/>
      <c r="S60" s="61">
        <f>SUM(S23:S59)</f>
        <v>0</v>
      </c>
    </row>
    <row r="61" spans="1:19">
      <c r="A61" s="1626"/>
      <c r="B61" s="1156"/>
      <c r="C61" s="1157"/>
      <c r="D61" s="1157"/>
      <c r="E61" s="1158"/>
      <c r="F61" s="1159" t="s">
        <v>568</v>
      </c>
      <c r="G61" s="1160"/>
      <c r="H61" s="1627">
        <v>0</v>
      </c>
      <c r="I61" s="1628"/>
      <c r="J61" s="1627">
        <v>0</v>
      </c>
      <c r="K61" s="1628"/>
      <c r="L61" s="1627">
        <v>0</v>
      </c>
      <c r="M61" s="1628"/>
      <c r="N61" s="1627">
        <v>0</v>
      </c>
      <c r="O61" s="1628"/>
      <c r="P61" s="1627">
        <v>0</v>
      </c>
      <c r="Q61" s="1628"/>
      <c r="R61" s="1627">
        <v>0</v>
      </c>
      <c r="S61" s="1628"/>
    </row>
    <row r="62" spans="1:19">
      <c r="A62" s="1626"/>
      <c r="B62" s="1156"/>
      <c r="C62" s="1157"/>
      <c r="D62" s="1157"/>
      <c r="E62" s="1158"/>
      <c r="F62" s="1159" t="s">
        <v>569</v>
      </c>
      <c r="G62" s="1160"/>
      <c r="H62" s="1629"/>
      <c r="I62" s="1630">
        <f>H61*$I$60</f>
        <v>0</v>
      </c>
      <c r="J62" s="1629"/>
      <c r="K62" s="1630">
        <f>J61*$K$60</f>
        <v>0</v>
      </c>
      <c r="L62" s="1629"/>
      <c r="M62" s="1630">
        <f>L61*$M$60</f>
        <v>0</v>
      </c>
      <c r="N62" s="1629"/>
      <c r="O62" s="1630">
        <f>N61*$O$60</f>
        <v>0</v>
      </c>
      <c r="P62" s="1629"/>
      <c r="Q62" s="1630">
        <f>P61*$Q$60</f>
        <v>0</v>
      </c>
      <c r="R62" s="1629"/>
      <c r="S62" s="1630">
        <f>R61*S60</f>
        <v>0</v>
      </c>
    </row>
    <row r="63" spans="1:19">
      <c r="A63" s="1626"/>
      <c r="B63" s="1156"/>
      <c r="C63" s="1157"/>
      <c r="D63" s="1157"/>
      <c r="E63" s="1158"/>
      <c r="F63" s="1159"/>
      <c r="G63" s="1160"/>
      <c r="H63" s="1631"/>
      <c r="I63" s="1632"/>
      <c r="J63" s="1629"/>
      <c r="K63" s="1633"/>
      <c r="L63" s="1629"/>
      <c r="M63" s="1633"/>
      <c r="N63" s="1629"/>
      <c r="O63" s="1633"/>
      <c r="P63" s="1629"/>
      <c r="Q63" s="1633"/>
      <c r="R63" s="1629"/>
      <c r="S63" s="1633"/>
    </row>
    <row r="64" spans="1:19">
      <c r="A64" s="1626"/>
      <c r="B64" s="1156"/>
      <c r="C64" s="1157"/>
      <c r="D64" s="1157"/>
      <c r="E64" s="1158"/>
      <c r="F64" s="1159" t="s">
        <v>570</v>
      </c>
      <c r="G64" s="1160"/>
      <c r="H64" s="1634"/>
      <c r="I64" s="1632">
        <f>SUM(I60:I63)</f>
        <v>0</v>
      </c>
      <c r="J64" s="1634"/>
      <c r="K64" s="1632">
        <f>SUM(K60:K62)</f>
        <v>0</v>
      </c>
      <c r="L64" s="1634"/>
      <c r="M64" s="1632">
        <f>SUM(M60:M62)</f>
        <v>0</v>
      </c>
      <c r="N64" s="1634"/>
      <c r="O64" s="1632">
        <f>SUM(O60:O62)</f>
        <v>0</v>
      </c>
      <c r="P64" s="1634"/>
      <c r="Q64" s="1632">
        <f>SUM(Q60:Q62)</f>
        <v>0</v>
      </c>
      <c r="R64" s="1634"/>
      <c r="S64" s="1632">
        <f>SUM(S60:S62)</f>
        <v>0</v>
      </c>
    </row>
    <row r="65" spans="1:19">
      <c r="A65" s="1626"/>
      <c r="B65" s="1156"/>
      <c r="C65" s="1157"/>
      <c r="D65" s="1157"/>
      <c r="E65" s="1158"/>
      <c r="F65" s="1161" t="s">
        <v>571</v>
      </c>
      <c r="G65" s="1162"/>
      <c r="H65" s="1635"/>
      <c r="I65" s="1636" t="e">
        <f>I64/'Area Calculations'!$J$4</f>
        <v>#DIV/0!</v>
      </c>
      <c r="J65" s="1635"/>
      <c r="K65" s="1636" t="e">
        <f>K64/'Area Calculations'!$J$4</f>
        <v>#DIV/0!</v>
      </c>
      <c r="L65" s="1635"/>
      <c r="M65" s="1636" t="e">
        <f>M64/'Area Calculations'!$J$4</f>
        <v>#DIV/0!</v>
      </c>
      <c r="N65" s="1635"/>
      <c r="O65" s="1636" t="e">
        <f>O64/'Area Calculations'!$J$4</f>
        <v>#DIV/0!</v>
      </c>
      <c r="P65" s="1635"/>
      <c r="Q65" s="1636" t="e">
        <f>Q64/'Area Calculations'!$J$4</f>
        <v>#DIV/0!</v>
      </c>
      <c r="R65" s="1635"/>
      <c r="S65" s="1636" t="e">
        <f>S64/'Area Calculations'!$J$4</f>
        <v>#DIV/0!</v>
      </c>
    </row>
    <row r="66" spans="1:19">
      <c r="A66" s="1626"/>
      <c r="B66" s="1156"/>
      <c r="C66" s="1157"/>
      <c r="D66" s="1157"/>
      <c r="E66" s="1158"/>
      <c r="F66" s="1161" t="s">
        <v>572</v>
      </c>
      <c r="G66" s="1163"/>
      <c r="H66" s="1635"/>
      <c r="I66" s="1636" t="e">
        <f>I64/'Area Calculations'!#REF!</f>
        <v>#REF!</v>
      </c>
      <c r="J66" s="1635"/>
      <c r="K66" s="1636" t="e">
        <f>K64/'Area Calculations'!#REF!</f>
        <v>#REF!</v>
      </c>
      <c r="L66" s="1635"/>
      <c r="M66" s="1636" t="e">
        <f>M64/'Area Calculations'!#REF!</f>
        <v>#REF!</v>
      </c>
      <c r="N66" s="1635"/>
      <c r="O66" s="1636" t="e">
        <f>O64/'Area Calculations'!#REF!</f>
        <v>#REF!</v>
      </c>
      <c r="P66" s="1635"/>
      <c r="Q66" s="1636" t="e">
        <f>Q64/'Area Calculations'!#REF!</f>
        <v>#REF!</v>
      </c>
      <c r="R66" s="1635"/>
      <c r="S66" s="1636" t="e">
        <f>S64/'Area Calculations'!#REF!</f>
        <v>#REF!</v>
      </c>
    </row>
    <row r="67" spans="1:19" ht="15.75" thickBot="1">
      <c r="A67" s="1626"/>
      <c r="B67" s="1156"/>
      <c r="C67" s="1157"/>
      <c r="D67" s="1157"/>
      <c r="E67" s="1158"/>
      <c r="F67" s="1159"/>
      <c r="G67" s="1533"/>
      <c r="H67" s="1637"/>
      <c r="I67" s="1638"/>
      <c r="J67" s="1639"/>
      <c r="K67" s="1639"/>
      <c r="L67" s="1639"/>
      <c r="M67" s="1639"/>
      <c r="N67" s="1639"/>
      <c r="O67" s="1639"/>
      <c r="P67" s="1639"/>
      <c r="Q67" s="1639"/>
      <c r="R67" s="1639"/>
      <c r="S67" s="1639"/>
    </row>
    <row r="68" spans="1:19" ht="16.5" thickTop="1" thickBot="1">
      <c r="A68" s="726" t="s">
        <v>573</v>
      </c>
      <c r="B68" s="727"/>
      <c r="C68" s="12"/>
      <c r="D68" s="12"/>
      <c r="E68" s="12"/>
      <c r="F68" s="12"/>
      <c r="G68" s="13"/>
      <c r="H68" s="21"/>
      <c r="I68" s="21"/>
      <c r="J68" s="21"/>
      <c r="K68" s="21"/>
      <c r="L68" s="21"/>
      <c r="M68" s="21"/>
      <c r="N68" s="21"/>
      <c r="O68" s="21"/>
      <c r="P68" s="21"/>
      <c r="Q68" s="21"/>
      <c r="R68" s="21"/>
      <c r="S68" s="21"/>
    </row>
    <row r="69" spans="1:19" ht="15.75" thickTop="1">
      <c r="A69" s="1535"/>
      <c r="B69" s="862"/>
      <c r="C69" s="1536"/>
      <c r="D69" s="1536"/>
      <c r="E69" s="1536"/>
      <c r="F69" s="1536"/>
      <c r="G69" s="1537"/>
      <c r="H69" s="1538"/>
      <c r="I69" s="1538"/>
      <c r="J69" s="1538"/>
      <c r="K69" s="1538"/>
      <c r="L69" s="1538"/>
      <c r="M69" s="1538"/>
      <c r="N69" s="1538"/>
      <c r="O69" s="1538"/>
      <c r="P69" s="1538"/>
      <c r="Q69" s="1538"/>
      <c r="R69" s="1538"/>
      <c r="S69" s="1538"/>
    </row>
    <row r="70" spans="1:19">
      <c r="A70" s="1535"/>
      <c r="B70" s="862"/>
      <c r="C70" s="1536"/>
      <c r="D70" s="1536"/>
      <c r="E70" s="1536"/>
      <c r="F70" s="1536"/>
      <c r="G70" s="1537"/>
      <c r="H70" s="1538"/>
      <c r="I70" s="1538"/>
      <c r="J70" s="1538"/>
      <c r="K70" s="1538"/>
      <c r="L70" s="1538"/>
      <c r="M70" s="1538"/>
      <c r="N70" s="1538"/>
      <c r="O70" s="1538"/>
      <c r="P70" s="1538"/>
      <c r="Q70" s="1538"/>
      <c r="R70" s="1538"/>
      <c r="S70" s="1538"/>
    </row>
    <row r="71" spans="1:19" ht="15.75" thickBot="1">
      <c r="A71" s="1535"/>
      <c r="B71" s="862"/>
      <c r="C71" s="1536"/>
      <c r="D71" s="1536"/>
      <c r="E71" s="1536"/>
      <c r="F71" s="1536"/>
      <c r="G71" s="1537"/>
      <c r="H71" s="1538"/>
      <c r="I71" s="1538"/>
      <c r="J71" s="1538"/>
      <c r="K71" s="1538"/>
      <c r="L71" s="1538"/>
      <c r="M71" s="1538"/>
      <c r="N71" s="1538"/>
      <c r="O71" s="1538"/>
      <c r="P71" s="1538"/>
      <c r="Q71" s="1538"/>
      <c r="R71" s="1538"/>
      <c r="S71" s="1538"/>
    </row>
    <row r="72" spans="1:19" s="2" customFormat="1" ht="16.5" thickTop="1" thickBot="1">
      <c r="A72" s="726" t="s">
        <v>574</v>
      </c>
      <c r="B72" s="727"/>
      <c r="C72" s="12"/>
      <c r="D72" s="12"/>
      <c r="E72" s="12"/>
      <c r="F72" s="12"/>
      <c r="G72" s="13"/>
      <c r="H72" s="21"/>
      <c r="I72" s="21"/>
      <c r="J72" s="21"/>
      <c r="K72" s="21"/>
      <c r="L72" s="21"/>
      <c r="M72" s="21"/>
      <c r="N72" s="21"/>
      <c r="O72" s="21"/>
      <c r="P72" s="21"/>
      <c r="Q72" s="21"/>
      <c r="R72" s="21"/>
      <c r="S72" s="21"/>
    </row>
    <row r="73" spans="1:19" s="2" customFormat="1" ht="15.75" thickTop="1">
      <c r="A73" s="1535"/>
      <c r="B73" s="862"/>
      <c r="C73" s="1536"/>
      <c r="D73" s="1536"/>
      <c r="E73" s="1536"/>
      <c r="F73" s="1536"/>
      <c r="G73" s="1537"/>
      <c r="H73" s="1538"/>
      <c r="I73" s="1538"/>
      <c r="J73" s="1538"/>
      <c r="K73" s="1538"/>
      <c r="L73" s="1538"/>
      <c r="M73" s="1538"/>
      <c r="N73" s="1538"/>
      <c r="O73" s="1538"/>
      <c r="P73" s="1538"/>
      <c r="Q73" s="1538"/>
      <c r="R73" s="1538"/>
      <c r="S73" s="1538"/>
    </row>
    <row r="74" spans="1:19" s="2" customFormat="1">
      <c r="A74" s="1535"/>
      <c r="B74" s="862"/>
      <c r="C74" s="1536"/>
      <c r="D74" s="1536"/>
      <c r="E74" s="1536"/>
      <c r="F74" s="1536"/>
      <c r="G74" s="1537"/>
      <c r="H74" s="1538"/>
      <c r="I74" s="1538"/>
      <c r="J74" s="1538"/>
      <c r="K74" s="1538"/>
      <c r="L74" s="1538"/>
      <c r="M74" s="1538"/>
      <c r="N74" s="1538"/>
      <c r="O74" s="1538"/>
      <c r="P74" s="1538"/>
      <c r="Q74" s="1538"/>
      <c r="R74" s="1538"/>
      <c r="S74" s="1538"/>
    </row>
    <row r="75" spans="1:19" ht="15.75" thickBot="1">
      <c r="A75" s="1535"/>
      <c r="B75" s="862"/>
      <c r="C75" s="1536"/>
      <c r="D75" s="1536"/>
      <c r="E75" s="1536"/>
      <c r="F75" s="1536"/>
      <c r="G75" s="1537"/>
      <c r="H75" s="1538"/>
      <c r="I75" s="1538"/>
      <c r="J75" s="1538"/>
      <c r="K75" s="1538"/>
      <c r="L75" s="1538"/>
      <c r="M75" s="1538"/>
      <c r="N75" s="1538"/>
      <c r="O75" s="1538"/>
      <c r="P75" s="1538"/>
      <c r="Q75" s="1538"/>
      <c r="R75" s="1538"/>
      <c r="S75" s="1538"/>
    </row>
    <row r="76" spans="1:19" s="2" customFormat="1" ht="16.5" thickTop="1" thickBot="1">
      <c r="A76" s="726" t="s">
        <v>575</v>
      </c>
      <c r="B76" s="727"/>
      <c r="C76" s="12"/>
      <c r="D76" s="12"/>
      <c r="E76" s="12"/>
      <c r="F76" s="12"/>
      <c r="G76" s="13"/>
      <c r="H76" s="21"/>
      <c r="I76" s="21"/>
      <c r="J76" s="21"/>
      <c r="K76" s="21"/>
      <c r="L76" s="21"/>
      <c r="M76" s="21"/>
      <c r="N76" s="21"/>
      <c r="O76" s="21"/>
      <c r="P76" s="21"/>
      <c r="Q76" s="21"/>
      <c r="R76" s="21"/>
      <c r="S76" s="21"/>
    </row>
    <row r="77" spans="1:19" s="2" customFormat="1" ht="15.75" thickTop="1">
      <c r="A77" s="1535"/>
      <c r="B77" s="862"/>
      <c r="C77" s="1536"/>
      <c r="D77" s="1536"/>
      <c r="E77" s="1536"/>
      <c r="F77" s="1536"/>
      <c r="G77" s="1537"/>
      <c r="H77" s="1538"/>
      <c r="I77" s="1538"/>
      <c r="J77" s="1538"/>
      <c r="K77" s="1538"/>
      <c r="L77" s="1538"/>
      <c r="M77" s="1538"/>
      <c r="N77" s="1538"/>
      <c r="O77" s="1538"/>
      <c r="P77" s="1538"/>
      <c r="Q77" s="1538"/>
      <c r="R77" s="1538"/>
      <c r="S77" s="1538"/>
    </row>
    <row r="78" spans="1:19" s="2" customFormat="1">
      <c r="A78" s="628"/>
      <c r="B78" s="862"/>
      <c r="C78" s="1124"/>
      <c r="D78" s="1124"/>
      <c r="E78" s="1124"/>
      <c r="F78" s="1124"/>
      <c r="G78" s="1133"/>
      <c r="H78" s="1640"/>
      <c r="I78" s="1640"/>
      <c r="J78" s="1640"/>
      <c r="K78" s="1640"/>
      <c r="L78" s="1640"/>
      <c r="M78" s="1640"/>
      <c r="N78" s="1640"/>
      <c r="O78" s="1640"/>
      <c r="P78" s="1640"/>
      <c r="Q78" s="1640"/>
      <c r="R78" s="1640"/>
      <c r="S78" s="1640"/>
    </row>
    <row r="79" spans="1:19" s="2" customFormat="1" ht="15.75" thickBot="1">
      <c r="A79" s="1641"/>
      <c r="B79" s="1171"/>
      <c r="C79" s="1124"/>
      <c r="D79" s="1124"/>
      <c r="E79" s="1124"/>
      <c r="F79" s="1124"/>
      <c r="G79" s="1133"/>
      <c r="H79" s="1642"/>
      <c r="I79" s="1642"/>
      <c r="J79" s="1642"/>
      <c r="K79" s="1642"/>
      <c r="L79" s="1642"/>
      <c r="M79" s="1642"/>
      <c r="N79" s="1642"/>
      <c r="O79" s="1642"/>
      <c r="P79" s="1642"/>
      <c r="Q79" s="1642"/>
      <c r="R79" s="1642"/>
      <c r="S79" s="1642"/>
    </row>
    <row r="80" spans="1:19" s="2" customFormat="1" ht="16.5" thickTop="1" thickBot="1">
      <c r="A80" s="726" t="s">
        <v>576</v>
      </c>
      <c r="B80" s="727"/>
      <c r="C80" s="12"/>
      <c r="D80" s="12"/>
      <c r="E80" s="12"/>
      <c r="F80" s="12"/>
      <c r="G80" s="13"/>
      <c r="H80" s="21"/>
      <c r="I80" s="21"/>
      <c r="J80" s="21"/>
      <c r="K80" s="21"/>
      <c r="L80" s="21"/>
      <c r="M80" s="21"/>
      <c r="N80" s="21"/>
      <c r="O80" s="21"/>
      <c r="P80" s="21"/>
      <c r="Q80" s="21"/>
      <c r="R80" s="21"/>
      <c r="S80" s="21"/>
    </row>
    <row r="81" spans="1:19" ht="15.75" thickTop="1">
      <c r="A81" s="1539"/>
      <c r="B81" s="1540"/>
      <c r="C81" s="1536"/>
      <c r="D81" s="1536"/>
      <c r="E81" s="1536"/>
      <c r="F81" s="1536"/>
      <c r="G81" s="1537"/>
      <c r="H81" s="1538"/>
      <c r="I81" s="1538"/>
      <c r="J81" s="1538"/>
      <c r="K81" s="1538"/>
      <c r="L81" s="1538"/>
      <c r="M81" s="1538"/>
      <c r="N81" s="1538"/>
      <c r="O81" s="1538"/>
      <c r="P81" s="1538"/>
      <c r="Q81" s="1538"/>
      <c r="R81" s="1538"/>
      <c r="S81" s="1538"/>
    </row>
    <row r="82" spans="1:19">
      <c r="A82" s="1641"/>
      <c r="B82" s="1171"/>
      <c r="C82" s="1124"/>
      <c r="D82" s="1124"/>
      <c r="E82" s="1124"/>
      <c r="F82" s="1124"/>
      <c r="G82" s="1133"/>
      <c r="H82" s="1643"/>
      <c r="I82" s="1643"/>
      <c r="J82" s="1643"/>
      <c r="K82" s="1643"/>
      <c r="L82" s="1643"/>
      <c r="M82" s="1643"/>
      <c r="N82" s="1643"/>
      <c r="O82" s="1643"/>
      <c r="P82" s="1643"/>
      <c r="Q82" s="1643"/>
      <c r="R82" s="1643"/>
      <c r="S82" s="1643"/>
    </row>
    <row r="83" spans="1:19" ht="15.75" thickBot="1">
      <c r="A83" s="1641"/>
      <c r="B83" s="1171"/>
      <c r="C83" s="1124"/>
      <c r="D83" s="1124"/>
      <c r="E83" s="1124"/>
      <c r="F83" s="1124"/>
      <c r="G83" s="1133"/>
      <c r="H83" s="1643"/>
      <c r="I83" s="1643"/>
      <c r="J83" s="1643"/>
      <c r="K83" s="1643"/>
      <c r="L83" s="1643"/>
      <c r="M83" s="1643"/>
      <c r="N83" s="1643"/>
      <c r="O83" s="1643"/>
      <c r="P83" s="1643"/>
      <c r="Q83" s="1643"/>
      <c r="R83" s="1643"/>
      <c r="S83" s="1643"/>
    </row>
    <row r="84" spans="1:19" ht="16.5" thickTop="1" thickBot="1">
      <c r="A84" s="726" t="s">
        <v>577</v>
      </c>
      <c r="B84" s="727"/>
      <c r="C84" s="12"/>
      <c r="D84" s="12"/>
      <c r="E84" s="12"/>
      <c r="F84" s="12"/>
      <c r="G84" s="13"/>
      <c r="H84" s="21"/>
      <c r="I84" s="21"/>
      <c r="J84" s="21"/>
      <c r="K84" s="21"/>
      <c r="L84" s="21"/>
      <c r="M84" s="21"/>
      <c r="N84" s="21"/>
      <c r="O84" s="21"/>
      <c r="P84" s="21"/>
      <c r="Q84" s="21"/>
      <c r="R84" s="21"/>
      <c r="S84" s="21"/>
    </row>
    <row r="85" spans="1:19" ht="15.75" thickTop="1">
      <c r="A85" s="628"/>
      <c r="B85" s="862" t="s">
        <v>578</v>
      </c>
      <c r="C85" s="1124"/>
      <c r="D85" s="1124"/>
      <c r="E85" s="1124"/>
      <c r="F85" s="1124"/>
      <c r="G85" s="1133"/>
      <c r="H85" s="1643"/>
      <c r="I85" s="1643"/>
      <c r="J85" s="1643"/>
      <c r="K85" s="1643"/>
      <c r="L85" s="1643"/>
      <c r="M85" s="1643"/>
      <c r="N85" s="1643"/>
      <c r="O85" s="1643"/>
      <c r="P85" s="1643"/>
      <c r="Q85" s="1643"/>
      <c r="R85" s="1643"/>
      <c r="S85" s="1643"/>
    </row>
    <row r="86" spans="1:19">
      <c r="A86" s="628"/>
      <c r="B86" s="862" t="s">
        <v>579</v>
      </c>
      <c r="C86" s="1124"/>
      <c r="D86" s="1124"/>
      <c r="E86" s="1124"/>
      <c r="F86" s="1124"/>
      <c r="G86" s="1133"/>
      <c r="H86" s="1643"/>
      <c r="I86" s="1643"/>
      <c r="J86" s="1643"/>
      <c r="K86" s="1643"/>
      <c r="L86" s="1643"/>
      <c r="M86" s="1643"/>
      <c r="N86" s="1643"/>
      <c r="O86" s="1643"/>
      <c r="P86" s="1643"/>
      <c r="Q86" s="1643"/>
      <c r="R86" s="1643"/>
      <c r="S86" s="1643"/>
    </row>
    <row r="87" spans="1:19">
      <c r="A87" s="628"/>
      <c r="B87" s="862" t="s">
        <v>580</v>
      </c>
      <c r="C87" s="1124"/>
      <c r="D87" s="1124"/>
      <c r="E87" s="1124"/>
      <c r="F87" s="1124"/>
      <c r="G87" s="1133"/>
      <c r="H87" s="1643"/>
      <c r="I87" s="1643"/>
      <c r="J87" s="1643"/>
      <c r="K87" s="1643"/>
      <c r="L87" s="1643"/>
      <c r="M87" s="1643"/>
      <c r="N87" s="1643"/>
      <c r="O87" s="1643"/>
      <c r="P87" s="1643"/>
      <c r="Q87" s="1643"/>
      <c r="R87" s="1643"/>
      <c r="S87" s="1643"/>
    </row>
    <row r="88" spans="1:19">
      <c r="A88" s="628"/>
      <c r="B88" s="862" t="s">
        <v>581</v>
      </c>
      <c r="C88" s="1124"/>
      <c r="D88" s="1124"/>
      <c r="E88" s="1124"/>
      <c r="F88" s="1124"/>
      <c r="G88" s="1133"/>
      <c r="H88" s="1643"/>
      <c r="I88" s="1643"/>
      <c r="J88" s="1643"/>
      <c r="K88" s="1643"/>
      <c r="L88" s="1643"/>
      <c r="M88" s="1643"/>
      <c r="N88" s="1643"/>
      <c r="O88" s="1643"/>
      <c r="P88" s="1643"/>
      <c r="Q88" s="1643"/>
      <c r="R88" s="1643"/>
      <c r="S88" s="1643"/>
    </row>
    <row r="89" spans="1:19" ht="15.75" thickBot="1">
      <c r="A89" s="416"/>
      <c r="B89" s="295"/>
      <c r="C89" s="184"/>
      <c r="D89" s="184"/>
      <c r="E89" s="184"/>
      <c r="F89" s="184"/>
      <c r="G89" s="296"/>
      <c r="H89" s="418"/>
      <c r="I89" s="418"/>
      <c r="J89" s="418"/>
      <c r="K89" s="418"/>
      <c r="L89" s="418"/>
      <c r="M89" s="418"/>
      <c r="N89" s="418"/>
      <c r="O89" s="418"/>
      <c r="P89" s="418"/>
      <c r="Q89" s="418"/>
      <c r="R89" s="418"/>
      <c r="S89" s="418"/>
    </row>
    <row r="90" spans="1:19" ht="16.5" thickTop="1" thickBot="1">
      <c r="A90" s="7" t="s">
        <v>582</v>
      </c>
      <c r="B90" s="8"/>
      <c r="C90" s="12"/>
      <c r="D90" s="12"/>
      <c r="E90" s="12"/>
      <c r="F90" s="12"/>
      <c r="G90" s="13"/>
      <c r="H90" s="21"/>
      <c r="I90" s="21"/>
      <c r="J90" s="21"/>
      <c r="K90" s="21"/>
      <c r="L90" s="21"/>
      <c r="M90" s="21"/>
      <c r="N90" s="21"/>
      <c r="O90" s="21"/>
      <c r="P90" s="21"/>
      <c r="Q90" s="21"/>
      <c r="R90" s="21"/>
      <c r="S90" s="21"/>
    </row>
    <row r="91" spans="1:19" ht="15.75" thickTop="1">
      <c r="A91" s="1535"/>
      <c r="B91" s="1541" t="s">
        <v>583</v>
      </c>
      <c r="C91" s="1536"/>
      <c r="D91" s="1536"/>
      <c r="E91" s="1536"/>
      <c r="F91" s="1536"/>
      <c r="G91" s="1537"/>
      <c r="H91" s="1542"/>
      <c r="I91" s="1542"/>
      <c r="J91" s="1542"/>
      <c r="K91" s="1542"/>
      <c r="L91" s="1542"/>
      <c r="M91" s="1542"/>
      <c r="N91" s="1542"/>
      <c r="O91" s="1542"/>
      <c r="P91" s="1542"/>
      <c r="Q91" s="1542"/>
      <c r="R91" s="1542"/>
      <c r="S91" s="1542"/>
    </row>
    <row r="92" spans="1:19">
      <c r="A92" s="628"/>
      <c r="B92" s="862" t="s">
        <v>584</v>
      </c>
      <c r="C92" s="1124"/>
      <c r="D92" s="1124"/>
      <c r="E92" s="1124"/>
      <c r="F92" s="1124"/>
      <c r="G92" s="1133"/>
      <c r="H92" s="1644"/>
      <c r="I92" s="1644"/>
      <c r="J92" s="1644"/>
      <c r="K92" s="1644"/>
      <c r="L92" s="1644"/>
      <c r="M92" s="1644"/>
      <c r="N92" s="1644"/>
      <c r="O92" s="1644"/>
      <c r="P92" s="1644"/>
      <c r="Q92" s="1644"/>
      <c r="R92" s="1644"/>
      <c r="S92" s="1644"/>
    </row>
    <row r="93" spans="1:19" ht="15.75" thickBot="1">
      <c r="A93" s="1645"/>
      <c r="B93" s="1646" t="s">
        <v>585</v>
      </c>
      <c r="C93" s="1647"/>
      <c r="D93" s="1647"/>
      <c r="E93" s="1647"/>
      <c r="F93" s="1647"/>
      <c r="G93" s="1648"/>
      <c r="H93" s="1649"/>
      <c r="I93" s="1649"/>
      <c r="J93" s="1649"/>
      <c r="K93" s="1649"/>
      <c r="L93" s="1649"/>
      <c r="M93" s="1649"/>
      <c r="N93" s="1649"/>
      <c r="O93" s="1649"/>
      <c r="P93" s="1649"/>
      <c r="Q93" s="1649"/>
      <c r="R93" s="1649"/>
      <c r="S93" s="1649"/>
    </row>
    <row r="94" spans="1:19" ht="16.5" thickTop="1" thickBot="1"/>
    <row r="95" spans="1:19" ht="16.5" thickTop="1" thickBot="1">
      <c r="A95" s="92" t="s">
        <v>586</v>
      </c>
      <c r="B95" s="94"/>
    </row>
    <row r="96" spans="1:19" ht="15.75" thickTop="1">
      <c r="A96" s="93" t="s">
        <v>487</v>
      </c>
      <c r="B96" s="1650"/>
    </row>
    <row r="97" spans="1:2">
      <c r="A97" s="626" t="s">
        <v>491</v>
      </c>
      <c r="B97" s="1650"/>
    </row>
    <row r="98" spans="1:2">
      <c r="A98" s="1651" t="s">
        <v>494</v>
      </c>
      <c r="B98" s="1652"/>
    </row>
    <row r="99" spans="1:2">
      <c r="A99" s="1651" t="s">
        <v>497</v>
      </c>
      <c r="B99" s="1653"/>
    </row>
    <row r="100" spans="1:2" ht="15.75" thickBot="1">
      <c r="A100" s="1654" t="s">
        <v>587</v>
      </c>
      <c r="B100" s="1655"/>
    </row>
    <row r="101" spans="1:2" ht="15.75" thickTop="1"/>
    <row r="102" spans="1:2">
      <c r="A102" s="95"/>
      <c r="B102" s="1" t="s">
        <v>588</v>
      </c>
    </row>
    <row r="103" spans="1:2">
      <c r="A103" s="96"/>
      <c r="B103"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8:B68"/>
    <mergeCell ref="A72:B72"/>
    <mergeCell ref="A76:B76"/>
    <mergeCell ref="A80:B80"/>
    <mergeCell ref="A84:B84"/>
  </mergeCells>
  <conditionalFormatting sqref="H20:H30">
    <cfRule type="cellIs" dxfId="1381" priority="13" operator="equal">
      <formula>"X"</formula>
    </cfRule>
    <cfRule type="cellIs" dxfId="1380" priority="14" operator="equal">
      <formula>"I"</formula>
    </cfRule>
  </conditionalFormatting>
  <conditionalFormatting sqref="H32:H59">
    <cfRule type="cellIs" dxfId="1379" priority="1" operator="equal">
      <formula>"X"</formula>
    </cfRule>
    <cfRule type="cellIs" dxfId="1378" priority="2" operator="equal">
      <formula>"I"</formula>
    </cfRule>
  </conditionalFormatting>
  <conditionalFormatting sqref="J20:J30">
    <cfRule type="cellIs" dxfId="1377" priority="15" operator="equal">
      <formula>"X"</formula>
    </cfRule>
    <cfRule type="cellIs" dxfId="1376" priority="16" operator="equal">
      <formula>"I"</formula>
    </cfRule>
  </conditionalFormatting>
  <conditionalFormatting sqref="J32:J59">
    <cfRule type="cellIs" dxfId="1375" priority="3" operator="equal">
      <formula>"X"</formula>
    </cfRule>
    <cfRule type="cellIs" dxfId="1374" priority="4" operator="equal">
      <formula>"I"</formula>
    </cfRule>
  </conditionalFormatting>
  <conditionalFormatting sqref="L20:L30">
    <cfRule type="cellIs" dxfId="1373" priority="17" operator="equal">
      <formula>"X"</formula>
    </cfRule>
    <cfRule type="cellIs" dxfId="1372" priority="18" operator="equal">
      <formula>"I"</formula>
    </cfRule>
  </conditionalFormatting>
  <conditionalFormatting sqref="L32:L59">
    <cfRule type="cellIs" dxfId="1371" priority="5" operator="equal">
      <formula>"X"</formula>
    </cfRule>
    <cfRule type="cellIs" dxfId="1370" priority="6" operator="equal">
      <formula>"I"</formula>
    </cfRule>
  </conditionalFormatting>
  <conditionalFormatting sqref="N20:N30">
    <cfRule type="cellIs" dxfId="1369" priority="19" operator="equal">
      <formula>"X"</formula>
    </cfRule>
    <cfRule type="cellIs" dxfId="1368" priority="20" operator="equal">
      <formula>"I"</formula>
    </cfRule>
  </conditionalFormatting>
  <conditionalFormatting sqref="N32:N59">
    <cfRule type="cellIs" dxfId="1367" priority="7" operator="equal">
      <formula>"X"</formula>
    </cfRule>
    <cfRule type="cellIs" dxfId="1366" priority="8" operator="equal">
      <formula>"I"</formula>
    </cfRule>
  </conditionalFormatting>
  <conditionalFormatting sqref="P20:P30">
    <cfRule type="cellIs" dxfId="1365" priority="21" operator="equal">
      <formula>"X"</formula>
    </cfRule>
    <cfRule type="cellIs" dxfId="1364" priority="22" operator="equal">
      <formula>"I"</formula>
    </cfRule>
  </conditionalFormatting>
  <conditionalFormatting sqref="P32:P59">
    <cfRule type="cellIs" dxfId="1363" priority="9" operator="equal">
      <formula>"X"</formula>
    </cfRule>
    <cfRule type="cellIs" dxfId="1362" priority="10" operator="equal">
      <formula>"I"</formula>
    </cfRule>
  </conditionalFormatting>
  <conditionalFormatting sqref="R20:R30">
    <cfRule type="cellIs" dxfId="1361" priority="23" operator="equal">
      <formula>"X"</formula>
    </cfRule>
    <cfRule type="cellIs" dxfId="1360" priority="24" operator="equal">
      <formula>"I"</formula>
    </cfRule>
  </conditionalFormatting>
  <conditionalFormatting sqref="R32:R59">
    <cfRule type="cellIs" dxfId="1359" priority="11" operator="equal">
      <formula>"X"</formula>
    </cfRule>
    <cfRule type="cellIs" dxfId="1358" priority="12" operator="equal">
      <formula>"I"</formula>
    </cfRule>
  </conditionalFormatting>
  <hyperlinks>
    <hyperlink ref="B3" location="'Cost Summary'!A1" display="BACK TO SUMMARY SHEET" xr:uid="{569109D0-E072-4E66-B9DC-F9521295769E}"/>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59C-DF99-44F8-9B46-40F6D8D9FB95}">
  <sheetPr>
    <tabColor rgb="FF92D050"/>
  </sheetPr>
  <dimension ref="A1:S91"/>
  <sheetViews>
    <sheetView zoomScale="70" zoomScaleNormal="70" workbookViewId="0">
      <pane xSplit="2" ySplit="9" topLeftCell="C20" activePane="bottomRight" state="frozen"/>
      <selection pane="bottomRight" activeCell="B37" sqref="B37"/>
      <selection pane="bottomLeft" activeCell="A11" sqref="A11"/>
      <selection pane="topRight" activeCell="C1" sqref="C1"/>
    </sheetView>
  </sheetViews>
  <sheetFormatPr defaultColWidth="9.140625" defaultRowHeight="15"/>
  <cols>
    <col min="1" max="1" width="11" style="65" customWidth="1"/>
    <col min="2" max="2" width="70.7109375" style="66" customWidth="1"/>
    <col min="3" max="3" width="10.85546875" style="67" bestFit="1" customWidth="1"/>
    <col min="4" max="5" width="7.5703125" style="67" customWidth="1"/>
    <col min="6" max="6" width="17.28515625" style="67" customWidth="1"/>
    <col min="7" max="7" width="12.28515625" style="67" customWidth="1"/>
    <col min="8" max="8" width="7.42578125" style="67" bestFit="1" customWidth="1"/>
    <col min="9" max="9" width="14.85546875" style="67" customWidth="1"/>
    <col min="10" max="10" width="7.42578125" style="67" bestFit="1" customWidth="1"/>
    <col min="11" max="11" width="14.85546875" style="67" customWidth="1"/>
    <col min="12" max="12" width="7.42578125" style="67" bestFit="1" customWidth="1"/>
    <col min="13" max="13" width="14.85546875" style="67" customWidth="1"/>
    <col min="14" max="14" width="7.42578125" style="67" bestFit="1" customWidth="1"/>
    <col min="15" max="15" width="14.85546875" style="67" customWidth="1"/>
    <col min="16" max="16" width="7.42578125" style="67" bestFit="1" customWidth="1"/>
    <col min="17" max="17" width="14.85546875" style="67" customWidth="1"/>
    <col min="18" max="18" width="7.42578125" style="67" bestFit="1" customWidth="1"/>
    <col min="19" max="19" width="14.85546875" style="67" customWidth="1"/>
    <col min="20" max="16384" width="9.140625" style="65"/>
  </cols>
  <sheetData>
    <row r="1" spans="1:19">
      <c r="C1" s="2"/>
      <c r="D1" s="2"/>
      <c r="E1" s="175"/>
      <c r="F1" s="149"/>
      <c r="G1" s="147" t="s">
        <v>474</v>
      </c>
      <c r="N1" s="754"/>
      <c r="O1" s="754"/>
    </row>
    <row r="2" spans="1:19" ht="15.75" thickBot="1">
      <c r="C2" s="2"/>
      <c r="D2" s="2"/>
      <c r="E2" s="175"/>
      <c r="F2" s="146" t="s">
        <v>475</v>
      </c>
      <c r="G2" s="147" t="s">
        <v>476</v>
      </c>
      <c r="H2" s="755"/>
      <c r="I2" s="755"/>
      <c r="J2" s="755"/>
      <c r="K2" s="755"/>
      <c r="L2" s="755"/>
      <c r="M2" s="755"/>
      <c r="N2" s="749"/>
      <c r="O2" s="749"/>
      <c r="P2" s="755"/>
      <c r="Q2" s="755"/>
      <c r="R2" s="755"/>
      <c r="S2" s="755"/>
    </row>
    <row r="3" spans="1:19" ht="21" thickBot="1">
      <c r="B3" s="161" t="s">
        <v>477</v>
      </c>
      <c r="C3" s="2"/>
      <c r="D3" s="2"/>
      <c r="E3" s="175"/>
      <c r="F3" s="148" t="s">
        <v>478</v>
      </c>
      <c r="G3" s="147" t="s">
        <v>479</v>
      </c>
      <c r="H3" s="756" t="s">
        <v>480</v>
      </c>
      <c r="I3" s="757"/>
      <c r="J3" s="756" t="s">
        <v>481</v>
      </c>
      <c r="K3" s="757"/>
      <c r="L3" s="756" t="s">
        <v>482</v>
      </c>
      <c r="M3" s="757"/>
      <c r="N3" s="756" t="s">
        <v>868</v>
      </c>
      <c r="O3" s="757"/>
      <c r="P3" s="756" t="s">
        <v>484</v>
      </c>
      <c r="Q3" s="757"/>
      <c r="R3" s="756" t="s">
        <v>485</v>
      </c>
      <c r="S3" s="757"/>
    </row>
    <row r="4" spans="1:19" ht="15.75" thickTop="1">
      <c r="A4" s="68" t="s">
        <v>486</v>
      </c>
      <c r="B4" s="4" t="str">
        <f>'Area Calculations'!B4</f>
        <v>The Club at Ibis Conceptual Estimate</v>
      </c>
      <c r="C4" s="69"/>
      <c r="D4" s="69"/>
      <c r="E4" s="69"/>
      <c r="F4" s="69"/>
      <c r="G4" s="88" t="s">
        <v>487</v>
      </c>
      <c r="H4" s="758"/>
      <c r="I4" s="759"/>
      <c r="J4" s="760"/>
      <c r="K4" s="761"/>
      <c r="L4" s="758"/>
      <c r="M4" s="759"/>
      <c r="N4" s="758"/>
      <c r="O4" s="759"/>
      <c r="P4" s="758"/>
      <c r="Q4" s="759"/>
      <c r="R4" s="795"/>
      <c r="S4" s="1656"/>
    </row>
    <row r="5" spans="1:19">
      <c r="A5" s="1657" t="s">
        <v>489</v>
      </c>
      <c r="B5" s="1658" t="s">
        <v>869</v>
      </c>
      <c r="C5" s="1659"/>
      <c r="D5" s="1659"/>
      <c r="E5" s="1659"/>
      <c r="F5" s="1659"/>
      <c r="G5" s="1660" t="s">
        <v>491</v>
      </c>
      <c r="H5" s="795"/>
      <c r="I5" s="1656"/>
      <c r="J5" s="1661"/>
      <c r="K5" s="1565"/>
      <c r="L5" s="795"/>
      <c r="M5" s="1656"/>
      <c r="N5" s="795"/>
      <c r="O5" s="1656"/>
      <c r="P5" s="795"/>
      <c r="Q5" s="1656"/>
      <c r="R5" s="795"/>
      <c r="S5" s="1656"/>
    </row>
    <row r="6" spans="1:19">
      <c r="A6" s="1657" t="s">
        <v>493</v>
      </c>
      <c r="B6" s="1662" t="s">
        <v>870</v>
      </c>
      <c r="C6" s="1659"/>
      <c r="D6" s="1659"/>
      <c r="E6" s="1659"/>
      <c r="F6" s="1659"/>
      <c r="G6" s="1660" t="s">
        <v>494</v>
      </c>
      <c r="H6" s="794"/>
      <c r="I6" s="1663"/>
      <c r="J6" s="763"/>
      <c r="K6" s="1129"/>
      <c r="L6" s="794"/>
      <c r="M6" s="1663"/>
      <c r="N6" s="794"/>
      <c r="O6" s="1663"/>
      <c r="P6" s="794"/>
      <c r="Q6" s="1663"/>
      <c r="R6" s="794"/>
      <c r="S6" s="1663"/>
    </row>
    <row r="7" spans="1:19">
      <c r="A7" s="1657" t="s">
        <v>496</v>
      </c>
      <c r="B7" s="1664"/>
      <c r="C7" s="1659"/>
      <c r="D7" s="1659"/>
      <c r="E7" s="1659"/>
      <c r="F7" s="1659"/>
      <c r="G7" s="1660" t="s">
        <v>497</v>
      </c>
      <c r="H7" s="777"/>
      <c r="I7" s="1665"/>
      <c r="J7" s="762"/>
      <c r="K7" s="1131"/>
      <c r="L7" s="777"/>
      <c r="M7" s="1665"/>
      <c r="N7" s="777"/>
      <c r="O7" s="1665"/>
      <c r="P7" s="777"/>
      <c r="Q7" s="1665"/>
      <c r="R7" s="791"/>
      <c r="S7" s="1666"/>
    </row>
    <row r="8" spans="1:19" ht="15.75" thickBot="1">
      <c r="A8" s="414" t="s">
        <v>499</v>
      </c>
      <c r="B8" s="251"/>
      <c r="C8" s="253"/>
      <c r="D8" s="253"/>
      <c r="E8" s="253"/>
      <c r="F8" s="253"/>
      <c r="G8" s="419" t="s">
        <v>499</v>
      </c>
      <c r="H8" s="1667">
        <f>I52</f>
        <v>0</v>
      </c>
      <c r="I8" s="1668"/>
      <c r="J8" s="1669">
        <f>K52</f>
        <v>0</v>
      </c>
      <c r="K8" s="1668"/>
      <c r="L8" s="1667">
        <f>M52</f>
        <v>0</v>
      </c>
      <c r="M8" s="1668"/>
      <c r="N8" s="1667">
        <f>O52</f>
        <v>0</v>
      </c>
      <c r="O8" s="1668"/>
      <c r="P8" s="1667">
        <f>Q52</f>
        <v>0</v>
      </c>
      <c r="Q8" s="1668"/>
      <c r="R8" s="1670">
        <f>S52</f>
        <v>0</v>
      </c>
      <c r="S8" s="1671"/>
    </row>
    <row r="9" spans="1:19" ht="31.5" thickTop="1" thickBot="1">
      <c r="A9" s="70" t="s">
        <v>500</v>
      </c>
      <c r="B9" s="71"/>
      <c r="C9" s="72" t="s">
        <v>501</v>
      </c>
      <c r="D9" s="72" t="s">
        <v>502</v>
      </c>
      <c r="E9" s="72" t="s">
        <v>503</v>
      </c>
      <c r="F9" s="72" t="s">
        <v>504</v>
      </c>
      <c r="G9" s="89" t="s">
        <v>505</v>
      </c>
      <c r="H9" s="74" t="s">
        <v>506</v>
      </c>
      <c r="I9" s="74" t="s">
        <v>507</v>
      </c>
      <c r="J9" s="73" t="s">
        <v>506</v>
      </c>
      <c r="K9" s="74" t="s">
        <v>507</v>
      </c>
      <c r="L9" s="74" t="s">
        <v>506</v>
      </c>
      <c r="M9" s="74" t="s">
        <v>507</v>
      </c>
      <c r="N9" s="74" t="s">
        <v>506</v>
      </c>
      <c r="O9" s="74" t="s">
        <v>507</v>
      </c>
      <c r="P9" s="74" t="s">
        <v>506</v>
      </c>
      <c r="Q9" s="74" t="s">
        <v>507</v>
      </c>
      <c r="R9" s="74" t="s">
        <v>506</v>
      </c>
      <c r="S9" s="74" t="s">
        <v>507</v>
      </c>
    </row>
    <row r="10" spans="1:19" ht="15.75" hidden="1" thickTop="1">
      <c r="A10" s="1672"/>
      <c r="B10" s="1543" t="s">
        <v>508</v>
      </c>
      <c r="C10" s="1659"/>
      <c r="D10" s="1659"/>
      <c r="E10" s="1659"/>
      <c r="F10" s="1659"/>
      <c r="G10" s="1673"/>
      <c r="H10" s="1674"/>
      <c r="I10" s="1675"/>
      <c r="J10" s="1676"/>
      <c r="K10" s="1674"/>
      <c r="L10" s="1674"/>
      <c r="M10" s="1674"/>
      <c r="N10" s="1674"/>
      <c r="O10" s="1674"/>
      <c r="P10" s="1674"/>
      <c r="Q10" s="1674"/>
      <c r="R10" s="1674"/>
      <c r="S10" s="1674"/>
    </row>
    <row r="11" spans="1:19" hidden="1">
      <c r="A11" s="1672"/>
      <c r="B11" s="862" t="str">
        <f>'Area Calculations'!M62</f>
        <v>Architectural Drawings  by</v>
      </c>
      <c r="C11" s="1677" t="s">
        <v>509</v>
      </c>
      <c r="D11" s="1659"/>
      <c r="E11" s="1659"/>
      <c r="F11" s="1659"/>
      <c r="G11" s="1673"/>
      <c r="H11" s="1674"/>
      <c r="I11" s="1675"/>
      <c r="J11" s="1676"/>
      <c r="K11" s="1674"/>
      <c r="L11" s="1674"/>
      <c r="M11" s="1674"/>
      <c r="N11" s="1674"/>
      <c r="O11" s="1674"/>
      <c r="P11" s="1674"/>
      <c r="Q11" s="1674"/>
      <c r="R11" s="1674"/>
      <c r="S11" s="1674"/>
    </row>
    <row r="12" spans="1:19" ht="15.75" hidden="1" thickTop="1">
      <c r="A12" s="1672"/>
      <c r="B12" s="862" t="str">
        <f>'Area Calculations'!M63</f>
        <v>Structural Drawings by</v>
      </c>
      <c r="C12" s="1677" t="s">
        <v>509</v>
      </c>
      <c r="D12" s="1659"/>
      <c r="E12" s="1659"/>
      <c r="F12" s="1659"/>
      <c r="G12" s="1673"/>
      <c r="H12" s="1674"/>
      <c r="I12" s="1675"/>
      <c r="J12" s="1676"/>
      <c r="K12" s="1674"/>
      <c r="L12" s="1674"/>
      <c r="M12" s="1674"/>
      <c r="N12" s="1674"/>
      <c r="O12" s="1674"/>
      <c r="P12" s="1674"/>
      <c r="Q12" s="1674"/>
      <c r="R12" s="1674"/>
      <c r="S12" s="1674"/>
    </row>
    <row r="13" spans="1:19" ht="15.75" hidden="1" thickTop="1">
      <c r="A13" s="1672"/>
      <c r="B13" s="862" t="str">
        <f>'Area Calculations'!M64</f>
        <v>MEP FA FP Drawings by</v>
      </c>
      <c r="C13" s="1677" t="s">
        <v>509</v>
      </c>
      <c r="D13" s="1659"/>
      <c r="E13" s="1659"/>
      <c r="F13" s="1659"/>
      <c r="G13" s="1673"/>
      <c r="H13" s="1674"/>
      <c r="I13" s="1675"/>
      <c r="J13" s="1676"/>
      <c r="K13" s="1674"/>
      <c r="L13" s="1674"/>
      <c r="M13" s="1674"/>
      <c r="N13" s="1674"/>
      <c r="O13" s="1674"/>
      <c r="P13" s="1674"/>
      <c r="Q13" s="1674"/>
      <c r="R13" s="1674"/>
      <c r="S13" s="1674"/>
    </row>
    <row r="14" spans="1:19" ht="15.75" hidden="1" thickTop="1">
      <c r="A14" s="1672"/>
      <c r="B14" s="862" t="str">
        <f>'Area Calculations'!M65</f>
        <v xml:space="preserve">Civil Drawings by </v>
      </c>
      <c r="C14" s="1677" t="s">
        <v>509</v>
      </c>
      <c r="D14" s="1659"/>
      <c r="E14" s="1659"/>
      <c r="F14" s="1659"/>
      <c r="G14" s="1673"/>
      <c r="H14" s="1674"/>
      <c r="I14" s="1675"/>
      <c r="J14" s="1676"/>
      <c r="K14" s="1674"/>
      <c r="L14" s="1674"/>
      <c r="M14" s="1674"/>
      <c r="N14" s="1674"/>
      <c r="O14" s="1674"/>
      <c r="P14" s="1674"/>
      <c r="Q14" s="1674"/>
      <c r="R14" s="1674"/>
      <c r="S14" s="1674"/>
    </row>
    <row r="15" spans="1:19" ht="15.75" hidden="1" thickTop="1">
      <c r="A15" s="1672"/>
      <c r="B15" s="862" t="str">
        <f>'Area Calculations'!M66</f>
        <v>Land scape Drawings by</v>
      </c>
      <c r="C15" s="1677" t="s">
        <v>509</v>
      </c>
      <c r="D15" s="1659"/>
      <c r="E15" s="1659"/>
      <c r="F15" s="1659"/>
      <c r="G15" s="1673"/>
      <c r="H15" s="1674"/>
      <c r="I15" s="1675"/>
      <c r="J15" s="1676"/>
      <c r="K15" s="1674"/>
      <c r="L15" s="1674"/>
      <c r="M15" s="1674"/>
      <c r="N15" s="1674"/>
      <c r="O15" s="1674"/>
      <c r="P15" s="1674"/>
      <c r="Q15" s="1674"/>
      <c r="R15" s="1674"/>
      <c r="S15" s="1674"/>
    </row>
    <row r="16" spans="1:19" ht="15.75" hidden="1" thickTop="1">
      <c r="A16" s="1672"/>
      <c r="B16" s="862" t="str">
        <f>'Area Calculations'!M67</f>
        <v>Kitchen Drawings by</v>
      </c>
      <c r="C16" s="1677" t="s">
        <v>509</v>
      </c>
      <c r="D16" s="1659"/>
      <c r="E16" s="1659"/>
      <c r="F16" s="1659"/>
      <c r="G16" s="1673"/>
      <c r="H16" s="1674"/>
      <c r="I16" s="1675"/>
      <c r="J16" s="1676"/>
      <c r="K16" s="1674"/>
      <c r="L16" s="1674"/>
      <c r="M16" s="1674"/>
      <c r="N16" s="1674"/>
      <c r="O16" s="1674"/>
      <c r="P16" s="1674"/>
      <c r="Q16" s="1674"/>
      <c r="R16" s="1674"/>
      <c r="S16" s="1674"/>
    </row>
    <row r="17" spans="1:19" ht="15.75" hidden="1" thickTop="1">
      <c r="A17" s="1672"/>
      <c r="B17" s="862" t="str">
        <f>'Area Calculations'!M68</f>
        <v>Storefront Designer by</v>
      </c>
      <c r="C17" s="1677" t="s">
        <v>509</v>
      </c>
      <c r="D17" s="1659"/>
      <c r="E17" s="1659"/>
      <c r="F17" s="1659"/>
      <c r="G17" s="1673"/>
      <c r="H17" s="1674"/>
      <c r="I17" s="1675"/>
      <c r="J17" s="1676"/>
      <c r="K17" s="1674"/>
      <c r="L17" s="1674"/>
      <c r="M17" s="1674"/>
      <c r="N17" s="1674"/>
      <c r="O17" s="1674"/>
      <c r="P17" s="1674"/>
      <c r="Q17" s="1674"/>
      <c r="R17" s="1674"/>
      <c r="S17" s="1674"/>
    </row>
    <row r="18" spans="1:19" ht="15.75" hidden="1" thickTop="1">
      <c r="A18" s="1672"/>
      <c r="B18" s="862" t="str">
        <f>'Area Calculations'!M69</f>
        <v>Geotech report by</v>
      </c>
      <c r="C18" s="1677" t="s">
        <v>509</v>
      </c>
      <c r="D18" s="1659"/>
      <c r="E18" s="1659"/>
      <c r="F18" s="1659"/>
      <c r="G18" s="1673"/>
      <c r="H18" s="1674"/>
      <c r="I18" s="1675"/>
      <c r="J18" s="1676"/>
      <c r="K18" s="1674"/>
      <c r="L18" s="1674"/>
      <c r="M18" s="1674"/>
      <c r="N18" s="1674"/>
      <c r="O18" s="1674"/>
      <c r="P18" s="1674"/>
      <c r="Q18" s="1674"/>
      <c r="R18" s="1674"/>
      <c r="S18" s="1674"/>
    </row>
    <row r="19" spans="1:19" ht="15" hidden="1" customHeight="1" thickTop="1">
      <c r="A19" s="1672"/>
      <c r="B19" s="862" t="str">
        <f>'Area Calculations'!M70</f>
        <v>Specifications</v>
      </c>
      <c r="C19" s="1677" t="s">
        <v>509</v>
      </c>
      <c r="D19" s="1659"/>
      <c r="E19" s="1659"/>
      <c r="F19" s="1659"/>
      <c r="G19" s="1673"/>
      <c r="H19" s="1674"/>
      <c r="I19" s="1675"/>
      <c r="J19" s="1676"/>
      <c r="K19" s="1674"/>
      <c r="L19" s="1674"/>
      <c r="M19" s="1674"/>
      <c r="N19" s="1674"/>
      <c r="O19" s="1674"/>
      <c r="P19" s="1674"/>
      <c r="Q19" s="1674"/>
      <c r="R19" s="1674"/>
      <c r="S19" s="1674"/>
    </row>
    <row r="20" spans="1:19" ht="15.75" thickTop="1">
      <c r="A20" s="1672"/>
      <c r="B20" s="862"/>
      <c r="C20" s="1677"/>
      <c r="D20" s="1659"/>
      <c r="E20" s="1659"/>
      <c r="F20" s="1659"/>
      <c r="G20" s="1673"/>
      <c r="H20" s="1678"/>
      <c r="I20" s="1675"/>
      <c r="J20" s="1678"/>
      <c r="K20" s="1674"/>
      <c r="L20" s="1678"/>
      <c r="M20" s="1674"/>
      <c r="N20" s="1678"/>
      <c r="O20" s="1674"/>
      <c r="P20" s="1678"/>
      <c r="Q20" s="1674"/>
      <c r="R20" s="1678"/>
      <c r="S20" s="1674"/>
    </row>
    <row r="21" spans="1:19" ht="15.75" thickBot="1">
      <c r="A21" s="1672"/>
      <c r="B21" s="1136" t="s">
        <v>869</v>
      </c>
      <c r="C21" s="1677"/>
      <c r="D21" s="1659"/>
      <c r="E21" s="1659"/>
      <c r="F21" s="1659"/>
      <c r="G21" s="1673"/>
      <c r="H21" s="1678"/>
      <c r="I21" s="1675"/>
      <c r="J21" s="1678"/>
      <c r="K21" s="1674"/>
      <c r="L21" s="1678"/>
      <c r="M21" s="1674"/>
      <c r="N21" s="1678"/>
      <c r="O21" s="1674"/>
      <c r="P21" s="1678"/>
      <c r="Q21" s="1674"/>
      <c r="R21" s="1678"/>
      <c r="S21" s="1674"/>
    </row>
    <row r="22" spans="1:19" ht="75" hidden="1" customHeight="1" thickBot="1">
      <c r="A22" s="1679">
        <v>3</v>
      </c>
      <c r="B22" s="1658" t="s">
        <v>871</v>
      </c>
      <c r="C22" s="1677" t="s">
        <v>509</v>
      </c>
      <c r="D22" s="1659"/>
      <c r="E22" s="1659"/>
      <c r="F22" s="1659"/>
      <c r="G22" s="1673"/>
      <c r="H22" s="1678"/>
      <c r="I22" s="1680"/>
      <c r="J22" s="1678"/>
      <c r="K22" s="1681"/>
      <c r="L22" s="1678"/>
      <c r="M22" s="1681"/>
      <c r="N22" s="1678"/>
      <c r="O22" s="1681"/>
      <c r="P22" s="1678"/>
      <c r="Q22" s="1681"/>
      <c r="R22" s="1678"/>
      <c r="S22" s="1681"/>
    </row>
    <row r="23" spans="1:19" ht="15.75" thickBot="1">
      <c r="A23" s="1679"/>
      <c r="B23" s="374" t="s">
        <v>512</v>
      </c>
      <c r="C23" s="1677"/>
      <c r="D23" s="1659"/>
      <c r="E23" s="1659"/>
      <c r="F23" s="1659"/>
      <c r="G23" s="1673"/>
      <c r="H23" s="1678"/>
      <c r="I23" s="1680"/>
      <c r="J23" s="1678"/>
      <c r="K23" s="1681"/>
      <c r="L23" s="1678"/>
      <c r="M23" s="1681"/>
      <c r="N23" s="1678"/>
      <c r="O23" s="1681"/>
      <c r="P23" s="1678"/>
      <c r="Q23" s="1681"/>
      <c r="R23" s="1678"/>
      <c r="S23" s="1681"/>
    </row>
    <row r="24" spans="1:19">
      <c r="A24" s="1679"/>
      <c r="B24" s="647" t="s">
        <v>513</v>
      </c>
      <c r="C24" s="1673"/>
      <c r="D24" s="1659"/>
      <c r="E24" s="1659"/>
      <c r="F24" s="1659"/>
      <c r="G24" s="1673"/>
      <c r="H24" s="1678"/>
      <c r="I24" s="1682"/>
      <c r="J24" s="1678"/>
      <c r="K24" s="1682"/>
      <c r="L24" s="1678"/>
      <c r="M24" s="1682"/>
      <c r="N24" s="1678"/>
      <c r="O24" s="1682"/>
      <c r="P24" s="1678"/>
      <c r="Q24" s="1682"/>
      <c r="R24" s="1678"/>
      <c r="S24" s="1681"/>
    </row>
    <row r="25" spans="1:19">
      <c r="A25" s="1679"/>
      <c r="B25" s="1567" t="s">
        <v>514</v>
      </c>
      <c r="C25" s="1673"/>
      <c r="D25" s="1683"/>
      <c r="E25" s="1659"/>
      <c r="F25" s="1684"/>
      <c r="G25" s="1685"/>
      <c r="H25" s="1678"/>
      <c r="I25" s="1682"/>
      <c r="J25" s="1678"/>
      <c r="K25" s="1682"/>
      <c r="L25" s="1678"/>
      <c r="M25" s="1682"/>
      <c r="N25" s="1678"/>
      <c r="O25" s="1681"/>
      <c r="P25" s="1678"/>
      <c r="Q25" s="1681"/>
      <c r="R25" s="1678"/>
      <c r="S25" s="1681"/>
    </row>
    <row r="26" spans="1:19">
      <c r="A26" s="1679"/>
      <c r="B26" s="1568" t="s">
        <v>515</v>
      </c>
      <c r="C26" s="1673"/>
      <c r="D26" s="1683"/>
      <c r="E26" s="1659"/>
      <c r="F26" s="1684"/>
      <c r="G26" s="1685"/>
      <c r="H26" s="1678"/>
      <c r="I26" s="1680"/>
      <c r="J26" s="1678"/>
      <c r="K26" s="1682"/>
      <c r="L26" s="1678"/>
      <c r="M26" s="1682"/>
      <c r="N26" s="1678"/>
      <c r="O26" s="1682"/>
      <c r="P26" s="1678"/>
      <c r="Q26" s="1682"/>
      <c r="R26" s="1678"/>
      <c r="S26" s="1681"/>
    </row>
    <row r="27" spans="1:19">
      <c r="A27" s="1679"/>
      <c r="B27" s="1568" t="s">
        <v>516</v>
      </c>
      <c r="C27" s="1673"/>
      <c r="D27" s="1683"/>
      <c r="E27" s="1659"/>
      <c r="F27" s="1684"/>
      <c r="G27" s="1685"/>
      <c r="H27" s="1678"/>
      <c r="I27" s="1680"/>
      <c r="J27" s="1678"/>
      <c r="K27" s="1682"/>
      <c r="L27" s="1678"/>
      <c r="M27" s="1682"/>
      <c r="N27" s="1678"/>
      <c r="O27" s="1682"/>
      <c r="P27" s="1678"/>
      <c r="Q27" s="1682"/>
      <c r="R27" s="1678"/>
      <c r="S27" s="1681"/>
    </row>
    <row r="28" spans="1:19">
      <c r="A28" s="1679"/>
      <c r="B28" s="1568" t="s">
        <v>517</v>
      </c>
      <c r="C28" s="1673"/>
      <c r="D28" s="1683"/>
      <c r="E28" s="1659"/>
      <c r="F28" s="1684"/>
      <c r="G28" s="1673"/>
      <c r="H28" s="1678"/>
      <c r="I28" s="1680"/>
      <c r="J28" s="1678"/>
      <c r="K28" s="1682"/>
      <c r="L28" s="1678"/>
      <c r="M28" s="1682"/>
      <c r="N28" s="1678"/>
      <c r="O28" s="1682"/>
      <c r="P28" s="1678"/>
      <c r="Q28" s="1682"/>
      <c r="R28" s="1678"/>
      <c r="S28" s="1681"/>
    </row>
    <row r="29" spans="1:19">
      <c r="A29" s="1679"/>
      <c r="B29" s="1568" t="s">
        <v>518</v>
      </c>
      <c r="C29" s="1673"/>
      <c r="D29" s="1683"/>
      <c r="E29" s="1659"/>
      <c r="F29" s="1684"/>
      <c r="G29" s="1673"/>
      <c r="H29" s="1678"/>
      <c r="I29" s="1680"/>
      <c r="J29" s="1678"/>
      <c r="K29" s="1682"/>
      <c r="L29" s="1678"/>
      <c r="M29" s="1682"/>
      <c r="N29" s="1678"/>
      <c r="O29" s="1682"/>
      <c r="P29" s="1678"/>
      <c r="Q29" s="1682"/>
      <c r="R29" s="1678"/>
      <c r="S29" s="1681"/>
    </row>
    <row r="30" spans="1:19">
      <c r="A30" s="1679"/>
      <c r="B30" s="1568" t="s">
        <v>693</v>
      </c>
      <c r="C30" s="1673"/>
      <c r="D30" s="1683"/>
      <c r="E30" s="1659"/>
      <c r="F30" s="1684"/>
      <c r="G30" s="1673"/>
      <c r="H30" s="1678"/>
      <c r="I30" s="1680"/>
      <c r="J30" s="1678"/>
      <c r="K30" s="1682"/>
      <c r="L30" s="1678"/>
      <c r="M30" s="1682"/>
      <c r="N30" s="1678"/>
      <c r="O30" s="1682"/>
      <c r="P30" s="1678"/>
      <c r="Q30" s="1682"/>
      <c r="R30" s="1678"/>
      <c r="S30" s="1681"/>
    </row>
    <row r="31" spans="1:19">
      <c r="A31" s="1679"/>
      <c r="B31" s="1569" t="s">
        <v>519</v>
      </c>
      <c r="C31" s="1673"/>
      <c r="D31" s="1683"/>
      <c r="E31" s="1659"/>
      <c r="F31" s="1684"/>
      <c r="G31" s="1673"/>
      <c r="H31" s="1678"/>
      <c r="I31" s="1680"/>
      <c r="J31" s="1678"/>
      <c r="K31" s="1682"/>
      <c r="L31" s="1678"/>
      <c r="M31" s="1682"/>
      <c r="N31" s="1678"/>
      <c r="O31" s="1682"/>
      <c r="P31" s="1678"/>
      <c r="Q31" s="1682"/>
      <c r="R31" s="1678"/>
      <c r="S31" s="1681"/>
    </row>
    <row r="32" spans="1:19">
      <c r="A32" s="1679"/>
      <c r="B32" s="1570" t="s">
        <v>520</v>
      </c>
      <c r="C32" s="1686"/>
      <c r="D32" s="1687"/>
      <c r="E32" s="1688"/>
      <c r="F32" s="1688"/>
      <c r="G32" s="1686"/>
      <c r="H32" s="1689"/>
      <c r="I32" s="1690"/>
      <c r="J32" s="1691"/>
      <c r="K32" s="1692"/>
      <c r="L32" s="1689"/>
      <c r="M32" s="1692"/>
      <c r="N32" s="1689"/>
      <c r="O32" s="1692"/>
      <c r="P32" s="1689"/>
      <c r="Q32" s="1692"/>
      <c r="R32" s="1689"/>
      <c r="S32" s="1693"/>
    </row>
    <row r="33" spans="1:19">
      <c r="A33" s="1679"/>
      <c r="B33" s="1694"/>
      <c r="C33" s="1673"/>
      <c r="D33" s="1683"/>
      <c r="E33" s="1659"/>
      <c r="F33" s="1684"/>
      <c r="G33" s="1685"/>
      <c r="H33" s="1678"/>
      <c r="I33" s="1680"/>
      <c r="J33" s="1678"/>
      <c r="K33" s="1682"/>
      <c r="L33" s="1678"/>
      <c r="M33" s="1682"/>
      <c r="N33" s="1678"/>
      <c r="O33" s="1682"/>
      <c r="P33" s="1678"/>
      <c r="Q33" s="1682"/>
      <c r="R33" s="1678"/>
      <c r="S33" s="1681"/>
    </row>
    <row r="34" spans="1:19">
      <c r="A34" s="1324"/>
      <c r="B34" s="1694"/>
      <c r="C34" s="1673"/>
      <c r="D34" s="1683"/>
      <c r="E34" s="1659"/>
      <c r="F34" s="1659"/>
      <c r="G34" s="1673"/>
      <c r="H34" s="1678"/>
      <c r="I34" s="1680"/>
      <c r="J34" s="1678"/>
      <c r="K34" s="1682"/>
      <c r="L34" s="1678"/>
      <c r="M34" s="1682"/>
      <c r="N34" s="1678"/>
      <c r="O34" s="1682"/>
      <c r="P34" s="1678"/>
      <c r="Q34" s="1682"/>
      <c r="R34" s="1678"/>
      <c r="S34" s="1681"/>
    </row>
    <row r="35" spans="1:19">
      <c r="A35" s="1679"/>
      <c r="B35" s="1694"/>
      <c r="C35" s="1673"/>
      <c r="D35" s="1683"/>
      <c r="E35" s="1659"/>
      <c r="F35" s="1659"/>
      <c r="G35" s="1673"/>
      <c r="H35" s="1678"/>
      <c r="I35" s="1680"/>
      <c r="J35" s="1678"/>
      <c r="K35" s="1682"/>
      <c r="L35" s="1678"/>
      <c r="M35" s="1682"/>
      <c r="N35" s="1678"/>
      <c r="O35" s="1682"/>
      <c r="P35" s="1678"/>
      <c r="Q35" s="1682"/>
      <c r="R35" s="1678"/>
      <c r="S35" s="1681"/>
    </row>
    <row r="36" spans="1:19">
      <c r="A36" s="1324"/>
      <c r="B36" s="1694"/>
      <c r="C36" s="1673"/>
      <c r="D36" s="1683"/>
      <c r="E36" s="1659"/>
      <c r="F36" s="1659"/>
      <c r="G36" s="1673"/>
      <c r="H36" s="1678"/>
      <c r="I36" s="1680"/>
      <c r="J36" s="1678"/>
      <c r="K36" s="1682"/>
      <c r="L36" s="1678"/>
      <c r="M36" s="1682"/>
      <c r="N36" s="1678"/>
      <c r="O36" s="1682"/>
      <c r="P36" s="1678"/>
      <c r="Q36" s="1682"/>
      <c r="R36" s="1678"/>
      <c r="S36" s="1681"/>
    </row>
    <row r="37" spans="1:19">
      <c r="A37" s="1679"/>
      <c r="B37" s="1694"/>
      <c r="C37" s="1673"/>
      <c r="D37" s="1683"/>
      <c r="E37" s="1659"/>
      <c r="F37" s="1659"/>
      <c r="G37" s="1673"/>
      <c r="H37" s="1678" t="s">
        <v>709</v>
      </c>
      <c r="I37" s="1680"/>
      <c r="J37" s="1678"/>
      <c r="K37" s="1682"/>
      <c r="L37" s="1678"/>
      <c r="M37" s="1682"/>
      <c r="N37" s="1678"/>
      <c r="O37" s="1682"/>
      <c r="P37" s="1678"/>
      <c r="Q37" s="1682"/>
      <c r="R37" s="1678"/>
      <c r="S37" s="1681"/>
    </row>
    <row r="38" spans="1:19" ht="16.5" customHeight="1">
      <c r="A38" s="1324"/>
      <c r="B38" s="1694"/>
      <c r="C38" s="1673"/>
      <c r="D38" s="1683"/>
      <c r="E38" s="1659"/>
      <c r="F38" s="1659"/>
      <c r="G38" s="1673"/>
      <c r="H38" s="1678"/>
      <c r="I38" s="1680"/>
      <c r="J38" s="1678"/>
      <c r="K38" s="1682"/>
      <c r="L38" s="1678"/>
      <c r="M38" s="1682"/>
      <c r="N38" s="1678"/>
      <c r="O38" s="1682"/>
      <c r="P38" s="1678"/>
      <c r="Q38" s="1682"/>
      <c r="R38" s="1678"/>
      <c r="S38" s="1680"/>
    </row>
    <row r="39" spans="1:19">
      <c r="A39" s="1679"/>
      <c r="B39" s="1694"/>
      <c r="C39" s="1673"/>
      <c r="D39" s="1683"/>
      <c r="E39" s="1659"/>
      <c r="F39" s="1659"/>
      <c r="G39" s="1673"/>
      <c r="H39" s="1678"/>
      <c r="I39" s="1680"/>
      <c r="J39" s="1678"/>
      <c r="K39" s="1682"/>
      <c r="L39" s="1678"/>
      <c r="M39" s="1682"/>
      <c r="N39" s="1678"/>
      <c r="O39" s="1682"/>
      <c r="P39" s="1678"/>
      <c r="Q39" s="1682"/>
      <c r="R39" s="1678"/>
      <c r="S39" s="1680"/>
    </row>
    <row r="40" spans="1:19">
      <c r="A40" s="1679"/>
      <c r="B40" s="1694"/>
      <c r="C40" s="1673"/>
      <c r="D40" s="1683"/>
      <c r="E40" s="1659"/>
      <c r="F40" s="1659"/>
      <c r="G40" s="1673"/>
      <c r="H40" s="1678"/>
      <c r="I40" s="1680"/>
      <c r="J40" s="1678"/>
      <c r="K40" s="1682"/>
      <c r="L40" s="1678"/>
      <c r="M40" s="1682"/>
      <c r="N40" s="1678"/>
      <c r="O40" s="1682"/>
      <c r="P40" s="1678"/>
      <c r="Q40" s="1682"/>
      <c r="R40" s="1678"/>
      <c r="S40" s="1680"/>
    </row>
    <row r="41" spans="1:19">
      <c r="A41" s="1324"/>
      <c r="B41" s="1694"/>
      <c r="C41" s="1673"/>
      <c r="D41" s="1683"/>
      <c r="E41" s="1659"/>
      <c r="F41" s="1659"/>
      <c r="G41" s="1673"/>
      <c r="H41" s="1678"/>
      <c r="I41" s="1680"/>
      <c r="J41" s="1678"/>
      <c r="K41" s="1682"/>
      <c r="L41" s="1678"/>
      <c r="M41" s="1682"/>
      <c r="N41" s="1678"/>
      <c r="O41" s="1682"/>
      <c r="P41" s="1678"/>
      <c r="Q41" s="1682"/>
      <c r="R41" s="1678"/>
      <c r="S41" s="1681"/>
    </row>
    <row r="42" spans="1:19">
      <c r="A42" s="1324"/>
      <c r="B42" s="1694"/>
      <c r="C42" s="1673"/>
      <c r="D42" s="1683"/>
      <c r="E42" s="1659"/>
      <c r="F42" s="1659"/>
      <c r="G42" s="1673"/>
      <c r="H42" s="1678"/>
      <c r="I42" s="1680"/>
      <c r="J42" s="1678"/>
      <c r="K42" s="1682"/>
      <c r="L42" s="1678"/>
      <c r="M42" s="1682"/>
      <c r="N42" s="1678"/>
      <c r="O42" s="1682"/>
      <c r="P42" s="1678"/>
      <c r="Q42" s="1682"/>
      <c r="R42" s="1678"/>
      <c r="S42" s="1681"/>
    </row>
    <row r="43" spans="1:19">
      <c r="A43" s="1679"/>
      <c r="B43" s="1694"/>
      <c r="C43" s="1673"/>
      <c r="D43" s="1683"/>
      <c r="E43" s="1659"/>
      <c r="F43" s="1659"/>
      <c r="G43" s="1673"/>
      <c r="H43" s="1678"/>
      <c r="I43" s="1680"/>
      <c r="J43" s="1678"/>
      <c r="K43" s="1682"/>
      <c r="L43" s="1678"/>
      <c r="M43" s="1682"/>
      <c r="N43" s="1678"/>
      <c r="O43" s="1682"/>
      <c r="P43" s="1678"/>
      <c r="Q43" s="1682"/>
      <c r="R43" s="1678"/>
      <c r="S43" s="1681"/>
    </row>
    <row r="44" spans="1:19">
      <c r="A44" s="1324"/>
      <c r="B44" s="1694"/>
      <c r="C44" s="1673"/>
      <c r="D44" s="1683"/>
      <c r="E44" s="1659"/>
      <c r="F44" s="1659"/>
      <c r="G44" s="1673"/>
      <c r="H44" s="1678"/>
      <c r="I44" s="1680"/>
      <c r="J44" s="1678"/>
      <c r="K44" s="1682"/>
      <c r="L44" s="1678"/>
      <c r="M44" s="1682"/>
      <c r="N44" s="1678"/>
      <c r="O44" s="1682"/>
      <c r="P44" s="1678"/>
      <c r="Q44" s="1682"/>
      <c r="R44" s="1678"/>
      <c r="S44" s="1681"/>
    </row>
    <row r="45" spans="1:19">
      <c r="A45" s="1679"/>
      <c r="B45" s="1694"/>
      <c r="C45" s="1673"/>
      <c r="D45" s="1683"/>
      <c r="E45" s="1659"/>
      <c r="F45" s="1659"/>
      <c r="G45" s="1673"/>
      <c r="H45" s="1678"/>
      <c r="I45" s="1680"/>
      <c r="J45" s="1678"/>
      <c r="K45" s="1682"/>
      <c r="L45" s="1678"/>
      <c r="M45" s="1682"/>
      <c r="N45" s="1678"/>
      <c r="O45" s="1682"/>
      <c r="P45" s="1678"/>
      <c r="Q45" s="1682"/>
      <c r="R45" s="1678"/>
      <c r="S45" s="1681"/>
    </row>
    <row r="46" spans="1:19">
      <c r="A46" s="1679"/>
      <c r="B46" s="1694"/>
      <c r="C46" s="1673"/>
      <c r="D46" s="1683"/>
      <c r="E46" s="1659"/>
      <c r="F46" s="1659"/>
      <c r="G46" s="1673"/>
      <c r="H46" s="1678"/>
      <c r="I46" s="1681"/>
      <c r="J46" s="1678"/>
      <c r="K46" s="1682"/>
      <c r="L46" s="1678"/>
      <c r="M46" s="1681"/>
      <c r="N46" s="1678"/>
      <c r="O46" s="1682"/>
      <c r="P46" s="1678"/>
      <c r="Q46" s="1682"/>
      <c r="R46" s="1678"/>
      <c r="S46" s="1681"/>
    </row>
    <row r="47" spans="1:19" ht="15.75" thickBot="1">
      <c r="A47" s="1679"/>
      <c r="B47" s="1694"/>
      <c r="C47" s="1695"/>
      <c r="D47" s="1683"/>
      <c r="E47" s="1659"/>
      <c r="F47" s="1659"/>
      <c r="G47" s="1673"/>
      <c r="H47" s="1678"/>
      <c r="I47" s="1681"/>
      <c r="J47" s="1678"/>
      <c r="K47" s="1682"/>
      <c r="L47" s="1678"/>
      <c r="M47" s="1681"/>
      <c r="N47" s="1678"/>
      <c r="O47" s="1682"/>
      <c r="P47" s="1678"/>
      <c r="Q47" s="1682"/>
      <c r="R47" s="1678"/>
      <c r="S47" s="1682"/>
    </row>
    <row r="48" spans="1:19" ht="15.75" thickTop="1">
      <c r="A48" s="76"/>
      <c r="B48" s="77"/>
      <c r="C48" s="78"/>
      <c r="D48" s="78"/>
      <c r="E48" s="79"/>
      <c r="F48" s="80" t="s">
        <v>567</v>
      </c>
      <c r="G48" s="90"/>
      <c r="H48" s="83"/>
      <c r="I48" s="82">
        <f>SUM(I24:I47)</f>
        <v>0</v>
      </c>
      <c r="J48" s="81"/>
      <c r="K48" s="82">
        <f>SUM(K24:K47)</f>
        <v>0</v>
      </c>
      <c r="L48" s="83"/>
      <c r="M48" s="82">
        <f>SUM(M24:M47)</f>
        <v>0</v>
      </c>
      <c r="N48" s="83"/>
      <c r="O48" s="82">
        <f>SUM(O24:O47)</f>
        <v>0</v>
      </c>
      <c r="P48" s="83"/>
      <c r="Q48" s="82">
        <f>SUM(Q24:Q47)</f>
        <v>0</v>
      </c>
      <c r="R48" s="83"/>
      <c r="S48" s="82">
        <f>SUM(S24:S47)</f>
        <v>0</v>
      </c>
    </row>
    <row r="49" spans="1:19">
      <c r="A49" s="1696"/>
      <c r="B49" s="1697"/>
      <c r="C49" s="1698"/>
      <c r="D49" s="1698"/>
      <c r="E49" s="1699"/>
      <c r="F49" s="1700" t="s">
        <v>568</v>
      </c>
      <c r="G49" s="1701"/>
      <c r="H49" s="1702">
        <v>0</v>
      </c>
      <c r="I49" s="1703"/>
      <c r="J49" s="1704">
        <v>0</v>
      </c>
      <c r="K49" s="1703"/>
      <c r="L49" s="1702">
        <v>0</v>
      </c>
      <c r="M49" s="1703"/>
      <c r="N49" s="1702">
        <v>0</v>
      </c>
      <c r="O49" s="1703"/>
      <c r="P49" s="1702">
        <v>0</v>
      </c>
      <c r="Q49" s="1703"/>
      <c r="R49" s="1702">
        <v>0</v>
      </c>
      <c r="S49" s="1703"/>
    </row>
    <row r="50" spans="1:19">
      <c r="A50" s="1696"/>
      <c r="B50" s="1697"/>
      <c r="C50" s="1698"/>
      <c r="D50" s="1698"/>
      <c r="E50" s="1699"/>
      <c r="F50" s="1700" t="s">
        <v>569</v>
      </c>
      <c r="G50" s="1701"/>
      <c r="H50" s="1705"/>
      <c r="I50" s="1706">
        <f>H49*I48</f>
        <v>0</v>
      </c>
      <c r="J50" s="1707"/>
      <c r="K50" s="1706">
        <f>J49*K48</f>
        <v>0</v>
      </c>
      <c r="L50" s="1705"/>
      <c r="M50" s="1706">
        <f>L49*M48</f>
        <v>0</v>
      </c>
      <c r="N50" s="1705"/>
      <c r="O50" s="1706">
        <f>N49*O48</f>
        <v>0</v>
      </c>
      <c r="P50" s="1705"/>
      <c r="Q50" s="1706">
        <f>P49*Q48</f>
        <v>0</v>
      </c>
      <c r="R50" s="1705"/>
      <c r="S50" s="1706">
        <f>R49*S48</f>
        <v>0</v>
      </c>
    </row>
    <row r="51" spans="1:19">
      <c r="A51" s="1696"/>
      <c r="B51" s="1697"/>
      <c r="C51" s="1698"/>
      <c r="D51" s="1698"/>
      <c r="E51" s="1699"/>
      <c r="F51" s="1700"/>
      <c r="G51" s="1701"/>
      <c r="H51" s="1705"/>
      <c r="I51" s="1708"/>
      <c r="J51" s="1707"/>
      <c r="K51" s="1708"/>
      <c r="L51" s="1705"/>
      <c r="M51" s="1708"/>
      <c r="N51" s="1705"/>
      <c r="O51" s="1708"/>
      <c r="P51" s="1705"/>
      <c r="Q51" s="1708"/>
      <c r="R51" s="1705"/>
      <c r="S51" s="1708"/>
    </row>
    <row r="52" spans="1:19">
      <c r="A52" s="1696"/>
      <c r="B52" s="1697"/>
      <c r="C52" s="1698"/>
      <c r="D52" s="1698"/>
      <c r="E52" s="1699"/>
      <c r="F52" s="1700" t="s">
        <v>570</v>
      </c>
      <c r="G52" s="1701"/>
      <c r="H52" s="1709"/>
      <c r="I52" s="1710">
        <f>SUM(I48:I51)</f>
        <v>0</v>
      </c>
      <c r="J52" s="1711"/>
      <c r="K52" s="1710">
        <f>SUM(K48:K51)</f>
        <v>0</v>
      </c>
      <c r="L52" s="1709"/>
      <c r="M52" s="1710">
        <f>SUM(M48:M51)</f>
        <v>0</v>
      </c>
      <c r="N52" s="1709"/>
      <c r="O52" s="1710">
        <f>SUM(O48:O51)</f>
        <v>0</v>
      </c>
      <c r="P52" s="1709"/>
      <c r="Q52" s="1710">
        <f>SUM(Q48:Q51)</f>
        <v>0</v>
      </c>
      <c r="R52" s="1709"/>
      <c r="S52" s="1710">
        <f>SUM(S48:S51)</f>
        <v>0</v>
      </c>
    </row>
    <row r="53" spans="1:19">
      <c r="A53" s="1696"/>
      <c r="B53" s="1697"/>
      <c r="C53" s="1698"/>
      <c r="D53" s="1698"/>
      <c r="E53" s="1699"/>
      <c r="F53" s="1700" t="s">
        <v>571</v>
      </c>
      <c r="G53" s="1712"/>
      <c r="H53" s="1713"/>
      <c r="I53" s="1636" t="e">
        <f>I52/'Area Calculations'!$J$4</f>
        <v>#DIV/0!</v>
      </c>
      <c r="J53" s="1714"/>
      <c r="K53" s="1636" t="e">
        <f>K52/'Area Calculations'!$J$4</f>
        <v>#DIV/0!</v>
      </c>
      <c r="L53" s="1713"/>
      <c r="M53" s="1636" t="e">
        <f>M52/'Area Calculations'!$J$4</f>
        <v>#DIV/0!</v>
      </c>
      <c r="N53" s="1713"/>
      <c r="O53" s="1636" t="e">
        <f>O52/'Area Calculations'!$J$4</f>
        <v>#DIV/0!</v>
      </c>
      <c r="P53" s="1713"/>
      <c r="Q53" s="1636" t="e">
        <f>Q52/'Area Calculations'!$J$4</f>
        <v>#DIV/0!</v>
      </c>
      <c r="R53" s="1713"/>
      <c r="S53" s="1636" t="e">
        <f>S52/'Area Calculations'!$J$4</f>
        <v>#DIV/0!</v>
      </c>
    </row>
    <row r="54" spans="1:19">
      <c r="A54" s="1696"/>
      <c r="B54" s="1697"/>
      <c r="C54" s="1698"/>
      <c r="D54" s="1698"/>
      <c r="E54" s="1699"/>
      <c r="F54" s="1700" t="s">
        <v>572</v>
      </c>
      <c r="G54" s="1701"/>
      <c r="H54" s="1713"/>
      <c r="I54" s="1636" t="e">
        <f>I52/'Area Calculations'!#REF!</f>
        <v>#REF!</v>
      </c>
      <c r="J54" s="1714"/>
      <c r="K54" s="1636" t="e">
        <f>K52/'Area Calculations'!#REF!</f>
        <v>#REF!</v>
      </c>
      <c r="L54" s="1713"/>
      <c r="M54" s="1636" t="e">
        <f>M52/'Area Calculations'!#REF!</f>
        <v>#REF!</v>
      </c>
      <c r="N54" s="1713"/>
      <c r="O54" s="1636" t="e">
        <f>O52/'Area Calculations'!#REF!</f>
        <v>#REF!</v>
      </c>
      <c r="P54" s="1713"/>
      <c r="Q54" s="1636" t="e">
        <f>Q52/'Area Calculations'!#REF!</f>
        <v>#REF!</v>
      </c>
      <c r="R54" s="1713"/>
      <c r="S54" s="1636" t="e">
        <f>S52/'Area Calculations'!#REF!</f>
        <v>#REF!</v>
      </c>
    </row>
    <row r="55" spans="1:19" ht="15.75" thickBot="1">
      <c r="A55" s="1696"/>
      <c r="B55" s="1156"/>
      <c r="C55" s="1157"/>
      <c r="D55" s="1157"/>
      <c r="E55" s="1158"/>
      <c r="F55" s="1159"/>
      <c r="G55" s="1533"/>
      <c r="H55" s="1637"/>
      <c r="I55" s="1638"/>
      <c r="J55" s="1715"/>
      <c r="K55" s="1638"/>
      <c r="L55" s="1637"/>
      <c r="M55" s="1638"/>
      <c r="N55" s="1637"/>
      <c r="O55" s="1638"/>
      <c r="P55" s="1637"/>
      <c r="Q55" s="1638"/>
      <c r="R55" s="1637"/>
      <c r="S55" s="1638"/>
    </row>
    <row r="56" spans="1:19" ht="16.5" thickTop="1" thickBot="1">
      <c r="A56" s="726" t="s">
        <v>573</v>
      </c>
      <c r="B56" s="727"/>
      <c r="C56" s="12"/>
      <c r="D56" s="12"/>
      <c r="E56" s="12"/>
      <c r="F56" s="12"/>
      <c r="G56" s="13"/>
      <c r="H56" s="21"/>
      <c r="I56" s="21"/>
      <c r="J56" s="52"/>
      <c r="K56" s="21"/>
      <c r="L56" s="21"/>
      <c r="M56" s="21"/>
      <c r="N56" s="21"/>
      <c r="O56" s="21"/>
      <c r="P56" s="21"/>
      <c r="Q56" s="21"/>
      <c r="R56" s="21"/>
      <c r="S56" s="21"/>
    </row>
    <row r="57" spans="1:19" ht="15.75" thickTop="1">
      <c r="A57" s="1716"/>
      <c r="B57" s="862"/>
      <c r="C57" s="1717"/>
      <c r="D57" s="1717"/>
      <c r="E57" s="1717"/>
      <c r="F57" s="1717"/>
      <c r="G57" s="1718"/>
      <c r="H57" s="1719"/>
      <c r="I57" s="1719"/>
      <c r="J57" s="1720"/>
      <c r="K57" s="1719"/>
      <c r="L57" s="1719"/>
      <c r="M57" s="1719"/>
      <c r="N57" s="1719"/>
      <c r="O57" s="1719"/>
      <c r="P57" s="1719"/>
      <c r="Q57" s="1719"/>
      <c r="R57" s="1719"/>
      <c r="S57" s="1719"/>
    </row>
    <row r="58" spans="1:19">
      <c r="A58" s="1716"/>
      <c r="B58" s="862"/>
      <c r="C58" s="1717"/>
      <c r="D58" s="1717"/>
      <c r="E58" s="1717"/>
      <c r="F58" s="1717"/>
      <c r="G58" s="1718"/>
      <c r="H58" s="1719"/>
      <c r="I58" s="1719"/>
      <c r="J58" s="1720"/>
      <c r="K58" s="1719"/>
      <c r="L58" s="1719"/>
      <c r="M58" s="1719"/>
      <c r="N58" s="1719"/>
      <c r="O58" s="1719"/>
      <c r="P58" s="1719"/>
      <c r="Q58" s="1719"/>
      <c r="R58" s="1719"/>
      <c r="S58" s="1719"/>
    </row>
    <row r="59" spans="1:19" ht="15.75" thickBot="1">
      <c r="A59" s="1716"/>
      <c r="B59" s="862"/>
      <c r="C59" s="1717"/>
      <c r="D59" s="1717"/>
      <c r="E59" s="1717"/>
      <c r="F59" s="1717"/>
      <c r="G59" s="1718"/>
      <c r="H59" s="1719"/>
      <c r="I59" s="1719"/>
      <c r="J59" s="1720"/>
      <c r="K59" s="1719"/>
      <c r="L59" s="1719"/>
      <c r="M59" s="1719"/>
      <c r="N59" s="1719"/>
      <c r="O59" s="1719"/>
      <c r="P59" s="1719"/>
      <c r="Q59" s="1719"/>
      <c r="R59" s="1719"/>
      <c r="S59" s="1719"/>
    </row>
    <row r="60" spans="1:19" s="67" customFormat="1" ht="16.5" thickTop="1" thickBot="1">
      <c r="A60" s="726" t="s">
        <v>574</v>
      </c>
      <c r="B60" s="727"/>
      <c r="C60" s="12"/>
      <c r="D60" s="12"/>
      <c r="E60" s="12"/>
      <c r="F60" s="12"/>
      <c r="G60" s="13"/>
      <c r="H60" s="21"/>
      <c r="I60" s="21"/>
      <c r="J60" s="52"/>
      <c r="K60" s="21"/>
      <c r="L60" s="21"/>
      <c r="M60" s="21"/>
      <c r="N60" s="21"/>
      <c r="O60" s="21"/>
      <c r="P60" s="21"/>
      <c r="Q60" s="21"/>
      <c r="R60" s="21"/>
      <c r="S60" s="21"/>
    </row>
    <row r="61" spans="1:19" s="67" customFormat="1" ht="15.75" thickTop="1">
      <c r="A61" s="1716"/>
      <c r="B61" s="862"/>
      <c r="C61" s="1717"/>
      <c r="D61" s="1717"/>
      <c r="E61" s="1717"/>
      <c r="F61" s="1717"/>
      <c r="G61" s="1718"/>
      <c r="H61" s="1719"/>
      <c r="I61" s="1719"/>
      <c r="J61" s="1720"/>
      <c r="K61" s="1719"/>
      <c r="L61" s="1719"/>
      <c r="M61" s="1719"/>
      <c r="N61" s="1719"/>
      <c r="O61" s="1719"/>
      <c r="P61" s="1719"/>
      <c r="Q61" s="1719"/>
      <c r="R61" s="1719"/>
      <c r="S61" s="1719"/>
    </row>
    <row r="62" spans="1:19" s="67" customFormat="1">
      <c r="A62" s="1716"/>
      <c r="B62" s="862"/>
      <c r="C62" s="1717"/>
      <c r="D62" s="1717"/>
      <c r="E62" s="1717"/>
      <c r="F62" s="1717"/>
      <c r="G62" s="1718"/>
      <c r="H62" s="1719"/>
      <c r="I62" s="1719"/>
      <c r="J62" s="1720"/>
      <c r="K62" s="1719"/>
      <c r="L62" s="1719"/>
      <c r="M62" s="1719"/>
      <c r="N62" s="1719"/>
      <c r="O62" s="1719"/>
      <c r="P62" s="1719"/>
      <c r="Q62" s="1719"/>
      <c r="R62" s="1719"/>
      <c r="S62" s="1719"/>
    </row>
    <row r="63" spans="1:19" ht="15.75" thickBot="1">
      <c r="A63" s="1716"/>
      <c r="B63" s="862"/>
      <c r="C63" s="1717"/>
      <c r="D63" s="1717"/>
      <c r="E63" s="1717"/>
      <c r="F63" s="1717"/>
      <c r="G63" s="1718"/>
      <c r="H63" s="1719"/>
      <c r="I63" s="1719"/>
      <c r="J63" s="1720"/>
      <c r="K63" s="1719"/>
      <c r="L63" s="1719"/>
      <c r="M63" s="1719"/>
      <c r="N63" s="1719"/>
      <c r="O63" s="1719"/>
      <c r="P63" s="1719"/>
      <c r="Q63" s="1719"/>
      <c r="R63" s="1719"/>
      <c r="S63" s="1719"/>
    </row>
    <row r="64" spans="1:19" s="67" customFormat="1" ht="16.5" thickTop="1" thickBot="1">
      <c r="A64" s="726" t="s">
        <v>575</v>
      </c>
      <c r="B64" s="727"/>
      <c r="C64" s="12"/>
      <c r="D64" s="12"/>
      <c r="E64" s="12"/>
      <c r="F64" s="12"/>
      <c r="G64" s="13"/>
      <c r="H64" s="21"/>
      <c r="I64" s="21"/>
      <c r="J64" s="52"/>
      <c r="K64" s="21"/>
      <c r="L64" s="21"/>
      <c r="M64" s="21"/>
      <c r="N64" s="21"/>
      <c r="O64" s="21"/>
      <c r="P64" s="21"/>
      <c r="Q64" s="21"/>
      <c r="R64" s="21"/>
      <c r="S64" s="21"/>
    </row>
    <row r="65" spans="1:19" s="67" customFormat="1" ht="15.75" thickTop="1">
      <c r="A65" s="1716"/>
      <c r="B65" s="862"/>
      <c r="C65" s="1717"/>
      <c r="D65" s="1717"/>
      <c r="E65" s="1717"/>
      <c r="F65" s="1717"/>
      <c r="G65" s="1718"/>
      <c r="H65" s="1719"/>
      <c r="I65" s="1719"/>
      <c r="J65" s="1720"/>
      <c r="K65" s="1719"/>
      <c r="L65" s="1719"/>
      <c r="M65" s="1719"/>
      <c r="N65" s="1719"/>
      <c r="O65" s="1719"/>
      <c r="P65" s="1719"/>
      <c r="Q65" s="1719"/>
      <c r="R65" s="1719"/>
      <c r="S65" s="1719"/>
    </row>
    <row r="66" spans="1:19" s="67" customFormat="1">
      <c r="A66" s="628"/>
      <c r="B66" s="862"/>
      <c r="C66" s="1124"/>
      <c r="D66" s="1124"/>
      <c r="E66" s="1124"/>
      <c r="F66" s="1124"/>
      <c r="G66" s="1133"/>
      <c r="H66" s="1640"/>
      <c r="I66" s="1640"/>
      <c r="J66" s="1170"/>
      <c r="K66" s="1640"/>
      <c r="L66" s="1640"/>
      <c r="M66" s="1640"/>
      <c r="N66" s="1640"/>
      <c r="O66" s="1640"/>
      <c r="P66" s="1640"/>
      <c r="Q66" s="1640"/>
      <c r="R66" s="1640"/>
      <c r="S66" s="1640"/>
    </row>
    <row r="67" spans="1:19" s="67" customFormat="1" ht="15.75" thickBot="1">
      <c r="A67" s="625"/>
      <c r="B67" s="1171"/>
      <c r="C67" s="1124"/>
      <c r="D67" s="1124"/>
      <c r="E67" s="1124"/>
      <c r="F67" s="1124"/>
      <c r="G67" s="1133"/>
      <c r="H67" s="1642"/>
      <c r="I67" s="1642"/>
      <c r="J67" s="1172"/>
      <c r="K67" s="1642"/>
      <c r="L67" s="1642"/>
      <c r="M67" s="1642"/>
      <c r="N67" s="1642"/>
      <c r="O67" s="1642"/>
      <c r="P67" s="1642"/>
      <c r="Q67" s="1642"/>
      <c r="R67" s="1642"/>
      <c r="S67" s="1642"/>
    </row>
    <row r="68" spans="1:19" s="67" customFormat="1" ht="16.5" thickTop="1" thickBot="1">
      <c r="A68" s="726" t="s">
        <v>576</v>
      </c>
      <c r="B68" s="727"/>
      <c r="C68" s="12"/>
      <c r="D68" s="12"/>
      <c r="E68" s="12"/>
      <c r="F68" s="12"/>
      <c r="G68" s="13"/>
      <c r="H68" s="21"/>
      <c r="I68" s="21"/>
      <c r="J68" s="52"/>
      <c r="K68" s="21"/>
      <c r="L68" s="21"/>
      <c r="M68" s="21"/>
      <c r="N68" s="21"/>
      <c r="O68" s="21"/>
      <c r="P68" s="21"/>
      <c r="Q68" s="21"/>
      <c r="R68" s="21"/>
      <c r="S68" s="21"/>
    </row>
    <row r="69" spans="1:19" ht="15.75" thickTop="1">
      <c r="A69" s="1721"/>
      <c r="B69" s="1722"/>
      <c r="C69" s="1717"/>
      <c r="D69" s="1717"/>
      <c r="E69" s="1717"/>
      <c r="F69" s="1717"/>
      <c r="G69" s="1718"/>
      <c r="H69" s="1719"/>
      <c r="I69" s="1719"/>
      <c r="J69" s="1720"/>
      <c r="K69" s="1719"/>
      <c r="L69" s="1719"/>
      <c r="M69" s="1719"/>
      <c r="N69" s="1719"/>
      <c r="O69" s="1719"/>
      <c r="P69" s="1719"/>
      <c r="Q69" s="1719"/>
      <c r="R69" s="1719"/>
      <c r="S69" s="1719"/>
    </row>
    <row r="70" spans="1:19">
      <c r="A70" s="625"/>
      <c r="B70" s="1171"/>
      <c r="C70" s="1124"/>
      <c r="D70" s="1124"/>
      <c r="E70" s="1124"/>
      <c r="F70" s="1124"/>
      <c r="G70" s="1133"/>
      <c r="H70" s="1643"/>
      <c r="I70" s="1643"/>
      <c r="J70" s="1175"/>
      <c r="K70" s="1643"/>
      <c r="L70" s="1643"/>
      <c r="M70" s="1643"/>
      <c r="N70" s="1643"/>
      <c r="O70" s="1643"/>
      <c r="P70" s="1643"/>
      <c r="Q70" s="1643"/>
      <c r="R70" s="1643"/>
      <c r="S70" s="1643"/>
    </row>
    <row r="71" spans="1:19" ht="15.75" thickBot="1">
      <c r="A71" s="625"/>
      <c r="B71" s="1171"/>
      <c r="C71" s="1124"/>
      <c r="D71" s="1124"/>
      <c r="E71" s="1124"/>
      <c r="F71" s="1124"/>
      <c r="G71" s="1133"/>
      <c r="H71" s="1643"/>
      <c r="I71" s="1643"/>
      <c r="J71" s="1175"/>
      <c r="K71" s="1643"/>
      <c r="L71" s="1643"/>
      <c r="M71" s="1643"/>
      <c r="N71" s="1643"/>
      <c r="O71" s="1643"/>
      <c r="P71" s="1643"/>
      <c r="Q71" s="1643"/>
      <c r="R71" s="1643"/>
      <c r="S71" s="1643"/>
    </row>
    <row r="72" spans="1:19" ht="16.5" thickTop="1" thickBot="1">
      <c r="A72" s="726" t="s">
        <v>577</v>
      </c>
      <c r="B72" s="727"/>
      <c r="C72" s="12"/>
      <c r="D72" s="12"/>
      <c r="E72" s="12"/>
      <c r="F72" s="12"/>
      <c r="G72" s="13"/>
      <c r="H72" s="21"/>
      <c r="I72" s="21"/>
      <c r="J72" s="52"/>
      <c r="K72" s="21"/>
      <c r="L72" s="21"/>
      <c r="M72" s="21"/>
      <c r="N72" s="21"/>
      <c r="O72" s="21"/>
      <c r="P72" s="21"/>
      <c r="Q72" s="21"/>
      <c r="R72" s="21"/>
      <c r="S72" s="21"/>
    </row>
    <row r="73" spans="1:19" ht="15.75" thickTop="1">
      <c r="A73" s="628"/>
      <c r="B73" s="862" t="s">
        <v>578</v>
      </c>
      <c r="C73" s="1124"/>
      <c r="D73" s="1124"/>
      <c r="E73" s="1124"/>
      <c r="F73" s="1124"/>
      <c r="G73" s="1133"/>
      <c r="H73" s="1643"/>
      <c r="I73" s="1643"/>
      <c r="J73" s="1175"/>
      <c r="K73" s="1643"/>
      <c r="L73" s="1643"/>
      <c r="M73" s="1643"/>
      <c r="N73" s="1643"/>
      <c r="O73" s="1643"/>
      <c r="P73" s="1643"/>
      <c r="Q73" s="1643"/>
      <c r="R73" s="1643"/>
      <c r="S73" s="1643"/>
    </row>
    <row r="74" spans="1:19">
      <c r="A74" s="628"/>
      <c r="B74" s="862" t="s">
        <v>579</v>
      </c>
      <c r="C74" s="1124"/>
      <c r="D74" s="1124"/>
      <c r="E74" s="1124"/>
      <c r="F74" s="1124"/>
      <c r="G74" s="1133"/>
      <c r="H74" s="1643"/>
      <c r="I74" s="1643"/>
      <c r="J74" s="1175"/>
      <c r="K74" s="1643"/>
      <c r="L74" s="1643"/>
      <c r="M74" s="1643"/>
      <c r="N74" s="1643"/>
      <c r="O74" s="1643"/>
      <c r="P74" s="1643"/>
      <c r="Q74" s="1643"/>
      <c r="R74" s="1643"/>
      <c r="S74" s="1643"/>
    </row>
    <row r="75" spans="1:19">
      <c r="A75" s="628"/>
      <c r="B75" s="862" t="s">
        <v>580</v>
      </c>
      <c r="C75" s="1124"/>
      <c r="D75" s="1124"/>
      <c r="E75" s="1124"/>
      <c r="F75" s="1124"/>
      <c r="G75" s="1133"/>
      <c r="H75" s="1643"/>
      <c r="I75" s="1643"/>
      <c r="J75" s="1175"/>
      <c r="K75" s="1643"/>
      <c r="L75" s="1643"/>
      <c r="M75" s="1643"/>
      <c r="N75" s="1643"/>
      <c r="O75" s="1643"/>
      <c r="P75" s="1643"/>
      <c r="Q75" s="1643"/>
      <c r="R75" s="1643"/>
      <c r="S75" s="1643"/>
    </row>
    <row r="76" spans="1:19">
      <c r="A76" s="628"/>
      <c r="B76" s="862" t="s">
        <v>581</v>
      </c>
      <c r="C76" s="1124"/>
      <c r="D76" s="1124"/>
      <c r="E76" s="1124"/>
      <c r="F76" s="1124"/>
      <c r="G76" s="1133"/>
      <c r="H76" s="1643"/>
      <c r="I76" s="1643"/>
      <c r="J76" s="1175"/>
      <c r="K76" s="1643"/>
      <c r="L76" s="1643"/>
      <c r="M76" s="1643"/>
      <c r="N76" s="1643"/>
      <c r="O76" s="1643"/>
      <c r="P76" s="1643"/>
      <c r="Q76" s="1643"/>
      <c r="R76" s="1643"/>
      <c r="S76" s="1643"/>
    </row>
    <row r="77" spans="1:19" ht="15.75" thickBot="1">
      <c r="A77" s="416"/>
      <c r="B77" s="295"/>
      <c r="C77" s="184"/>
      <c r="D77" s="184"/>
      <c r="E77" s="184"/>
      <c r="F77" s="184"/>
      <c r="G77" s="296"/>
      <c r="H77" s="418"/>
      <c r="I77" s="418"/>
      <c r="J77" s="53"/>
      <c r="K77" s="418"/>
      <c r="L77" s="418"/>
      <c r="M77" s="418"/>
      <c r="N77" s="418"/>
      <c r="O77" s="418"/>
      <c r="P77" s="418"/>
      <c r="Q77" s="418"/>
      <c r="R77" s="418"/>
      <c r="S77" s="418"/>
    </row>
    <row r="78" spans="1:19" ht="16.5" thickTop="1" thickBot="1">
      <c r="A78" s="7" t="s">
        <v>582</v>
      </c>
      <c r="B78" s="8"/>
      <c r="C78" s="12"/>
      <c r="D78" s="12"/>
      <c r="E78" s="12"/>
      <c r="F78" s="12"/>
      <c r="G78" s="13"/>
      <c r="H78" s="21"/>
      <c r="I78" s="21"/>
      <c r="J78" s="52"/>
      <c r="K78" s="21"/>
      <c r="L78" s="21"/>
      <c r="M78" s="21"/>
      <c r="N78" s="21"/>
      <c r="O78" s="21"/>
      <c r="P78" s="21"/>
      <c r="Q78" s="21"/>
      <c r="R78" s="21"/>
      <c r="S78" s="21"/>
    </row>
    <row r="79" spans="1:19" ht="15.75" thickTop="1">
      <c r="A79" s="1716"/>
      <c r="B79" s="1541" t="s">
        <v>583</v>
      </c>
      <c r="C79" s="1717"/>
      <c r="D79" s="1717"/>
      <c r="E79" s="1717"/>
      <c r="F79" s="1717"/>
      <c r="G79" s="1718"/>
      <c r="H79" s="1542"/>
      <c r="I79" s="1542"/>
      <c r="J79" s="1546"/>
      <c r="K79" s="1542"/>
      <c r="L79" s="1542"/>
      <c r="M79" s="1542"/>
      <c r="N79" s="1542"/>
      <c r="O79" s="1542"/>
      <c r="P79" s="1542"/>
      <c r="Q79" s="1542"/>
      <c r="R79" s="1542"/>
      <c r="S79" s="1542"/>
    </row>
    <row r="80" spans="1:19">
      <c r="A80" s="628"/>
      <c r="B80" s="862" t="s">
        <v>584</v>
      </c>
      <c r="C80" s="1124"/>
      <c r="D80" s="1124"/>
      <c r="E80" s="1124"/>
      <c r="F80" s="1124"/>
      <c r="G80" s="1133"/>
      <c r="H80" s="1644"/>
      <c r="I80" s="1644"/>
      <c r="J80" s="1178"/>
      <c r="K80" s="1644"/>
      <c r="L80" s="1644"/>
      <c r="M80" s="1644"/>
      <c r="N80" s="1644"/>
      <c r="O80" s="1644"/>
      <c r="P80" s="1644"/>
      <c r="Q80" s="1644"/>
      <c r="R80" s="1644"/>
      <c r="S80" s="1644"/>
    </row>
    <row r="81" spans="1:19" ht="15.75" thickBot="1">
      <c r="A81" s="1645"/>
      <c r="B81" s="1646" t="s">
        <v>585</v>
      </c>
      <c r="C81" s="1647"/>
      <c r="D81" s="1647"/>
      <c r="E81" s="1647"/>
      <c r="F81" s="1647"/>
      <c r="G81" s="1648"/>
      <c r="H81" s="1649"/>
      <c r="I81" s="1649"/>
      <c r="J81" s="1723"/>
      <c r="K81" s="1649"/>
      <c r="L81" s="1649"/>
      <c r="M81" s="1649"/>
      <c r="N81" s="1649"/>
      <c r="O81" s="1649"/>
      <c r="P81" s="1649"/>
      <c r="Q81" s="1649"/>
      <c r="R81" s="1649"/>
      <c r="S81" s="1649"/>
    </row>
    <row r="82" spans="1:19" ht="16.5" thickTop="1" thickBot="1">
      <c r="A82"/>
      <c r="B82" s="1"/>
      <c r="C82" s="2"/>
      <c r="D82" s="2"/>
      <c r="E82" s="2"/>
      <c r="F82" s="2"/>
      <c r="G82" s="2"/>
      <c r="H82" s="2"/>
      <c r="I82" s="2"/>
      <c r="J82" s="2"/>
      <c r="K82" s="2"/>
      <c r="L82" s="2"/>
      <c r="M82" s="2"/>
      <c r="N82" s="2"/>
      <c r="O82" s="2"/>
      <c r="P82" s="2"/>
      <c r="Q82" s="2"/>
      <c r="R82" s="2"/>
      <c r="S82" s="2"/>
    </row>
    <row r="83" spans="1:19" ht="16.5" thickTop="1" thickBot="1">
      <c r="A83" s="92" t="s">
        <v>586</v>
      </c>
      <c r="B83" s="94"/>
      <c r="C83" s="2"/>
      <c r="D83" s="2"/>
      <c r="E83" s="2"/>
      <c r="F83" s="2"/>
      <c r="G83" s="2"/>
      <c r="H83" s="2"/>
      <c r="I83" s="2"/>
      <c r="J83" s="2"/>
      <c r="K83" s="2"/>
      <c r="L83" s="2"/>
      <c r="M83" s="2"/>
      <c r="N83" s="2"/>
      <c r="O83" s="2"/>
      <c r="P83" s="2"/>
      <c r="Q83" s="2"/>
      <c r="R83" s="2"/>
      <c r="S83" s="2"/>
    </row>
    <row r="84" spans="1:19" ht="15.75" thickTop="1">
      <c r="A84" s="93" t="s">
        <v>487</v>
      </c>
      <c r="B84" s="1650"/>
      <c r="C84" s="2"/>
      <c r="D84" s="2"/>
      <c r="E84" s="2"/>
      <c r="F84" s="2"/>
      <c r="G84" s="2"/>
      <c r="H84" s="2"/>
      <c r="I84" s="2"/>
      <c r="J84" s="2"/>
      <c r="K84" s="2"/>
      <c r="L84" s="2"/>
      <c r="M84" s="2"/>
      <c r="N84" s="2"/>
      <c r="O84" s="2"/>
      <c r="P84" s="2"/>
      <c r="Q84" s="2"/>
      <c r="R84" s="2"/>
      <c r="S84" s="2"/>
    </row>
    <row r="85" spans="1:19">
      <c r="A85" s="626" t="s">
        <v>491</v>
      </c>
      <c r="B85" s="1650"/>
      <c r="C85" s="2"/>
      <c r="D85" s="2"/>
      <c r="E85" s="2"/>
      <c r="F85" s="2"/>
      <c r="G85" s="2"/>
      <c r="H85" s="2"/>
      <c r="I85" s="2"/>
      <c r="J85" s="2"/>
      <c r="K85" s="2"/>
      <c r="L85" s="2"/>
      <c r="M85" s="2"/>
      <c r="N85" s="2"/>
      <c r="O85" s="2"/>
      <c r="P85" s="2"/>
      <c r="Q85" s="2"/>
      <c r="R85" s="2"/>
      <c r="S85" s="2"/>
    </row>
    <row r="86" spans="1:19">
      <c r="A86" s="1651" t="s">
        <v>494</v>
      </c>
      <c r="B86" s="1652"/>
      <c r="C86" s="2"/>
      <c r="D86" s="2"/>
      <c r="E86" s="2"/>
      <c r="F86" s="2"/>
      <c r="G86" s="2"/>
      <c r="H86" s="2"/>
      <c r="I86" s="2"/>
      <c r="J86" s="2"/>
      <c r="K86" s="2"/>
      <c r="L86" s="2"/>
      <c r="M86" s="2"/>
      <c r="N86" s="2"/>
      <c r="O86" s="2"/>
      <c r="P86" s="2"/>
      <c r="Q86" s="2"/>
      <c r="R86" s="2"/>
      <c r="S86" s="2"/>
    </row>
    <row r="87" spans="1:19">
      <c r="A87" s="1651" t="s">
        <v>497</v>
      </c>
      <c r="B87" s="1653"/>
      <c r="C87" s="2"/>
      <c r="D87" s="2"/>
      <c r="E87" s="2"/>
      <c r="F87" s="2"/>
      <c r="G87" s="2"/>
      <c r="H87" s="2"/>
      <c r="I87" s="2"/>
      <c r="J87" s="2"/>
      <c r="K87" s="2"/>
      <c r="L87" s="2"/>
      <c r="M87" s="2"/>
      <c r="N87" s="2"/>
      <c r="O87" s="2"/>
      <c r="P87" s="2"/>
      <c r="Q87" s="2"/>
      <c r="R87" s="2"/>
      <c r="S87" s="2"/>
    </row>
    <row r="88" spans="1:19" ht="15.75" thickBot="1">
      <c r="A88" s="1654" t="s">
        <v>587</v>
      </c>
      <c r="B88" s="1655"/>
      <c r="C88" s="2"/>
      <c r="D88" s="2"/>
      <c r="E88" s="2"/>
      <c r="F88" s="2"/>
      <c r="G88" s="2"/>
      <c r="H88" s="2"/>
      <c r="I88" s="2"/>
      <c r="J88" s="2"/>
      <c r="K88" s="2"/>
      <c r="L88" s="2"/>
      <c r="M88" s="2"/>
      <c r="N88" s="2"/>
      <c r="O88" s="2"/>
      <c r="P88" s="2"/>
      <c r="Q88" s="2"/>
      <c r="R88" s="2"/>
      <c r="S88" s="2"/>
    </row>
    <row r="89" spans="1:19" ht="15.75" thickTop="1">
      <c r="A89"/>
      <c r="B89" s="1"/>
      <c r="C89" s="2"/>
      <c r="D89" s="2"/>
      <c r="E89" s="2"/>
      <c r="F89" s="2"/>
      <c r="G89" s="2"/>
      <c r="H89" s="2"/>
      <c r="I89" s="2"/>
      <c r="J89" s="2"/>
      <c r="K89" s="2"/>
      <c r="L89" s="2"/>
      <c r="M89" s="2"/>
      <c r="N89" s="2"/>
      <c r="O89" s="2"/>
      <c r="P89" s="2"/>
      <c r="Q89" s="2"/>
      <c r="R89" s="2"/>
      <c r="S89" s="2"/>
    </row>
    <row r="90" spans="1:19">
      <c r="A90" s="95"/>
      <c r="B90" s="1" t="s">
        <v>588</v>
      </c>
      <c r="C90" s="2"/>
      <c r="D90" s="2"/>
      <c r="E90" s="2"/>
      <c r="F90" s="2"/>
      <c r="G90" s="2"/>
      <c r="H90" s="2"/>
      <c r="I90" s="2"/>
      <c r="J90" s="2"/>
      <c r="K90" s="2"/>
      <c r="L90" s="2"/>
      <c r="M90" s="2"/>
      <c r="N90" s="2"/>
      <c r="O90" s="2"/>
      <c r="P90" s="2"/>
      <c r="Q90" s="2"/>
      <c r="R90" s="2"/>
      <c r="S90" s="2"/>
    </row>
    <row r="91" spans="1:19">
      <c r="A91" s="96"/>
      <c r="B91" s="1" t="s">
        <v>589</v>
      </c>
      <c r="C91" s="2"/>
      <c r="D91" s="2"/>
      <c r="E91" s="2"/>
      <c r="F91" s="2"/>
      <c r="G91" s="2"/>
      <c r="H91" s="2"/>
      <c r="I91" s="2"/>
      <c r="J91" s="2"/>
      <c r="K91" s="2"/>
      <c r="L91" s="2"/>
      <c r="M91" s="2"/>
      <c r="N91" s="2"/>
      <c r="O91" s="2"/>
      <c r="P91" s="2"/>
      <c r="Q91" s="2"/>
      <c r="R91" s="2"/>
      <c r="S91" s="2"/>
    </row>
  </sheetData>
  <mergeCells count="48">
    <mergeCell ref="R8:S8"/>
    <mergeCell ref="H8:I8"/>
    <mergeCell ref="J8:K8"/>
    <mergeCell ref="L8:M8"/>
    <mergeCell ref="N8:O8"/>
    <mergeCell ref="P8:Q8"/>
    <mergeCell ref="R6:S6"/>
    <mergeCell ref="H7:I7"/>
    <mergeCell ref="J7:K7"/>
    <mergeCell ref="L7:M7"/>
    <mergeCell ref="N7:O7"/>
    <mergeCell ref="P7:Q7"/>
    <mergeCell ref="R7:S7"/>
    <mergeCell ref="H6:I6"/>
    <mergeCell ref="J6:K6"/>
    <mergeCell ref="L6:M6"/>
    <mergeCell ref="N6:O6"/>
    <mergeCell ref="P6:Q6"/>
    <mergeCell ref="R4:S4"/>
    <mergeCell ref="H5:I5"/>
    <mergeCell ref="J5:K5"/>
    <mergeCell ref="L5:M5"/>
    <mergeCell ref="N5:O5"/>
    <mergeCell ref="P5:Q5"/>
    <mergeCell ref="R5:S5"/>
    <mergeCell ref="H4:I4"/>
    <mergeCell ref="J4:K4"/>
    <mergeCell ref="L4:M4"/>
    <mergeCell ref="N4:O4"/>
    <mergeCell ref="P4:Q4"/>
    <mergeCell ref="P2:Q2"/>
    <mergeCell ref="R2:S2"/>
    <mergeCell ref="H3:I3"/>
    <mergeCell ref="J3:K3"/>
    <mergeCell ref="L3:M3"/>
    <mergeCell ref="N3:O3"/>
    <mergeCell ref="P3:Q3"/>
    <mergeCell ref="R3:S3"/>
    <mergeCell ref="N1:O1"/>
    <mergeCell ref="H2:I2"/>
    <mergeCell ref="J2:K2"/>
    <mergeCell ref="L2:M2"/>
    <mergeCell ref="N2:O2"/>
    <mergeCell ref="A56:B56"/>
    <mergeCell ref="A60:B60"/>
    <mergeCell ref="A64:B64"/>
    <mergeCell ref="A68:B68"/>
    <mergeCell ref="A72:B72"/>
  </mergeCells>
  <conditionalFormatting sqref="H20:H31">
    <cfRule type="cellIs" dxfId="1357" priority="13" operator="equal">
      <formula>"X"</formula>
    </cfRule>
    <cfRule type="cellIs" dxfId="1356" priority="14" operator="equal">
      <formula>"I"</formula>
    </cfRule>
  </conditionalFormatting>
  <conditionalFormatting sqref="H33:H47">
    <cfRule type="cellIs" dxfId="1355" priority="1" operator="equal">
      <formula>"X"</formula>
    </cfRule>
    <cfRule type="cellIs" dxfId="1354" priority="2" operator="equal">
      <formula>"I"</formula>
    </cfRule>
  </conditionalFormatting>
  <conditionalFormatting sqref="J20:J31">
    <cfRule type="cellIs" dxfId="1353" priority="15" operator="equal">
      <formula>"X"</formula>
    </cfRule>
    <cfRule type="cellIs" dxfId="1352" priority="16" operator="equal">
      <formula>"I"</formula>
    </cfRule>
  </conditionalFormatting>
  <conditionalFormatting sqref="J33:J47">
    <cfRule type="cellIs" dxfId="1351" priority="3" operator="equal">
      <formula>"X"</formula>
    </cfRule>
    <cfRule type="cellIs" dxfId="1350" priority="4" operator="equal">
      <formula>"I"</formula>
    </cfRule>
  </conditionalFormatting>
  <conditionalFormatting sqref="L20:L31">
    <cfRule type="cellIs" dxfId="1349" priority="17" operator="equal">
      <formula>"X"</formula>
    </cfRule>
    <cfRule type="cellIs" dxfId="1348" priority="18" operator="equal">
      <formula>"I"</formula>
    </cfRule>
  </conditionalFormatting>
  <conditionalFormatting sqref="L33:L47">
    <cfRule type="cellIs" dxfId="1347" priority="5" operator="equal">
      <formula>"X"</formula>
    </cfRule>
    <cfRule type="cellIs" dxfId="1346" priority="6" operator="equal">
      <formula>"I"</formula>
    </cfRule>
  </conditionalFormatting>
  <conditionalFormatting sqref="N20:N31">
    <cfRule type="cellIs" dxfId="1345" priority="19" operator="equal">
      <formula>"X"</formula>
    </cfRule>
    <cfRule type="cellIs" dxfId="1344" priority="20" operator="equal">
      <formula>"I"</formula>
    </cfRule>
  </conditionalFormatting>
  <conditionalFormatting sqref="N33:N47">
    <cfRule type="cellIs" dxfId="1343" priority="7" operator="equal">
      <formula>"X"</formula>
    </cfRule>
    <cfRule type="cellIs" dxfId="1342" priority="8" operator="equal">
      <formula>"I"</formula>
    </cfRule>
  </conditionalFormatting>
  <conditionalFormatting sqref="P20:P31">
    <cfRule type="cellIs" dxfId="1341" priority="21" operator="equal">
      <formula>"X"</formula>
    </cfRule>
    <cfRule type="cellIs" dxfId="1340" priority="22" operator="equal">
      <formula>"I"</formula>
    </cfRule>
  </conditionalFormatting>
  <conditionalFormatting sqref="P33:P47">
    <cfRule type="cellIs" dxfId="1339" priority="9" operator="equal">
      <formula>"X"</formula>
    </cfRule>
    <cfRule type="cellIs" dxfId="1338" priority="10" operator="equal">
      <formula>"I"</formula>
    </cfRule>
  </conditionalFormatting>
  <conditionalFormatting sqref="R20:R31">
    <cfRule type="cellIs" dxfId="1337" priority="23" operator="equal">
      <formula>"X"</formula>
    </cfRule>
    <cfRule type="cellIs" dxfId="1336" priority="24" operator="equal">
      <formula>"I"</formula>
    </cfRule>
  </conditionalFormatting>
  <conditionalFormatting sqref="R33:R47">
    <cfRule type="cellIs" dxfId="1335" priority="11" operator="equal">
      <formula>"X"</formula>
    </cfRule>
    <cfRule type="cellIs" dxfId="1334" priority="12" operator="equal">
      <formula>"I"</formula>
    </cfRule>
  </conditionalFormatting>
  <hyperlinks>
    <hyperlink ref="B3" location="'Cost Summary'!A1" display="BACK TO SUMMARY SHEET" xr:uid="{4A62C248-EA36-41CA-B6B1-CEBFEF767D23}"/>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4833-A035-4289-8D41-223CF31060E3}">
  <sheetPr>
    <tabColor rgb="FF92D050"/>
  </sheetPr>
  <dimension ref="A1:S103"/>
  <sheetViews>
    <sheetView zoomScale="95" zoomScaleNormal="95" workbookViewId="0">
      <pane xSplit="2" ySplit="19" topLeftCell="C20" activePane="bottomRight" state="frozen"/>
      <selection pane="bottomRight" activeCell="B33" sqref="B33"/>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5.5703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49"/>
      <c r="I2" s="749"/>
      <c r="J2" s="732"/>
      <c r="K2" s="732"/>
      <c r="L2" s="749"/>
      <c r="M2" s="749"/>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872</v>
      </c>
      <c r="C5" s="1124"/>
      <c r="D5" s="1124"/>
      <c r="E5" s="1124"/>
      <c r="F5" s="1124"/>
      <c r="G5" s="1125" t="s">
        <v>491</v>
      </c>
      <c r="H5" s="1564"/>
      <c r="I5" s="1565"/>
      <c r="J5" s="1564"/>
      <c r="K5" s="1565"/>
      <c r="L5" s="1564"/>
      <c r="M5" s="1565"/>
      <c r="N5" s="1564"/>
      <c r="O5" s="1565"/>
      <c r="P5" s="1564"/>
      <c r="Q5" s="1565"/>
      <c r="R5" s="1564"/>
      <c r="S5" s="1565"/>
    </row>
    <row r="6" spans="1:19">
      <c r="A6" s="627" t="s">
        <v>493</v>
      </c>
      <c r="B6" s="1127" t="s">
        <v>873</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85"/>
      <c r="I7" s="1129"/>
      <c r="J7" s="751"/>
      <c r="K7" s="753"/>
      <c r="L7" s="751"/>
      <c r="M7" s="752"/>
      <c r="N7" s="751"/>
      <c r="O7" s="752"/>
      <c r="P7" s="751"/>
      <c r="Q7" s="753"/>
      <c r="R7" s="785"/>
      <c r="S7" s="1129"/>
    </row>
    <row r="8" spans="1:19">
      <c r="A8" s="414" t="s">
        <v>499</v>
      </c>
      <c r="B8" s="295"/>
      <c r="C8" s="184"/>
      <c r="D8" s="184"/>
      <c r="E8" s="184"/>
      <c r="F8" s="184"/>
      <c r="G8" s="419" t="s">
        <v>499</v>
      </c>
      <c r="H8" s="1724">
        <f>I64</f>
        <v>0</v>
      </c>
      <c r="I8" s="1725"/>
      <c r="J8" s="1724">
        <f>K64</f>
        <v>0</v>
      </c>
      <c r="K8" s="1725"/>
      <c r="L8" s="1724">
        <f>M64</f>
        <v>0</v>
      </c>
      <c r="M8" s="1725"/>
      <c r="N8" s="1724">
        <f>O64</f>
        <v>0</v>
      </c>
      <c r="O8" s="1725"/>
      <c r="P8" s="1724">
        <f>Q64</f>
        <v>0</v>
      </c>
      <c r="Q8" s="1725"/>
      <c r="R8" s="1724">
        <f>S64</f>
        <v>0</v>
      </c>
      <c r="S8" s="172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543"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idden="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idden="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c r="A20" s="628"/>
      <c r="B20" s="862"/>
      <c r="C20" s="1134"/>
      <c r="D20" s="1124"/>
      <c r="E20" s="1124"/>
      <c r="F20" s="1124"/>
      <c r="G20" s="1133"/>
      <c r="H20" s="1678"/>
      <c r="I20" s="1726"/>
      <c r="J20" s="1678"/>
      <c r="K20" s="1726"/>
      <c r="L20" s="1678"/>
      <c r="M20" s="1726"/>
      <c r="N20" s="1678"/>
      <c r="O20" s="1726"/>
      <c r="P20" s="1678"/>
      <c r="Q20" s="1726"/>
      <c r="R20" s="1678"/>
      <c r="S20" s="1726"/>
    </row>
    <row r="21" spans="1:19">
      <c r="A21" s="628"/>
      <c r="B21" s="1136" t="s">
        <v>872</v>
      </c>
      <c r="C21" s="1134"/>
      <c r="D21" s="1124"/>
      <c r="E21" s="1124"/>
      <c r="F21" s="1124"/>
      <c r="G21" s="1133"/>
      <c r="H21" s="1678"/>
      <c r="I21" s="1726"/>
      <c r="J21" s="1678"/>
      <c r="K21" s="1726"/>
      <c r="L21" s="1678"/>
      <c r="M21" s="1726"/>
      <c r="N21" s="1678"/>
      <c r="O21" s="1726"/>
      <c r="P21" s="1678"/>
      <c r="Q21" s="1726"/>
      <c r="R21" s="1678"/>
      <c r="S21" s="1726"/>
    </row>
    <row r="22" spans="1:19">
      <c r="A22" s="1545"/>
      <c r="B22" s="374" t="s">
        <v>512</v>
      </c>
      <c r="C22" s="1134"/>
      <c r="D22" s="1124"/>
      <c r="E22" s="1124"/>
      <c r="F22" s="1124"/>
      <c r="G22" s="1133"/>
      <c r="H22" s="1678"/>
      <c r="I22" s="1546"/>
      <c r="J22" s="1678"/>
      <c r="K22" s="1546"/>
      <c r="L22" s="1678"/>
      <c r="M22" s="1546"/>
      <c r="N22" s="1678"/>
      <c r="O22" s="1546"/>
      <c r="P22" s="1678"/>
      <c r="Q22" s="1546"/>
      <c r="R22" s="1678"/>
      <c r="S22" s="1546"/>
    </row>
    <row r="23" spans="1:19">
      <c r="A23" s="1545"/>
      <c r="B23" s="647" t="s">
        <v>513</v>
      </c>
      <c r="C23" s="1134"/>
      <c r="D23" s="1124"/>
      <c r="E23" s="1124"/>
      <c r="F23" s="1124"/>
      <c r="G23" s="1133"/>
      <c r="H23" s="1678"/>
      <c r="I23" s="1546"/>
      <c r="J23" s="1678"/>
      <c r="K23" s="1546"/>
      <c r="L23" s="1678"/>
      <c r="M23" s="1546"/>
      <c r="N23" s="1678"/>
      <c r="O23" s="1546"/>
      <c r="P23" s="1678"/>
      <c r="Q23" s="1424"/>
      <c r="R23" s="1678"/>
      <c r="S23" s="1424"/>
    </row>
    <row r="24" spans="1:19">
      <c r="A24" s="623"/>
      <c r="B24" s="1567" t="s">
        <v>514</v>
      </c>
      <c r="C24" s="1124"/>
      <c r="D24" s="1124"/>
      <c r="E24" s="1124"/>
      <c r="F24" s="1124"/>
      <c r="G24" s="1133"/>
      <c r="H24" s="1678"/>
      <c r="I24" s="1424"/>
      <c r="J24" s="1678"/>
      <c r="K24" s="1424"/>
      <c r="L24" s="1678"/>
      <c r="M24" s="1424"/>
      <c r="N24" s="1678"/>
      <c r="O24" s="1546"/>
      <c r="P24" s="1678"/>
      <c r="Q24" s="1546"/>
      <c r="R24" s="1678"/>
      <c r="S24" s="1546"/>
    </row>
    <row r="25" spans="1:19">
      <c r="A25" s="1545"/>
      <c r="B25" s="1568" t="s">
        <v>515</v>
      </c>
      <c r="C25" s="1124"/>
      <c r="D25" s="1124"/>
      <c r="E25" s="1124"/>
      <c r="F25" s="1124"/>
      <c r="G25" s="1133"/>
      <c r="H25" s="1678"/>
      <c r="I25" s="1424"/>
      <c r="J25" s="1678"/>
      <c r="K25" s="1424"/>
      <c r="L25" s="1678"/>
      <c r="M25" s="1424"/>
      <c r="N25" s="1678"/>
      <c r="O25" s="1546"/>
      <c r="P25" s="1678"/>
      <c r="Q25" s="1546"/>
      <c r="R25" s="1678"/>
      <c r="S25" s="1546"/>
    </row>
    <row r="26" spans="1:19">
      <c r="A26" s="623"/>
      <c r="B26" s="1568" t="s">
        <v>516</v>
      </c>
      <c r="C26" s="1124"/>
      <c r="D26" s="1124"/>
      <c r="E26" s="1124"/>
      <c r="F26" s="1124"/>
      <c r="G26" s="1133"/>
      <c r="H26" s="1678"/>
      <c r="I26" s="1424"/>
      <c r="J26" s="1678"/>
      <c r="K26" s="1424"/>
      <c r="L26" s="1678"/>
      <c r="M26" s="1424"/>
      <c r="N26" s="1678"/>
      <c r="O26" s="1546"/>
      <c r="P26" s="1678"/>
      <c r="Q26" s="1546"/>
      <c r="R26" s="1678"/>
      <c r="S26" s="1546"/>
    </row>
    <row r="27" spans="1:19">
      <c r="A27" s="1545"/>
      <c r="B27" s="1568" t="s">
        <v>517</v>
      </c>
      <c r="C27" s="1124"/>
      <c r="D27" s="1124"/>
      <c r="E27" s="1124"/>
      <c r="F27" s="1124"/>
      <c r="G27" s="1133"/>
      <c r="H27" s="1678"/>
      <c r="I27" s="1424"/>
      <c r="J27" s="1678"/>
      <c r="K27" s="1424"/>
      <c r="L27" s="1678"/>
      <c r="M27" s="1424"/>
      <c r="N27" s="1678"/>
      <c r="O27" s="1546"/>
      <c r="P27" s="1678"/>
      <c r="Q27" s="1546"/>
      <c r="R27" s="1678"/>
      <c r="S27" s="1546"/>
    </row>
    <row r="28" spans="1:19">
      <c r="A28" s="1545"/>
      <c r="B28" s="1568" t="s">
        <v>518</v>
      </c>
      <c r="C28" s="1124"/>
      <c r="D28" s="1124"/>
      <c r="E28" s="1124"/>
      <c r="F28" s="1124"/>
      <c r="G28" s="1133"/>
      <c r="H28" s="1678"/>
      <c r="I28" s="1424"/>
      <c r="J28" s="1678"/>
      <c r="K28" s="1424"/>
      <c r="L28" s="1678"/>
      <c r="M28" s="1424"/>
      <c r="N28" s="1678"/>
      <c r="O28" s="1546"/>
      <c r="P28" s="1678"/>
      <c r="Q28" s="1546"/>
      <c r="R28" s="1678"/>
      <c r="S28" s="1546"/>
    </row>
    <row r="29" spans="1:19">
      <c r="A29" s="1545"/>
      <c r="B29" s="1568" t="s">
        <v>693</v>
      </c>
      <c r="C29" s="1124"/>
      <c r="D29" s="1124"/>
      <c r="E29" s="1124"/>
      <c r="F29" s="1124"/>
      <c r="G29" s="1133"/>
      <c r="H29" s="1678"/>
      <c r="I29" s="1424"/>
      <c r="J29" s="1678"/>
      <c r="K29" s="1424"/>
      <c r="L29" s="1678"/>
      <c r="M29" s="1424"/>
      <c r="N29" s="1678"/>
      <c r="O29" s="1546"/>
      <c r="P29" s="1678"/>
      <c r="Q29" s="1546"/>
      <c r="R29" s="1678"/>
      <c r="S29" s="1546"/>
    </row>
    <row r="30" spans="1:19">
      <c r="A30" s="1545"/>
      <c r="B30" s="1569" t="s">
        <v>519</v>
      </c>
      <c r="C30" s="1124"/>
      <c r="D30" s="1124"/>
      <c r="E30" s="1124"/>
      <c r="F30" s="1124"/>
      <c r="G30" s="1133"/>
      <c r="H30" s="1678"/>
      <c r="I30" s="1424"/>
      <c r="J30" s="1678"/>
      <c r="K30" s="1424"/>
      <c r="L30" s="1678"/>
      <c r="M30" s="1424"/>
      <c r="N30" s="1678"/>
      <c r="O30" s="1546"/>
      <c r="P30" s="1678"/>
      <c r="Q30" s="1546"/>
      <c r="R30" s="1678"/>
      <c r="S30" s="1546"/>
    </row>
    <row r="31" spans="1:19">
      <c r="A31" s="1545"/>
      <c r="B31" s="1570" t="s">
        <v>520</v>
      </c>
      <c r="C31" s="1145"/>
      <c r="D31" s="1145"/>
      <c r="E31" s="1145"/>
      <c r="F31" s="1145"/>
      <c r="G31" s="1599"/>
      <c r="H31" s="1727"/>
      <c r="I31" s="1476"/>
      <c r="J31" s="1727"/>
      <c r="K31" s="1476"/>
      <c r="L31" s="1727"/>
      <c r="M31" s="1476"/>
      <c r="N31" s="1727"/>
      <c r="O31" s="1477"/>
      <c r="P31" s="1727"/>
      <c r="Q31" s="1477"/>
      <c r="R31" s="1727"/>
      <c r="S31" s="1477"/>
    </row>
    <row r="32" spans="1:19">
      <c r="A32" s="1545"/>
      <c r="B32" s="1694"/>
      <c r="C32" s="1124"/>
      <c r="D32" s="1124"/>
      <c r="E32" s="1124"/>
      <c r="F32" s="1151"/>
      <c r="G32" s="1133"/>
      <c r="H32" s="1678"/>
      <c r="I32" s="1424"/>
      <c r="J32" s="1678"/>
      <c r="K32" s="1424"/>
      <c r="L32" s="1678"/>
      <c r="M32" s="1424"/>
      <c r="N32" s="1678"/>
      <c r="O32" s="1546"/>
      <c r="P32" s="1678"/>
      <c r="Q32" s="1546"/>
      <c r="R32" s="1678"/>
      <c r="S32" s="1546"/>
    </row>
    <row r="33" spans="1:19">
      <c r="A33" s="1545"/>
      <c r="B33" s="1728"/>
      <c r="C33" s="1124"/>
      <c r="D33" s="1124"/>
      <c r="E33" s="1124"/>
      <c r="F33" s="1124"/>
      <c r="G33" s="1133"/>
      <c r="H33" s="1678"/>
      <c r="I33" s="1424"/>
      <c r="J33" s="1678"/>
      <c r="K33" s="1424"/>
      <c r="L33" s="1678"/>
      <c r="M33" s="1424"/>
      <c r="N33" s="1678"/>
      <c r="O33" s="1546"/>
      <c r="P33" s="1678"/>
      <c r="Q33" s="1546"/>
      <c r="R33" s="1678"/>
      <c r="S33" s="1546"/>
    </row>
    <row r="34" spans="1:19">
      <c r="A34" s="1545"/>
      <c r="B34" s="1729" t="s">
        <v>853</v>
      </c>
      <c r="C34" s="1124"/>
      <c r="D34" s="1124"/>
      <c r="E34" s="1124"/>
      <c r="F34" s="1124"/>
      <c r="G34" s="1133"/>
      <c r="H34" s="1678"/>
      <c r="I34" s="1424"/>
      <c r="J34" s="1678"/>
      <c r="K34" s="1424"/>
      <c r="L34" s="1678"/>
      <c r="M34" s="1424"/>
      <c r="N34" s="1678"/>
      <c r="O34" s="1546"/>
      <c r="P34" s="1678"/>
      <c r="Q34" s="1546"/>
      <c r="R34" s="1678"/>
      <c r="S34" s="1546"/>
    </row>
    <row r="35" spans="1:19">
      <c r="A35" s="1545"/>
      <c r="B35" s="1730" t="s">
        <v>854</v>
      </c>
      <c r="C35" s="1124"/>
      <c r="D35" s="1124"/>
      <c r="E35" s="1124"/>
      <c r="F35" s="1124"/>
      <c r="G35" s="1133"/>
      <c r="H35" s="1678"/>
      <c r="I35" s="1424"/>
      <c r="J35" s="1678"/>
      <c r="K35" s="1424"/>
      <c r="L35" s="1678"/>
      <c r="M35" s="1424"/>
      <c r="N35" s="1678"/>
      <c r="O35" s="1546"/>
      <c r="P35" s="1678"/>
      <c r="Q35" s="1546"/>
      <c r="R35" s="1678"/>
      <c r="S35" s="1546"/>
    </row>
    <row r="36" spans="1:19">
      <c r="A36" s="1545"/>
      <c r="B36" s="1730" t="s">
        <v>855</v>
      </c>
      <c r="C36" s="1124"/>
      <c r="D36" s="1124"/>
      <c r="E36" s="1124"/>
      <c r="F36" s="1124"/>
      <c r="G36" s="1133"/>
      <c r="H36" s="1678"/>
      <c r="I36" s="1424"/>
      <c r="J36" s="1678"/>
      <c r="K36" s="1424"/>
      <c r="L36" s="1678"/>
      <c r="M36" s="1424"/>
      <c r="N36" s="1678"/>
      <c r="O36" s="1546"/>
      <c r="P36" s="1678"/>
      <c r="Q36" s="1546"/>
      <c r="R36" s="1678"/>
      <c r="S36" s="1546"/>
    </row>
    <row r="37" spans="1:19">
      <c r="A37" s="1545"/>
      <c r="B37" s="1730" t="s">
        <v>856</v>
      </c>
      <c r="C37" s="1124"/>
      <c r="D37" s="1124"/>
      <c r="E37" s="1124"/>
      <c r="F37" s="1124"/>
      <c r="G37" s="1133"/>
      <c r="H37" s="1678"/>
      <c r="I37" s="1424"/>
      <c r="J37" s="1678" t="s">
        <v>710</v>
      </c>
      <c r="K37" s="1424"/>
      <c r="L37" s="1678"/>
      <c r="M37" s="1424"/>
      <c r="N37" s="1678"/>
      <c r="O37" s="1546"/>
      <c r="P37" s="1678"/>
      <c r="Q37" s="1546"/>
      <c r="R37" s="1678"/>
      <c r="S37" s="1546"/>
    </row>
    <row r="38" spans="1:19">
      <c r="A38" s="1545"/>
      <c r="B38" s="1730"/>
      <c r="C38" s="1124"/>
      <c r="D38" s="1124"/>
      <c r="E38" s="1124"/>
      <c r="F38" s="1124"/>
      <c r="G38" s="1133"/>
      <c r="H38" s="1678"/>
      <c r="I38" s="1424"/>
      <c r="J38" s="1678"/>
      <c r="K38" s="1424"/>
      <c r="L38" s="1678"/>
      <c r="M38" s="1424"/>
      <c r="N38" s="1678"/>
      <c r="O38" s="1546"/>
      <c r="P38" s="1678"/>
      <c r="Q38" s="1546"/>
      <c r="R38" s="1678"/>
      <c r="S38" s="1546"/>
    </row>
    <row r="39" spans="1:19">
      <c r="A39" s="1545"/>
      <c r="B39" s="1730" t="s">
        <v>857</v>
      </c>
      <c r="C39" s="1124"/>
      <c r="D39" s="1124"/>
      <c r="E39" s="1124"/>
      <c r="F39" s="1124"/>
      <c r="G39" s="1133"/>
      <c r="H39" s="1678"/>
      <c r="I39" s="1424"/>
      <c r="J39" s="1678"/>
      <c r="K39" s="1424"/>
      <c r="L39" s="1678"/>
      <c r="M39" s="1424"/>
      <c r="N39" s="1678"/>
      <c r="O39" s="1546"/>
      <c r="P39" s="1678"/>
      <c r="Q39" s="1546"/>
      <c r="R39" s="1678"/>
      <c r="S39" s="1546"/>
    </row>
    <row r="40" spans="1:19">
      <c r="A40" s="1545"/>
      <c r="B40" s="1730" t="s">
        <v>855</v>
      </c>
      <c r="C40" s="1124"/>
      <c r="D40" s="1124"/>
      <c r="E40" s="1124"/>
      <c r="F40" s="1124"/>
      <c r="G40" s="1133"/>
      <c r="H40" s="1678"/>
      <c r="I40" s="1424"/>
      <c r="J40" s="1678"/>
      <c r="K40" s="1424"/>
      <c r="L40" s="1678"/>
      <c r="M40" s="1424"/>
      <c r="N40" s="1678"/>
      <c r="O40" s="1546"/>
      <c r="P40" s="1678"/>
      <c r="Q40" s="1546"/>
      <c r="R40" s="1678"/>
      <c r="S40" s="1546"/>
    </row>
    <row r="41" spans="1:19">
      <c r="A41" s="1545"/>
      <c r="B41" s="1730" t="s">
        <v>856</v>
      </c>
      <c r="C41" s="1124"/>
      <c r="D41" s="1124"/>
      <c r="E41" s="1124"/>
      <c r="F41" s="1124"/>
      <c r="G41" s="1133"/>
      <c r="H41" s="1678"/>
      <c r="I41" s="1424"/>
      <c r="J41" s="1678"/>
      <c r="K41" s="1424"/>
      <c r="L41" s="1678"/>
      <c r="M41" s="1424"/>
      <c r="N41" s="1678"/>
      <c r="O41" s="1546"/>
      <c r="P41" s="1678"/>
      <c r="Q41" s="1546"/>
      <c r="R41" s="1678"/>
      <c r="S41" s="1546"/>
    </row>
    <row r="42" spans="1:19">
      <c r="A42" s="1545"/>
      <c r="B42" s="1730"/>
      <c r="C42" s="1124"/>
      <c r="D42" s="1124"/>
      <c r="E42" s="1124"/>
      <c r="F42" s="1124"/>
      <c r="G42" s="1133"/>
      <c r="H42" s="1678"/>
      <c r="I42" s="1424"/>
      <c r="J42" s="1678"/>
      <c r="K42" s="1424"/>
      <c r="L42" s="1678"/>
      <c r="M42" s="1424"/>
      <c r="N42" s="1678"/>
      <c r="O42" s="1546"/>
      <c r="P42" s="1678"/>
      <c r="Q42" s="1546"/>
      <c r="R42" s="1678"/>
      <c r="S42" s="1546"/>
    </row>
    <row r="43" spans="1:19">
      <c r="A43" s="1545"/>
      <c r="B43" s="1729" t="s">
        <v>858</v>
      </c>
      <c r="C43" s="1124"/>
      <c r="D43" s="1124"/>
      <c r="E43" s="1124"/>
      <c r="F43" s="1124"/>
      <c r="G43" s="1133"/>
      <c r="H43" s="1678"/>
      <c r="I43" s="1424"/>
      <c r="J43" s="1678"/>
      <c r="K43" s="1424"/>
      <c r="L43" s="1678"/>
      <c r="M43" s="1424"/>
      <c r="N43" s="1678"/>
      <c r="O43" s="1546"/>
      <c r="P43" s="1678"/>
      <c r="Q43" s="1546"/>
      <c r="R43" s="1678"/>
      <c r="S43" s="1546"/>
    </row>
    <row r="44" spans="1:19">
      <c r="A44" s="1545"/>
      <c r="B44" s="1730" t="s">
        <v>859</v>
      </c>
      <c r="C44" s="1124"/>
      <c r="D44" s="1124"/>
      <c r="E44" s="1124"/>
      <c r="F44" s="1124"/>
      <c r="G44" s="1133"/>
      <c r="H44" s="1678"/>
      <c r="I44" s="1424"/>
      <c r="J44" s="1678"/>
      <c r="K44" s="1424"/>
      <c r="L44" s="1678"/>
      <c r="M44" s="1424"/>
      <c r="N44" s="1678"/>
      <c r="O44" s="1546"/>
      <c r="P44" s="1678"/>
      <c r="Q44" s="1546"/>
      <c r="R44" s="1678"/>
      <c r="S44" s="1546"/>
    </row>
    <row r="45" spans="1:19">
      <c r="A45" s="1545"/>
      <c r="B45" s="1730" t="s">
        <v>860</v>
      </c>
      <c r="C45" s="1124"/>
      <c r="D45" s="1124"/>
      <c r="E45" s="1124"/>
      <c r="F45" s="1124"/>
      <c r="G45" s="1133"/>
      <c r="H45" s="1678"/>
      <c r="I45" s="1424"/>
      <c r="J45" s="1678"/>
      <c r="K45" s="1424"/>
      <c r="L45" s="1678"/>
      <c r="M45" s="1424"/>
      <c r="N45" s="1678"/>
      <c r="O45" s="1546"/>
      <c r="P45" s="1678"/>
      <c r="Q45" s="1546"/>
      <c r="R45" s="1678"/>
      <c r="S45" s="1546"/>
    </row>
    <row r="46" spans="1:19">
      <c r="A46" s="1545"/>
      <c r="B46" s="1730"/>
      <c r="C46" s="1124"/>
      <c r="D46" s="1124"/>
      <c r="E46" s="1124"/>
      <c r="F46" s="1124"/>
      <c r="G46" s="1133"/>
      <c r="H46" s="1678"/>
      <c r="I46" s="1424"/>
      <c r="J46" s="1678"/>
      <c r="K46" s="1424"/>
      <c r="L46" s="1678"/>
      <c r="M46" s="1424"/>
      <c r="N46" s="1678"/>
      <c r="O46" s="1546"/>
      <c r="P46" s="1678"/>
      <c r="Q46" s="1546"/>
      <c r="R46" s="1678"/>
      <c r="S46" s="1546"/>
    </row>
    <row r="47" spans="1:19">
      <c r="A47" s="1545"/>
      <c r="B47" s="1729" t="s">
        <v>861</v>
      </c>
      <c r="C47" s="1124"/>
      <c r="D47" s="1124"/>
      <c r="E47" s="1124"/>
      <c r="F47" s="1124"/>
      <c r="G47" s="1133"/>
      <c r="H47" s="1678"/>
      <c r="I47" s="1424"/>
      <c r="J47" s="1678"/>
      <c r="K47" s="1424"/>
      <c r="L47" s="1678"/>
      <c r="M47" s="1424"/>
      <c r="N47" s="1678"/>
      <c r="O47" s="1546"/>
      <c r="P47" s="1678"/>
      <c r="Q47" s="1546"/>
      <c r="R47" s="1678"/>
      <c r="S47" s="1546"/>
    </row>
    <row r="48" spans="1:19">
      <c r="A48" s="1545"/>
      <c r="B48" s="1730" t="s">
        <v>862</v>
      </c>
      <c r="C48" s="1124"/>
      <c r="D48" s="1124"/>
      <c r="E48" s="1124"/>
      <c r="F48" s="1124"/>
      <c r="G48" s="1133"/>
      <c r="H48" s="1678"/>
      <c r="I48" s="1424"/>
      <c r="J48" s="1678"/>
      <c r="K48" s="1424"/>
      <c r="L48" s="1678"/>
      <c r="M48" s="1424"/>
      <c r="N48" s="1678"/>
      <c r="O48" s="1546"/>
      <c r="P48" s="1678"/>
      <c r="Q48" s="1546"/>
      <c r="R48" s="1678"/>
      <c r="S48" s="1546"/>
    </row>
    <row r="49" spans="1:19">
      <c r="A49" s="1545"/>
      <c r="B49" s="1730" t="s">
        <v>863</v>
      </c>
      <c r="C49" s="1124"/>
      <c r="D49" s="1124"/>
      <c r="E49" s="1124"/>
      <c r="F49" s="1124"/>
      <c r="G49" s="1133"/>
      <c r="H49" s="1678"/>
      <c r="I49" s="1424"/>
      <c r="J49" s="1678"/>
      <c r="K49" s="1424"/>
      <c r="L49" s="1678"/>
      <c r="M49" s="1424"/>
      <c r="N49" s="1678"/>
      <c r="O49" s="1546"/>
      <c r="P49" s="1678"/>
      <c r="Q49" s="1546"/>
      <c r="R49" s="1678"/>
      <c r="S49" s="1546"/>
    </row>
    <row r="50" spans="1:19">
      <c r="A50" s="1545"/>
      <c r="B50" s="1730"/>
      <c r="C50" s="1124"/>
      <c r="D50" s="1124"/>
      <c r="E50" s="1124"/>
      <c r="F50" s="1124"/>
      <c r="G50" s="1133"/>
      <c r="H50" s="1678"/>
      <c r="I50" s="1424"/>
      <c r="J50" s="1678"/>
      <c r="K50" s="1424"/>
      <c r="L50" s="1678"/>
      <c r="M50" s="1424"/>
      <c r="N50" s="1678"/>
      <c r="O50" s="1546"/>
      <c r="P50" s="1678"/>
      <c r="Q50" s="1546"/>
      <c r="R50" s="1678"/>
      <c r="S50" s="1546"/>
    </row>
    <row r="51" spans="1:19">
      <c r="A51" s="1545"/>
      <c r="B51" s="1729" t="s">
        <v>864</v>
      </c>
      <c r="C51" s="1124"/>
      <c r="D51" s="1124"/>
      <c r="E51" s="1124"/>
      <c r="F51" s="1124"/>
      <c r="G51" s="1133"/>
      <c r="H51" s="1678"/>
      <c r="I51" s="1424"/>
      <c r="J51" s="1678"/>
      <c r="K51" s="1424"/>
      <c r="L51" s="1678"/>
      <c r="M51" s="1424"/>
      <c r="N51" s="1678"/>
      <c r="O51" s="1546"/>
      <c r="P51" s="1678"/>
      <c r="Q51" s="1546"/>
      <c r="R51" s="1678"/>
      <c r="S51" s="1546"/>
    </row>
    <row r="52" spans="1:19">
      <c r="A52" s="1545"/>
      <c r="B52" s="1730" t="s">
        <v>865</v>
      </c>
      <c r="C52" s="1124"/>
      <c r="D52" s="1124"/>
      <c r="E52" s="1124"/>
      <c r="F52" s="1124"/>
      <c r="G52" s="1133"/>
      <c r="H52" s="1678"/>
      <c r="I52" s="1424"/>
      <c r="J52" s="1678"/>
      <c r="K52" s="1424"/>
      <c r="L52" s="1678"/>
      <c r="M52" s="1424"/>
      <c r="N52" s="1678"/>
      <c r="O52" s="1546"/>
      <c r="P52" s="1678"/>
      <c r="Q52" s="1546"/>
      <c r="R52" s="1678"/>
      <c r="S52" s="1546"/>
    </row>
    <row r="53" spans="1:19">
      <c r="A53" s="1545"/>
      <c r="B53" s="1730" t="s">
        <v>866</v>
      </c>
      <c r="C53" s="1124"/>
      <c r="D53" s="1124"/>
      <c r="E53" s="1124"/>
      <c r="F53" s="1124"/>
      <c r="G53" s="1133"/>
      <c r="H53" s="1678"/>
      <c r="I53" s="1424"/>
      <c r="J53" s="1678"/>
      <c r="K53" s="1424"/>
      <c r="L53" s="1678"/>
      <c r="M53" s="1424"/>
      <c r="N53" s="1678"/>
      <c r="O53" s="1546"/>
      <c r="P53" s="1678"/>
      <c r="Q53" s="1546"/>
      <c r="R53" s="1678"/>
      <c r="S53" s="1546"/>
    </row>
    <row r="54" spans="1:19">
      <c r="A54" s="1545"/>
      <c r="B54" s="1730" t="s">
        <v>867</v>
      </c>
      <c r="C54" s="1124"/>
      <c r="D54" s="1124"/>
      <c r="E54" s="1124"/>
      <c r="F54" s="1124"/>
      <c r="G54" s="1133"/>
      <c r="H54" s="1678"/>
      <c r="I54" s="1424"/>
      <c r="J54" s="1678"/>
      <c r="K54" s="1424"/>
      <c r="L54" s="1678"/>
      <c r="M54" s="1424"/>
      <c r="N54" s="1678"/>
      <c r="O54" s="1546"/>
      <c r="P54" s="1678"/>
      <c r="Q54" s="1546"/>
      <c r="R54" s="1678"/>
      <c r="S54" s="1546"/>
    </row>
    <row r="55" spans="1:19">
      <c r="A55" s="1545"/>
      <c r="B55" s="1730"/>
      <c r="C55" s="1124"/>
      <c r="D55" s="1124"/>
      <c r="E55" s="1124"/>
      <c r="F55" s="1124"/>
      <c r="G55" s="1133"/>
      <c r="H55" s="1678"/>
      <c r="I55" s="1424"/>
      <c r="J55" s="1678"/>
      <c r="K55" s="1424"/>
      <c r="L55" s="1678"/>
      <c r="M55" s="1424"/>
      <c r="N55" s="1678"/>
      <c r="O55" s="1546"/>
      <c r="P55" s="1678"/>
      <c r="Q55" s="1546"/>
      <c r="R55" s="1678"/>
      <c r="S55" s="1546"/>
    </row>
    <row r="56" spans="1:19">
      <c r="A56" s="1545"/>
      <c r="B56" s="1730"/>
      <c r="C56" s="1124"/>
      <c r="D56" s="1124"/>
      <c r="E56" s="1124"/>
      <c r="F56" s="1124"/>
      <c r="G56" s="1133"/>
      <c r="H56" s="1678"/>
      <c r="I56" s="1424"/>
      <c r="J56" s="1678"/>
      <c r="K56" s="1424"/>
      <c r="L56" s="1678"/>
      <c r="M56" s="1424"/>
      <c r="N56" s="1678"/>
      <c r="O56" s="1546"/>
      <c r="P56" s="1678"/>
      <c r="Q56" s="1546"/>
      <c r="R56" s="1678"/>
      <c r="S56" s="1546"/>
    </row>
    <row r="57" spans="1:19">
      <c r="A57" s="1545"/>
      <c r="B57" s="1730"/>
      <c r="C57" s="1124"/>
      <c r="D57" s="1124"/>
      <c r="E57" s="1124"/>
      <c r="F57" s="1124"/>
      <c r="G57" s="1133"/>
      <c r="H57" s="1678"/>
      <c r="I57" s="1424"/>
      <c r="J57" s="1678"/>
      <c r="K57" s="1424"/>
      <c r="L57" s="1678"/>
      <c r="M57" s="1424"/>
      <c r="N57" s="1678"/>
      <c r="O57" s="1546"/>
      <c r="P57" s="1678"/>
      <c r="Q57" s="1546"/>
      <c r="R57" s="1678"/>
      <c r="S57" s="1546"/>
    </row>
    <row r="58" spans="1:19">
      <c r="A58" s="1545"/>
      <c r="B58" s="1730"/>
      <c r="C58" s="1124"/>
      <c r="D58" s="1124"/>
      <c r="E58" s="1124"/>
      <c r="F58" s="1124"/>
      <c r="G58" s="1133"/>
      <c r="H58" s="1678"/>
      <c r="I58" s="1424"/>
      <c r="J58" s="1678"/>
      <c r="K58" s="1424"/>
      <c r="L58" s="1678"/>
      <c r="M58" s="1424"/>
      <c r="N58" s="1678"/>
      <c r="O58" s="1546"/>
      <c r="P58" s="1678"/>
      <c r="Q58" s="1546"/>
      <c r="R58" s="1678"/>
      <c r="S58" s="1546"/>
    </row>
    <row r="59" spans="1:19">
      <c r="A59" s="1545"/>
      <c r="B59" s="1730"/>
      <c r="C59" s="1124"/>
      <c r="D59" s="1124"/>
      <c r="E59" s="1124"/>
      <c r="F59" s="1124"/>
      <c r="G59" s="1133"/>
      <c r="H59" s="1678"/>
      <c r="I59" s="1424"/>
      <c r="J59" s="1678"/>
      <c r="K59" s="1424"/>
      <c r="L59" s="1678"/>
      <c r="M59" s="1424"/>
      <c r="N59" s="1678"/>
      <c r="O59" s="1546"/>
      <c r="P59" s="1678"/>
      <c r="Q59" s="1546"/>
      <c r="R59" s="1678"/>
      <c r="S59" s="1546"/>
    </row>
    <row r="60" spans="1:19">
      <c r="A60" s="14"/>
      <c r="B60" s="15"/>
      <c r="C60" s="16"/>
      <c r="D60" s="16"/>
      <c r="E60" s="17"/>
      <c r="F60" s="18" t="s">
        <v>567</v>
      </c>
      <c r="G60" s="19"/>
      <c r="H60" s="20"/>
      <c r="I60" s="61">
        <f>SUM(I23:I59)</f>
        <v>0</v>
      </c>
      <c r="J60" s="20"/>
      <c r="K60" s="61">
        <f>SUM(K23:K59)</f>
        <v>0</v>
      </c>
      <c r="L60" s="20"/>
      <c r="M60" s="61">
        <f>SUM(M22:M59)</f>
        <v>0</v>
      </c>
      <c r="N60" s="20"/>
      <c r="O60" s="61">
        <f>SUM(O22:O59)</f>
        <v>0</v>
      </c>
      <c r="P60" s="20"/>
      <c r="Q60" s="61">
        <f>SUM(Q23:Q59)</f>
        <v>0</v>
      </c>
      <c r="R60" s="20"/>
      <c r="S60" s="61">
        <f>SUM(S23:S59)</f>
        <v>0</v>
      </c>
    </row>
    <row r="61" spans="1:19">
      <c r="A61" s="1731"/>
      <c r="B61" s="1156"/>
      <c r="C61" s="1157"/>
      <c r="D61" s="1157"/>
      <c r="E61" s="1158"/>
      <c r="F61" s="1159" t="s">
        <v>568</v>
      </c>
      <c r="G61" s="1160"/>
      <c r="H61" s="1732">
        <v>0</v>
      </c>
      <c r="I61" s="1733"/>
      <c r="J61" s="1732">
        <v>0</v>
      </c>
      <c r="K61" s="1733"/>
      <c r="L61" s="1732">
        <v>0</v>
      </c>
      <c r="M61" s="1733"/>
      <c r="N61" s="1732">
        <v>0</v>
      </c>
      <c r="O61" s="1733"/>
      <c r="P61" s="1732">
        <v>0</v>
      </c>
      <c r="Q61" s="1733"/>
      <c r="R61" s="1732">
        <v>0</v>
      </c>
      <c r="S61" s="1733"/>
    </row>
    <row r="62" spans="1:19">
      <c r="A62" s="1731"/>
      <c r="B62" s="1156"/>
      <c r="C62" s="1157"/>
      <c r="D62" s="1157"/>
      <c r="E62" s="1158"/>
      <c r="F62" s="1159" t="s">
        <v>569</v>
      </c>
      <c r="G62" s="1160"/>
      <c r="H62" s="1734"/>
      <c r="I62" s="1735">
        <f>H61*$I$60</f>
        <v>0</v>
      </c>
      <c r="J62" s="1734"/>
      <c r="K62" s="1735">
        <f>J61*$K$60</f>
        <v>0</v>
      </c>
      <c r="L62" s="1734"/>
      <c r="M62" s="1735">
        <f>L61*$M$60</f>
        <v>0</v>
      </c>
      <c r="N62" s="1734"/>
      <c r="O62" s="1735">
        <f>N61*$O$60</f>
        <v>0</v>
      </c>
      <c r="P62" s="1734"/>
      <c r="Q62" s="1735">
        <f>P61*$Q$60</f>
        <v>0</v>
      </c>
      <c r="R62" s="1734"/>
      <c r="S62" s="1735">
        <f>R61*S60</f>
        <v>0</v>
      </c>
    </row>
    <row r="63" spans="1:19">
      <c r="A63" s="1731"/>
      <c r="B63" s="1156"/>
      <c r="C63" s="1157"/>
      <c r="D63" s="1157"/>
      <c r="E63" s="1158"/>
      <c r="F63" s="1159"/>
      <c r="G63" s="1160"/>
      <c r="H63" s="1736"/>
      <c r="I63" s="1737"/>
      <c r="J63" s="1734"/>
      <c r="K63" s="1738"/>
      <c r="L63" s="1734"/>
      <c r="M63" s="1738"/>
      <c r="N63" s="1734"/>
      <c r="O63" s="1738"/>
      <c r="P63" s="1734"/>
      <c r="Q63" s="1738"/>
      <c r="R63" s="1734"/>
      <c r="S63" s="1738"/>
    </row>
    <row r="64" spans="1:19">
      <c r="A64" s="1731"/>
      <c r="B64" s="1156"/>
      <c r="C64" s="1157"/>
      <c r="D64" s="1157"/>
      <c r="E64" s="1158"/>
      <c r="F64" s="1159" t="s">
        <v>570</v>
      </c>
      <c r="G64" s="1160"/>
      <c r="H64" s="1739"/>
      <c r="I64" s="1737">
        <f>SUM(I60:I63)</f>
        <v>0</v>
      </c>
      <c r="J64" s="1739"/>
      <c r="K64" s="1737">
        <f>SUM(K60:K62)</f>
        <v>0</v>
      </c>
      <c r="L64" s="1739"/>
      <c r="M64" s="1737">
        <f>SUM(M60:M62)</f>
        <v>0</v>
      </c>
      <c r="N64" s="1739"/>
      <c r="O64" s="1737">
        <f>SUM(O60:O62)</f>
        <v>0</v>
      </c>
      <c r="P64" s="1739"/>
      <c r="Q64" s="1737">
        <f>SUM(Q60:Q62)</f>
        <v>0</v>
      </c>
      <c r="R64" s="1739"/>
      <c r="S64" s="1737">
        <f>SUM(S60:S62)</f>
        <v>0</v>
      </c>
    </row>
    <row r="65" spans="1:19">
      <c r="A65" s="1731"/>
      <c r="B65" s="1156"/>
      <c r="C65" s="1157"/>
      <c r="D65" s="1157"/>
      <c r="E65" s="1158"/>
      <c r="F65" s="1161" t="s">
        <v>571</v>
      </c>
      <c r="G65" s="1162"/>
      <c r="H65" s="1740"/>
      <c r="I65" s="1741" t="e">
        <f>I64/'Area Calculations'!$J$4</f>
        <v>#DIV/0!</v>
      </c>
      <c r="J65" s="1740"/>
      <c r="K65" s="1741" t="e">
        <f>K64/'Area Calculations'!$J$4</f>
        <v>#DIV/0!</v>
      </c>
      <c r="L65" s="1740"/>
      <c r="M65" s="1741" t="e">
        <f>M64/'Area Calculations'!$J$4</f>
        <v>#DIV/0!</v>
      </c>
      <c r="N65" s="1740"/>
      <c r="O65" s="1741" t="e">
        <f>O64/'Area Calculations'!$J$4</f>
        <v>#DIV/0!</v>
      </c>
      <c r="P65" s="1740"/>
      <c r="Q65" s="1741" t="e">
        <f>Q64/'Area Calculations'!$J$4</f>
        <v>#DIV/0!</v>
      </c>
      <c r="R65" s="1740"/>
      <c r="S65" s="1741" t="e">
        <f>S64/'Area Calculations'!$J$4</f>
        <v>#DIV/0!</v>
      </c>
    </row>
    <row r="66" spans="1:19">
      <c r="A66" s="1731"/>
      <c r="B66" s="1156"/>
      <c r="C66" s="1157"/>
      <c r="D66" s="1157"/>
      <c r="E66" s="1158"/>
      <c r="F66" s="1161" t="s">
        <v>572</v>
      </c>
      <c r="G66" s="1163"/>
      <c r="H66" s="1740"/>
      <c r="I66" s="1741" t="e">
        <f>I64/'Area Calculations'!#REF!</f>
        <v>#REF!</v>
      </c>
      <c r="J66" s="1740"/>
      <c r="K66" s="1741" t="e">
        <f>K64/'Area Calculations'!#REF!</f>
        <v>#REF!</v>
      </c>
      <c r="L66" s="1740"/>
      <c r="M66" s="1741" t="e">
        <f>M64/'Area Calculations'!#REF!</f>
        <v>#REF!</v>
      </c>
      <c r="N66" s="1740"/>
      <c r="O66" s="1741" t="e">
        <f>O64/'Area Calculations'!#REF!</f>
        <v>#REF!</v>
      </c>
      <c r="P66" s="1740"/>
      <c r="Q66" s="1741" t="e">
        <f>Q64/'Area Calculations'!#REF!</f>
        <v>#REF!</v>
      </c>
      <c r="R66" s="1740"/>
      <c r="S66" s="1741" t="e">
        <f>S64/'Area Calculations'!#REF!</f>
        <v>#REF!</v>
      </c>
    </row>
    <row r="67" spans="1:19">
      <c r="A67" s="1731"/>
      <c r="B67" s="1156"/>
      <c r="C67" s="1157"/>
      <c r="D67" s="1157"/>
      <c r="E67" s="1158"/>
      <c r="F67" s="1159"/>
      <c r="G67" s="1533"/>
      <c r="H67" s="1742"/>
      <c r="I67" s="1743"/>
      <c r="J67" s="1744"/>
      <c r="K67" s="1744"/>
      <c r="L67" s="1744"/>
      <c r="M67" s="1744"/>
      <c r="N67" s="1744"/>
      <c r="O67" s="1744"/>
      <c r="P67" s="1744"/>
      <c r="Q67" s="1744"/>
      <c r="R67" s="1744"/>
      <c r="S67" s="1744"/>
    </row>
    <row r="68" spans="1:19">
      <c r="A68" s="726" t="s">
        <v>573</v>
      </c>
      <c r="B68" s="727"/>
      <c r="C68" s="12"/>
      <c r="D68" s="12"/>
      <c r="E68" s="12"/>
      <c r="F68" s="12"/>
      <c r="G68" s="13"/>
      <c r="H68" s="21"/>
      <c r="I68" s="21"/>
      <c r="J68" s="21"/>
      <c r="K68" s="21"/>
      <c r="L68" s="21"/>
      <c r="M68" s="21"/>
      <c r="N68" s="21"/>
      <c r="O68" s="21"/>
      <c r="P68" s="21"/>
      <c r="Q68" s="21"/>
      <c r="R68" s="21"/>
      <c r="S68" s="21"/>
    </row>
    <row r="69" spans="1:19">
      <c r="A69" s="1535"/>
      <c r="B69" s="862"/>
      <c r="C69" s="1536"/>
      <c r="D69" s="1536"/>
      <c r="E69" s="1536"/>
      <c r="F69" s="1536"/>
      <c r="G69" s="1537"/>
      <c r="H69" s="1538"/>
      <c r="I69" s="1538"/>
      <c r="J69" s="1538"/>
      <c r="K69" s="1538"/>
      <c r="L69" s="1538"/>
      <c r="M69" s="1538"/>
      <c r="N69" s="1538"/>
      <c r="O69" s="1538"/>
      <c r="P69" s="1538"/>
      <c r="Q69" s="1538"/>
      <c r="R69" s="1538"/>
      <c r="S69" s="1538"/>
    </row>
    <row r="70" spans="1:19">
      <c r="A70" s="1535"/>
      <c r="B70" s="862"/>
      <c r="C70" s="1536"/>
      <c r="D70" s="1536"/>
      <c r="E70" s="1536"/>
      <c r="F70" s="1536"/>
      <c r="G70" s="1537"/>
      <c r="H70" s="1538"/>
      <c r="I70" s="1538"/>
      <c r="J70" s="1538"/>
      <c r="K70" s="1538"/>
      <c r="L70" s="1538"/>
      <c r="M70" s="1538"/>
      <c r="N70" s="1538"/>
      <c r="O70" s="1538"/>
      <c r="P70" s="1538"/>
      <c r="Q70" s="1538"/>
      <c r="R70" s="1538"/>
      <c r="S70" s="1538"/>
    </row>
    <row r="71" spans="1:19">
      <c r="A71" s="1535"/>
      <c r="B71" s="862"/>
      <c r="C71" s="1536"/>
      <c r="D71" s="1536"/>
      <c r="E71" s="1536"/>
      <c r="F71" s="1536"/>
      <c r="G71" s="1537"/>
      <c r="H71" s="1538"/>
      <c r="I71" s="1538"/>
      <c r="J71" s="1538"/>
      <c r="K71" s="1538"/>
      <c r="L71" s="1538"/>
      <c r="M71" s="1538"/>
      <c r="N71" s="1538"/>
      <c r="O71" s="1538"/>
      <c r="P71" s="1538"/>
      <c r="Q71" s="1538"/>
      <c r="R71" s="1538"/>
      <c r="S71" s="1538"/>
    </row>
    <row r="72" spans="1:19" s="2" customFormat="1">
      <c r="A72" s="726" t="s">
        <v>574</v>
      </c>
      <c r="B72" s="727"/>
      <c r="C72" s="12"/>
      <c r="D72" s="12"/>
      <c r="E72" s="12"/>
      <c r="F72" s="12"/>
      <c r="G72" s="13"/>
      <c r="H72" s="21"/>
      <c r="I72" s="21"/>
      <c r="J72" s="21"/>
      <c r="K72" s="21"/>
      <c r="L72" s="21"/>
      <c r="M72" s="21"/>
      <c r="N72" s="21"/>
      <c r="O72" s="21"/>
      <c r="P72" s="21"/>
      <c r="Q72" s="21"/>
      <c r="R72" s="21"/>
      <c r="S72" s="21"/>
    </row>
    <row r="73" spans="1:19" s="2" customFormat="1">
      <c r="A73" s="1535"/>
      <c r="B73" s="862"/>
      <c r="C73" s="1536"/>
      <c r="D73" s="1536"/>
      <c r="E73" s="1536"/>
      <c r="F73" s="1536"/>
      <c r="G73" s="1537"/>
      <c r="H73" s="1538"/>
      <c r="I73" s="1538"/>
      <c r="J73" s="1538"/>
      <c r="K73" s="1538"/>
      <c r="L73" s="1538"/>
      <c r="M73" s="1538"/>
      <c r="N73" s="1538"/>
      <c r="O73" s="1538"/>
      <c r="P73" s="1538"/>
      <c r="Q73" s="1538"/>
      <c r="R73" s="1538"/>
      <c r="S73" s="1538"/>
    </row>
    <row r="74" spans="1:19" s="2" customFormat="1">
      <c r="A74" s="1535"/>
      <c r="B74" s="862"/>
      <c r="C74" s="1536"/>
      <c r="D74" s="1536"/>
      <c r="E74" s="1536"/>
      <c r="F74" s="1536"/>
      <c r="G74" s="1537"/>
      <c r="H74" s="1538"/>
      <c r="I74" s="1538"/>
      <c r="J74" s="1538"/>
      <c r="K74" s="1538"/>
      <c r="L74" s="1538"/>
      <c r="M74" s="1538"/>
      <c r="N74" s="1538"/>
      <c r="O74" s="1538"/>
      <c r="P74" s="1538"/>
      <c r="Q74" s="1538"/>
      <c r="R74" s="1538"/>
      <c r="S74" s="1538"/>
    </row>
    <row r="75" spans="1:19">
      <c r="A75" s="1535"/>
      <c r="B75" s="862"/>
      <c r="C75" s="1536"/>
      <c r="D75" s="1536"/>
      <c r="E75" s="1536"/>
      <c r="F75" s="1536"/>
      <c r="G75" s="1537"/>
      <c r="H75" s="1538"/>
      <c r="I75" s="1538"/>
      <c r="J75" s="1538"/>
      <c r="K75" s="1538"/>
      <c r="L75" s="1538"/>
      <c r="M75" s="1538"/>
      <c r="N75" s="1538"/>
      <c r="O75" s="1538"/>
      <c r="P75" s="1538"/>
      <c r="Q75" s="1538"/>
      <c r="R75" s="1538"/>
      <c r="S75" s="1538"/>
    </row>
    <row r="76" spans="1:19" s="2" customFormat="1">
      <c r="A76" s="726" t="s">
        <v>575</v>
      </c>
      <c r="B76" s="727"/>
      <c r="C76" s="12"/>
      <c r="D76" s="12"/>
      <c r="E76" s="12"/>
      <c r="F76" s="12"/>
      <c r="G76" s="13"/>
      <c r="H76" s="21"/>
      <c r="I76" s="21"/>
      <c r="J76" s="21"/>
      <c r="K76" s="21"/>
      <c r="L76" s="21"/>
      <c r="M76" s="21"/>
      <c r="N76" s="21"/>
      <c r="O76" s="21"/>
      <c r="P76" s="21"/>
      <c r="Q76" s="21"/>
      <c r="R76" s="21"/>
      <c r="S76" s="21"/>
    </row>
    <row r="77" spans="1:19" s="2" customFormat="1">
      <c r="A77" s="1535"/>
      <c r="B77" s="862"/>
      <c r="C77" s="1536"/>
      <c r="D77" s="1536"/>
      <c r="E77" s="1536"/>
      <c r="F77" s="1536"/>
      <c r="G77" s="1537"/>
      <c r="H77" s="1538"/>
      <c r="I77" s="1538"/>
      <c r="J77" s="1538"/>
      <c r="K77" s="1538"/>
      <c r="L77" s="1538"/>
      <c r="M77" s="1538"/>
      <c r="N77" s="1538"/>
      <c r="O77" s="1538"/>
      <c r="P77" s="1538"/>
      <c r="Q77" s="1538"/>
      <c r="R77" s="1538"/>
      <c r="S77" s="1538"/>
    </row>
    <row r="78" spans="1:19" s="2" customFormat="1">
      <c r="A78" s="628"/>
      <c r="B78" s="862"/>
      <c r="C78" s="1124"/>
      <c r="D78" s="1124"/>
      <c r="E78" s="1124"/>
      <c r="F78" s="1124"/>
      <c r="G78" s="1133"/>
      <c r="H78" s="1745"/>
      <c r="I78" s="1745"/>
      <c r="J78" s="1745"/>
      <c r="K78" s="1745"/>
      <c r="L78" s="1745"/>
      <c r="M78" s="1745"/>
      <c r="N78" s="1745"/>
      <c r="O78" s="1745"/>
      <c r="P78" s="1745"/>
      <c r="Q78" s="1745"/>
      <c r="R78" s="1745"/>
      <c r="S78" s="1745"/>
    </row>
    <row r="79" spans="1:19" s="2" customFormat="1">
      <c r="A79" s="1746"/>
      <c r="B79" s="1171"/>
      <c r="C79" s="1124"/>
      <c r="D79" s="1124"/>
      <c r="E79" s="1124"/>
      <c r="F79" s="1124"/>
      <c r="G79" s="1133"/>
      <c r="H79" s="1747"/>
      <c r="I79" s="1747"/>
      <c r="J79" s="1747"/>
      <c r="K79" s="1747"/>
      <c r="L79" s="1747"/>
      <c r="M79" s="1747"/>
      <c r="N79" s="1747"/>
      <c r="O79" s="1747"/>
      <c r="P79" s="1747"/>
      <c r="Q79" s="1747"/>
      <c r="R79" s="1747"/>
      <c r="S79" s="1747"/>
    </row>
    <row r="80" spans="1:19" s="2" customFormat="1">
      <c r="A80" s="726" t="s">
        <v>576</v>
      </c>
      <c r="B80" s="727"/>
      <c r="C80" s="12"/>
      <c r="D80" s="12"/>
      <c r="E80" s="12"/>
      <c r="F80" s="12"/>
      <c r="G80" s="13"/>
      <c r="H80" s="21"/>
      <c r="I80" s="21"/>
      <c r="J80" s="21"/>
      <c r="K80" s="21"/>
      <c r="L80" s="21"/>
      <c r="M80" s="21"/>
      <c r="N80" s="21"/>
      <c r="O80" s="21"/>
      <c r="P80" s="21"/>
      <c r="Q80" s="21"/>
      <c r="R80" s="21"/>
      <c r="S80" s="21"/>
    </row>
    <row r="81" spans="1:19">
      <c r="A81" s="1539"/>
      <c r="B81" s="1540"/>
      <c r="C81" s="1536"/>
      <c r="D81" s="1536"/>
      <c r="E81" s="1536"/>
      <c r="F81" s="1536"/>
      <c r="G81" s="1537"/>
      <c r="H81" s="1538"/>
      <c r="I81" s="1538"/>
      <c r="J81" s="1538"/>
      <c r="K81" s="1538"/>
      <c r="L81" s="1538"/>
      <c r="M81" s="1538"/>
      <c r="N81" s="1538"/>
      <c r="O81" s="1538"/>
      <c r="P81" s="1538"/>
      <c r="Q81" s="1538"/>
      <c r="R81" s="1538"/>
      <c r="S81" s="1538"/>
    </row>
    <row r="82" spans="1:19">
      <c r="A82" s="1746"/>
      <c r="B82" s="1171"/>
      <c r="C82" s="1124"/>
      <c r="D82" s="1124"/>
      <c r="E82" s="1124"/>
      <c r="F82" s="1124"/>
      <c r="G82" s="1133"/>
      <c r="H82" s="1748"/>
      <c r="I82" s="1748"/>
      <c r="J82" s="1748"/>
      <c r="K82" s="1748"/>
      <c r="L82" s="1748"/>
      <c r="M82" s="1748"/>
      <c r="N82" s="1748"/>
      <c r="O82" s="1748"/>
      <c r="P82" s="1748"/>
      <c r="Q82" s="1748"/>
      <c r="R82" s="1748"/>
      <c r="S82" s="1748"/>
    </row>
    <row r="83" spans="1:19">
      <c r="A83" s="1746"/>
      <c r="B83" s="1171"/>
      <c r="C83" s="1124"/>
      <c r="D83" s="1124"/>
      <c r="E83" s="1124"/>
      <c r="F83" s="1124"/>
      <c r="G83" s="1133"/>
      <c r="H83" s="1748"/>
      <c r="I83" s="1748"/>
      <c r="J83" s="1748"/>
      <c r="K83" s="1748"/>
      <c r="L83" s="1748"/>
      <c r="M83" s="1748"/>
      <c r="N83" s="1748"/>
      <c r="O83" s="1748"/>
      <c r="P83" s="1748"/>
      <c r="Q83" s="1748"/>
      <c r="R83" s="1748"/>
      <c r="S83" s="1748"/>
    </row>
    <row r="84" spans="1:19">
      <c r="A84" s="726" t="s">
        <v>577</v>
      </c>
      <c r="B84" s="727"/>
      <c r="C84" s="12"/>
      <c r="D84" s="12"/>
      <c r="E84" s="12"/>
      <c r="F84" s="12"/>
      <c r="G84" s="13"/>
      <c r="H84" s="21"/>
      <c r="I84" s="21"/>
      <c r="J84" s="21"/>
      <c r="K84" s="21"/>
      <c r="L84" s="21"/>
      <c r="M84" s="21"/>
      <c r="N84" s="21"/>
      <c r="O84" s="21"/>
      <c r="P84" s="21"/>
      <c r="Q84" s="21"/>
      <c r="R84" s="21"/>
      <c r="S84" s="21"/>
    </row>
    <row r="85" spans="1:19">
      <c r="A85" s="628"/>
      <c r="B85" s="862" t="s">
        <v>578</v>
      </c>
      <c r="C85" s="1124"/>
      <c r="D85" s="1124"/>
      <c r="E85" s="1124"/>
      <c r="F85" s="1124"/>
      <c r="G85" s="1133"/>
      <c r="H85" s="1748"/>
      <c r="I85" s="1748"/>
      <c r="J85" s="1748"/>
      <c r="K85" s="1748"/>
      <c r="L85" s="1748"/>
      <c r="M85" s="1748"/>
      <c r="N85" s="1748"/>
      <c r="O85" s="1748"/>
      <c r="P85" s="1748"/>
      <c r="Q85" s="1748"/>
      <c r="R85" s="1748"/>
      <c r="S85" s="1748"/>
    </row>
    <row r="86" spans="1:19">
      <c r="A86" s="628"/>
      <c r="B86" s="862" t="s">
        <v>579</v>
      </c>
      <c r="C86" s="1124"/>
      <c r="D86" s="1124"/>
      <c r="E86" s="1124"/>
      <c r="F86" s="1124"/>
      <c r="G86" s="1133"/>
      <c r="H86" s="1748"/>
      <c r="I86" s="1748"/>
      <c r="J86" s="1748"/>
      <c r="K86" s="1748"/>
      <c r="L86" s="1748"/>
      <c r="M86" s="1748"/>
      <c r="N86" s="1748"/>
      <c r="O86" s="1748"/>
      <c r="P86" s="1748"/>
      <c r="Q86" s="1748"/>
      <c r="R86" s="1748"/>
      <c r="S86" s="1748"/>
    </row>
    <row r="87" spans="1:19">
      <c r="A87" s="628"/>
      <c r="B87" s="862" t="s">
        <v>580</v>
      </c>
      <c r="C87" s="1124"/>
      <c r="D87" s="1124"/>
      <c r="E87" s="1124"/>
      <c r="F87" s="1124"/>
      <c r="G87" s="1133"/>
      <c r="H87" s="1748"/>
      <c r="I87" s="1748"/>
      <c r="J87" s="1748"/>
      <c r="K87" s="1748"/>
      <c r="L87" s="1748"/>
      <c r="M87" s="1748"/>
      <c r="N87" s="1748"/>
      <c r="O87" s="1748"/>
      <c r="P87" s="1748"/>
      <c r="Q87" s="1748"/>
      <c r="R87" s="1748"/>
      <c r="S87" s="1748"/>
    </row>
    <row r="88" spans="1:19">
      <c r="A88" s="628"/>
      <c r="B88" s="862" t="s">
        <v>581</v>
      </c>
      <c r="C88" s="1124"/>
      <c r="D88" s="1124"/>
      <c r="E88" s="1124"/>
      <c r="F88" s="1124"/>
      <c r="G88" s="1133"/>
      <c r="H88" s="1748"/>
      <c r="I88" s="1748"/>
      <c r="J88" s="1748"/>
      <c r="K88" s="1748"/>
      <c r="L88" s="1748"/>
      <c r="M88" s="1748"/>
      <c r="N88" s="1748"/>
      <c r="O88" s="1748"/>
      <c r="P88" s="1748"/>
      <c r="Q88" s="1748"/>
      <c r="R88" s="1748"/>
      <c r="S88" s="1748"/>
    </row>
    <row r="89" spans="1:19">
      <c r="A89" s="416"/>
      <c r="B89" s="295"/>
      <c r="C89" s="184"/>
      <c r="D89" s="184"/>
      <c r="E89" s="184"/>
      <c r="F89" s="184"/>
      <c r="G89" s="296"/>
      <c r="H89" s="418"/>
      <c r="I89" s="418"/>
      <c r="J89" s="418"/>
      <c r="K89" s="418"/>
      <c r="L89" s="418"/>
      <c r="M89" s="418"/>
      <c r="N89" s="418"/>
      <c r="O89" s="418"/>
      <c r="P89" s="418"/>
      <c r="Q89" s="418"/>
      <c r="R89" s="418"/>
      <c r="S89" s="418"/>
    </row>
    <row r="90" spans="1:19">
      <c r="A90" s="7" t="s">
        <v>582</v>
      </c>
      <c r="B90" s="8"/>
      <c r="C90" s="12"/>
      <c r="D90" s="12"/>
      <c r="E90" s="12"/>
      <c r="F90" s="12"/>
      <c r="G90" s="13"/>
      <c r="H90" s="21"/>
      <c r="I90" s="21"/>
      <c r="J90" s="21"/>
      <c r="K90" s="21"/>
      <c r="L90" s="21"/>
      <c r="M90" s="21"/>
      <c r="N90" s="21"/>
      <c r="O90" s="21"/>
      <c r="P90" s="21"/>
      <c r="Q90" s="21"/>
      <c r="R90" s="21"/>
      <c r="S90" s="21"/>
    </row>
    <row r="91" spans="1:19">
      <c r="A91" s="1535"/>
      <c r="B91" s="1541" t="s">
        <v>583</v>
      </c>
      <c r="C91" s="1536"/>
      <c r="D91" s="1536"/>
      <c r="E91" s="1536"/>
      <c r="F91" s="1536"/>
      <c r="G91" s="1537"/>
      <c r="H91" s="1542"/>
      <c r="I91" s="1542"/>
      <c r="J91" s="1542"/>
      <c r="K91" s="1542"/>
      <c r="L91" s="1542"/>
      <c r="M91" s="1542"/>
      <c r="N91" s="1542"/>
      <c r="O91" s="1542"/>
      <c r="P91" s="1542"/>
      <c r="Q91" s="1542"/>
      <c r="R91" s="1542"/>
      <c r="S91" s="1542"/>
    </row>
    <row r="92" spans="1:19">
      <c r="A92" s="628"/>
      <c r="B92" s="862" t="s">
        <v>584</v>
      </c>
      <c r="C92" s="1124"/>
      <c r="D92" s="1124"/>
      <c r="E92" s="1124"/>
      <c r="F92" s="1124"/>
      <c r="G92" s="1133"/>
      <c r="H92" s="1749"/>
      <c r="I92" s="1749"/>
      <c r="J92" s="1749"/>
      <c r="K92" s="1749"/>
      <c r="L92" s="1749"/>
      <c r="M92" s="1749"/>
      <c r="N92" s="1749"/>
      <c r="O92" s="1749"/>
      <c r="P92" s="1749"/>
      <c r="Q92" s="1749"/>
      <c r="R92" s="1749"/>
      <c r="S92" s="1749"/>
    </row>
    <row r="93" spans="1:19">
      <c r="A93" s="1750"/>
      <c r="B93" s="1751" t="s">
        <v>585</v>
      </c>
      <c r="C93" s="1752"/>
      <c r="D93" s="1752"/>
      <c r="E93" s="1752"/>
      <c r="F93" s="1752"/>
      <c r="G93" s="1753"/>
      <c r="H93" s="1754"/>
      <c r="I93" s="1754"/>
      <c r="J93" s="1754"/>
      <c r="K93" s="1754"/>
      <c r="L93" s="1754"/>
      <c r="M93" s="1754"/>
      <c r="N93" s="1754"/>
      <c r="O93" s="1754"/>
      <c r="P93" s="1754"/>
      <c r="Q93" s="1754"/>
      <c r="R93" s="1754"/>
      <c r="S93" s="1754"/>
    </row>
    <row r="95" spans="1:19">
      <c r="A95" s="92" t="s">
        <v>586</v>
      </c>
      <c r="B95" s="94"/>
    </row>
    <row r="96" spans="1:19">
      <c r="A96" s="93" t="s">
        <v>487</v>
      </c>
      <c r="B96" s="1755"/>
    </row>
    <row r="97" spans="1:2">
      <c r="A97" s="1756" t="s">
        <v>491</v>
      </c>
      <c r="B97" s="1755"/>
    </row>
    <row r="98" spans="1:2">
      <c r="A98" s="1757" t="s">
        <v>494</v>
      </c>
      <c r="B98" s="1758"/>
    </row>
    <row r="99" spans="1:2">
      <c r="A99" s="1757" t="s">
        <v>497</v>
      </c>
      <c r="B99" s="1759"/>
    </row>
    <row r="100" spans="1:2">
      <c r="A100" s="1760" t="s">
        <v>587</v>
      </c>
      <c r="B100" s="1761"/>
    </row>
    <row r="102" spans="1:2">
      <c r="A102" s="95"/>
      <c r="B102" s="1" t="s">
        <v>588</v>
      </c>
    </row>
    <row r="103" spans="1:2">
      <c r="A103" s="96"/>
      <c r="B103"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8:B68"/>
    <mergeCell ref="A72:B72"/>
    <mergeCell ref="A76:B76"/>
    <mergeCell ref="A80:B80"/>
    <mergeCell ref="A84:B84"/>
  </mergeCells>
  <conditionalFormatting sqref="H20:H30">
    <cfRule type="cellIs" dxfId="1333" priority="13" operator="equal">
      <formula>"X"</formula>
    </cfRule>
    <cfRule type="cellIs" dxfId="1332" priority="14" operator="equal">
      <formula>"I"</formula>
    </cfRule>
  </conditionalFormatting>
  <conditionalFormatting sqref="H32:H59">
    <cfRule type="cellIs" dxfId="1331" priority="1" operator="equal">
      <formula>"X"</formula>
    </cfRule>
    <cfRule type="cellIs" dxfId="1330" priority="2" operator="equal">
      <formula>"I"</formula>
    </cfRule>
  </conditionalFormatting>
  <conditionalFormatting sqref="J20:J30">
    <cfRule type="cellIs" dxfId="1329" priority="15" operator="equal">
      <formula>"X"</formula>
    </cfRule>
    <cfRule type="cellIs" dxfId="1328" priority="16" operator="equal">
      <formula>"I"</formula>
    </cfRule>
  </conditionalFormatting>
  <conditionalFormatting sqref="J32:J59">
    <cfRule type="cellIs" dxfId="1327" priority="3" operator="equal">
      <formula>"X"</formula>
    </cfRule>
    <cfRule type="cellIs" dxfId="1326" priority="4" operator="equal">
      <formula>"I"</formula>
    </cfRule>
  </conditionalFormatting>
  <conditionalFormatting sqref="L20:L30">
    <cfRule type="cellIs" dxfId="1325" priority="17" operator="equal">
      <formula>"X"</formula>
    </cfRule>
    <cfRule type="cellIs" dxfId="1324" priority="18" operator="equal">
      <formula>"I"</formula>
    </cfRule>
  </conditionalFormatting>
  <conditionalFormatting sqref="L32:L59">
    <cfRule type="cellIs" dxfId="1323" priority="5" operator="equal">
      <formula>"X"</formula>
    </cfRule>
    <cfRule type="cellIs" dxfId="1322" priority="6" operator="equal">
      <formula>"I"</formula>
    </cfRule>
  </conditionalFormatting>
  <conditionalFormatting sqref="N20:N30">
    <cfRule type="cellIs" dxfId="1321" priority="19" operator="equal">
      <formula>"X"</formula>
    </cfRule>
    <cfRule type="cellIs" dxfId="1320" priority="20" operator="equal">
      <formula>"I"</formula>
    </cfRule>
  </conditionalFormatting>
  <conditionalFormatting sqref="N32:N59">
    <cfRule type="cellIs" dxfId="1319" priority="7" operator="equal">
      <formula>"X"</formula>
    </cfRule>
    <cfRule type="cellIs" dxfId="1318" priority="8" operator="equal">
      <formula>"I"</formula>
    </cfRule>
  </conditionalFormatting>
  <conditionalFormatting sqref="P20:P30">
    <cfRule type="cellIs" dxfId="1317" priority="21" operator="equal">
      <formula>"X"</formula>
    </cfRule>
    <cfRule type="cellIs" dxfId="1316" priority="22" operator="equal">
      <formula>"I"</formula>
    </cfRule>
  </conditionalFormatting>
  <conditionalFormatting sqref="P32:P59">
    <cfRule type="cellIs" dxfId="1315" priority="9" operator="equal">
      <formula>"X"</formula>
    </cfRule>
    <cfRule type="cellIs" dxfId="1314" priority="10" operator="equal">
      <formula>"I"</formula>
    </cfRule>
  </conditionalFormatting>
  <conditionalFormatting sqref="R20:R30">
    <cfRule type="cellIs" dxfId="1313" priority="23" operator="equal">
      <formula>"X"</formula>
    </cfRule>
    <cfRule type="cellIs" dxfId="1312" priority="24" operator="equal">
      <formula>"I"</formula>
    </cfRule>
  </conditionalFormatting>
  <conditionalFormatting sqref="R32:R59">
    <cfRule type="cellIs" dxfId="1311" priority="11" operator="equal">
      <formula>"X"</formula>
    </cfRule>
    <cfRule type="cellIs" dxfId="1310" priority="12" operator="equal">
      <formula>"I"</formula>
    </cfRule>
  </conditionalFormatting>
  <hyperlinks>
    <hyperlink ref="B3" location="'Cost Summary'!A1" display="BACK TO SUMMARY SHEET" xr:uid="{55756451-1042-4668-84A8-9910BE922AFD}"/>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2A26-B747-4CD3-B440-51657DE4153D}">
  <sheetPr>
    <tabColor rgb="FF92D050"/>
  </sheetPr>
  <dimension ref="A1:S97"/>
  <sheetViews>
    <sheetView zoomScale="70" zoomScaleNormal="70" workbookViewId="0">
      <pane xSplit="2" ySplit="9" topLeftCell="C24" activePane="bottomRight" state="frozen"/>
      <selection pane="bottomRight" activeCell="C25" sqref="C25"/>
      <selection pane="bottomLeft" activeCell="A11" sqref="A11"/>
      <selection pane="topRight" activeCell="C1" sqref="C1"/>
    </sheetView>
  </sheetViews>
  <sheetFormatPr defaultRowHeight="15"/>
  <cols>
    <col min="1" max="1" width="11" customWidth="1"/>
    <col min="2" max="2" width="72.4257812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customHeight="1"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1762" t="s">
        <v>489</v>
      </c>
      <c r="B5" s="862" t="s">
        <v>874</v>
      </c>
      <c r="C5" s="1124"/>
      <c r="D5" s="1124"/>
      <c r="E5" s="1124"/>
      <c r="F5" s="1124"/>
      <c r="G5" s="1125" t="s">
        <v>491</v>
      </c>
      <c r="H5" s="1763"/>
      <c r="I5" s="1126"/>
      <c r="J5" s="1763"/>
      <c r="K5" s="1126"/>
      <c r="L5" s="1763"/>
      <c r="M5" s="1126"/>
      <c r="N5" s="1763"/>
      <c r="O5" s="1126"/>
      <c r="P5" s="1763"/>
      <c r="Q5" s="1126"/>
      <c r="R5" s="1763"/>
      <c r="S5" s="1126"/>
    </row>
    <row r="6" spans="1:19">
      <c r="A6" s="1762" t="s">
        <v>493</v>
      </c>
      <c r="B6" s="1127" t="s">
        <v>875</v>
      </c>
      <c r="C6" s="1124"/>
      <c r="D6" s="1124"/>
      <c r="E6" s="1124"/>
      <c r="F6" s="1124"/>
      <c r="G6" s="1125" t="s">
        <v>494</v>
      </c>
      <c r="H6" s="1764"/>
      <c r="I6" s="1129"/>
      <c r="J6" s="1764"/>
      <c r="K6" s="1129"/>
      <c r="L6" s="1764"/>
      <c r="M6" s="1129"/>
      <c r="N6" s="1764"/>
      <c r="O6" s="1129"/>
      <c r="P6" s="1764"/>
      <c r="Q6" s="1129"/>
      <c r="R6" s="1764"/>
      <c r="S6" s="1129"/>
    </row>
    <row r="7" spans="1:19">
      <c r="A7" s="1762" t="s">
        <v>496</v>
      </c>
      <c r="B7" s="1130"/>
      <c r="C7" s="1124"/>
      <c r="D7" s="1124"/>
      <c r="E7" s="1124"/>
      <c r="F7" s="1124"/>
      <c r="G7" s="1125" t="s">
        <v>497</v>
      </c>
      <c r="H7" s="764"/>
      <c r="I7" s="765"/>
      <c r="J7" s="1765"/>
      <c r="K7" s="1126"/>
      <c r="L7" s="1765"/>
      <c r="M7" s="1126"/>
      <c r="N7" s="1765"/>
      <c r="O7" s="1126"/>
      <c r="P7" s="1765"/>
      <c r="Q7" s="1126"/>
      <c r="R7" s="764"/>
      <c r="S7" s="765"/>
    </row>
    <row r="8" spans="1:19" ht="15.75" thickBot="1">
      <c r="A8" s="414" t="s">
        <v>499</v>
      </c>
      <c r="B8" s="295"/>
      <c r="C8" s="184"/>
      <c r="D8" s="184"/>
      <c r="E8" s="184"/>
      <c r="F8" s="184"/>
      <c r="G8" s="419" t="s">
        <v>499</v>
      </c>
      <c r="H8" s="1766">
        <f>I58</f>
        <v>0</v>
      </c>
      <c r="I8" s="1767"/>
      <c r="J8" s="1766">
        <f>K58</f>
        <v>0</v>
      </c>
      <c r="K8" s="1767"/>
      <c r="L8" s="1766">
        <f>M58</f>
        <v>0</v>
      </c>
      <c r="M8" s="1767"/>
      <c r="N8" s="1766">
        <f>O58</f>
        <v>0</v>
      </c>
      <c r="O8" s="1767"/>
      <c r="P8" s="1766">
        <f>Q58</f>
        <v>0</v>
      </c>
      <c r="Q8" s="1767"/>
      <c r="R8" s="1766">
        <f>S58</f>
        <v>0</v>
      </c>
      <c r="S8" s="176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1768"/>
      <c r="B10" s="1543" t="s">
        <v>508</v>
      </c>
      <c r="C10" s="1124"/>
      <c r="D10" s="1124"/>
      <c r="E10" s="1124"/>
      <c r="F10" s="1124"/>
      <c r="G10" s="1133"/>
      <c r="H10" s="1769"/>
      <c r="I10" s="1769"/>
      <c r="J10" s="1769"/>
      <c r="K10" s="1769"/>
      <c r="L10" s="1769"/>
      <c r="M10" s="1769"/>
      <c r="N10" s="1769"/>
      <c r="O10" s="1769"/>
      <c r="P10" s="1769"/>
      <c r="Q10" s="1769"/>
      <c r="R10" s="1769"/>
      <c r="S10" s="1769"/>
    </row>
    <row r="11" spans="1:19" ht="15.75" hidden="1" thickTop="1">
      <c r="A11" s="1768"/>
      <c r="B11" s="862" t="str">
        <f>'Area Calculations'!M62</f>
        <v>Architectural Drawings  by</v>
      </c>
      <c r="C11" s="1134" t="s">
        <v>509</v>
      </c>
      <c r="D11" s="1124"/>
      <c r="E11" s="1124"/>
      <c r="F11" s="1124"/>
      <c r="G11" s="1133"/>
      <c r="H11" s="1769"/>
      <c r="I11" s="1769"/>
      <c r="J11" s="1769"/>
      <c r="K11" s="1769"/>
      <c r="L11" s="1769"/>
      <c r="M11" s="1769"/>
      <c r="N11" s="1769"/>
      <c r="O11" s="1769"/>
      <c r="P11" s="1769"/>
      <c r="Q11" s="1769"/>
      <c r="R11" s="1769"/>
      <c r="S11" s="1769"/>
    </row>
    <row r="12" spans="1:19" ht="15.75" hidden="1" thickTop="1">
      <c r="A12" s="1768"/>
      <c r="B12" s="862" t="str">
        <f>'Area Calculations'!M63</f>
        <v>Structural Drawings by</v>
      </c>
      <c r="C12" s="1134" t="s">
        <v>509</v>
      </c>
      <c r="D12" s="1124"/>
      <c r="E12" s="1124"/>
      <c r="F12" s="1124"/>
      <c r="G12" s="1133"/>
      <c r="H12" s="1769"/>
      <c r="I12" s="1769"/>
      <c r="J12" s="1769"/>
      <c r="K12" s="1769"/>
      <c r="L12" s="1769"/>
      <c r="M12" s="1769"/>
      <c r="N12" s="1769"/>
      <c r="O12" s="1769"/>
      <c r="P12" s="1769"/>
      <c r="Q12" s="1769"/>
      <c r="R12" s="1769"/>
      <c r="S12" s="1769"/>
    </row>
    <row r="13" spans="1:19" ht="15.75" hidden="1" thickTop="1">
      <c r="A13" s="1768"/>
      <c r="B13" s="862" t="str">
        <f>'Area Calculations'!M64</f>
        <v>MEP FA FP Drawings by</v>
      </c>
      <c r="C13" s="1134" t="s">
        <v>509</v>
      </c>
      <c r="D13" s="1124"/>
      <c r="E13" s="1124"/>
      <c r="F13" s="1124"/>
      <c r="G13" s="1133"/>
      <c r="H13" s="1769"/>
      <c r="I13" s="1769"/>
      <c r="J13" s="1769"/>
      <c r="K13" s="1769"/>
      <c r="L13" s="1769"/>
      <c r="M13" s="1769"/>
      <c r="N13" s="1769"/>
      <c r="O13" s="1769"/>
      <c r="P13" s="1769"/>
      <c r="Q13" s="1769"/>
      <c r="R13" s="1769"/>
      <c r="S13" s="1769"/>
    </row>
    <row r="14" spans="1:19" ht="15.75" hidden="1" thickTop="1">
      <c r="A14" s="1768"/>
      <c r="B14" s="862" t="str">
        <f>'Area Calculations'!M65</f>
        <v xml:space="preserve">Civil Drawings by </v>
      </c>
      <c r="C14" s="1134" t="s">
        <v>509</v>
      </c>
      <c r="D14" s="1124"/>
      <c r="E14" s="1124"/>
      <c r="F14" s="1124"/>
      <c r="G14" s="1133"/>
      <c r="H14" s="1769"/>
      <c r="I14" s="1769"/>
      <c r="J14" s="1769"/>
      <c r="K14" s="1769"/>
      <c r="L14" s="1769"/>
      <c r="M14" s="1769"/>
      <c r="N14" s="1769"/>
      <c r="O14" s="1769"/>
      <c r="P14" s="1769"/>
      <c r="Q14" s="1769"/>
      <c r="R14" s="1769"/>
      <c r="S14" s="1769"/>
    </row>
    <row r="15" spans="1:19" ht="15.75" hidden="1" thickTop="1">
      <c r="A15" s="1768"/>
      <c r="B15" s="862" t="str">
        <f>'Area Calculations'!M66</f>
        <v>Land scape Drawings by</v>
      </c>
      <c r="C15" s="1134" t="s">
        <v>509</v>
      </c>
      <c r="D15" s="1124"/>
      <c r="E15" s="1124"/>
      <c r="F15" s="1124"/>
      <c r="G15" s="1133"/>
      <c r="H15" s="1769"/>
      <c r="I15" s="1769"/>
      <c r="J15" s="1769"/>
      <c r="K15" s="1769"/>
      <c r="L15" s="1769"/>
      <c r="M15" s="1769"/>
      <c r="N15" s="1769"/>
      <c r="O15" s="1769"/>
      <c r="P15" s="1769"/>
      <c r="Q15" s="1769"/>
      <c r="R15" s="1769"/>
      <c r="S15" s="1769"/>
    </row>
    <row r="16" spans="1:19" ht="15.75" hidden="1" thickTop="1">
      <c r="A16" s="1768"/>
      <c r="B16" s="862" t="str">
        <f>'Area Calculations'!M67</f>
        <v>Kitchen Drawings by</v>
      </c>
      <c r="C16" s="1134" t="s">
        <v>509</v>
      </c>
      <c r="D16" s="1124"/>
      <c r="E16" s="1124"/>
      <c r="F16" s="1124"/>
      <c r="G16" s="1133"/>
      <c r="H16" s="1769"/>
      <c r="I16" s="1769"/>
      <c r="J16" s="1769"/>
      <c r="K16" s="1769"/>
      <c r="L16" s="1769"/>
      <c r="M16" s="1769"/>
      <c r="N16" s="1769"/>
      <c r="O16" s="1769"/>
      <c r="P16" s="1769"/>
      <c r="Q16" s="1769"/>
      <c r="R16" s="1769"/>
      <c r="S16" s="1769"/>
    </row>
    <row r="17" spans="1:19" ht="15.75" hidden="1" thickTop="1">
      <c r="A17" s="1768"/>
      <c r="B17" s="862" t="str">
        <f>'Area Calculations'!M68</f>
        <v>Storefront Designer by</v>
      </c>
      <c r="C17" s="1134" t="s">
        <v>509</v>
      </c>
      <c r="D17" s="1124"/>
      <c r="E17" s="1124"/>
      <c r="F17" s="1124"/>
      <c r="G17" s="1133"/>
      <c r="H17" s="1769"/>
      <c r="I17" s="1769"/>
      <c r="J17" s="1769"/>
      <c r="K17" s="1769"/>
      <c r="L17" s="1769"/>
      <c r="M17" s="1769"/>
      <c r="N17" s="1769"/>
      <c r="O17" s="1769"/>
      <c r="P17" s="1769"/>
      <c r="Q17" s="1769"/>
      <c r="R17" s="1769"/>
      <c r="S17" s="1769"/>
    </row>
    <row r="18" spans="1:19" ht="15.75" hidden="1" thickTop="1">
      <c r="A18" s="1768"/>
      <c r="B18" s="862" t="str">
        <f>'Area Calculations'!M69</f>
        <v>Geotech report by</v>
      </c>
      <c r="C18" s="1134" t="s">
        <v>509</v>
      </c>
      <c r="D18" s="1124"/>
      <c r="E18" s="1124"/>
      <c r="F18" s="1124"/>
      <c r="G18" s="1133"/>
      <c r="H18" s="1769"/>
      <c r="I18" s="1769"/>
      <c r="J18" s="1769"/>
      <c r="K18" s="1769"/>
      <c r="L18" s="1769"/>
      <c r="M18" s="1769"/>
      <c r="N18" s="1769"/>
      <c r="O18" s="1769"/>
      <c r="P18" s="1769"/>
      <c r="Q18" s="1769"/>
      <c r="R18" s="1769"/>
      <c r="S18" s="1769"/>
    </row>
    <row r="19" spans="1:19" ht="15.75" hidden="1" thickTop="1">
      <c r="A19" s="1768"/>
      <c r="B19" s="862" t="str">
        <f>'Area Calculations'!M70</f>
        <v>Specifications</v>
      </c>
      <c r="C19" s="1134" t="s">
        <v>509</v>
      </c>
      <c r="D19" s="1124"/>
      <c r="E19" s="1124"/>
      <c r="F19" s="1124"/>
      <c r="G19" s="1133"/>
      <c r="H19" s="1769"/>
      <c r="I19" s="1769"/>
      <c r="J19" s="1769"/>
      <c r="K19" s="1769"/>
      <c r="L19" s="1769"/>
      <c r="M19" s="1769"/>
      <c r="N19" s="1769"/>
      <c r="O19" s="1769"/>
      <c r="P19" s="1769"/>
      <c r="Q19" s="1769"/>
      <c r="R19" s="1769"/>
      <c r="S19" s="1769"/>
    </row>
    <row r="20" spans="1:19" ht="15.75" hidden="1" thickTop="1">
      <c r="A20" s="1768"/>
      <c r="B20" s="862">
        <f>'Area Calculations'!M71</f>
        <v>0</v>
      </c>
      <c r="C20" s="1134" t="s">
        <v>509</v>
      </c>
      <c r="D20" s="1124"/>
      <c r="E20" s="1124"/>
      <c r="F20" s="1124"/>
      <c r="G20" s="1133"/>
      <c r="H20" s="1769"/>
      <c r="I20" s="1769"/>
      <c r="J20" s="1769"/>
      <c r="K20" s="1769"/>
      <c r="L20" s="1769"/>
      <c r="M20" s="1769"/>
      <c r="N20" s="1769"/>
      <c r="O20" s="1769"/>
      <c r="P20" s="1769"/>
      <c r="Q20" s="1769"/>
      <c r="R20" s="1769"/>
      <c r="S20" s="1769"/>
    </row>
    <row r="21" spans="1:19" ht="15.75" hidden="1" thickTop="1">
      <c r="A21" s="1768"/>
      <c r="B21" s="862">
        <f>'Area Calculations'!M72</f>
        <v>0</v>
      </c>
      <c r="C21" s="1134" t="s">
        <v>509</v>
      </c>
      <c r="D21" s="1124"/>
      <c r="E21" s="1124"/>
      <c r="F21" s="1124"/>
      <c r="G21" s="1133"/>
      <c r="H21" s="1769"/>
      <c r="I21" s="1769"/>
      <c r="J21" s="1769"/>
      <c r="K21" s="1769"/>
      <c r="L21" s="1769"/>
      <c r="M21" s="1769"/>
      <c r="N21" s="1769"/>
      <c r="O21" s="1769"/>
      <c r="P21" s="1769"/>
      <c r="Q21" s="1769"/>
      <c r="R21" s="1769"/>
      <c r="S21" s="1769"/>
    </row>
    <row r="22" spans="1:19" ht="15.75" hidden="1" thickTop="1">
      <c r="A22" s="1768"/>
      <c r="B22" s="862">
        <f>'Area Calculations'!M73</f>
        <v>0</v>
      </c>
      <c r="C22" s="1134" t="s">
        <v>509</v>
      </c>
      <c r="D22" s="1124"/>
      <c r="E22" s="1124"/>
      <c r="F22" s="1124"/>
      <c r="G22" s="1133"/>
      <c r="H22" s="1769"/>
      <c r="I22" s="1769"/>
      <c r="J22" s="1769"/>
      <c r="K22" s="1769"/>
      <c r="L22" s="1769"/>
      <c r="M22" s="1769"/>
      <c r="N22" s="1769"/>
      <c r="O22" s="1769"/>
      <c r="P22" s="1769"/>
      <c r="Q22" s="1769"/>
      <c r="R22" s="1769"/>
      <c r="S22" s="1769"/>
    </row>
    <row r="23" spans="1:19" ht="15.75" hidden="1" thickTop="1">
      <c r="A23" s="1768"/>
      <c r="B23" s="862">
        <f>'Area Calculations'!M74</f>
        <v>0</v>
      </c>
      <c r="C23" s="1134" t="s">
        <v>509</v>
      </c>
      <c r="D23" s="1124"/>
      <c r="E23" s="1124"/>
      <c r="F23" s="1124"/>
      <c r="G23" s="1133"/>
      <c r="H23" s="1769"/>
      <c r="I23" s="1769"/>
      <c r="J23" s="1769"/>
      <c r="K23" s="1769"/>
      <c r="L23" s="1769"/>
      <c r="M23" s="1769"/>
      <c r="N23" s="1769"/>
      <c r="O23" s="1769"/>
      <c r="P23" s="1769"/>
      <c r="Q23" s="1769"/>
      <c r="R23" s="1769"/>
      <c r="S23" s="1769"/>
    </row>
    <row r="24" spans="1:19" ht="15.75" thickTop="1">
      <c r="A24" s="1768"/>
      <c r="B24" s="862"/>
      <c r="C24" s="1134"/>
      <c r="D24" s="1124"/>
      <c r="E24" s="1124"/>
      <c r="F24" s="1124"/>
      <c r="G24" s="1133"/>
      <c r="H24" s="1770"/>
      <c r="I24" s="1769"/>
      <c r="J24" s="1770"/>
      <c r="K24" s="1769"/>
      <c r="L24" s="1770"/>
      <c r="M24" s="1769"/>
      <c r="N24" s="1770"/>
      <c r="O24" s="1769"/>
      <c r="P24" s="1770"/>
      <c r="Q24" s="1769"/>
      <c r="R24" s="1770"/>
      <c r="S24" s="1769"/>
    </row>
    <row r="25" spans="1:19" ht="15.75" thickBot="1">
      <c r="A25" s="1768"/>
      <c r="B25" s="1136" t="s">
        <v>874</v>
      </c>
      <c r="C25" s="1134"/>
      <c r="D25" s="1124"/>
      <c r="E25" s="1124"/>
      <c r="F25" s="1124"/>
      <c r="G25" s="1133"/>
      <c r="H25" s="1770"/>
      <c r="I25" s="1769"/>
      <c r="J25" s="1770"/>
      <c r="K25" s="1769"/>
      <c r="L25" s="1770"/>
      <c r="M25" s="1769"/>
      <c r="N25" s="1770"/>
      <c r="O25" s="1769"/>
      <c r="P25" s="1770"/>
      <c r="Q25" s="1769"/>
      <c r="R25" s="1770"/>
      <c r="S25" s="1769"/>
    </row>
    <row r="26" spans="1:19" ht="15.75" thickBot="1">
      <c r="A26" s="1545"/>
      <c r="B26" s="374" t="s">
        <v>512</v>
      </c>
      <c r="C26" s="1134"/>
      <c r="D26" s="1124"/>
      <c r="E26" s="1124"/>
      <c r="F26" s="1124"/>
      <c r="G26" s="1133"/>
      <c r="H26" s="1770"/>
      <c r="I26" s="1546"/>
      <c r="J26" s="1770"/>
      <c r="K26" s="1546"/>
      <c r="L26" s="1770"/>
      <c r="M26" s="1546"/>
      <c r="N26" s="1770"/>
      <c r="O26" s="1546"/>
      <c r="P26" s="1770"/>
      <c r="Q26" s="1546"/>
      <c r="R26" s="1770"/>
      <c r="S26" s="1546"/>
    </row>
    <row r="27" spans="1:19">
      <c r="A27" s="1545"/>
      <c r="B27" s="647" t="s">
        <v>513</v>
      </c>
      <c r="C27" s="1133"/>
      <c r="D27" s="1124"/>
      <c r="E27" s="1124"/>
      <c r="F27" s="1124"/>
      <c r="G27" s="1133"/>
      <c r="H27" s="1770"/>
      <c r="I27" s="1424"/>
      <c r="J27" s="1770"/>
      <c r="K27" s="1424"/>
      <c r="L27" s="1770"/>
      <c r="M27" s="1546"/>
      <c r="N27" s="1770"/>
      <c r="O27" s="1546"/>
      <c r="P27" s="1770"/>
      <c r="Q27" s="1546"/>
      <c r="R27" s="1770"/>
      <c r="S27" s="1546"/>
    </row>
    <row r="28" spans="1:19">
      <c r="A28" s="1545"/>
      <c r="B28" s="1567" t="s">
        <v>514</v>
      </c>
      <c r="C28" s="1133"/>
      <c r="D28" s="1124"/>
      <c r="E28" s="1124"/>
      <c r="F28" s="1124"/>
      <c r="G28" s="1133"/>
      <c r="H28" s="1770"/>
      <c r="I28" s="1424"/>
      <c r="J28" s="1770"/>
      <c r="K28" s="1424"/>
      <c r="L28" s="1770"/>
      <c r="M28" s="1546"/>
      <c r="N28" s="1770"/>
      <c r="O28" s="1546"/>
      <c r="P28" s="1770"/>
      <c r="Q28" s="1546"/>
      <c r="R28" s="1770"/>
      <c r="S28" s="1546"/>
    </row>
    <row r="29" spans="1:19">
      <c r="A29" s="1545"/>
      <c r="B29" s="1568" t="s">
        <v>515</v>
      </c>
      <c r="C29" s="1133"/>
      <c r="D29" s="1124"/>
      <c r="E29" s="1124"/>
      <c r="F29" s="1124"/>
      <c r="G29" s="1133"/>
      <c r="H29" s="1770"/>
      <c r="I29" s="1424"/>
      <c r="J29" s="1770"/>
      <c r="K29" s="1424"/>
      <c r="L29" s="1770"/>
      <c r="M29" s="1546"/>
      <c r="N29" s="1770"/>
      <c r="O29" s="1546"/>
      <c r="P29" s="1770"/>
      <c r="Q29" s="1546"/>
      <c r="R29" s="1770"/>
      <c r="S29" s="1546"/>
    </row>
    <row r="30" spans="1:19">
      <c r="A30" s="1545"/>
      <c r="B30" s="1568" t="s">
        <v>516</v>
      </c>
      <c r="C30" s="1133"/>
      <c r="D30" s="1124"/>
      <c r="E30" s="1124"/>
      <c r="F30" s="1124"/>
      <c r="G30" s="1133"/>
      <c r="H30" s="1770"/>
      <c r="I30" s="1548"/>
      <c r="J30" s="1770"/>
      <c r="K30" s="1424"/>
      <c r="L30" s="1770"/>
      <c r="M30" s="1546"/>
      <c r="N30" s="1770"/>
      <c r="O30" s="1546"/>
      <c r="P30" s="1770"/>
      <c r="Q30" s="1546"/>
      <c r="R30" s="1770"/>
      <c r="S30" s="1546"/>
    </row>
    <row r="31" spans="1:19">
      <c r="A31" s="1545"/>
      <c r="B31" s="1568" t="s">
        <v>517</v>
      </c>
      <c r="C31" s="1133"/>
      <c r="D31" s="1124"/>
      <c r="E31" s="1124"/>
      <c r="F31" s="1124"/>
      <c r="G31" s="1133"/>
      <c r="H31" s="1770"/>
      <c r="I31" s="1548"/>
      <c r="J31" s="1770"/>
      <c r="K31" s="1424"/>
      <c r="L31" s="1770"/>
      <c r="M31" s="1546"/>
      <c r="N31" s="1770"/>
      <c r="O31" s="1546"/>
      <c r="P31" s="1770"/>
      <c r="Q31" s="1546"/>
      <c r="R31" s="1770"/>
      <c r="S31" s="1546"/>
    </row>
    <row r="32" spans="1:19">
      <c r="A32" s="1545"/>
      <c r="B32" s="1568" t="s">
        <v>518</v>
      </c>
      <c r="C32" s="1133"/>
      <c r="D32" s="1124"/>
      <c r="E32" s="1124"/>
      <c r="F32" s="1124"/>
      <c r="G32" s="1133"/>
      <c r="H32" s="1770"/>
      <c r="I32" s="1548"/>
      <c r="J32" s="1770"/>
      <c r="K32" s="1424"/>
      <c r="L32" s="1770"/>
      <c r="M32" s="1546"/>
      <c r="N32" s="1770"/>
      <c r="O32" s="1546"/>
      <c r="P32" s="1770"/>
      <c r="Q32" s="1546"/>
      <c r="R32" s="1770"/>
      <c r="S32" s="1546"/>
    </row>
    <row r="33" spans="1:19">
      <c r="A33" s="1545"/>
      <c r="B33" s="1569" t="s">
        <v>519</v>
      </c>
      <c r="C33" s="1133"/>
      <c r="D33" s="1124"/>
      <c r="E33" s="1124"/>
      <c r="F33" s="1124"/>
      <c r="G33" s="1133"/>
      <c r="H33" s="1770"/>
      <c r="I33" s="1548"/>
      <c r="J33" s="1770"/>
      <c r="K33" s="1424"/>
      <c r="L33" s="1770"/>
      <c r="M33" s="1546"/>
      <c r="N33" s="1770"/>
      <c r="O33" s="1546"/>
      <c r="P33" s="1770"/>
      <c r="Q33" s="1546"/>
      <c r="R33" s="1770"/>
      <c r="S33" s="1546"/>
    </row>
    <row r="34" spans="1:19">
      <c r="A34" s="1545"/>
      <c r="B34" s="1570" t="s">
        <v>520</v>
      </c>
      <c r="C34" s="1147"/>
      <c r="D34" s="1145"/>
      <c r="E34" s="1145"/>
      <c r="F34" s="1145"/>
      <c r="G34" s="1147"/>
      <c r="H34" s="1771"/>
      <c r="I34" s="1772"/>
      <c r="J34" s="1771"/>
      <c r="K34" s="1476"/>
      <c r="L34" s="1771"/>
      <c r="M34" s="1477"/>
      <c r="N34" s="1771"/>
      <c r="O34" s="1477"/>
      <c r="P34" s="1771"/>
      <c r="Q34" s="1477"/>
      <c r="R34" s="1771"/>
      <c r="S34" s="1477"/>
    </row>
    <row r="35" spans="1:19">
      <c r="A35" s="1545"/>
      <c r="B35" s="1558" t="s">
        <v>748</v>
      </c>
      <c r="C35" s="1133"/>
      <c r="D35" s="1124"/>
      <c r="E35" s="1124"/>
      <c r="F35" s="1124"/>
      <c r="G35" s="1133"/>
      <c r="H35" s="1770"/>
      <c r="I35" s="1548"/>
      <c r="J35" s="1770"/>
      <c r="K35" s="1424"/>
      <c r="L35" s="1770"/>
      <c r="M35" s="1546"/>
      <c r="N35" s="1770"/>
      <c r="O35" s="1546"/>
      <c r="P35" s="1770"/>
      <c r="Q35" s="1546"/>
      <c r="R35" s="1770"/>
      <c r="S35" s="1546"/>
    </row>
    <row r="36" spans="1:19">
      <c r="A36" s="1545"/>
      <c r="B36" s="1571" t="s">
        <v>288</v>
      </c>
      <c r="C36" s="1133"/>
      <c r="D36" s="1124"/>
      <c r="E36" s="1124"/>
      <c r="F36" s="1124"/>
      <c r="G36" s="1133"/>
      <c r="H36" s="1770"/>
      <c r="I36" s="1548"/>
      <c r="J36" s="1770"/>
      <c r="K36" s="1424"/>
      <c r="L36" s="1770"/>
      <c r="M36" s="1424"/>
      <c r="N36" s="1770"/>
      <c r="O36" s="1773"/>
      <c r="P36" s="1770"/>
      <c r="Q36" s="1546"/>
      <c r="R36" s="1770"/>
      <c r="S36" s="1546"/>
    </row>
    <row r="37" spans="1:19">
      <c r="A37" s="1545"/>
      <c r="B37" s="1571" t="s">
        <v>288</v>
      </c>
      <c r="C37" s="1133"/>
      <c r="D37" s="1124"/>
      <c r="E37" s="1124"/>
      <c r="F37" s="1124"/>
      <c r="G37" s="1133"/>
      <c r="H37" s="1770"/>
      <c r="I37" s="1548"/>
      <c r="J37" s="1770"/>
      <c r="K37" s="1424"/>
      <c r="L37" s="1770"/>
      <c r="M37" s="1424"/>
      <c r="N37" s="1770"/>
      <c r="O37" s="1773"/>
      <c r="P37" s="1770"/>
      <c r="Q37" s="1546"/>
      <c r="R37" s="1770"/>
      <c r="S37" s="1546"/>
    </row>
    <row r="38" spans="1:19">
      <c r="A38" s="1545"/>
      <c r="B38" s="1571" t="s">
        <v>288</v>
      </c>
      <c r="C38" s="1133"/>
      <c r="D38" s="1124"/>
      <c r="E38" s="1124"/>
      <c r="F38" s="1124"/>
      <c r="G38" s="1133"/>
      <c r="H38" s="1770"/>
      <c r="I38" s="1548"/>
      <c r="J38" s="1770"/>
      <c r="K38" s="1424"/>
      <c r="L38" s="1770"/>
      <c r="M38" s="1424"/>
      <c r="N38" s="1770"/>
      <c r="O38" s="1773"/>
      <c r="P38" s="1770"/>
      <c r="Q38" s="1546"/>
      <c r="R38" s="1770"/>
      <c r="S38" s="1546"/>
    </row>
    <row r="39" spans="1:19">
      <c r="A39" s="1545"/>
      <c r="B39" s="1571" t="s">
        <v>288</v>
      </c>
      <c r="C39" s="1133"/>
      <c r="D39" s="1124"/>
      <c r="E39" s="1124"/>
      <c r="F39" s="1124"/>
      <c r="G39" s="1133"/>
      <c r="H39" s="1770"/>
      <c r="I39" s="1548"/>
      <c r="J39" s="1770"/>
      <c r="K39" s="1424"/>
      <c r="L39" s="1770"/>
      <c r="M39" s="1546"/>
      <c r="N39" s="1770"/>
      <c r="O39" s="1546"/>
      <c r="P39" s="1770"/>
      <c r="Q39" s="1546"/>
      <c r="R39" s="1770"/>
      <c r="S39" s="1546"/>
    </row>
    <row r="40" spans="1:19">
      <c r="A40" s="1545"/>
      <c r="B40" s="1571" t="s">
        <v>288</v>
      </c>
      <c r="C40" s="1133"/>
      <c r="D40" s="1124"/>
      <c r="E40" s="1124"/>
      <c r="F40" s="1124"/>
      <c r="G40" s="1133"/>
      <c r="H40" s="1770"/>
      <c r="I40" s="1548"/>
      <c r="J40" s="1770"/>
      <c r="K40" s="1424"/>
      <c r="L40" s="1770"/>
      <c r="M40" s="1424"/>
      <c r="N40" s="1770"/>
      <c r="O40" s="1424"/>
      <c r="P40" s="1770"/>
      <c r="Q40" s="1546"/>
      <c r="R40" s="1770"/>
      <c r="S40" s="1424"/>
    </row>
    <row r="41" spans="1:19">
      <c r="A41" s="1545"/>
      <c r="B41" s="1571" t="s">
        <v>288</v>
      </c>
      <c r="C41" s="1133"/>
      <c r="D41" s="1124"/>
      <c r="E41" s="1124"/>
      <c r="F41" s="1124"/>
      <c r="G41" s="1133"/>
      <c r="H41" s="1770"/>
      <c r="I41" s="1548"/>
      <c r="J41" s="1770"/>
      <c r="K41" s="1424"/>
      <c r="L41" s="1770"/>
      <c r="M41" s="1424"/>
      <c r="N41" s="1770"/>
      <c r="O41" s="1546"/>
      <c r="P41" s="1770"/>
      <c r="Q41" s="1546"/>
      <c r="R41" s="1770"/>
      <c r="S41" s="1424"/>
    </row>
    <row r="42" spans="1:19">
      <c r="A42" s="1545"/>
      <c r="B42" s="1571" t="s">
        <v>288</v>
      </c>
      <c r="C42" s="1133"/>
      <c r="D42" s="1124"/>
      <c r="E42" s="1124"/>
      <c r="F42" s="1124"/>
      <c r="G42" s="1133"/>
      <c r="H42" s="1770"/>
      <c r="I42" s="1548"/>
      <c r="J42" s="1770"/>
      <c r="K42" s="1424"/>
      <c r="L42" s="1770"/>
      <c r="M42" s="1424"/>
      <c r="N42" s="1770"/>
      <c r="O42" s="1546"/>
      <c r="P42" s="1770"/>
      <c r="Q42" s="1546"/>
      <c r="R42" s="1770"/>
      <c r="S42" s="1424"/>
    </row>
    <row r="43" spans="1:19">
      <c r="A43" s="1545"/>
      <c r="B43" s="1571" t="s">
        <v>288</v>
      </c>
      <c r="C43" s="1133"/>
      <c r="D43" s="1124"/>
      <c r="E43" s="1124"/>
      <c r="F43" s="1124"/>
      <c r="G43" s="1133"/>
      <c r="H43" s="1770" t="s">
        <v>710</v>
      </c>
      <c r="I43" s="1424"/>
      <c r="J43" s="1770"/>
      <c r="K43" s="1424"/>
      <c r="L43" s="1770"/>
      <c r="M43" s="1424"/>
      <c r="N43" s="1770"/>
      <c r="O43" s="1424"/>
      <c r="P43" s="1770"/>
      <c r="Q43" s="1424"/>
      <c r="R43" s="1770"/>
      <c r="S43" s="1424"/>
    </row>
    <row r="44" spans="1:19">
      <c r="A44" s="1545"/>
      <c r="B44" s="1571" t="s">
        <v>288</v>
      </c>
      <c r="C44" s="1133"/>
      <c r="D44" s="1124"/>
      <c r="E44" s="1124"/>
      <c r="F44" s="1124"/>
      <c r="G44" s="1133"/>
      <c r="H44" s="1770"/>
      <c r="I44" s="1424"/>
      <c r="J44" s="1770"/>
      <c r="K44" s="1424"/>
      <c r="L44" s="1770"/>
      <c r="M44" s="1424"/>
      <c r="N44" s="1770"/>
      <c r="O44" s="1424"/>
      <c r="P44" s="1770"/>
      <c r="Q44" s="1424"/>
      <c r="R44" s="1770"/>
      <c r="S44" s="1424"/>
    </row>
    <row r="45" spans="1:19">
      <c r="A45" s="1545"/>
      <c r="B45" s="1571"/>
      <c r="C45" s="1133"/>
      <c r="D45" s="1124"/>
      <c r="E45" s="1124"/>
      <c r="F45" s="1124"/>
      <c r="G45" s="1133"/>
      <c r="H45" s="1770"/>
      <c r="I45" s="1424"/>
      <c r="J45" s="1770"/>
      <c r="K45" s="1424"/>
      <c r="L45" s="1770"/>
      <c r="M45" s="1424"/>
      <c r="N45" s="1770"/>
      <c r="O45" s="1424"/>
      <c r="P45" s="1770"/>
      <c r="Q45" s="1424"/>
      <c r="R45" s="1770"/>
      <c r="S45" s="1424"/>
    </row>
    <row r="46" spans="1:19">
      <c r="A46" s="1545"/>
      <c r="B46" s="1571"/>
      <c r="C46" s="1133"/>
      <c r="D46" s="1124"/>
      <c r="E46" s="1124"/>
      <c r="F46" s="1124"/>
      <c r="G46" s="1133"/>
      <c r="H46" s="1770"/>
      <c r="I46" s="1424"/>
      <c r="J46" s="1770"/>
      <c r="K46" s="1424"/>
      <c r="L46" s="1770"/>
      <c r="M46" s="1424"/>
      <c r="N46" s="1770"/>
      <c r="O46" s="1424"/>
      <c r="P46" s="1770"/>
      <c r="Q46" s="1424"/>
      <c r="R46" s="1770"/>
      <c r="S46" s="1424"/>
    </row>
    <row r="47" spans="1:19">
      <c r="A47" s="1545"/>
      <c r="B47" s="1571"/>
      <c r="C47" s="1133"/>
      <c r="D47" s="1124"/>
      <c r="E47" s="1124"/>
      <c r="F47" s="1124"/>
      <c r="G47" s="1133"/>
      <c r="H47" s="1770"/>
      <c r="I47" s="1424"/>
      <c r="J47" s="1770"/>
      <c r="K47" s="1424"/>
      <c r="L47" s="1770"/>
      <c r="M47" s="1424"/>
      <c r="N47" s="1770"/>
      <c r="O47" s="1424"/>
      <c r="P47" s="1770"/>
      <c r="Q47" s="1424"/>
      <c r="R47" s="1770"/>
      <c r="S47" s="1424"/>
    </row>
    <row r="48" spans="1:19">
      <c r="A48" s="1545"/>
      <c r="B48" s="1571"/>
      <c r="C48" s="1133"/>
      <c r="D48" s="1124"/>
      <c r="E48" s="1124"/>
      <c r="F48" s="1124"/>
      <c r="G48" s="1133"/>
      <c r="H48" s="1770"/>
      <c r="I48" s="1424"/>
      <c r="J48" s="1770"/>
      <c r="K48" s="1424"/>
      <c r="L48" s="1770"/>
      <c r="M48" s="1424"/>
      <c r="N48" s="1770"/>
      <c r="O48" s="1424"/>
      <c r="P48" s="1770"/>
      <c r="Q48" s="1424"/>
      <c r="R48" s="1770"/>
      <c r="S48" s="1424"/>
    </row>
    <row r="49" spans="1:19">
      <c r="A49" s="1545"/>
      <c r="B49" s="1571"/>
      <c r="C49" s="1133"/>
      <c r="D49" s="1124"/>
      <c r="E49" s="1124"/>
      <c r="F49" s="1124"/>
      <c r="G49" s="1133"/>
      <c r="H49" s="1770"/>
      <c r="I49" s="1424"/>
      <c r="J49" s="1770"/>
      <c r="K49" s="1424"/>
      <c r="L49" s="1770"/>
      <c r="M49" s="1424"/>
      <c r="N49" s="1770"/>
      <c r="O49" s="1424"/>
      <c r="P49" s="1770"/>
      <c r="Q49" s="1424"/>
      <c r="R49" s="1770"/>
      <c r="S49" s="1424"/>
    </row>
    <row r="50" spans="1:19">
      <c r="A50" s="1545"/>
      <c r="B50" s="1571"/>
      <c r="C50" s="1133"/>
      <c r="D50" s="1124"/>
      <c r="E50" s="1124"/>
      <c r="F50" s="1124"/>
      <c r="G50" s="1133"/>
      <c r="H50" s="1770"/>
      <c r="I50" s="1424"/>
      <c r="J50" s="1770"/>
      <c r="K50" s="1424"/>
      <c r="L50" s="1770"/>
      <c r="M50" s="1424"/>
      <c r="N50" s="1770"/>
      <c r="O50" s="1424"/>
      <c r="P50" s="1770"/>
      <c r="Q50" s="1424"/>
      <c r="R50" s="1770"/>
      <c r="S50" s="1424"/>
    </row>
    <row r="51" spans="1:19">
      <c r="A51" s="1545"/>
      <c r="B51" s="1571"/>
      <c r="C51" s="1133"/>
      <c r="D51" s="1124"/>
      <c r="E51" s="1124"/>
      <c r="F51" s="1124"/>
      <c r="G51" s="1133"/>
      <c r="H51" s="1770"/>
      <c r="I51" s="1424"/>
      <c r="J51" s="1770"/>
      <c r="K51" s="1424"/>
      <c r="L51" s="1770"/>
      <c r="M51" s="1424"/>
      <c r="N51" s="1770"/>
      <c r="O51" s="1424"/>
      <c r="P51" s="1770"/>
      <c r="Q51" s="1424"/>
      <c r="R51" s="1770"/>
      <c r="S51" s="1424"/>
    </row>
    <row r="52" spans="1:19">
      <c r="A52" s="1545"/>
      <c r="B52" s="1571"/>
      <c r="C52" s="1133"/>
      <c r="D52" s="1124"/>
      <c r="E52" s="1124"/>
      <c r="F52" s="1124"/>
      <c r="G52" s="1133"/>
      <c r="H52" s="1770"/>
      <c r="I52" s="1424"/>
      <c r="J52" s="1770"/>
      <c r="K52" s="1424"/>
      <c r="L52" s="1770"/>
      <c r="M52" s="1424"/>
      <c r="N52" s="1770"/>
      <c r="O52" s="1424"/>
      <c r="P52" s="1770"/>
      <c r="Q52" s="1424"/>
      <c r="R52" s="1770"/>
      <c r="S52" s="1424"/>
    </row>
    <row r="53" spans="1:19" ht="15.75" thickBot="1">
      <c r="A53" s="1774"/>
      <c r="B53" s="1607"/>
      <c r="C53" s="1134"/>
      <c r="D53" s="1124"/>
      <c r="E53" s="1124"/>
      <c r="F53" s="1124"/>
      <c r="G53" s="1133"/>
      <c r="H53" s="1770"/>
      <c r="I53" s="1548"/>
      <c r="J53" s="1770"/>
      <c r="K53" s="1546"/>
      <c r="L53" s="1770"/>
      <c r="M53" s="1546"/>
      <c r="N53" s="1770"/>
      <c r="O53" s="1546"/>
      <c r="P53" s="1770"/>
      <c r="Q53" s="1546"/>
      <c r="R53" s="1770"/>
      <c r="S53" s="1546"/>
    </row>
    <row r="54" spans="1:19" ht="15.75" thickTop="1">
      <c r="A54" s="14"/>
      <c r="B54" s="15"/>
      <c r="C54" s="16"/>
      <c r="D54" s="16"/>
      <c r="E54" s="17"/>
      <c r="F54" s="18" t="s">
        <v>567</v>
      </c>
      <c r="G54" s="19"/>
      <c r="H54" s="20"/>
      <c r="I54" s="61">
        <f>SUM(I26:I53)</f>
        <v>0</v>
      </c>
      <c r="J54" s="20"/>
      <c r="K54" s="61">
        <f>SUM(K26:K53)</f>
        <v>0</v>
      </c>
      <c r="L54" s="20"/>
      <c r="M54" s="61">
        <f>SUM(M26:M53)</f>
        <v>0</v>
      </c>
      <c r="N54" s="20"/>
      <c r="O54" s="61">
        <f>SUM(O26:O53)</f>
        <v>0</v>
      </c>
      <c r="P54" s="20"/>
      <c r="Q54" s="61">
        <f>SUM(Q26:Q53)</f>
        <v>0</v>
      </c>
      <c r="R54" s="20"/>
      <c r="S54" s="61">
        <f>SUM(S26:S53)</f>
        <v>0</v>
      </c>
    </row>
    <row r="55" spans="1:19">
      <c r="A55" s="1731"/>
      <c r="B55" s="1156"/>
      <c r="C55" s="1157"/>
      <c r="D55" s="1157"/>
      <c r="E55" s="1158"/>
      <c r="F55" s="1159" t="s">
        <v>568</v>
      </c>
      <c r="G55" s="1160"/>
      <c r="H55" s="1732">
        <v>0</v>
      </c>
      <c r="I55" s="415"/>
      <c r="J55" s="1732">
        <v>0</v>
      </c>
      <c r="K55" s="1732"/>
      <c r="L55" s="1732">
        <v>0</v>
      </c>
      <c r="M55" s="1732"/>
      <c r="N55" s="1732">
        <v>0</v>
      </c>
      <c r="O55" s="1732"/>
      <c r="P55" s="1775">
        <v>0</v>
      </c>
      <c r="Q55" s="1732"/>
      <c r="R55" s="1775">
        <v>0</v>
      </c>
      <c r="S55" s="1732"/>
    </row>
    <row r="56" spans="1:19">
      <c r="A56" s="1731"/>
      <c r="B56" s="1156"/>
      <c r="C56" s="1157"/>
      <c r="D56" s="1157"/>
      <c r="E56" s="1158"/>
      <c r="F56" s="1159" t="s">
        <v>569</v>
      </c>
      <c r="G56" s="1160"/>
      <c r="H56" s="1734"/>
      <c r="I56" s="1737">
        <f>I54*H55</f>
        <v>0</v>
      </c>
      <c r="J56" s="1734"/>
      <c r="K56" s="1737">
        <f>K54*J55</f>
        <v>0</v>
      </c>
      <c r="L56" s="1734"/>
      <c r="M56" s="1737">
        <f>M54*L55</f>
        <v>0</v>
      </c>
      <c r="N56" s="1734"/>
      <c r="O56" s="1737">
        <f>O54*N55</f>
        <v>0</v>
      </c>
      <c r="P56" s="1734"/>
      <c r="Q56" s="1737">
        <f>Q54*P55</f>
        <v>0</v>
      </c>
      <c r="R56" s="1734"/>
      <c r="S56" s="1737">
        <f>S54*R55</f>
        <v>0</v>
      </c>
    </row>
    <row r="57" spans="1:19">
      <c r="A57" s="1731"/>
      <c r="B57" s="1156"/>
      <c r="C57" s="1157"/>
      <c r="D57" s="1157"/>
      <c r="E57" s="1158"/>
      <c r="F57" s="1159"/>
      <c r="G57" s="1160"/>
      <c r="H57" s="1734"/>
      <c r="I57" s="1738"/>
      <c r="J57" s="1734"/>
      <c r="K57" s="1734"/>
      <c r="L57" s="1734"/>
      <c r="M57" s="1734"/>
      <c r="N57" s="1734"/>
      <c r="O57" s="1734"/>
      <c r="P57" s="1734"/>
      <c r="Q57" s="1734"/>
      <c r="R57" s="1734"/>
      <c r="S57" s="1734"/>
    </row>
    <row r="58" spans="1:19">
      <c r="A58" s="1731"/>
      <c r="B58" s="1156"/>
      <c r="C58" s="1157"/>
      <c r="D58" s="1157"/>
      <c r="E58" s="1158"/>
      <c r="F58" s="1159" t="s">
        <v>570</v>
      </c>
      <c r="G58" s="1160"/>
      <c r="H58" s="1739"/>
      <c r="I58" s="1737">
        <f>SUM(I54:I56)</f>
        <v>0</v>
      </c>
      <c r="J58" s="1739"/>
      <c r="K58" s="1737">
        <f>SUM(K54:K56)</f>
        <v>0</v>
      </c>
      <c r="L58" s="1739"/>
      <c r="M58" s="1737">
        <f>SUM(M54:M56)</f>
        <v>0</v>
      </c>
      <c r="N58" s="1739"/>
      <c r="O58" s="1737">
        <f>SUM(O54:O56)</f>
        <v>0</v>
      </c>
      <c r="P58" s="1739"/>
      <c r="Q58" s="1737">
        <f>SUM(Q54:Q56)</f>
        <v>0</v>
      </c>
      <c r="R58" s="1739"/>
      <c r="S58" s="1737">
        <f>SUM(S54:S56)</f>
        <v>0</v>
      </c>
    </row>
    <row r="59" spans="1:19">
      <c r="A59" s="1731"/>
      <c r="B59" s="1156"/>
      <c r="C59" s="1157"/>
      <c r="D59" s="1157"/>
      <c r="E59" s="1158"/>
      <c r="F59" s="1161" t="s">
        <v>571</v>
      </c>
      <c r="G59" s="1162"/>
      <c r="H59" s="1740"/>
      <c r="I59" s="1741" t="e">
        <f>I58/'Area Calculations'!$J$4</f>
        <v>#DIV/0!</v>
      </c>
      <c r="J59" s="1740"/>
      <c r="K59" s="1741" t="e">
        <f>K58/'Area Calculations'!$J$4</f>
        <v>#DIV/0!</v>
      </c>
      <c r="L59" s="1740"/>
      <c r="M59" s="1741" t="e">
        <f>M58/'Area Calculations'!$J$4</f>
        <v>#DIV/0!</v>
      </c>
      <c r="N59" s="1740"/>
      <c r="O59" s="1741" t="e">
        <f>O58/'Area Calculations'!$J$4</f>
        <v>#DIV/0!</v>
      </c>
      <c r="P59" s="1740"/>
      <c r="Q59" s="1741" t="e">
        <f>Q58/'Area Calculations'!$J$4</f>
        <v>#DIV/0!</v>
      </c>
      <c r="R59" s="1740"/>
      <c r="S59" s="1741" t="e">
        <f>S58/'Area Calculations'!$J$4</f>
        <v>#DIV/0!</v>
      </c>
    </row>
    <row r="60" spans="1:19">
      <c r="A60" s="1731"/>
      <c r="B60" s="1156"/>
      <c r="C60" s="1157"/>
      <c r="D60" s="1157"/>
      <c r="E60" s="1158"/>
      <c r="F60" s="1161" t="s">
        <v>572</v>
      </c>
      <c r="G60" s="1163"/>
      <c r="H60" s="1740"/>
      <c r="I60" s="1741" t="e">
        <f>I58/'Area Calculations'!#REF!</f>
        <v>#REF!</v>
      </c>
      <c r="J60" s="1740"/>
      <c r="K60" s="1741" t="e">
        <f>K58/'Area Calculations'!#REF!</f>
        <v>#REF!</v>
      </c>
      <c r="L60" s="1740"/>
      <c r="M60" s="1741" t="e">
        <f>M58/'Area Calculations'!#REF!</f>
        <v>#REF!</v>
      </c>
      <c r="N60" s="1740"/>
      <c r="O60" s="1741" t="e">
        <f>O58/'Area Calculations'!#REF!</f>
        <v>#REF!</v>
      </c>
      <c r="P60" s="1740"/>
      <c r="Q60" s="1741" t="e">
        <f>Q58/'Area Calculations'!#REF!</f>
        <v>#REF!</v>
      </c>
      <c r="R60" s="1740"/>
      <c r="S60" s="1741" t="e">
        <f>S58/'Area Calculations'!#REF!</f>
        <v>#REF!</v>
      </c>
    </row>
    <row r="61" spans="1:19" ht="15.75" thickBot="1">
      <c r="A61" s="1731"/>
      <c r="B61" s="1156"/>
      <c r="C61" s="1157"/>
      <c r="D61" s="1157"/>
      <c r="E61" s="1158"/>
      <c r="F61" s="1159"/>
      <c r="G61" s="1533"/>
      <c r="H61" s="1742"/>
      <c r="I61" s="1743"/>
      <c r="J61" s="1744"/>
      <c r="K61" s="1744"/>
      <c r="L61" s="1744"/>
      <c r="M61" s="1744"/>
      <c r="N61" s="1744"/>
      <c r="O61" s="1744"/>
      <c r="P61" s="1744"/>
      <c r="Q61" s="1744"/>
      <c r="R61" s="1744"/>
      <c r="S61" s="1744"/>
    </row>
    <row r="62" spans="1:19" ht="16.5" thickTop="1" thickBot="1">
      <c r="A62" s="726" t="s">
        <v>573</v>
      </c>
      <c r="B62" s="727"/>
      <c r="C62" s="12"/>
      <c r="D62" s="12"/>
      <c r="E62" s="12"/>
      <c r="F62" s="12"/>
      <c r="G62" s="13"/>
      <c r="H62" s="21"/>
      <c r="I62" s="21"/>
      <c r="J62" s="21"/>
      <c r="K62" s="21"/>
      <c r="L62" s="21"/>
      <c r="M62" s="21"/>
      <c r="N62" s="21"/>
      <c r="O62" s="21"/>
      <c r="P62" s="21"/>
      <c r="Q62" s="21"/>
      <c r="R62" s="21"/>
      <c r="S62" s="21"/>
    </row>
    <row r="63" spans="1:19" ht="15.75" thickTop="1">
      <c r="A63" s="1535"/>
      <c r="B63" s="862"/>
      <c r="C63" s="1536"/>
      <c r="D63" s="1536"/>
      <c r="E63" s="1536"/>
      <c r="F63" s="1536"/>
      <c r="G63" s="1537"/>
      <c r="H63" s="1538"/>
      <c r="I63" s="1538"/>
      <c r="J63" s="1538"/>
      <c r="K63" s="1538"/>
      <c r="L63" s="1538"/>
      <c r="M63" s="1538"/>
      <c r="N63" s="1538"/>
      <c r="O63" s="1538"/>
      <c r="P63" s="1538"/>
      <c r="Q63" s="1538"/>
      <c r="R63" s="1538"/>
      <c r="S63" s="1538"/>
    </row>
    <row r="64" spans="1:19">
      <c r="A64" s="1535"/>
      <c r="B64" s="862"/>
      <c r="C64" s="1536"/>
      <c r="D64" s="1536"/>
      <c r="E64" s="1536"/>
      <c r="F64" s="1536"/>
      <c r="G64" s="1537"/>
      <c r="H64" s="1538"/>
      <c r="I64" s="1538"/>
      <c r="J64" s="1538"/>
      <c r="K64" s="1538"/>
      <c r="L64" s="1538"/>
      <c r="M64" s="1538"/>
      <c r="N64" s="1538"/>
      <c r="O64" s="1538"/>
      <c r="P64" s="1538"/>
      <c r="Q64" s="1538"/>
      <c r="R64" s="1538"/>
      <c r="S64" s="1538"/>
    </row>
    <row r="65" spans="1:19" ht="15.75" thickBot="1">
      <c r="A65" s="1535"/>
      <c r="B65" s="862"/>
      <c r="C65" s="1536"/>
      <c r="D65" s="1536"/>
      <c r="E65" s="1536"/>
      <c r="F65" s="1536"/>
      <c r="G65" s="1537"/>
      <c r="H65" s="1538"/>
      <c r="I65" s="1538"/>
      <c r="J65" s="1538"/>
      <c r="K65" s="1538"/>
      <c r="L65" s="1538"/>
      <c r="M65" s="1538"/>
      <c r="N65" s="1538"/>
      <c r="O65" s="1538"/>
      <c r="P65" s="1538"/>
      <c r="Q65" s="1538"/>
      <c r="R65" s="1538"/>
      <c r="S65" s="1538"/>
    </row>
    <row r="66" spans="1:19" s="2" customFormat="1" ht="16.5" thickTop="1" thickBot="1">
      <c r="A66" s="726" t="s">
        <v>574</v>
      </c>
      <c r="B66" s="727"/>
      <c r="C66" s="12"/>
      <c r="D66" s="12"/>
      <c r="E66" s="12"/>
      <c r="F66" s="12"/>
      <c r="G66" s="13"/>
      <c r="H66" s="21"/>
      <c r="I66" s="21"/>
      <c r="J66" s="21"/>
      <c r="K66" s="21"/>
      <c r="L66" s="21"/>
      <c r="M66" s="21"/>
      <c r="N66" s="21"/>
      <c r="O66" s="21"/>
      <c r="P66" s="21"/>
      <c r="Q66" s="21"/>
      <c r="R66" s="21"/>
      <c r="S66" s="21"/>
    </row>
    <row r="67" spans="1:19" s="2" customFormat="1" ht="15.75" thickTop="1">
      <c r="A67" s="1535"/>
      <c r="B67" s="862"/>
      <c r="C67" s="1536"/>
      <c r="D67" s="1536"/>
      <c r="E67" s="1536"/>
      <c r="F67" s="1536"/>
      <c r="G67" s="1537"/>
      <c r="H67" s="1538"/>
      <c r="I67" s="1538"/>
      <c r="J67" s="1538"/>
      <c r="K67" s="1538"/>
      <c r="L67" s="1538"/>
      <c r="M67" s="1538"/>
      <c r="N67" s="1538"/>
      <c r="O67" s="1538"/>
      <c r="P67" s="1538"/>
      <c r="Q67" s="1538"/>
      <c r="R67" s="1538"/>
      <c r="S67" s="1538"/>
    </row>
    <row r="68" spans="1:19" s="2" customFormat="1">
      <c r="A68" s="1535"/>
      <c r="B68" s="862"/>
      <c r="C68" s="1536"/>
      <c r="D68" s="1536"/>
      <c r="E68" s="1536"/>
      <c r="F68" s="1536"/>
      <c r="G68" s="1537"/>
      <c r="H68" s="1538"/>
      <c r="I68" s="1538"/>
      <c r="J68" s="1538"/>
      <c r="K68" s="1538"/>
      <c r="L68" s="1538"/>
      <c r="M68" s="1538"/>
      <c r="N68" s="1538"/>
      <c r="O68" s="1538"/>
      <c r="P68" s="1538"/>
      <c r="Q68" s="1538"/>
      <c r="R68" s="1538"/>
      <c r="S68" s="1538"/>
    </row>
    <row r="69" spans="1:19" ht="15.75" thickBot="1">
      <c r="A69" s="1535"/>
      <c r="B69" s="862"/>
      <c r="C69" s="1536"/>
      <c r="D69" s="1536"/>
      <c r="E69" s="1536"/>
      <c r="F69" s="1536"/>
      <c r="G69" s="1537"/>
      <c r="H69" s="1538"/>
      <c r="I69" s="1538"/>
      <c r="J69" s="1538"/>
      <c r="K69" s="1538"/>
      <c r="L69" s="1538"/>
      <c r="M69" s="1538"/>
      <c r="N69" s="1538"/>
      <c r="O69" s="1538"/>
      <c r="P69" s="1538"/>
      <c r="Q69" s="1538"/>
      <c r="R69" s="1538"/>
      <c r="S69" s="1538"/>
    </row>
    <row r="70" spans="1:19" s="2" customFormat="1" ht="16.5" thickTop="1" thickBot="1">
      <c r="A70" s="726" t="s">
        <v>575</v>
      </c>
      <c r="B70" s="727"/>
      <c r="C70" s="12"/>
      <c r="D70" s="12"/>
      <c r="E70" s="12"/>
      <c r="F70" s="12"/>
      <c r="G70" s="13"/>
      <c r="H70" s="21"/>
      <c r="I70" s="21"/>
      <c r="J70" s="21"/>
      <c r="K70" s="21"/>
      <c r="L70" s="21"/>
      <c r="M70" s="21"/>
      <c r="N70" s="21"/>
      <c r="O70" s="21"/>
      <c r="P70" s="21"/>
      <c r="Q70" s="21"/>
      <c r="R70" s="21"/>
      <c r="S70" s="21"/>
    </row>
    <row r="71" spans="1:19" s="2" customFormat="1" ht="15.75" thickTop="1">
      <c r="A71" s="1535"/>
      <c r="B71" s="862"/>
      <c r="C71" s="1536"/>
      <c r="D71" s="1536"/>
      <c r="E71" s="1536"/>
      <c r="F71" s="1536"/>
      <c r="G71" s="1537"/>
      <c r="H71" s="1538"/>
      <c r="I71" s="1538"/>
      <c r="J71" s="1538"/>
      <c r="K71" s="1538"/>
      <c r="L71" s="1538"/>
      <c r="M71" s="1538"/>
      <c r="N71" s="1538"/>
      <c r="O71" s="1538"/>
      <c r="P71" s="1538"/>
      <c r="Q71" s="1538"/>
      <c r="R71" s="1538"/>
      <c r="S71" s="1538"/>
    </row>
    <row r="72" spans="1:19" s="2" customFormat="1">
      <c r="A72" s="1768"/>
      <c r="B72" s="862"/>
      <c r="C72" s="1124"/>
      <c r="D72" s="1124"/>
      <c r="E72" s="1124"/>
      <c r="F72" s="1124"/>
      <c r="G72" s="1133"/>
      <c r="H72" s="1745"/>
      <c r="I72" s="1745"/>
      <c r="J72" s="1745"/>
      <c r="K72" s="1745"/>
      <c r="L72" s="1745"/>
      <c r="M72" s="1745"/>
      <c r="N72" s="1745"/>
      <c r="O72" s="1745"/>
      <c r="P72" s="1745"/>
      <c r="Q72" s="1745"/>
      <c r="R72" s="1745"/>
      <c r="S72" s="1745"/>
    </row>
    <row r="73" spans="1:19" s="2" customFormat="1" ht="15.75" thickBot="1">
      <c r="A73" s="1746"/>
      <c r="B73" s="1171"/>
      <c r="C73" s="1124"/>
      <c r="D73" s="1124"/>
      <c r="E73" s="1124"/>
      <c r="F73" s="1124"/>
      <c r="G73" s="1133"/>
      <c r="H73" s="1747"/>
      <c r="I73" s="1747"/>
      <c r="J73" s="1747"/>
      <c r="K73" s="1747"/>
      <c r="L73" s="1747"/>
      <c r="M73" s="1747"/>
      <c r="N73" s="1747"/>
      <c r="O73" s="1747"/>
      <c r="P73" s="1747"/>
      <c r="Q73" s="1747"/>
      <c r="R73" s="1747"/>
      <c r="S73" s="1747"/>
    </row>
    <row r="74" spans="1:19" s="2" customFormat="1" ht="16.5" thickTop="1" thickBot="1">
      <c r="A74" s="726" t="s">
        <v>576</v>
      </c>
      <c r="B74" s="727"/>
      <c r="C74" s="12"/>
      <c r="D74" s="12"/>
      <c r="E74" s="12"/>
      <c r="F74" s="12"/>
      <c r="G74" s="13"/>
      <c r="H74" s="21"/>
      <c r="I74" s="21"/>
      <c r="J74" s="21"/>
      <c r="K74" s="21"/>
      <c r="L74" s="21"/>
      <c r="M74" s="21"/>
      <c r="N74" s="21"/>
      <c r="O74" s="21"/>
      <c r="P74" s="21"/>
      <c r="Q74" s="21"/>
      <c r="R74" s="21"/>
      <c r="S74" s="21"/>
    </row>
    <row r="75" spans="1:19" ht="15.75" thickTop="1">
      <c r="A75" s="1539"/>
      <c r="B75" s="1540"/>
      <c r="C75" s="1536"/>
      <c r="D75" s="1536"/>
      <c r="E75" s="1536"/>
      <c r="F75" s="1536"/>
      <c r="G75" s="1537"/>
      <c r="H75" s="1538"/>
      <c r="I75" s="1538"/>
      <c r="J75" s="1538"/>
      <c r="K75" s="1538"/>
      <c r="L75" s="1538"/>
      <c r="M75" s="1538"/>
      <c r="N75" s="1538"/>
      <c r="O75" s="1538"/>
      <c r="P75" s="1538"/>
      <c r="Q75" s="1538"/>
      <c r="R75" s="1538"/>
      <c r="S75" s="1538"/>
    </row>
    <row r="76" spans="1:19">
      <c r="A76" s="1746"/>
      <c r="B76" s="1171"/>
      <c r="C76" s="1124"/>
      <c r="D76" s="1124"/>
      <c r="E76" s="1124"/>
      <c r="F76" s="1124"/>
      <c r="G76" s="1133"/>
      <c r="H76" s="1748"/>
      <c r="I76" s="1748"/>
      <c r="J76" s="1748"/>
      <c r="K76" s="1748"/>
      <c r="L76" s="1748"/>
      <c r="M76" s="1748"/>
      <c r="N76" s="1748"/>
      <c r="O76" s="1748"/>
      <c r="P76" s="1748"/>
      <c r="Q76" s="1748"/>
      <c r="R76" s="1748"/>
      <c r="S76" s="1748"/>
    </row>
    <row r="77" spans="1:19" ht="15.75" thickBot="1">
      <c r="A77" s="1746"/>
      <c r="B77" s="1171"/>
      <c r="C77" s="1124"/>
      <c r="D77" s="1124"/>
      <c r="E77" s="1124"/>
      <c r="F77" s="1124"/>
      <c r="G77" s="1133"/>
      <c r="H77" s="1748"/>
      <c r="I77" s="1748"/>
      <c r="J77" s="1748"/>
      <c r="K77" s="1748"/>
      <c r="L77" s="1748"/>
      <c r="M77" s="1748"/>
      <c r="N77" s="1748"/>
      <c r="O77" s="1748"/>
      <c r="P77" s="1748"/>
      <c r="Q77" s="1748"/>
      <c r="R77" s="1748"/>
      <c r="S77" s="1748"/>
    </row>
    <row r="78" spans="1:19" ht="16.5" thickTop="1" thickBot="1">
      <c r="A78" s="726" t="s">
        <v>577</v>
      </c>
      <c r="B78" s="727"/>
      <c r="C78" s="12"/>
      <c r="D78" s="12"/>
      <c r="E78" s="12"/>
      <c r="F78" s="12"/>
      <c r="G78" s="13"/>
      <c r="H78" s="21"/>
      <c r="I78" s="21"/>
      <c r="J78" s="21"/>
      <c r="K78" s="21"/>
      <c r="L78" s="21"/>
      <c r="M78" s="21"/>
      <c r="N78" s="21"/>
      <c r="O78" s="21"/>
      <c r="P78" s="21"/>
      <c r="Q78" s="21"/>
      <c r="R78" s="21"/>
      <c r="S78" s="21"/>
    </row>
    <row r="79" spans="1:19" ht="15.75" thickTop="1">
      <c r="A79" s="1768"/>
      <c r="B79" s="862" t="s">
        <v>578</v>
      </c>
      <c r="C79" s="1124"/>
      <c r="D79" s="1124"/>
      <c r="E79" s="1124"/>
      <c r="F79" s="1124"/>
      <c r="G79" s="1133"/>
      <c r="H79" s="1748"/>
      <c r="I79" s="1748"/>
      <c r="J79" s="1748"/>
      <c r="K79" s="1748"/>
      <c r="L79" s="1748"/>
      <c r="M79" s="1748"/>
      <c r="N79" s="1748"/>
      <c r="O79" s="1748"/>
      <c r="P79" s="1748"/>
      <c r="Q79" s="1748"/>
      <c r="R79" s="1748"/>
      <c r="S79" s="1748"/>
    </row>
    <row r="80" spans="1:19">
      <c r="A80" s="1768"/>
      <c r="B80" s="862" t="s">
        <v>579</v>
      </c>
      <c r="C80" s="1124"/>
      <c r="D80" s="1124"/>
      <c r="E80" s="1124"/>
      <c r="F80" s="1124"/>
      <c r="G80" s="1133"/>
      <c r="H80" s="1748"/>
      <c r="I80" s="1748"/>
      <c r="J80" s="1748"/>
      <c r="K80" s="1748"/>
      <c r="L80" s="1748"/>
      <c r="M80" s="1748"/>
      <c r="N80" s="1748"/>
      <c r="O80" s="1748"/>
      <c r="P80" s="1748"/>
      <c r="Q80" s="1748"/>
      <c r="R80" s="1748"/>
      <c r="S80" s="1748"/>
    </row>
    <row r="81" spans="1:19">
      <c r="A81" s="1768"/>
      <c r="B81" s="862" t="s">
        <v>580</v>
      </c>
      <c r="C81" s="1124"/>
      <c r="D81" s="1124"/>
      <c r="E81" s="1124"/>
      <c r="F81" s="1124"/>
      <c r="G81" s="1133"/>
      <c r="H81" s="1748"/>
      <c r="I81" s="1748"/>
      <c r="J81" s="1748"/>
      <c r="K81" s="1748"/>
      <c r="L81" s="1748"/>
      <c r="M81" s="1748"/>
      <c r="N81" s="1748"/>
      <c r="O81" s="1748"/>
      <c r="P81" s="1748"/>
      <c r="Q81" s="1748"/>
      <c r="R81" s="1748"/>
      <c r="S81" s="1748"/>
    </row>
    <row r="82" spans="1:19">
      <c r="A82" s="1768"/>
      <c r="B82" s="862" t="s">
        <v>581</v>
      </c>
      <c r="C82" s="1124"/>
      <c r="D82" s="1124"/>
      <c r="E82" s="1124"/>
      <c r="F82" s="1124"/>
      <c r="G82" s="1133"/>
      <c r="H82" s="1748"/>
      <c r="I82" s="1748"/>
      <c r="J82" s="1748"/>
      <c r="K82" s="1748"/>
      <c r="L82" s="1748"/>
      <c r="M82" s="1748"/>
      <c r="N82" s="1748"/>
      <c r="O82" s="1748"/>
      <c r="P82" s="1748"/>
      <c r="Q82" s="1748"/>
      <c r="R82" s="1748"/>
      <c r="S82" s="1748"/>
    </row>
    <row r="83" spans="1:19" ht="15.75" thickBot="1">
      <c r="A83" s="416"/>
      <c r="B83" s="295"/>
      <c r="C83" s="184"/>
      <c r="D83" s="184"/>
      <c r="E83" s="184"/>
      <c r="F83" s="184"/>
      <c r="G83" s="296"/>
      <c r="H83" s="418"/>
      <c r="I83" s="418"/>
      <c r="J83" s="418"/>
      <c r="K83" s="418"/>
      <c r="L83" s="418"/>
      <c r="M83" s="418"/>
      <c r="N83" s="418"/>
      <c r="O83" s="418"/>
      <c r="P83" s="418"/>
      <c r="Q83" s="418"/>
      <c r="R83" s="418"/>
      <c r="S83" s="418"/>
    </row>
    <row r="84" spans="1:19" ht="16.5" thickTop="1" thickBot="1">
      <c r="A84" s="7" t="s">
        <v>582</v>
      </c>
      <c r="B84" s="8"/>
      <c r="C84" s="12"/>
      <c r="D84" s="12"/>
      <c r="E84" s="12"/>
      <c r="F84" s="12"/>
      <c r="G84" s="13"/>
      <c r="H84" s="21"/>
      <c r="I84" s="21"/>
      <c r="J84" s="21"/>
      <c r="K84" s="21"/>
      <c r="L84" s="21"/>
      <c r="M84" s="21"/>
      <c r="N84" s="21"/>
      <c r="O84" s="21"/>
      <c r="P84" s="21"/>
      <c r="Q84" s="21"/>
      <c r="R84" s="21"/>
      <c r="S84" s="21"/>
    </row>
    <row r="85" spans="1:19" ht="15.75" thickTop="1">
      <c r="A85" s="1535"/>
      <c r="B85" s="1541" t="s">
        <v>583</v>
      </c>
      <c r="C85" s="1536"/>
      <c r="D85" s="1536"/>
      <c r="E85" s="1536"/>
      <c r="F85" s="1536"/>
      <c r="G85" s="1537"/>
      <c r="H85" s="1542"/>
      <c r="I85" s="1542"/>
      <c r="J85" s="1542"/>
      <c r="K85" s="1542"/>
      <c r="L85" s="1542"/>
      <c r="M85" s="1542"/>
      <c r="N85" s="1542"/>
      <c r="O85" s="1542"/>
      <c r="P85" s="1542"/>
      <c r="Q85" s="1542"/>
      <c r="R85" s="1542"/>
      <c r="S85" s="1542"/>
    </row>
    <row r="86" spans="1:19">
      <c r="A86" s="1768"/>
      <c r="B86" s="862" t="s">
        <v>584</v>
      </c>
      <c r="C86" s="1124"/>
      <c r="D86" s="1124"/>
      <c r="E86" s="1124"/>
      <c r="F86" s="1124"/>
      <c r="G86" s="1133"/>
      <c r="H86" s="1749"/>
      <c r="I86" s="1749"/>
      <c r="J86" s="1749"/>
      <c r="K86" s="1749"/>
      <c r="L86" s="1749"/>
      <c r="M86" s="1749"/>
      <c r="N86" s="1749"/>
      <c r="O86" s="1749"/>
      <c r="P86" s="1749"/>
      <c r="Q86" s="1749"/>
      <c r="R86" s="1749"/>
      <c r="S86" s="1749"/>
    </row>
    <row r="87" spans="1:19" ht="15.75" thickBot="1">
      <c r="A87" s="1750"/>
      <c r="B87" s="1751" t="s">
        <v>585</v>
      </c>
      <c r="C87" s="1752"/>
      <c r="D87" s="1752"/>
      <c r="E87" s="1752"/>
      <c r="F87" s="1752"/>
      <c r="G87" s="1753"/>
      <c r="H87" s="1754"/>
      <c r="I87" s="1754"/>
      <c r="J87" s="1754"/>
      <c r="K87" s="1754"/>
      <c r="L87" s="1754"/>
      <c r="M87" s="1754"/>
      <c r="N87" s="1754"/>
      <c r="O87" s="1754"/>
      <c r="P87" s="1754"/>
      <c r="Q87" s="1754"/>
      <c r="R87" s="1754"/>
      <c r="S87" s="1754"/>
    </row>
    <row r="88" spans="1:19" ht="16.5" thickTop="1" thickBot="1"/>
    <row r="89" spans="1:19" ht="16.5" thickTop="1" thickBot="1">
      <c r="A89" s="92" t="s">
        <v>586</v>
      </c>
      <c r="B89" s="94"/>
    </row>
    <row r="90" spans="1:19" ht="15.75" thickTop="1">
      <c r="A90" s="93" t="s">
        <v>487</v>
      </c>
      <c r="B90" s="1755"/>
    </row>
    <row r="91" spans="1:19">
      <c r="A91" s="1756" t="s">
        <v>491</v>
      </c>
      <c r="B91" s="1755"/>
    </row>
    <row r="92" spans="1:19">
      <c r="A92" s="1757" t="s">
        <v>494</v>
      </c>
      <c r="B92" s="1758"/>
    </row>
    <row r="93" spans="1:19">
      <c r="A93" s="1757" t="s">
        <v>497</v>
      </c>
      <c r="B93" s="1759"/>
    </row>
    <row r="94" spans="1:19" ht="15.75" thickBot="1">
      <c r="A94" s="1760" t="s">
        <v>587</v>
      </c>
      <c r="B94" s="1761"/>
    </row>
    <row r="95" spans="1:19" ht="15.75" thickTop="1"/>
    <row r="96" spans="1:19">
      <c r="A96" s="95"/>
      <c r="B96" s="1" t="s">
        <v>588</v>
      </c>
    </row>
    <row r="97" spans="1:2">
      <c r="A97" s="96"/>
      <c r="B97"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2:B62"/>
    <mergeCell ref="A66:B66"/>
    <mergeCell ref="A70:B70"/>
    <mergeCell ref="A74:B74"/>
    <mergeCell ref="A78:B78"/>
  </mergeCells>
  <conditionalFormatting sqref="H24:H33">
    <cfRule type="cellIs" dxfId="1309" priority="3" operator="equal">
      <formula>"X"</formula>
    </cfRule>
    <cfRule type="cellIs" dxfId="1308" priority="4" operator="equal">
      <formula>"I"</formula>
    </cfRule>
  </conditionalFormatting>
  <conditionalFormatting sqref="H35:H53">
    <cfRule type="cellIs" dxfId="1307" priority="1" operator="equal">
      <formula>"X"</formula>
    </cfRule>
    <cfRule type="cellIs" dxfId="1306" priority="2" operator="equal">
      <formula>"I"</formula>
    </cfRule>
  </conditionalFormatting>
  <conditionalFormatting sqref="J24:J33">
    <cfRule type="cellIs" dxfId="1305" priority="7" operator="equal">
      <formula>"X"</formula>
    </cfRule>
    <cfRule type="cellIs" dxfId="1304" priority="8" operator="equal">
      <formula>"I"</formula>
    </cfRule>
  </conditionalFormatting>
  <conditionalFormatting sqref="J35:J53">
    <cfRule type="cellIs" dxfId="1303" priority="5" operator="equal">
      <formula>"X"</formula>
    </cfRule>
    <cfRule type="cellIs" dxfId="1302" priority="6" operator="equal">
      <formula>"I"</formula>
    </cfRule>
  </conditionalFormatting>
  <conditionalFormatting sqref="L24:L33">
    <cfRule type="cellIs" dxfId="1301" priority="11" operator="equal">
      <formula>"X"</formula>
    </cfRule>
    <cfRule type="cellIs" dxfId="1300" priority="12" operator="equal">
      <formula>"I"</formula>
    </cfRule>
  </conditionalFormatting>
  <conditionalFormatting sqref="L35:L53">
    <cfRule type="cellIs" dxfId="1299" priority="9" operator="equal">
      <formula>"X"</formula>
    </cfRule>
    <cfRule type="cellIs" dxfId="1298" priority="10" operator="equal">
      <formula>"I"</formula>
    </cfRule>
  </conditionalFormatting>
  <conditionalFormatting sqref="N24:N33">
    <cfRule type="cellIs" dxfId="1297" priority="15" operator="equal">
      <formula>"X"</formula>
    </cfRule>
    <cfRule type="cellIs" dxfId="1296" priority="16" operator="equal">
      <formula>"I"</formula>
    </cfRule>
  </conditionalFormatting>
  <conditionalFormatting sqref="N35:N53">
    <cfRule type="cellIs" dxfId="1295" priority="13" operator="equal">
      <formula>"X"</formula>
    </cfRule>
    <cfRule type="cellIs" dxfId="1294" priority="14" operator="equal">
      <formula>"I"</formula>
    </cfRule>
  </conditionalFormatting>
  <conditionalFormatting sqref="P24:P33">
    <cfRule type="cellIs" dxfId="1293" priority="19" operator="equal">
      <formula>"X"</formula>
    </cfRule>
    <cfRule type="cellIs" dxfId="1292" priority="20" operator="equal">
      <formula>"I"</formula>
    </cfRule>
  </conditionalFormatting>
  <conditionalFormatting sqref="P35:P53">
    <cfRule type="cellIs" dxfId="1291" priority="17" operator="equal">
      <formula>"X"</formula>
    </cfRule>
    <cfRule type="cellIs" dxfId="1290" priority="18" operator="equal">
      <formula>"I"</formula>
    </cfRule>
  </conditionalFormatting>
  <conditionalFormatting sqref="R24:R33">
    <cfRule type="cellIs" dxfId="1289" priority="23" operator="equal">
      <formula>"X"</formula>
    </cfRule>
    <cfRule type="cellIs" dxfId="1288" priority="24" operator="equal">
      <formula>"I"</formula>
    </cfRule>
  </conditionalFormatting>
  <conditionalFormatting sqref="R35:R53">
    <cfRule type="cellIs" dxfId="1287" priority="21" operator="equal">
      <formula>"X"</formula>
    </cfRule>
    <cfRule type="cellIs" dxfId="1286" priority="22" operator="equal">
      <formula>"I"</formula>
    </cfRule>
  </conditionalFormatting>
  <hyperlinks>
    <hyperlink ref="B3" location="'Cost Summary'!A1" display="BACK TO SUMMARY SHEET" xr:uid="{A2C60B1A-E3BD-423E-9D74-DF3A959D6861}"/>
  </hyperlink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AFB4-5E1C-4A92-AF09-AB93C3307F9D}">
  <sheetPr>
    <tabColor rgb="FF92D050"/>
  </sheetPr>
  <dimension ref="A1:S88"/>
  <sheetViews>
    <sheetView zoomScale="78" zoomScaleNormal="78" workbookViewId="0">
      <pane xSplit="2" ySplit="9" topLeftCell="H19" activePane="bottomRight" state="frozen"/>
      <selection pane="bottomRight" activeCell="B33" sqref="B33"/>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9.7109375" style="2" customWidth="1"/>
    <col min="7" max="7" width="13.140625" style="2" bestFit="1"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customHeight="1"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1762" t="s">
        <v>489</v>
      </c>
      <c r="B5" s="862" t="s">
        <v>876</v>
      </c>
      <c r="C5" s="1124"/>
      <c r="D5" s="1124"/>
      <c r="E5" s="1124"/>
      <c r="F5" s="1124"/>
      <c r="G5" s="1125" t="s">
        <v>491</v>
      </c>
      <c r="H5" s="1763"/>
      <c r="I5" s="1126"/>
      <c r="J5" s="1763"/>
      <c r="K5" s="1126"/>
      <c r="L5" s="1763"/>
      <c r="M5" s="1126"/>
      <c r="N5" s="1763"/>
      <c r="O5" s="1126"/>
      <c r="P5" s="1763"/>
      <c r="Q5" s="1126"/>
      <c r="R5" s="1763"/>
      <c r="S5" s="1126"/>
    </row>
    <row r="6" spans="1:19">
      <c r="A6" s="1762" t="s">
        <v>493</v>
      </c>
      <c r="B6" s="1127" t="s">
        <v>877</v>
      </c>
      <c r="C6" s="1124"/>
      <c r="D6" s="1124"/>
      <c r="E6" s="1124"/>
      <c r="F6" s="1124"/>
      <c r="G6" s="1125" t="s">
        <v>494</v>
      </c>
      <c r="H6" s="1764"/>
      <c r="I6" s="1129"/>
      <c r="J6" s="1764"/>
      <c r="K6" s="1129"/>
      <c r="L6" s="1764"/>
      <c r="M6" s="1129"/>
      <c r="N6" s="1764"/>
      <c r="O6" s="1129"/>
      <c r="P6" s="1764"/>
      <c r="Q6" s="1129"/>
      <c r="R6" s="1764"/>
      <c r="S6" s="1129"/>
    </row>
    <row r="7" spans="1:19">
      <c r="A7" s="1762" t="s">
        <v>496</v>
      </c>
      <c r="B7" s="1130"/>
      <c r="C7" s="1124"/>
      <c r="D7" s="1124"/>
      <c r="E7" s="1124"/>
      <c r="F7" s="1124"/>
      <c r="G7" s="1125" t="s">
        <v>497</v>
      </c>
      <c r="H7" s="764"/>
      <c r="I7" s="765"/>
      <c r="J7" s="1765"/>
      <c r="K7" s="1776"/>
      <c r="L7" s="764"/>
      <c r="M7" s="765"/>
      <c r="N7" s="1765"/>
      <c r="O7" s="1126"/>
      <c r="P7" s="1765"/>
      <c r="Q7" s="1126"/>
      <c r="R7" s="1765"/>
      <c r="S7" s="1126"/>
    </row>
    <row r="8" spans="1:19" ht="15.75" thickBot="1">
      <c r="A8" s="414" t="s">
        <v>499</v>
      </c>
      <c r="B8" s="295"/>
      <c r="C8" s="184"/>
      <c r="D8" s="184"/>
      <c r="E8" s="184"/>
      <c r="F8" s="184"/>
      <c r="G8" s="419" t="s">
        <v>499</v>
      </c>
      <c r="H8" s="1766">
        <f>I49</f>
        <v>0</v>
      </c>
      <c r="I8" s="1767"/>
      <c r="J8" s="1766">
        <f>K49</f>
        <v>0</v>
      </c>
      <c r="K8" s="1767"/>
      <c r="L8" s="1766">
        <f>M49</f>
        <v>0</v>
      </c>
      <c r="M8" s="1767"/>
      <c r="N8" s="1766">
        <f>O49</f>
        <v>0</v>
      </c>
      <c r="O8" s="1767"/>
      <c r="P8" s="1766">
        <f>Q49</f>
        <v>0</v>
      </c>
      <c r="Q8" s="1767"/>
      <c r="R8" s="1766">
        <f>S49</f>
        <v>0</v>
      </c>
      <c r="S8" s="176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1768"/>
      <c r="B10" s="1543" t="s">
        <v>508</v>
      </c>
      <c r="C10" s="1124"/>
      <c r="D10" s="1124"/>
      <c r="E10" s="1124"/>
      <c r="F10" s="1124"/>
      <c r="G10" s="1133"/>
      <c r="H10" s="1769"/>
      <c r="I10" s="1769"/>
      <c r="J10" s="1769"/>
      <c r="K10" s="1769"/>
      <c r="L10" s="1769"/>
      <c r="M10" s="1769"/>
      <c r="N10" s="1769"/>
      <c r="O10" s="1769"/>
      <c r="P10" s="1769"/>
      <c r="Q10" s="1769"/>
      <c r="R10" s="1769"/>
      <c r="S10" s="1769"/>
    </row>
    <row r="11" spans="1:19" hidden="1">
      <c r="A11" s="1768"/>
      <c r="B11" s="862" t="str">
        <f>'Area Calculations'!M62</f>
        <v>Architectural Drawings  by</v>
      </c>
      <c r="C11" s="1134" t="s">
        <v>509</v>
      </c>
      <c r="D11" s="1124"/>
      <c r="E11" s="1124"/>
      <c r="F11" s="1124"/>
      <c r="G11" s="1133"/>
      <c r="H11" s="1769"/>
      <c r="I11" s="1769"/>
      <c r="J11" s="1769"/>
      <c r="K11" s="1769"/>
      <c r="L11" s="1769"/>
      <c r="M11" s="1769"/>
      <c r="N11" s="1769"/>
      <c r="O11" s="1769"/>
      <c r="P11" s="1769"/>
      <c r="Q11" s="1769"/>
      <c r="R11" s="1769"/>
      <c r="S11" s="1769"/>
    </row>
    <row r="12" spans="1:19" hidden="1">
      <c r="A12" s="1768"/>
      <c r="B12" s="862" t="str">
        <f>'Area Calculations'!M63</f>
        <v>Structural Drawings by</v>
      </c>
      <c r="C12" s="1134" t="s">
        <v>509</v>
      </c>
      <c r="D12" s="1124"/>
      <c r="E12" s="1124"/>
      <c r="F12" s="1124"/>
      <c r="G12" s="1133"/>
      <c r="H12" s="1769"/>
      <c r="I12" s="1769"/>
      <c r="J12" s="1769"/>
      <c r="K12" s="1769"/>
      <c r="L12" s="1769"/>
      <c r="M12" s="1769"/>
      <c r="N12" s="1769"/>
      <c r="O12" s="1769"/>
      <c r="P12" s="1769"/>
      <c r="Q12" s="1769"/>
      <c r="R12" s="1769"/>
      <c r="S12" s="1769"/>
    </row>
    <row r="13" spans="1:19" hidden="1">
      <c r="A13" s="1768"/>
      <c r="B13" s="862" t="str">
        <f>'Area Calculations'!M64</f>
        <v>MEP FA FP Drawings by</v>
      </c>
      <c r="C13" s="1134" t="s">
        <v>509</v>
      </c>
      <c r="D13" s="1124"/>
      <c r="E13" s="1124"/>
      <c r="F13" s="1124"/>
      <c r="G13" s="1133"/>
      <c r="H13" s="1769"/>
      <c r="I13" s="1769"/>
      <c r="J13" s="1769"/>
      <c r="K13" s="1769"/>
      <c r="L13" s="1769"/>
      <c r="M13" s="1769"/>
      <c r="N13" s="1769"/>
      <c r="O13" s="1769"/>
      <c r="P13" s="1769"/>
      <c r="Q13" s="1769"/>
      <c r="R13" s="1769"/>
      <c r="S13" s="1769"/>
    </row>
    <row r="14" spans="1:19" hidden="1">
      <c r="A14" s="1768"/>
      <c r="B14" s="862" t="str">
        <f>'Area Calculations'!M65</f>
        <v xml:space="preserve">Civil Drawings by </v>
      </c>
      <c r="C14" s="1134" t="s">
        <v>509</v>
      </c>
      <c r="D14" s="1124"/>
      <c r="E14" s="1124"/>
      <c r="F14" s="1124"/>
      <c r="G14" s="1133"/>
      <c r="H14" s="1769"/>
      <c r="I14" s="1769"/>
      <c r="J14" s="1769"/>
      <c r="K14" s="1769"/>
      <c r="L14" s="1769"/>
      <c r="M14" s="1769"/>
      <c r="N14" s="1769"/>
      <c r="O14" s="1769"/>
      <c r="P14" s="1769"/>
      <c r="Q14" s="1769"/>
      <c r="R14" s="1769"/>
      <c r="S14" s="1769"/>
    </row>
    <row r="15" spans="1:19" hidden="1">
      <c r="A15" s="1768"/>
      <c r="B15" s="862" t="str">
        <f>'Area Calculations'!M66</f>
        <v>Land scape Drawings by</v>
      </c>
      <c r="C15" s="1134" t="s">
        <v>509</v>
      </c>
      <c r="D15" s="1124"/>
      <c r="E15" s="1124"/>
      <c r="F15" s="1124"/>
      <c r="G15" s="1133"/>
      <c r="H15" s="1769"/>
      <c r="I15" s="1769"/>
      <c r="J15" s="1769"/>
      <c r="K15" s="1769"/>
      <c r="L15" s="1769"/>
      <c r="M15" s="1769"/>
      <c r="N15" s="1769"/>
      <c r="O15" s="1769"/>
      <c r="P15" s="1769"/>
      <c r="Q15" s="1769"/>
      <c r="R15" s="1769"/>
      <c r="S15" s="1769"/>
    </row>
    <row r="16" spans="1:19" hidden="1">
      <c r="A16" s="1768"/>
      <c r="B16" s="862" t="str">
        <f>'Area Calculations'!M67</f>
        <v>Kitchen Drawings by</v>
      </c>
      <c r="C16" s="1134" t="s">
        <v>509</v>
      </c>
      <c r="D16" s="1124"/>
      <c r="E16" s="1124"/>
      <c r="F16" s="1124"/>
      <c r="G16" s="1133"/>
      <c r="H16" s="1769"/>
      <c r="I16" s="1769"/>
      <c r="J16" s="1769"/>
      <c r="K16" s="1769"/>
      <c r="L16" s="1769"/>
      <c r="M16" s="1769"/>
      <c r="N16" s="1769"/>
      <c r="O16" s="1769"/>
      <c r="P16" s="1769"/>
      <c r="Q16" s="1769"/>
      <c r="R16" s="1769"/>
      <c r="S16" s="1769"/>
    </row>
    <row r="17" spans="1:19" hidden="1">
      <c r="A17" s="1768"/>
      <c r="B17" s="862" t="str">
        <f>'Area Calculations'!M68</f>
        <v>Storefront Designer by</v>
      </c>
      <c r="C17" s="1134" t="s">
        <v>509</v>
      </c>
      <c r="D17" s="1124"/>
      <c r="E17" s="1124"/>
      <c r="F17" s="1124"/>
      <c r="G17" s="1133"/>
      <c r="H17" s="1769"/>
      <c r="I17" s="1769"/>
      <c r="J17" s="1769"/>
      <c r="K17" s="1769"/>
      <c r="L17" s="1769"/>
      <c r="M17" s="1769"/>
      <c r="N17" s="1769"/>
      <c r="O17" s="1769"/>
      <c r="P17" s="1769"/>
      <c r="Q17" s="1769"/>
      <c r="R17" s="1769"/>
      <c r="S17" s="1769"/>
    </row>
    <row r="18" spans="1:19" hidden="1">
      <c r="A18" s="1768"/>
      <c r="B18" s="862" t="str">
        <f>'Area Calculations'!M69</f>
        <v>Geotech report by</v>
      </c>
      <c r="C18" s="1134" t="s">
        <v>509</v>
      </c>
      <c r="D18" s="1124"/>
      <c r="E18" s="1124"/>
      <c r="F18" s="1124"/>
      <c r="G18" s="1133"/>
      <c r="H18" s="1769"/>
      <c r="I18" s="1769"/>
      <c r="J18" s="1769"/>
      <c r="K18" s="1769"/>
      <c r="L18" s="1769"/>
      <c r="M18" s="1769"/>
      <c r="N18" s="1769"/>
      <c r="O18" s="1769"/>
      <c r="P18" s="1769"/>
      <c r="Q18" s="1769"/>
      <c r="R18" s="1769"/>
      <c r="S18" s="1769"/>
    </row>
    <row r="19" spans="1:19" ht="15.75" thickTop="1">
      <c r="A19" s="1768"/>
      <c r="B19" s="862"/>
      <c r="C19" s="1134"/>
      <c r="D19" s="1124"/>
      <c r="E19" s="1124"/>
      <c r="F19" s="1124"/>
      <c r="G19" s="1133"/>
      <c r="H19" s="1770"/>
      <c r="I19" s="1769"/>
      <c r="J19" s="1770"/>
      <c r="K19" s="1769"/>
      <c r="L19" s="1770"/>
      <c r="M19" s="1769"/>
      <c r="N19" s="1770"/>
      <c r="O19" s="1769"/>
      <c r="P19" s="1770"/>
      <c r="Q19" s="1769"/>
      <c r="R19" s="1770"/>
      <c r="S19" s="1769"/>
    </row>
    <row r="20" spans="1:19" ht="15.75" thickBot="1">
      <c r="A20" s="1768"/>
      <c r="B20" s="1136" t="s">
        <v>876</v>
      </c>
      <c r="C20" s="1134"/>
      <c r="D20" s="1124"/>
      <c r="E20" s="1124"/>
      <c r="F20" s="1124"/>
      <c r="G20" s="1133"/>
      <c r="H20" s="1770"/>
      <c r="I20" s="1769"/>
      <c r="J20" s="1770"/>
      <c r="K20" s="1769"/>
      <c r="L20" s="1770"/>
      <c r="M20" s="1769"/>
      <c r="N20" s="1770"/>
      <c r="O20" s="1769"/>
      <c r="P20" s="1770"/>
      <c r="Q20" s="1769"/>
      <c r="R20" s="1770"/>
      <c r="S20" s="1769"/>
    </row>
    <row r="21" spans="1:19" ht="15.75" thickBot="1">
      <c r="A21" s="1777"/>
      <c r="B21" s="374" t="s">
        <v>512</v>
      </c>
      <c r="C21" s="1566"/>
      <c r="D21" s="1778"/>
      <c r="E21" s="1778"/>
      <c r="F21" s="1778"/>
      <c r="G21" s="1779"/>
      <c r="H21" s="1770"/>
      <c r="I21" s="1546"/>
      <c r="J21" s="1770"/>
      <c r="K21" s="1546"/>
      <c r="L21" s="1770"/>
      <c r="M21" s="1546"/>
      <c r="N21" s="1770"/>
      <c r="O21" s="1546"/>
      <c r="P21" s="1770"/>
      <c r="Q21" s="1546"/>
      <c r="R21" s="1770"/>
      <c r="S21" s="1546"/>
    </row>
    <row r="22" spans="1:19">
      <c r="A22" s="1545"/>
      <c r="B22" s="647" t="s">
        <v>513</v>
      </c>
      <c r="C22" s="1134"/>
      <c r="D22" s="1124"/>
      <c r="E22" s="1124"/>
      <c r="F22" s="1124"/>
      <c r="G22" s="1133"/>
      <c r="H22" s="1770"/>
      <c r="I22" s="1424"/>
      <c r="J22" s="1770"/>
      <c r="K22" s="1424"/>
      <c r="L22" s="1770"/>
      <c r="M22" s="1546"/>
      <c r="N22" s="1770"/>
      <c r="O22" s="1546"/>
      <c r="P22" s="1770"/>
      <c r="Q22" s="1546"/>
      <c r="R22" s="1770"/>
      <c r="S22" s="1546"/>
    </row>
    <row r="23" spans="1:19">
      <c r="A23" s="1545"/>
      <c r="B23" s="1567" t="s">
        <v>514</v>
      </c>
      <c r="C23" s="1134"/>
      <c r="D23" s="1124"/>
      <c r="E23" s="1124"/>
      <c r="F23" s="1124"/>
      <c r="G23" s="1133"/>
      <c r="H23" s="1770"/>
      <c r="I23" s="1424"/>
      <c r="J23" s="1770"/>
      <c r="K23" s="1424"/>
      <c r="L23" s="1770"/>
      <c r="M23" s="1546"/>
      <c r="N23" s="1770"/>
      <c r="O23" s="1546"/>
      <c r="P23" s="1770"/>
      <c r="Q23" s="1546"/>
      <c r="R23" s="1770"/>
      <c r="S23" s="1546"/>
    </row>
    <row r="24" spans="1:19">
      <c r="A24" s="1545"/>
      <c r="B24" s="1568" t="s">
        <v>515</v>
      </c>
      <c r="C24" s="1134"/>
      <c r="D24" s="1124"/>
      <c r="E24" s="1124"/>
      <c r="F24" s="1124"/>
      <c r="G24" s="1133"/>
      <c r="H24" s="1770"/>
      <c r="I24" s="1548"/>
      <c r="J24" s="1770"/>
      <c r="K24" s="1424"/>
      <c r="L24" s="1770"/>
      <c r="M24" s="1546"/>
      <c r="N24" s="1770"/>
      <c r="O24" s="1546"/>
      <c r="P24" s="1770"/>
      <c r="Q24" s="1546"/>
      <c r="R24" s="1770"/>
      <c r="S24" s="1546"/>
    </row>
    <row r="25" spans="1:19">
      <c r="A25" s="1545"/>
      <c r="B25" s="1568" t="s">
        <v>516</v>
      </c>
      <c r="C25" s="1134"/>
      <c r="D25" s="1124"/>
      <c r="E25" s="1124"/>
      <c r="F25" s="1124"/>
      <c r="G25" s="1133"/>
      <c r="H25" s="1770"/>
      <c r="I25" s="1548"/>
      <c r="J25" s="1770"/>
      <c r="K25" s="1424"/>
      <c r="L25" s="1770"/>
      <c r="M25" s="1546"/>
      <c r="N25" s="1770"/>
      <c r="O25" s="1546"/>
      <c r="P25" s="1770"/>
      <c r="Q25" s="1546"/>
      <c r="R25" s="1770"/>
      <c r="S25" s="1546"/>
    </row>
    <row r="26" spans="1:19">
      <c r="A26" s="1545"/>
      <c r="B26" s="1568" t="s">
        <v>517</v>
      </c>
      <c r="C26" s="1134"/>
      <c r="D26" s="1124"/>
      <c r="E26" s="1124"/>
      <c r="F26" s="1124"/>
      <c r="G26" s="1133"/>
      <c r="H26" s="1770"/>
      <c r="I26" s="1548"/>
      <c r="J26" s="1770"/>
      <c r="K26" s="1424"/>
      <c r="L26" s="1770"/>
      <c r="M26" s="1546"/>
      <c r="N26" s="1770"/>
      <c r="O26" s="1546"/>
      <c r="P26" s="1770"/>
      <c r="Q26" s="1546"/>
      <c r="R26" s="1770"/>
      <c r="S26" s="1546"/>
    </row>
    <row r="27" spans="1:19">
      <c r="A27" s="1545"/>
      <c r="B27" s="1568" t="s">
        <v>518</v>
      </c>
      <c r="C27" s="1134"/>
      <c r="D27" s="1124"/>
      <c r="E27" s="1124"/>
      <c r="F27" s="1124"/>
      <c r="G27" s="1133"/>
      <c r="H27" s="1770"/>
      <c r="I27" s="1548"/>
      <c r="J27" s="1770"/>
      <c r="K27" s="1424"/>
      <c r="L27" s="1770"/>
      <c r="M27" s="1546"/>
      <c r="N27" s="1770"/>
      <c r="O27" s="1546"/>
      <c r="P27" s="1770"/>
      <c r="Q27" s="1546"/>
      <c r="R27" s="1770"/>
      <c r="S27" s="1546"/>
    </row>
    <row r="28" spans="1:19">
      <c r="A28" s="1545"/>
      <c r="B28" s="1568" t="s">
        <v>693</v>
      </c>
      <c r="C28" s="1134"/>
      <c r="D28" s="1124"/>
      <c r="E28" s="1124"/>
      <c r="F28" s="1124"/>
      <c r="G28" s="1133"/>
      <c r="H28" s="1770"/>
      <c r="I28" s="1548"/>
      <c r="J28" s="1770"/>
      <c r="K28" s="1424"/>
      <c r="L28" s="1770"/>
      <c r="M28" s="1546"/>
      <c r="N28" s="1770"/>
      <c r="O28" s="1546"/>
      <c r="P28" s="1770"/>
      <c r="Q28" s="1546"/>
      <c r="R28" s="1770"/>
      <c r="S28" s="1546"/>
    </row>
    <row r="29" spans="1:19">
      <c r="A29" s="1545"/>
      <c r="B29" s="1569" t="s">
        <v>519</v>
      </c>
      <c r="C29" s="1134"/>
      <c r="D29" s="1124"/>
      <c r="E29" s="1124"/>
      <c r="F29" s="1124"/>
      <c r="G29" s="1133"/>
      <c r="H29" s="1770"/>
      <c r="I29" s="1548"/>
      <c r="J29" s="1770"/>
      <c r="K29" s="1424"/>
      <c r="L29" s="1770"/>
      <c r="M29" s="1546"/>
      <c r="N29" s="1770"/>
      <c r="O29" s="1546"/>
      <c r="P29" s="1770"/>
      <c r="Q29" s="1546"/>
      <c r="R29" s="1770"/>
      <c r="S29" s="1546"/>
    </row>
    <row r="30" spans="1:19">
      <c r="A30" s="1545"/>
      <c r="B30" s="1570" t="s">
        <v>520</v>
      </c>
      <c r="C30" s="1144"/>
      <c r="D30" s="1145"/>
      <c r="E30" s="1145"/>
      <c r="F30" s="1145"/>
      <c r="G30" s="1147"/>
      <c r="H30" s="1771"/>
      <c r="I30" s="1772"/>
      <c r="J30" s="1771"/>
      <c r="K30" s="1476"/>
      <c r="L30" s="1771"/>
      <c r="M30" s="1477"/>
      <c r="N30" s="1771"/>
      <c r="O30" s="1477"/>
      <c r="P30" s="1771"/>
      <c r="Q30" s="1477"/>
      <c r="R30" s="1771"/>
      <c r="S30" s="1477"/>
    </row>
    <row r="31" spans="1:19">
      <c r="A31" s="1545"/>
      <c r="B31" s="1573" t="s">
        <v>748</v>
      </c>
      <c r="C31" s="1134"/>
      <c r="D31" s="1124"/>
      <c r="E31" s="1124"/>
      <c r="F31" s="1124"/>
      <c r="G31" s="1133"/>
      <c r="H31" s="1770"/>
      <c r="I31" s="1548"/>
      <c r="J31" s="1770"/>
      <c r="K31" s="1424"/>
      <c r="L31" s="1770"/>
      <c r="M31" s="1546"/>
      <c r="N31" s="1770"/>
      <c r="O31" s="1546"/>
      <c r="P31" s="1770"/>
      <c r="Q31" s="1546"/>
      <c r="R31" s="1770"/>
      <c r="S31" s="1546"/>
    </row>
    <row r="32" spans="1:19">
      <c r="A32" s="1545"/>
      <c r="B32" s="1694"/>
      <c r="C32" s="1134"/>
      <c r="D32" s="1124"/>
      <c r="E32" s="1124"/>
      <c r="F32" s="1124"/>
      <c r="G32" s="1133"/>
      <c r="H32" s="1770"/>
      <c r="I32" s="1548"/>
      <c r="J32" s="1770"/>
      <c r="K32" s="1424"/>
      <c r="L32" s="1770"/>
      <c r="M32" s="1546"/>
      <c r="N32" s="1770"/>
      <c r="O32" s="1546"/>
      <c r="P32" s="1770"/>
      <c r="Q32" s="1546"/>
      <c r="R32" s="1770"/>
      <c r="S32" s="1546"/>
    </row>
    <row r="33" spans="1:19">
      <c r="A33" s="1545"/>
      <c r="B33" s="1694"/>
      <c r="C33" s="1134"/>
      <c r="D33" s="1124"/>
      <c r="E33" s="1124"/>
      <c r="F33" s="1151"/>
      <c r="G33" s="1229"/>
      <c r="H33" s="1770"/>
      <c r="I33" s="1780"/>
      <c r="J33" s="1770"/>
      <c r="K33" s="1424"/>
      <c r="L33" s="1770"/>
      <c r="M33" s="1546"/>
      <c r="N33" s="1770"/>
      <c r="O33" s="1546"/>
      <c r="P33" s="1770"/>
      <c r="Q33" s="1546"/>
      <c r="R33" s="1770"/>
      <c r="S33" s="1546"/>
    </row>
    <row r="34" spans="1:19">
      <c r="A34" s="1545"/>
      <c r="B34" s="1694"/>
      <c r="C34" s="1134"/>
      <c r="D34" s="1124"/>
      <c r="E34" s="1124"/>
      <c r="F34" s="1124"/>
      <c r="G34" s="1133"/>
      <c r="H34" s="1770"/>
      <c r="I34" s="1548"/>
      <c r="J34" s="1770"/>
      <c r="K34" s="1424"/>
      <c r="L34" s="1770"/>
      <c r="M34" s="1546"/>
      <c r="N34" s="1770"/>
      <c r="O34" s="1546"/>
      <c r="P34" s="1770"/>
      <c r="Q34" s="1546"/>
      <c r="R34" s="1770"/>
      <c r="S34" s="1546"/>
    </row>
    <row r="35" spans="1:19">
      <c r="A35" s="1545"/>
      <c r="B35" s="1694"/>
      <c r="C35" s="1134"/>
      <c r="D35" s="1124"/>
      <c r="E35" s="1124"/>
      <c r="F35" s="1124"/>
      <c r="G35" s="1133"/>
      <c r="H35" s="1770" t="s">
        <v>710</v>
      </c>
      <c r="I35" s="1548"/>
      <c r="J35" s="1770"/>
      <c r="K35" s="1424"/>
      <c r="L35" s="1770"/>
      <c r="M35" s="1546"/>
      <c r="N35" s="1770"/>
      <c r="O35" s="1546"/>
      <c r="P35" s="1770"/>
      <c r="Q35" s="1546"/>
      <c r="R35" s="1770"/>
      <c r="S35" s="1546"/>
    </row>
    <row r="36" spans="1:19">
      <c r="A36" s="1545"/>
      <c r="B36" s="1694"/>
      <c r="C36" s="1134"/>
      <c r="D36" s="1124"/>
      <c r="E36" s="1124"/>
      <c r="F36" s="1124"/>
      <c r="G36" s="1133"/>
      <c r="H36" s="1770"/>
      <c r="I36" s="1548"/>
      <c r="J36" s="1770"/>
      <c r="K36" s="1424"/>
      <c r="L36" s="1770"/>
      <c r="M36" s="1546"/>
      <c r="N36" s="1770"/>
      <c r="O36" s="1546"/>
      <c r="P36" s="1770"/>
      <c r="Q36" s="1546"/>
      <c r="R36" s="1770"/>
      <c r="S36" s="1546"/>
    </row>
    <row r="37" spans="1:19">
      <c r="A37" s="1545"/>
      <c r="B37" s="1694"/>
      <c r="C37" s="1134"/>
      <c r="D37" s="1124"/>
      <c r="E37" s="1124"/>
      <c r="F37" s="1124"/>
      <c r="G37" s="1133"/>
      <c r="H37" s="1770"/>
      <c r="I37" s="1548"/>
      <c r="J37" s="1770"/>
      <c r="K37" s="1424"/>
      <c r="L37" s="1770"/>
      <c r="M37" s="1546"/>
      <c r="N37" s="1770"/>
      <c r="O37" s="1546"/>
      <c r="P37" s="1770"/>
      <c r="Q37" s="1546"/>
      <c r="R37" s="1770"/>
      <c r="S37" s="1546"/>
    </row>
    <row r="38" spans="1:19">
      <c r="A38" s="1545"/>
      <c r="B38" s="1694" t="s">
        <v>878</v>
      </c>
      <c r="C38" s="1134"/>
      <c r="D38" s="1124"/>
      <c r="E38" s="1124"/>
      <c r="F38" s="1124"/>
      <c r="G38" s="1133"/>
      <c r="H38" s="1770"/>
      <c r="I38" s="1548"/>
      <c r="J38" s="1770"/>
      <c r="K38" s="1424"/>
      <c r="L38" s="1770"/>
      <c r="M38" s="1546"/>
      <c r="N38" s="1770"/>
      <c r="O38" s="1546"/>
      <c r="P38" s="1770"/>
      <c r="Q38" s="1546"/>
      <c r="R38" s="1770"/>
      <c r="S38" s="1546"/>
    </row>
    <row r="39" spans="1:19">
      <c r="A39" s="1545"/>
      <c r="B39" s="1694" t="s">
        <v>879</v>
      </c>
      <c r="C39" s="1134"/>
      <c r="D39" s="1124"/>
      <c r="E39" s="1124"/>
      <c r="F39" s="1124"/>
      <c r="G39" s="1133"/>
      <c r="H39" s="1770"/>
      <c r="I39" s="1548"/>
      <c r="J39" s="1770"/>
      <c r="K39" s="1424"/>
      <c r="L39" s="1770"/>
      <c r="M39" s="1546"/>
      <c r="N39" s="1770"/>
      <c r="O39" s="1546"/>
      <c r="P39" s="1770"/>
      <c r="Q39" s="1546"/>
      <c r="R39" s="1770"/>
      <c r="S39" s="1546"/>
    </row>
    <row r="40" spans="1:19">
      <c r="A40" s="1545"/>
      <c r="B40" s="1694"/>
      <c r="C40" s="1134"/>
      <c r="D40" s="1124"/>
      <c r="E40" s="1124"/>
      <c r="F40" s="1124"/>
      <c r="G40" s="1133"/>
      <c r="H40" s="1770"/>
      <c r="I40" s="1548"/>
      <c r="J40" s="1770"/>
      <c r="K40" s="1424"/>
      <c r="L40" s="1770"/>
      <c r="M40" s="1546"/>
      <c r="N40" s="1770"/>
      <c r="O40" s="1546"/>
      <c r="P40" s="1770"/>
      <c r="Q40" s="1546"/>
      <c r="R40" s="1770"/>
      <c r="S40" s="1546"/>
    </row>
    <row r="41" spans="1:19">
      <c r="A41" s="1545"/>
      <c r="B41" s="1694"/>
      <c r="C41" s="1134"/>
      <c r="D41" s="1124"/>
      <c r="E41" s="1124"/>
      <c r="F41" s="1124"/>
      <c r="G41" s="1133"/>
      <c r="H41" s="1770"/>
      <c r="I41" s="1548"/>
      <c r="J41" s="1770"/>
      <c r="K41" s="1424"/>
      <c r="L41" s="1770"/>
      <c r="M41" s="1546"/>
      <c r="N41" s="1770"/>
      <c r="O41" s="1546"/>
      <c r="P41" s="1770"/>
      <c r="Q41" s="1546"/>
      <c r="R41" s="1770"/>
      <c r="S41" s="1546"/>
    </row>
    <row r="42" spans="1:19">
      <c r="A42" s="1545"/>
      <c r="B42" s="1694"/>
      <c r="C42" s="1134"/>
      <c r="D42" s="1124"/>
      <c r="E42" s="1124"/>
      <c r="F42" s="1124"/>
      <c r="G42" s="1133"/>
      <c r="H42" s="1770"/>
      <c r="I42" s="1548"/>
      <c r="J42" s="1770"/>
      <c r="K42" s="1424"/>
      <c r="L42" s="1770"/>
      <c r="M42" s="1424"/>
      <c r="N42" s="1770"/>
      <c r="O42" s="1773"/>
      <c r="P42" s="1770"/>
      <c r="Q42" s="1546"/>
      <c r="R42" s="1770"/>
      <c r="S42" s="1546"/>
    </row>
    <row r="43" spans="1:19" ht="15.75" thickBot="1">
      <c r="A43" s="1545"/>
      <c r="B43" s="1694"/>
      <c r="C43" s="1134"/>
      <c r="D43" s="1124"/>
      <c r="E43" s="1124"/>
      <c r="F43" s="1124"/>
      <c r="G43" s="1133"/>
      <c r="H43" s="1770"/>
      <c r="I43" s="1424"/>
      <c r="J43" s="1770"/>
      <c r="K43" s="1424"/>
      <c r="L43" s="1770"/>
      <c r="M43" s="1424"/>
      <c r="N43" s="1770"/>
      <c r="O43" s="1424"/>
      <c r="P43" s="1770"/>
      <c r="Q43" s="1546"/>
      <c r="R43" s="1770"/>
      <c r="S43" s="1424"/>
    </row>
    <row r="44" spans="1:19" ht="15.75" hidden="1" thickBot="1">
      <c r="A44" s="1545"/>
      <c r="B44" s="1694" t="s">
        <v>880</v>
      </c>
      <c r="C44" s="1134"/>
      <c r="D44" s="1124"/>
      <c r="E44" s="1124"/>
      <c r="F44" s="1124"/>
      <c r="G44" s="1133"/>
      <c r="H44" s="1542"/>
      <c r="I44" s="1548"/>
      <c r="J44" s="1542"/>
      <c r="K44" s="1424"/>
      <c r="L44" s="1424"/>
      <c r="M44" s="1424"/>
      <c r="N44" s="1424"/>
      <c r="O44" s="1424"/>
      <c r="P44" s="1424"/>
      <c r="Q44" s="1424"/>
      <c r="R44" s="1546"/>
      <c r="S44" s="1424"/>
    </row>
    <row r="45" spans="1:19" ht="15.75" thickTop="1">
      <c r="A45" s="14"/>
      <c r="B45" s="15"/>
      <c r="C45" s="16"/>
      <c r="D45" s="16"/>
      <c r="E45" s="17"/>
      <c r="F45" s="18" t="s">
        <v>567</v>
      </c>
      <c r="G45" s="19"/>
      <c r="H45" s="20"/>
      <c r="I45" s="61">
        <f>SUM(I21:I44)</f>
        <v>0</v>
      </c>
      <c r="J45" s="20"/>
      <c r="K45" s="61">
        <f>SUM(K21:K44)</f>
        <v>0</v>
      </c>
      <c r="L45" s="20"/>
      <c r="M45" s="61">
        <f>SUM(M21:M44)</f>
        <v>0</v>
      </c>
      <c r="N45" s="20"/>
      <c r="O45" s="61">
        <f>SUM(O21:O44)</f>
        <v>0</v>
      </c>
      <c r="P45" s="20"/>
      <c r="Q45" s="61">
        <f>SUM(Q21:Q44)</f>
        <v>0</v>
      </c>
      <c r="R45" s="20"/>
      <c r="S45" s="61">
        <f>SUM(S21:S44)</f>
        <v>0</v>
      </c>
    </row>
    <row r="46" spans="1:19">
      <c r="A46" s="1731"/>
      <c r="B46" s="1156"/>
      <c r="C46" s="1157"/>
      <c r="D46" s="1157"/>
      <c r="E46" s="1158"/>
      <c r="F46" s="1159" t="s">
        <v>568</v>
      </c>
      <c r="G46" s="1160"/>
      <c r="H46" s="1732">
        <v>0</v>
      </c>
      <c r="I46" s="415"/>
      <c r="J46" s="1732">
        <v>0</v>
      </c>
      <c r="K46" s="1732"/>
      <c r="L46" s="1732">
        <v>0</v>
      </c>
      <c r="M46" s="1732"/>
      <c r="N46" s="1732">
        <v>0</v>
      </c>
      <c r="O46" s="1732"/>
      <c r="P46" s="1775">
        <v>0</v>
      </c>
      <c r="Q46" s="1732"/>
      <c r="R46" s="1775">
        <v>0</v>
      </c>
      <c r="S46" s="1732"/>
    </row>
    <row r="47" spans="1:19">
      <c r="A47" s="1731"/>
      <c r="B47" s="1156"/>
      <c r="C47" s="1157"/>
      <c r="D47" s="1157"/>
      <c r="E47" s="1158"/>
      <c r="F47" s="1159" t="s">
        <v>569</v>
      </c>
      <c r="G47" s="1160"/>
      <c r="H47" s="1734"/>
      <c r="I47" s="1737">
        <f>I45*H46</f>
        <v>0</v>
      </c>
      <c r="J47" s="1734"/>
      <c r="K47" s="1737">
        <f>K45*J46</f>
        <v>0</v>
      </c>
      <c r="L47" s="1734"/>
      <c r="M47" s="1737">
        <f>M45*L46</f>
        <v>0</v>
      </c>
      <c r="N47" s="1734"/>
      <c r="O47" s="1737">
        <f>O45*N46</f>
        <v>0</v>
      </c>
      <c r="P47" s="1734"/>
      <c r="Q47" s="1737">
        <f>Q45*P46</f>
        <v>0</v>
      </c>
      <c r="R47" s="1734"/>
      <c r="S47" s="1737">
        <f>S45*R46</f>
        <v>0</v>
      </c>
    </row>
    <row r="48" spans="1:19">
      <c r="A48" s="1731"/>
      <c r="B48" s="1156"/>
      <c r="C48" s="1157"/>
      <c r="D48" s="1157"/>
      <c r="E48" s="1158"/>
      <c r="F48" s="1159" t="s">
        <v>881</v>
      </c>
      <c r="G48" s="1160"/>
      <c r="H48" s="1736">
        <v>0</v>
      </c>
      <c r="I48" s="1737">
        <f>I45*H48</f>
        <v>0</v>
      </c>
      <c r="J48" s="1734"/>
      <c r="K48" s="1734"/>
      <c r="L48" s="1734"/>
      <c r="M48" s="1734"/>
      <c r="N48" s="1734"/>
      <c r="O48" s="1734"/>
      <c r="P48" s="1734"/>
      <c r="Q48" s="1734"/>
      <c r="R48" s="1734"/>
      <c r="S48" s="1734"/>
    </row>
    <row r="49" spans="1:19">
      <c r="A49" s="1731"/>
      <c r="B49" s="1156"/>
      <c r="C49" s="1157"/>
      <c r="D49" s="1157"/>
      <c r="E49" s="1158"/>
      <c r="F49" s="1159" t="s">
        <v>570</v>
      </c>
      <c r="G49" s="1160"/>
      <c r="H49" s="1739"/>
      <c r="I49" s="1737">
        <f>SUM(I45:I48)</f>
        <v>0</v>
      </c>
      <c r="J49" s="1739"/>
      <c r="K49" s="1737">
        <f>SUM(K45:K47)</f>
        <v>0</v>
      </c>
      <c r="L49" s="1739"/>
      <c r="M49" s="1737">
        <f>SUM(M45:M47)</f>
        <v>0</v>
      </c>
      <c r="N49" s="1739"/>
      <c r="O49" s="1737">
        <f>SUM(O45:O47)</f>
        <v>0</v>
      </c>
      <c r="P49" s="1739"/>
      <c r="Q49" s="1737">
        <f>SUM(Q45:Q47)</f>
        <v>0</v>
      </c>
      <c r="R49" s="1739"/>
      <c r="S49" s="1737">
        <f>SUM(S45:S47)</f>
        <v>0</v>
      </c>
    </row>
    <row r="50" spans="1:19">
      <c r="A50" s="1731"/>
      <c r="B50" s="1156"/>
      <c r="C50" s="1157"/>
      <c r="D50" s="1157"/>
      <c r="E50" s="1158"/>
      <c r="F50" s="1161" t="s">
        <v>571</v>
      </c>
      <c r="G50" s="1162"/>
      <c r="H50" s="1740"/>
      <c r="I50" s="1741" t="e">
        <f>I49/'Area Calculations'!$J$4</f>
        <v>#DIV/0!</v>
      </c>
      <c r="J50" s="1740"/>
      <c r="K50" s="1741" t="e">
        <f>K49/'Area Calculations'!$J$4</f>
        <v>#DIV/0!</v>
      </c>
      <c r="L50" s="1740"/>
      <c r="M50" s="1741" t="e">
        <f>M49/'Area Calculations'!$J$4</f>
        <v>#DIV/0!</v>
      </c>
      <c r="N50" s="1740"/>
      <c r="O50" s="1741" t="e">
        <f>O49/'Area Calculations'!$J$4</f>
        <v>#DIV/0!</v>
      </c>
      <c r="P50" s="1741"/>
      <c r="Q50" s="1741" t="e">
        <f>Q49/'Area Calculations'!$J$4</f>
        <v>#DIV/0!</v>
      </c>
      <c r="R50" s="1740"/>
      <c r="S50" s="1741" t="e">
        <f>S49/'Area Calculations'!$J$4</f>
        <v>#DIV/0!</v>
      </c>
    </row>
    <row r="51" spans="1:19">
      <c r="A51" s="1731"/>
      <c r="B51" s="1156"/>
      <c r="C51" s="1157"/>
      <c r="D51" s="1157"/>
      <c r="E51" s="1158"/>
      <c r="F51" s="1161" t="s">
        <v>572</v>
      </c>
      <c r="G51" s="1163"/>
      <c r="H51" s="1740"/>
      <c r="I51" s="1741" t="e">
        <f>I49/'Area Calculations'!#REF!</f>
        <v>#REF!</v>
      </c>
      <c r="J51" s="1740"/>
      <c r="K51" s="1741" t="e">
        <f>K49/'Area Calculations'!#REF!</f>
        <v>#REF!</v>
      </c>
      <c r="L51" s="1740"/>
      <c r="M51" s="1741" t="e">
        <f>M49/'Area Calculations'!#REF!</f>
        <v>#REF!</v>
      </c>
      <c r="N51" s="1740"/>
      <c r="O51" s="1741" t="e">
        <f>O49/'Area Calculations'!#REF!</f>
        <v>#REF!</v>
      </c>
      <c r="P51" s="1741"/>
      <c r="Q51" s="1741" t="e">
        <f>Q49/'Area Calculations'!#REF!</f>
        <v>#REF!</v>
      </c>
      <c r="R51" s="1740"/>
      <c r="S51" s="1741" t="e">
        <f>S49/'Area Calculations'!#REF!</f>
        <v>#REF!</v>
      </c>
    </row>
    <row r="52" spans="1:19" ht="15.75" thickBot="1">
      <c r="A52" s="1731"/>
      <c r="B52" s="1156"/>
      <c r="C52" s="1157"/>
      <c r="D52" s="1157"/>
      <c r="E52" s="1158"/>
      <c r="F52" s="1159"/>
      <c r="G52" s="1533"/>
      <c r="H52" s="1742"/>
      <c r="I52" s="1743"/>
      <c r="J52" s="1744"/>
      <c r="K52" s="1744"/>
      <c r="L52" s="1744"/>
      <c r="M52" s="1744"/>
      <c r="N52" s="1744"/>
      <c r="O52" s="1744"/>
      <c r="P52" s="1744"/>
      <c r="Q52" s="1744"/>
      <c r="R52" s="1744"/>
      <c r="S52" s="1744"/>
    </row>
    <row r="53" spans="1:19" ht="16.5" thickTop="1" thickBot="1">
      <c r="A53" s="726" t="s">
        <v>573</v>
      </c>
      <c r="B53" s="727"/>
      <c r="C53" s="12"/>
      <c r="D53" s="12"/>
      <c r="E53" s="12"/>
      <c r="F53" s="12"/>
      <c r="G53" s="13"/>
      <c r="H53" s="21"/>
      <c r="I53" s="21"/>
      <c r="J53" s="21"/>
      <c r="K53" s="21"/>
      <c r="L53" s="21"/>
      <c r="M53" s="21"/>
      <c r="N53" s="21"/>
      <c r="O53" s="21"/>
      <c r="P53" s="21"/>
      <c r="Q53" s="21"/>
      <c r="R53" s="21"/>
      <c r="S53" s="21"/>
    </row>
    <row r="54" spans="1:19" ht="15.75" thickTop="1">
      <c r="A54" s="1535"/>
      <c r="B54" s="862"/>
      <c r="C54" s="1536"/>
      <c r="D54" s="1536"/>
      <c r="E54" s="1536"/>
      <c r="F54" s="1536"/>
      <c r="G54" s="1537"/>
      <c r="H54" s="1538"/>
      <c r="I54" s="1538"/>
      <c r="J54" s="1538"/>
      <c r="K54" s="1538"/>
      <c r="L54" s="1538"/>
      <c r="M54" s="1538"/>
      <c r="N54" s="1538"/>
      <c r="O54" s="1538"/>
      <c r="P54" s="1538"/>
      <c r="Q54" s="1538"/>
      <c r="R54" s="1538"/>
      <c r="S54" s="1538"/>
    </row>
    <row r="55" spans="1:19">
      <c r="A55" s="1535"/>
      <c r="B55" s="862"/>
      <c r="C55" s="1536"/>
      <c r="D55" s="1536"/>
      <c r="E55" s="1536"/>
      <c r="F55" s="1536"/>
      <c r="G55" s="1537"/>
      <c r="H55" s="1538"/>
      <c r="I55" s="1538"/>
      <c r="J55" s="1538"/>
      <c r="K55" s="1538"/>
      <c r="L55" s="1538"/>
      <c r="M55" s="1538"/>
      <c r="N55" s="1538"/>
      <c r="O55" s="1538"/>
      <c r="P55" s="1538"/>
      <c r="Q55" s="1538"/>
      <c r="R55" s="1538"/>
      <c r="S55" s="1538"/>
    </row>
    <row r="56" spans="1:19" ht="15.75" thickBot="1">
      <c r="A56" s="1535"/>
      <c r="B56" s="862"/>
      <c r="C56" s="1536"/>
      <c r="D56" s="1536"/>
      <c r="E56" s="1536"/>
      <c r="F56" s="1536"/>
      <c r="G56" s="1537"/>
      <c r="H56" s="1538"/>
      <c r="I56" s="1538"/>
      <c r="J56" s="1538"/>
      <c r="K56" s="1538"/>
      <c r="L56" s="1538"/>
      <c r="M56" s="1538"/>
      <c r="N56" s="1538"/>
      <c r="O56" s="1538"/>
      <c r="P56" s="1538"/>
      <c r="Q56" s="1538"/>
      <c r="R56" s="1538"/>
      <c r="S56" s="1538"/>
    </row>
    <row r="57" spans="1:19" s="2" customFormat="1" ht="16.5" thickTop="1" thickBot="1">
      <c r="A57" s="726" t="s">
        <v>574</v>
      </c>
      <c r="B57" s="727"/>
      <c r="C57" s="12"/>
      <c r="D57" s="12"/>
      <c r="E57" s="12"/>
      <c r="F57" s="12"/>
      <c r="G57" s="13"/>
      <c r="H57" s="21"/>
      <c r="I57" s="21"/>
      <c r="J57" s="21"/>
      <c r="K57" s="21"/>
      <c r="L57" s="21"/>
      <c r="M57" s="21"/>
      <c r="N57" s="21"/>
      <c r="O57" s="21"/>
      <c r="P57" s="21"/>
      <c r="Q57" s="21"/>
      <c r="R57" s="21"/>
      <c r="S57" s="21"/>
    </row>
    <row r="58" spans="1:19" s="2" customFormat="1" ht="15.75" thickTop="1">
      <c r="A58" s="1535"/>
      <c r="B58" s="862"/>
      <c r="C58" s="1536"/>
      <c r="D58" s="1536"/>
      <c r="E58" s="1536"/>
      <c r="F58" s="1536"/>
      <c r="G58" s="1537"/>
      <c r="H58" s="1538"/>
      <c r="I58" s="1538"/>
      <c r="J58" s="1538"/>
      <c r="K58" s="1538"/>
      <c r="L58" s="1538"/>
      <c r="M58" s="1538"/>
      <c r="N58" s="1538"/>
      <c r="O58" s="1538"/>
      <c r="P58" s="1538"/>
      <c r="Q58" s="1538"/>
      <c r="R58" s="1538"/>
      <c r="S58" s="1538"/>
    </row>
    <row r="59" spans="1:19" s="2" customFormat="1">
      <c r="A59" s="1535"/>
      <c r="B59" s="862"/>
      <c r="C59" s="1536"/>
      <c r="D59" s="1536"/>
      <c r="E59" s="1536"/>
      <c r="F59" s="1536"/>
      <c r="G59" s="1537"/>
      <c r="H59" s="1538"/>
      <c r="I59" s="1538"/>
      <c r="J59" s="1538"/>
      <c r="K59" s="1538"/>
      <c r="L59" s="1538"/>
      <c r="M59" s="1538"/>
      <c r="N59" s="1538"/>
      <c r="O59" s="1538"/>
      <c r="P59" s="1538"/>
      <c r="Q59" s="1538"/>
      <c r="R59" s="1538"/>
      <c r="S59" s="1538"/>
    </row>
    <row r="60" spans="1:19" ht="15.75" thickBot="1">
      <c r="A60" s="1535"/>
      <c r="B60" s="862"/>
      <c r="C60" s="1536"/>
      <c r="D60" s="1536"/>
      <c r="E60" s="1536"/>
      <c r="F60" s="1536"/>
      <c r="G60" s="1537"/>
      <c r="H60" s="1538"/>
      <c r="I60" s="1538"/>
      <c r="J60" s="1538"/>
      <c r="K60" s="1538"/>
      <c r="L60" s="1538"/>
      <c r="M60" s="1538"/>
      <c r="N60" s="1538"/>
      <c r="O60" s="1538"/>
      <c r="P60" s="1538"/>
      <c r="Q60" s="1538"/>
      <c r="R60" s="1538"/>
      <c r="S60" s="1538"/>
    </row>
    <row r="61" spans="1:19" s="2" customFormat="1" ht="16.5" thickTop="1" thickBot="1">
      <c r="A61" s="726" t="s">
        <v>575</v>
      </c>
      <c r="B61" s="727"/>
      <c r="C61" s="12"/>
      <c r="D61" s="12"/>
      <c r="E61" s="12"/>
      <c r="F61" s="12"/>
      <c r="G61" s="13"/>
      <c r="H61" s="21"/>
      <c r="I61" s="21"/>
      <c r="J61" s="21"/>
      <c r="K61" s="21"/>
      <c r="L61" s="21"/>
      <c r="M61" s="21"/>
      <c r="N61" s="21"/>
      <c r="O61" s="21"/>
      <c r="P61" s="21"/>
      <c r="Q61" s="21"/>
      <c r="R61" s="21"/>
      <c r="S61" s="21"/>
    </row>
    <row r="62" spans="1:19" s="2" customFormat="1" ht="15.75" thickTop="1">
      <c r="A62" s="1535"/>
      <c r="B62" s="862"/>
      <c r="C62" s="1536"/>
      <c r="D62" s="1536"/>
      <c r="E62" s="1536"/>
      <c r="F62" s="1536"/>
      <c r="G62" s="1537"/>
      <c r="H62" s="1538"/>
      <c r="I62" s="1538"/>
      <c r="J62" s="1538"/>
      <c r="K62" s="1538"/>
      <c r="L62" s="1538"/>
      <c r="M62" s="1538"/>
      <c r="N62" s="1538"/>
      <c r="O62" s="1538"/>
      <c r="P62" s="1538"/>
      <c r="Q62" s="1538"/>
      <c r="R62" s="1538"/>
      <c r="S62" s="1538"/>
    </row>
    <row r="63" spans="1:19" s="2" customFormat="1">
      <c r="A63" s="1768"/>
      <c r="B63" s="862"/>
      <c r="C63" s="1124"/>
      <c r="D63" s="1124"/>
      <c r="E63" s="1124"/>
      <c r="F63" s="1124"/>
      <c r="G63" s="1133"/>
      <c r="H63" s="1745"/>
      <c r="I63" s="1745"/>
      <c r="J63" s="1745"/>
      <c r="K63" s="1745"/>
      <c r="L63" s="1745"/>
      <c r="M63" s="1745"/>
      <c r="N63" s="1745"/>
      <c r="O63" s="1745"/>
      <c r="P63" s="1745"/>
      <c r="Q63" s="1745"/>
      <c r="R63" s="1745"/>
      <c r="S63" s="1745"/>
    </row>
    <row r="64" spans="1:19" s="2" customFormat="1" ht="15.75" thickBot="1">
      <c r="A64" s="1746"/>
      <c r="B64" s="1171"/>
      <c r="C64" s="1124"/>
      <c r="D64" s="1124"/>
      <c r="E64" s="1124"/>
      <c r="F64" s="1124"/>
      <c r="G64" s="1133"/>
      <c r="H64" s="1747"/>
      <c r="I64" s="1747"/>
      <c r="J64" s="1747"/>
      <c r="K64" s="1747"/>
      <c r="L64" s="1747"/>
      <c r="M64" s="1747"/>
      <c r="N64" s="1747"/>
      <c r="O64" s="1747"/>
      <c r="P64" s="1747"/>
      <c r="Q64" s="1747"/>
      <c r="R64" s="1747"/>
      <c r="S64" s="1747"/>
    </row>
    <row r="65" spans="1:19" s="2" customFormat="1" ht="16.5" thickTop="1" thickBot="1">
      <c r="A65" s="726" t="s">
        <v>576</v>
      </c>
      <c r="B65" s="727"/>
      <c r="C65" s="12"/>
      <c r="D65" s="12"/>
      <c r="E65" s="12"/>
      <c r="F65" s="12"/>
      <c r="G65" s="13"/>
      <c r="H65" s="21"/>
      <c r="I65" s="21"/>
      <c r="J65" s="21"/>
      <c r="K65" s="21"/>
      <c r="L65" s="21"/>
      <c r="M65" s="21"/>
      <c r="N65" s="21"/>
      <c r="O65" s="21"/>
      <c r="P65" s="21"/>
      <c r="Q65" s="21"/>
      <c r="R65" s="21"/>
      <c r="S65" s="21"/>
    </row>
    <row r="66" spans="1:19" ht="15.75" thickTop="1">
      <c r="A66" s="1539"/>
      <c r="B66" s="1540"/>
      <c r="C66" s="1536"/>
      <c r="D66" s="1536"/>
      <c r="E66" s="1536"/>
      <c r="F66" s="1536"/>
      <c r="G66" s="1537"/>
      <c r="H66" s="1538"/>
      <c r="I66" s="1538"/>
      <c r="J66" s="1538"/>
      <c r="K66" s="1538"/>
      <c r="L66" s="1538"/>
      <c r="M66" s="1538"/>
      <c r="N66" s="1538"/>
      <c r="O66" s="1538"/>
      <c r="P66" s="1538"/>
      <c r="Q66" s="1538"/>
      <c r="R66" s="1538"/>
      <c r="S66" s="1538"/>
    </row>
    <row r="67" spans="1:19">
      <c r="A67" s="1746"/>
      <c r="B67" s="1171"/>
      <c r="C67" s="1124"/>
      <c r="D67" s="1124"/>
      <c r="E67" s="1124"/>
      <c r="F67" s="1124"/>
      <c r="G67" s="1133"/>
      <c r="H67" s="1748"/>
      <c r="I67" s="1748"/>
      <c r="J67" s="1748"/>
      <c r="K67" s="1748"/>
      <c r="L67" s="1748"/>
      <c r="M67" s="1748"/>
      <c r="N67" s="1748"/>
      <c r="O67" s="1748"/>
      <c r="P67" s="1748"/>
      <c r="Q67" s="1748"/>
      <c r="R67" s="1748"/>
      <c r="S67" s="1748"/>
    </row>
    <row r="68" spans="1:19" ht="15.75" thickBot="1">
      <c r="A68" s="1746"/>
      <c r="B68" s="1171"/>
      <c r="C68" s="1124"/>
      <c r="D68" s="1124"/>
      <c r="E68" s="1124"/>
      <c r="F68" s="1124"/>
      <c r="G68" s="1133"/>
      <c r="H68" s="1748"/>
      <c r="I68" s="1748"/>
      <c r="J68" s="1748"/>
      <c r="K68" s="1748"/>
      <c r="L68" s="1748"/>
      <c r="M68" s="1748"/>
      <c r="N68" s="1748"/>
      <c r="O68" s="1748"/>
      <c r="P68" s="1748"/>
      <c r="Q68" s="1748"/>
      <c r="R68" s="1748"/>
      <c r="S68" s="1748"/>
    </row>
    <row r="69" spans="1:19" ht="16.5" thickTop="1" thickBot="1">
      <c r="A69" s="726" t="s">
        <v>577</v>
      </c>
      <c r="B69" s="727"/>
      <c r="C69" s="12"/>
      <c r="D69" s="12"/>
      <c r="E69" s="12"/>
      <c r="F69" s="12"/>
      <c r="G69" s="13"/>
      <c r="H69" s="21"/>
      <c r="I69" s="21"/>
      <c r="J69" s="21"/>
      <c r="K69" s="21"/>
      <c r="L69" s="21"/>
      <c r="M69" s="21"/>
      <c r="N69" s="21"/>
      <c r="O69" s="21"/>
      <c r="P69" s="21"/>
      <c r="Q69" s="21"/>
      <c r="R69" s="21"/>
      <c r="S69" s="21"/>
    </row>
    <row r="70" spans="1:19" ht="15.75" thickTop="1">
      <c r="A70" s="1768"/>
      <c r="B70" s="862" t="s">
        <v>578</v>
      </c>
      <c r="C70" s="1124"/>
      <c r="D70" s="1124"/>
      <c r="E70" s="1124"/>
      <c r="F70" s="1124"/>
      <c r="G70" s="1133"/>
      <c r="H70" s="1748"/>
      <c r="I70" s="1748"/>
      <c r="J70" s="1748"/>
      <c r="K70" s="1748"/>
      <c r="L70" s="1748"/>
      <c r="M70" s="1748"/>
      <c r="N70" s="1748"/>
      <c r="O70" s="1748"/>
      <c r="P70" s="1748"/>
      <c r="Q70" s="1748"/>
      <c r="R70" s="1748"/>
      <c r="S70" s="1748"/>
    </row>
    <row r="71" spans="1:19">
      <c r="A71" s="1768"/>
      <c r="B71" s="862" t="s">
        <v>579</v>
      </c>
      <c r="C71" s="1124"/>
      <c r="D71" s="1124"/>
      <c r="E71" s="1124"/>
      <c r="F71" s="1124"/>
      <c r="G71" s="1133"/>
      <c r="H71" s="1748"/>
      <c r="I71" s="1748"/>
      <c r="J71" s="1748"/>
      <c r="K71" s="1748"/>
      <c r="L71" s="1748"/>
      <c r="M71" s="1748"/>
      <c r="N71" s="1748"/>
      <c r="O71" s="1748"/>
      <c r="P71" s="1748"/>
      <c r="Q71" s="1748"/>
      <c r="R71" s="1748"/>
      <c r="S71" s="1748"/>
    </row>
    <row r="72" spans="1:19">
      <c r="A72" s="1768"/>
      <c r="B72" s="862" t="s">
        <v>580</v>
      </c>
      <c r="C72" s="1124"/>
      <c r="D72" s="1124"/>
      <c r="E72" s="1124"/>
      <c r="F72" s="1124"/>
      <c r="G72" s="1133"/>
      <c r="H72" s="1748"/>
      <c r="I72" s="1748"/>
      <c r="J72" s="1748"/>
      <c r="K72" s="1748"/>
      <c r="L72" s="1748"/>
      <c r="M72" s="1748"/>
      <c r="N72" s="1748"/>
      <c r="O72" s="1748"/>
      <c r="P72" s="1748"/>
      <c r="Q72" s="1748"/>
      <c r="R72" s="1748"/>
      <c r="S72" s="1748"/>
    </row>
    <row r="73" spans="1:19">
      <c r="A73" s="1768"/>
      <c r="B73" s="862" t="s">
        <v>581</v>
      </c>
      <c r="C73" s="1124"/>
      <c r="D73" s="1124"/>
      <c r="E73" s="1124"/>
      <c r="F73" s="1124"/>
      <c r="G73" s="1133"/>
      <c r="H73" s="1748"/>
      <c r="I73" s="1748"/>
      <c r="J73" s="1748"/>
      <c r="K73" s="1748"/>
      <c r="L73" s="1748"/>
      <c r="M73" s="1748"/>
      <c r="N73" s="1748"/>
      <c r="O73" s="1748"/>
      <c r="P73" s="1748"/>
      <c r="Q73" s="1748"/>
      <c r="R73" s="1748"/>
      <c r="S73" s="1748"/>
    </row>
    <row r="74" spans="1:19" ht="15.75" thickBot="1">
      <c r="A74" s="416"/>
      <c r="B74" s="295"/>
      <c r="C74" s="184"/>
      <c r="D74" s="184"/>
      <c r="E74" s="184"/>
      <c r="F74" s="184"/>
      <c r="G74" s="296"/>
      <c r="H74" s="418"/>
      <c r="I74" s="418"/>
      <c r="J74" s="418"/>
      <c r="K74" s="418"/>
      <c r="L74" s="418"/>
      <c r="M74" s="418"/>
      <c r="N74" s="418"/>
      <c r="O74" s="418"/>
      <c r="P74" s="418"/>
      <c r="Q74" s="418"/>
      <c r="R74" s="418"/>
      <c r="S74" s="418"/>
    </row>
    <row r="75" spans="1:19" ht="16.5" thickTop="1" thickBot="1">
      <c r="A75" s="7" t="s">
        <v>582</v>
      </c>
      <c r="B75" s="8"/>
      <c r="C75" s="12"/>
      <c r="D75" s="12"/>
      <c r="E75" s="12"/>
      <c r="F75" s="12"/>
      <c r="G75" s="13"/>
      <c r="H75" s="21"/>
      <c r="I75" s="21"/>
      <c r="J75" s="21"/>
      <c r="K75" s="21"/>
      <c r="L75" s="21"/>
      <c r="M75" s="21"/>
      <c r="N75" s="21"/>
      <c r="O75" s="21"/>
      <c r="P75" s="21"/>
      <c r="Q75" s="21"/>
      <c r="R75" s="21"/>
      <c r="S75" s="21"/>
    </row>
    <row r="76" spans="1:19" ht="15.75" thickTop="1">
      <c r="A76" s="1535"/>
      <c r="B76" s="1541" t="s">
        <v>583</v>
      </c>
      <c r="C76" s="1536"/>
      <c r="D76" s="1536"/>
      <c r="E76" s="1536"/>
      <c r="F76" s="1536"/>
      <c r="G76" s="1537"/>
      <c r="H76" s="1542"/>
      <c r="I76" s="1542"/>
      <c r="J76" s="1542"/>
      <c r="K76" s="1542"/>
      <c r="L76" s="1542"/>
      <c r="M76" s="1542"/>
      <c r="N76" s="1542"/>
      <c r="O76" s="1542"/>
      <c r="P76" s="1542"/>
      <c r="Q76" s="1542"/>
      <c r="R76" s="1542"/>
      <c r="S76" s="1542"/>
    </row>
    <row r="77" spans="1:19">
      <c r="A77" s="1768"/>
      <c r="B77" s="862" t="s">
        <v>584</v>
      </c>
      <c r="C77" s="1124"/>
      <c r="D77" s="1124"/>
      <c r="E77" s="1124"/>
      <c r="F77" s="1124"/>
      <c r="G77" s="1133"/>
      <c r="H77" s="1749"/>
      <c r="I77" s="1749"/>
      <c r="J77" s="1749"/>
      <c r="K77" s="1749"/>
      <c r="L77" s="1749"/>
      <c r="M77" s="1749"/>
      <c r="N77" s="1749"/>
      <c r="O77" s="1749"/>
      <c r="P77" s="1749"/>
      <c r="Q77" s="1749"/>
      <c r="R77" s="1749"/>
      <c r="S77" s="1749"/>
    </row>
    <row r="78" spans="1:19" ht="15.75" thickBot="1">
      <c r="A78" s="1750"/>
      <c r="B78" s="1751" t="s">
        <v>585</v>
      </c>
      <c r="C78" s="1752"/>
      <c r="D78" s="1752"/>
      <c r="E78" s="1752"/>
      <c r="F78" s="1752"/>
      <c r="G78" s="1753"/>
      <c r="H78" s="1754"/>
      <c r="I78" s="1754"/>
      <c r="J78" s="1754"/>
      <c r="K78" s="1754"/>
      <c r="L78" s="1754"/>
      <c r="M78" s="1754"/>
      <c r="N78" s="1754"/>
      <c r="O78" s="1754"/>
      <c r="P78" s="1754"/>
      <c r="Q78" s="1754"/>
      <c r="R78" s="1754"/>
      <c r="S78" s="1754"/>
    </row>
    <row r="79" spans="1:19" ht="16.5" thickTop="1" thickBot="1"/>
    <row r="80" spans="1:19" ht="16.5" thickTop="1" thickBot="1">
      <c r="A80" s="92" t="s">
        <v>586</v>
      </c>
      <c r="B80" s="94"/>
    </row>
    <row r="81" spans="1:2" ht="15.75" thickTop="1">
      <c r="A81" s="93" t="s">
        <v>487</v>
      </c>
      <c r="B81" s="1755"/>
    </row>
    <row r="82" spans="1:2">
      <c r="A82" s="1756" t="s">
        <v>491</v>
      </c>
      <c r="B82" s="1755"/>
    </row>
    <row r="83" spans="1:2">
      <c r="A83" s="1757" t="s">
        <v>494</v>
      </c>
      <c r="B83" s="1758"/>
    </row>
    <row r="84" spans="1:2">
      <c r="A84" s="1757" t="s">
        <v>497</v>
      </c>
      <c r="B84" s="1759"/>
    </row>
    <row r="85" spans="1:2" ht="15.75" thickBot="1">
      <c r="A85" s="1760" t="s">
        <v>587</v>
      </c>
      <c r="B85" s="1761"/>
    </row>
    <row r="86" spans="1:2" ht="15.75" thickTop="1"/>
    <row r="87" spans="1:2">
      <c r="A87" s="95"/>
      <c r="B87" s="1" t="s">
        <v>588</v>
      </c>
    </row>
    <row r="88" spans="1:2">
      <c r="A88" s="96"/>
      <c r="B88"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53:B53"/>
    <mergeCell ref="A57:B57"/>
    <mergeCell ref="A61:B61"/>
    <mergeCell ref="A65:B65"/>
    <mergeCell ref="A69:B69"/>
  </mergeCells>
  <conditionalFormatting sqref="H19:H29">
    <cfRule type="cellIs" dxfId="1285" priority="3" operator="equal">
      <formula>"X"</formula>
    </cfRule>
    <cfRule type="cellIs" dxfId="1284" priority="4" operator="equal">
      <formula>"I"</formula>
    </cfRule>
  </conditionalFormatting>
  <conditionalFormatting sqref="H31:H43">
    <cfRule type="cellIs" dxfId="1283" priority="1" operator="equal">
      <formula>"X"</formula>
    </cfRule>
    <cfRule type="cellIs" dxfId="1282" priority="2" operator="equal">
      <formula>"I"</formula>
    </cfRule>
  </conditionalFormatting>
  <conditionalFormatting sqref="J19:J29">
    <cfRule type="cellIs" dxfId="1281" priority="7" operator="equal">
      <formula>"X"</formula>
    </cfRule>
    <cfRule type="cellIs" dxfId="1280" priority="8" operator="equal">
      <formula>"I"</formula>
    </cfRule>
  </conditionalFormatting>
  <conditionalFormatting sqref="J31:J43">
    <cfRule type="cellIs" dxfId="1279" priority="5" operator="equal">
      <formula>"X"</formula>
    </cfRule>
    <cfRule type="cellIs" dxfId="1278" priority="6" operator="equal">
      <formula>"I"</formula>
    </cfRule>
  </conditionalFormatting>
  <conditionalFormatting sqref="L19:L29">
    <cfRule type="cellIs" dxfId="1277" priority="11" operator="equal">
      <formula>"X"</formula>
    </cfRule>
    <cfRule type="cellIs" dxfId="1276" priority="12" operator="equal">
      <formula>"I"</formula>
    </cfRule>
  </conditionalFormatting>
  <conditionalFormatting sqref="L31:L43">
    <cfRule type="cellIs" dxfId="1275" priority="9" operator="equal">
      <formula>"X"</formula>
    </cfRule>
    <cfRule type="cellIs" dxfId="1274" priority="10" operator="equal">
      <formula>"I"</formula>
    </cfRule>
  </conditionalFormatting>
  <conditionalFormatting sqref="N19:N29">
    <cfRule type="cellIs" dxfId="1273" priority="15" operator="equal">
      <formula>"X"</formula>
    </cfRule>
    <cfRule type="cellIs" dxfId="1272" priority="16" operator="equal">
      <formula>"I"</formula>
    </cfRule>
  </conditionalFormatting>
  <conditionalFormatting sqref="N31:N43">
    <cfRule type="cellIs" dxfId="1271" priority="13" operator="equal">
      <formula>"X"</formula>
    </cfRule>
    <cfRule type="cellIs" dxfId="1270" priority="14" operator="equal">
      <formula>"I"</formula>
    </cfRule>
  </conditionalFormatting>
  <conditionalFormatting sqref="P19:P29">
    <cfRule type="cellIs" dxfId="1269" priority="19" operator="equal">
      <formula>"X"</formula>
    </cfRule>
    <cfRule type="cellIs" dxfId="1268" priority="20" operator="equal">
      <formula>"I"</formula>
    </cfRule>
  </conditionalFormatting>
  <conditionalFormatting sqref="P31:P43">
    <cfRule type="cellIs" dxfId="1267" priority="17" operator="equal">
      <formula>"X"</formula>
    </cfRule>
    <cfRule type="cellIs" dxfId="1266" priority="18" operator="equal">
      <formula>"I"</formula>
    </cfRule>
  </conditionalFormatting>
  <conditionalFormatting sqref="R19:R29">
    <cfRule type="cellIs" dxfId="1265" priority="23" operator="equal">
      <formula>"X"</formula>
    </cfRule>
    <cfRule type="cellIs" dxfId="1264" priority="24" operator="equal">
      <formula>"I"</formula>
    </cfRule>
  </conditionalFormatting>
  <conditionalFormatting sqref="R31:R43">
    <cfRule type="cellIs" dxfId="1263" priority="21" operator="equal">
      <formula>"X"</formula>
    </cfRule>
    <cfRule type="cellIs" dxfId="1262" priority="22" operator="equal">
      <formula>"I"</formula>
    </cfRule>
  </conditionalFormatting>
  <hyperlinks>
    <hyperlink ref="B3" location="'Cost Summary'!A1" display="BACK TO SUMMARY SHEET" xr:uid="{C6DBB709-A651-4A68-92AE-2475C2E73A6E}"/>
  </hyperlink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DD5E-4A05-46FA-A452-7EB01116F710}">
  <sheetPr>
    <tabColor rgb="FF92D050"/>
  </sheetPr>
  <dimension ref="A1:S121"/>
  <sheetViews>
    <sheetView zoomScale="85" zoomScaleNormal="85" workbookViewId="0">
      <pane xSplit="2" ySplit="9" topLeftCell="C48" activePane="bottomRight" state="frozen"/>
      <selection pane="bottomRight" activeCell="F71" sqref="F71"/>
      <selection pane="bottomLeft" sqref="A1:B1"/>
      <selection pane="topRight" sqref="A1:B1"/>
    </sheetView>
  </sheetViews>
  <sheetFormatPr defaultColWidth="9.140625" defaultRowHeight="15"/>
  <cols>
    <col min="1" max="1" width="11" style="65" customWidth="1"/>
    <col min="2" max="2" width="70.7109375" style="66" customWidth="1"/>
    <col min="3" max="3" width="10.85546875" style="67" bestFit="1" customWidth="1"/>
    <col min="4" max="5" width="7.5703125" style="67" customWidth="1"/>
    <col min="6" max="6" width="10.42578125" style="67" customWidth="1"/>
    <col min="7" max="7" width="12.28515625" style="67" customWidth="1"/>
    <col min="8" max="8" width="7.42578125" style="67" bestFit="1" customWidth="1"/>
    <col min="9" max="9" width="14.85546875" style="67" customWidth="1"/>
    <col min="10" max="10" width="7.42578125" style="67" bestFit="1" customWidth="1"/>
    <col min="11" max="11" width="14.85546875" style="67" customWidth="1"/>
    <col min="12" max="12" width="7.42578125" style="67" bestFit="1" customWidth="1"/>
    <col min="13" max="13" width="14.85546875" style="67" customWidth="1"/>
    <col min="14" max="14" width="7.42578125" style="67" bestFit="1" customWidth="1"/>
    <col min="15" max="15" width="14.85546875" style="67" customWidth="1"/>
    <col min="16" max="16" width="7.42578125" style="67" bestFit="1" customWidth="1"/>
    <col min="17" max="17" width="14.85546875" style="67" customWidth="1"/>
    <col min="18" max="18" width="7.42578125" style="67" bestFit="1" customWidth="1"/>
    <col min="19" max="19" width="14.85546875" style="67" customWidth="1"/>
    <col min="20" max="16384" width="9.140625" style="65"/>
  </cols>
  <sheetData>
    <row r="1" spans="1:19">
      <c r="C1" s="2"/>
      <c r="D1" s="2"/>
      <c r="E1" s="175"/>
      <c r="F1" s="149"/>
      <c r="G1" s="147" t="s">
        <v>474</v>
      </c>
      <c r="N1" s="754"/>
      <c r="O1" s="754"/>
    </row>
    <row r="2" spans="1:19" ht="15.75" thickBot="1">
      <c r="C2" s="2"/>
      <c r="D2" s="2"/>
      <c r="E2" s="175"/>
      <c r="F2" s="146" t="s">
        <v>475</v>
      </c>
      <c r="G2" s="147" t="s">
        <v>476</v>
      </c>
      <c r="H2" s="755"/>
      <c r="I2" s="755"/>
      <c r="J2" s="755"/>
      <c r="K2" s="755"/>
      <c r="L2" s="755"/>
      <c r="M2" s="755"/>
      <c r="N2" s="749"/>
      <c r="O2" s="749"/>
      <c r="P2" s="755"/>
      <c r="Q2" s="755"/>
      <c r="R2" s="755"/>
      <c r="S2" s="755"/>
    </row>
    <row r="3" spans="1:19" ht="21" thickBot="1">
      <c r="B3" s="161" t="s">
        <v>477</v>
      </c>
      <c r="C3" s="2"/>
      <c r="D3" s="2"/>
      <c r="E3" s="175"/>
      <c r="F3" s="148" t="s">
        <v>478</v>
      </c>
      <c r="G3" s="147" t="s">
        <v>479</v>
      </c>
      <c r="H3" s="756" t="s">
        <v>480</v>
      </c>
      <c r="I3" s="757"/>
      <c r="J3" s="756" t="s">
        <v>481</v>
      </c>
      <c r="K3" s="757"/>
      <c r="L3" s="756" t="s">
        <v>482</v>
      </c>
      <c r="M3" s="757"/>
      <c r="N3" s="756" t="s">
        <v>868</v>
      </c>
      <c r="O3" s="757"/>
      <c r="P3" s="756" t="s">
        <v>484</v>
      </c>
      <c r="Q3" s="757"/>
      <c r="R3" s="756" t="s">
        <v>485</v>
      </c>
      <c r="S3" s="757"/>
    </row>
    <row r="4" spans="1:19" ht="15.75" thickTop="1">
      <c r="A4" s="68" t="s">
        <v>486</v>
      </c>
      <c r="B4" s="4" t="str">
        <f>'Area Calculations'!B4</f>
        <v>The Club at Ibis Conceptual Estimate</v>
      </c>
      <c r="C4" s="69"/>
      <c r="D4" s="69"/>
      <c r="E4" s="69"/>
      <c r="F4" s="69"/>
      <c r="G4" s="88" t="s">
        <v>487</v>
      </c>
      <c r="H4" s="758"/>
      <c r="I4" s="759"/>
      <c r="J4" s="760"/>
      <c r="K4" s="761"/>
      <c r="L4" s="758"/>
      <c r="M4" s="759"/>
      <c r="N4" s="758"/>
      <c r="O4" s="759"/>
      <c r="P4" s="758"/>
      <c r="Q4" s="759"/>
      <c r="R4" s="1781"/>
      <c r="S4" s="1656"/>
    </row>
    <row r="5" spans="1:19">
      <c r="A5" s="1782" t="s">
        <v>489</v>
      </c>
      <c r="B5" s="1658" t="s">
        <v>151</v>
      </c>
      <c r="C5" s="1659"/>
      <c r="D5" s="1659"/>
      <c r="E5" s="1659"/>
      <c r="F5" s="1659"/>
      <c r="G5" s="1660" t="s">
        <v>491</v>
      </c>
      <c r="H5" s="1781"/>
      <c r="I5" s="1656"/>
      <c r="J5" s="1661"/>
      <c r="K5" s="1565"/>
      <c r="L5" s="1781"/>
      <c r="M5" s="1656"/>
      <c r="N5" s="1781"/>
      <c r="O5" s="1656"/>
      <c r="P5" s="1781"/>
      <c r="Q5" s="1656"/>
      <c r="R5" s="1781"/>
      <c r="S5" s="1656"/>
    </row>
    <row r="6" spans="1:19">
      <c r="A6" s="1782" t="s">
        <v>493</v>
      </c>
      <c r="B6" s="1662" t="s">
        <v>150</v>
      </c>
      <c r="C6" s="1659"/>
      <c r="D6" s="1659"/>
      <c r="E6" s="1659"/>
      <c r="F6" s="1659"/>
      <c r="G6" s="1660" t="s">
        <v>494</v>
      </c>
      <c r="H6" s="1783"/>
      <c r="I6" s="1663"/>
      <c r="J6" s="763"/>
      <c r="K6" s="1129"/>
      <c r="L6" s="1783"/>
      <c r="M6" s="1663"/>
      <c r="N6" s="1783"/>
      <c r="O6" s="1663"/>
      <c r="P6" s="1783"/>
      <c r="Q6" s="1663"/>
      <c r="R6" s="1783"/>
      <c r="S6" s="1663"/>
    </row>
    <row r="7" spans="1:19">
      <c r="A7" s="1782" t="s">
        <v>496</v>
      </c>
      <c r="B7" s="1664"/>
      <c r="C7" s="1659"/>
      <c r="D7" s="1659"/>
      <c r="E7" s="1659"/>
      <c r="F7" s="1659"/>
      <c r="G7" s="1660" t="s">
        <v>497</v>
      </c>
      <c r="H7" s="1784"/>
      <c r="I7" s="1665"/>
      <c r="J7" s="762"/>
      <c r="K7" s="1131"/>
      <c r="L7" s="1784"/>
      <c r="M7" s="1665"/>
      <c r="N7" s="1784"/>
      <c r="O7" s="1665"/>
      <c r="P7" s="1784"/>
      <c r="Q7" s="1665"/>
      <c r="R7" s="1785"/>
      <c r="S7" s="1666"/>
    </row>
    <row r="8" spans="1:19" ht="15.75" thickBot="1">
      <c r="A8" s="414" t="s">
        <v>499</v>
      </c>
      <c r="B8" s="251"/>
      <c r="C8" s="253"/>
      <c r="D8" s="253"/>
      <c r="E8" s="253"/>
      <c r="F8" s="253"/>
      <c r="G8" s="419" t="s">
        <v>499</v>
      </c>
      <c r="H8" s="1786">
        <f>I82</f>
        <v>504620</v>
      </c>
      <c r="I8" s="1787"/>
      <c r="J8" s="1788">
        <f>K82</f>
        <v>0</v>
      </c>
      <c r="K8" s="1787"/>
      <c r="L8" s="1786">
        <f>M82</f>
        <v>0</v>
      </c>
      <c r="M8" s="1787"/>
      <c r="N8" s="1786">
        <f>O82</f>
        <v>0</v>
      </c>
      <c r="O8" s="1787"/>
      <c r="P8" s="1786">
        <f>Q82</f>
        <v>0</v>
      </c>
      <c r="Q8" s="1787"/>
      <c r="R8" s="1789">
        <f>S82</f>
        <v>0</v>
      </c>
      <c r="S8" s="1790"/>
    </row>
    <row r="9" spans="1:19" ht="31.5" thickTop="1" thickBot="1">
      <c r="A9" s="70" t="s">
        <v>500</v>
      </c>
      <c r="B9" s="71"/>
      <c r="C9" s="72" t="s">
        <v>501</v>
      </c>
      <c r="D9" s="72" t="s">
        <v>502</v>
      </c>
      <c r="E9" s="72" t="s">
        <v>503</v>
      </c>
      <c r="F9" s="72" t="s">
        <v>504</v>
      </c>
      <c r="G9" s="89" t="s">
        <v>505</v>
      </c>
      <c r="H9" s="74" t="s">
        <v>506</v>
      </c>
      <c r="I9" s="74" t="s">
        <v>507</v>
      </c>
      <c r="J9" s="73" t="s">
        <v>506</v>
      </c>
      <c r="K9" s="74" t="s">
        <v>507</v>
      </c>
      <c r="L9" s="74" t="s">
        <v>506</v>
      </c>
      <c r="M9" s="74" t="s">
        <v>507</v>
      </c>
      <c r="N9" s="74" t="s">
        <v>506</v>
      </c>
      <c r="O9" s="74" t="s">
        <v>507</v>
      </c>
      <c r="P9" s="74" t="s">
        <v>506</v>
      </c>
      <c r="Q9" s="74" t="s">
        <v>507</v>
      </c>
      <c r="R9" s="74" t="s">
        <v>506</v>
      </c>
      <c r="S9" s="74" t="s">
        <v>507</v>
      </c>
    </row>
    <row r="10" spans="1:19" ht="15.75" hidden="1" thickTop="1">
      <c r="A10" s="1791"/>
      <c r="B10" s="1543" t="s">
        <v>508</v>
      </c>
      <c r="C10" s="1659"/>
      <c r="D10" s="1659"/>
      <c r="E10" s="1659"/>
      <c r="F10" s="1659"/>
      <c r="G10" s="1673"/>
      <c r="H10" s="1792"/>
      <c r="I10" s="1793"/>
      <c r="J10" s="1676"/>
      <c r="K10" s="1792"/>
      <c r="L10" s="1792"/>
      <c r="M10" s="1792"/>
      <c r="N10" s="1792"/>
      <c r="O10" s="1792"/>
      <c r="P10" s="1792"/>
      <c r="Q10" s="1792"/>
      <c r="R10" s="1792"/>
      <c r="S10" s="1792"/>
    </row>
    <row r="11" spans="1:19" hidden="1">
      <c r="A11" s="1791"/>
      <c r="B11" s="862" t="str">
        <f>'Area Calculations'!M62</f>
        <v>Architectural Drawings  by</v>
      </c>
      <c r="C11" s="1677" t="s">
        <v>509</v>
      </c>
      <c r="D11" s="1659"/>
      <c r="E11" s="1659"/>
      <c r="F11" s="1659"/>
      <c r="G11" s="1673"/>
      <c r="H11" s="1792"/>
      <c r="I11" s="1793"/>
      <c r="J11" s="1676"/>
      <c r="K11" s="1792"/>
      <c r="L11" s="1792"/>
      <c r="M11" s="1792"/>
      <c r="N11" s="1792"/>
      <c r="O11" s="1792"/>
      <c r="P11" s="1792"/>
      <c r="Q11" s="1792"/>
      <c r="R11" s="1792"/>
      <c r="S11" s="1792"/>
    </row>
    <row r="12" spans="1:19" hidden="1">
      <c r="A12" s="1791"/>
      <c r="B12" s="862" t="str">
        <f>'Area Calculations'!M63</f>
        <v>Structural Drawings by</v>
      </c>
      <c r="C12" s="1677" t="s">
        <v>509</v>
      </c>
      <c r="D12" s="1659"/>
      <c r="E12" s="1659"/>
      <c r="F12" s="1659"/>
      <c r="G12" s="1673"/>
      <c r="H12" s="1792"/>
      <c r="I12" s="1793"/>
      <c r="J12" s="1676"/>
      <c r="K12" s="1792"/>
      <c r="L12" s="1792"/>
      <c r="M12" s="1792"/>
      <c r="N12" s="1792"/>
      <c r="O12" s="1792"/>
      <c r="P12" s="1792"/>
      <c r="Q12" s="1792"/>
      <c r="R12" s="1792"/>
      <c r="S12" s="1792"/>
    </row>
    <row r="13" spans="1:19" hidden="1">
      <c r="A13" s="1791"/>
      <c r="B13" s="862" t="str">
        <f>'Area Calculations'!M64</f>
        <v>MEP FA FP Drawings by</v>
      </c>
      <c r="C13" s="1677" t="s">
        <v>509</v>
      </c>
      <c r="D13" s="1659"/>
      <c r="E13" s="1659"/>
      <c r="F13" s="1659"/>
      <c r="G13" s="1673"/>
      <c r="H13" s="1792"/>
      <c r="I13" s="1793"/>
      <c r="J13" s="1676"/>
      <c r="K13" s="1792"/>
      <c r="L13" s="1792"/>
      <c r="M13" s="1792"/>
      <c r="N13" s="1792"/>
      <c r="O13" s="1792"/>
      <c r="P13" s="1792"/>
      <c r="Q13" s="1792"/>
      <c r="R13" s="1792"/>
      <c r="S13" s="1792"/>
    </row>
    <row r="14" spans="1:19" hidden="1">
      <c r="A14" s="1791"/>
      <c r="B14" s="862" t="str">
        <f>'Area Calculations'!M65</f>
        <v xml:space="preserve">Civil Drawings by </v>
      </c>
      <c r="C14" s="1677" t="s">
        <v>509</v>
      </c>
      <c r="D14" s="1659"/>
      <c r="E14" s="1659"/>
      <c r="F14" s="1659"/>
      <c r="G14" s="1673"/>
      <c r="H14" s="1792"/>
      <c r="I14" s="1793"/>
      <c r="J14" s="1676"/>
      <c r="K14" s="1792"/>
      <c r="L14" s="1792"/>
      <c r="M14" s="1792"/>
      <c r="N14" s="1792"/>
      <c r="O14" s="1792"/>
      <c r="P14" s="1792"/>
      <c r="Q14" s="1792"/>
      <c r="R14" s="1792"/>
      <c r="S14" s="1792"/>
    </row>
    <row r="15" spans="1:19" hidden="1">
      <c r="A15" s="1791"/>
      <c r="B15" s="862" t="str">
        <f>'Area Calculations'!M66</f>
        <v>Land scape Drawings by</v>
      </c>
      <c r="C15" s="1677" t="s">
        <v>509</v>
      </c>
      <c r="D15" s="1659"/>
      <c r="E15" s="1659"/>
      <c r="F15" s="1659"/>
      <c r="G15" s="1673"/>
      <c r="H15" s="1792"/>
      <c r="I15" s="1793"/>
      <c r="J15" s="1676"/>
      <c r="K15" s="1792"/>
      <c r="L15" s="1792"/>
      <c r="M15" s="1792"/>
      <c r="N15" s="1792"/>
      <c r="O15" s="1792"/>
      <c r="P15" s="1792"/>
      <c r="Q15" s="1792"/>
      <c r="R15" s="1792"/>
      <c r="S15" s="1792"/>
    </row>
    <row r="16" spans="1:19" hidden="1">
      <c r="A16" s="1791"/>
      <c r="B16" s="862" t="str">
        <f>'Area Calculations'!M67</f>
        <v>Kitchen Drawings by</v>
      </c>
      <c r="C16" s="1677" t="s">
        <v>509</v>
      </c>
      <c r="D16" s="1659"/>
      <c r="E16" s="1659"/>
      <c r="F16" s="1659"/>
      <c r="G16" s="1673"/>
      <c r="H16" s="1792"/>
      <c r="I16" s="1793"/>
      <c r="J16" s="1676"/>
      <c r="K16" s="1792"/>
      <c r="L16" s="1792"/>
      <c r="M16" s="1792"/>
      <c r="N16" s="1792"/>
      <c r="O16" s="1792"/>
      <c r="P16" s="1792"/>
      <c r="Q16" s="1792"/>
      <c r="R16" s="1792"/>
      <c r="S16" s="1792"/>
    </row>
    <row r="17" spans="1:19" hidden="1">
      <c r="A17" s="1791"/>
      <c r="B17" s="862" t="str">
        <f>'Area Calculations'!M68</f>
        <v>Storefront Designer by</v>
      </c>
      <c r="C17" s="1677" t="s">
        <v>509</v>
      </c>
      <c r="D17" s="1659"/>
      <c r="E17" s="1659"/>
      <c r="F17" s="1659"/>
      <c r="G17" s="1673"/>
      <c r="H17" s="1792"/>
      <c r="I17" s="1793"/>
      <c r="J17" s="1676"/>
      <c r="K17" s="1792"/>
      <c r="L17" s="1792"/>
      <c r="M17" s="1792"/>
      <c r="N17" s="1792"/>
      <c r="O17" s="1792"/>
      <c r="P17" s="1792"/>
      <c r="Q17" s="1792"/>
      <c r="R17" s="1792"/>
      <c r="S17" s="1792"/>
    </row>
    <row r="18" spans="1:19" hidden="1">
      <c r="A18" s="1791"/>
      <c r="B18" s="862" t="str">
        <f>'Area Calculations'!M69</f>
        <v>Geotech report by</v>
      </c>
      <c r="C18" s="1677" t="s">
        <v>509</v>
      </c>
      <c r="D18" s="1659"/>
      <c r="E18" s="1659"/>
      <c r="F18" s="1659"/>
      <c r="G18" s="1673"/>
      <c r="H18" s="1792"/>
      <c r="I18" s="1793"/>
      <c r="J18" s="1676"/>
      <c r="K18" s="1792"/>
      <c r="L18" s="1792"/>
      <c r="M18" s="1792"/>
      <c r="N18" s="1792"/>
      <c r="O18" s="1792"/>
      <c r="P18" s="1792"/>
      <c r="Q18" s="1792"/>
      <c r="R18" s="1792"/>
      <c r="S18" s="1792"/>
    </row>
    <row r="19" spans="1:19" ht="15" hidden="1" customHeight="1">
      <c r="A19" s="1791"/>
      <c r="B19" s="862" t="str">
        <f>'Area Calculations'!M70</f>
        <v>Specifications</v>
      </c>
      <c r="C19" s="1677" t="s">
        <v>509</v>
      </c>
      <c r="D19" s="1659"/>
      <c r="E19" s="1659"/>
      <c r="F19" s="1659"/>
      <c r="G19" s="1673"/>
      <c r="H19" s="1792"/>
      <c r="I19" s="1793"/>
      <c r="J19" s="1676"/>
      <c r="K19" s="1792"/>
      <c r="L19" s="1792"/>
      <c r="M19" s="1792"/>
      <c r="N19" s="1792"/>
      <c r="O19" s="1792"/>
      <c r="P19" s="1792"/>
      <c r="Q19" s="1792"/>
      <c r="R19" s="1792"/>
      <c r="S19" s="1792"/>
    </row>
    <row r="20" spans="1:19" ht="15" hidden="1" customHeight="1">
      <c r="A20" s="1791"/>
      <c r="B20" s="862">
        <f>'Area Calculations'!M71</f>
        <v>0</v>
      </c>
      <c r="C20" s="1677" t="s">
        <v>509</v>
      </c>
      <c r="D20" s="1659"/>
      <c r="E20" s="1659"/>
      <c r="F20" s="1659"/>
      <c r="G20" s="1673"/>
      <c r="H20" s="1792"/>
      <c r="I20" s="1793"/>
      <c r="J20" s="1676"/>
      <c r="K20" s="1792"/>
      <c r="L20" s="1792"/>
      <c r="M20" s="1792"/>
      <c r="N20" s="1792"/>
      <c r="O20" s="1792"/>
      <c r="P20" s="1792"/>
      <c r="Q20" s="1792"/>
      <c r="R20" s="1792"/>
      <c r="S20" s="1792"/>
    </row>
    <row r="21" spans="1:19" customFormat="1" ht="19.5" hidden="1" customHeight="1">
      <c r="A21" s="1768"/>
      <c r="B21" s="862"/>
      <c r="C21" s="1134"/>
      <c r="D21" s="1124"/>
      <c r="E21" s="1124"/>
      <c r="F21" s="1124"/>
      <c r="G21" s="1133"/>
      <c r="H21" s="1770"/>
      <c r="I21" s="1769"/>
      <c r="J21" s="1770"/>
      <c r="K21" s="1769"/>
      <c r="L21" s="1770"/>
      <c r="M21" s="1769"/>
      <c r="N21" s="1770"/>
      <c r="O21" s="1769"/>
      <c r="P21" s="1770"/>
      <c r="Q21" s="1769"/>
      <c r="R21" s="1770"/>
      <c r="S21" s="1769"/>
    </row>
    <row r="22" spans="1:19" ht="16.5" thickTop="1" thickBot="1">
      <c r="A22" s="1791"/>
      <c r="B22" s="1136" t="s">
        <v>151</v>
      </c>
      <c r="C22" s="1677"/>
      <c r="D22" s="1659"/>
      <c r="E22" s="1659"/>
      <c r="F22" s="1659"/>
      <c r="G22" s="1673"/>
      <c r="H22" s="1770"/>
      <c r="I22" s="1793"/>
      <c r="J22" s="1770"/>
      <c r="K22" s="1792"/>
      <c r="L22" s="1770"/>
      <c r="M22" s="1792"/>
      <c r="N22" s="1770"/>
      <c r="O22" s="1792"/>
      <c r="P22" s="1770"/>
      <c r="Q22" s="1792"/>
      <c r="R22" s="1770"/>
      <c r="S22" s="1792"/>
    </row>
    <row r="23" spans="1:19" ht="15.75" thickBot="1">
      <c r="A23" s="1679"/>
      <c r="B23" s="374" t="s">
        <v>512</v>
      </c>
      <c r="C23" s="1677"/>
      <c r="D23" s="1659"/>
      <c r="E23" s="1659"/>
      <c r="F23" s="1659"/>
      <c r="G23" s="1673"/>
      <c r="H23" s="1770"/>
      <c r="I23" s="1680"/>
      <c r="J23" s="1770"/>
      <c r="K23" s="1681"/>
      <c r="L23" s="1770"/>
      <c r="M23" s="1681"/>
      <c r="N23" s="1770"/>
      <c r="O23" s="1681"/>
      <c r="P23" s="1770"/>
      <c r="Q23" s="1681"/>
      <c r="R23" s="1770"/>
      <c r="S23" s="1681"/>
    </row>
    <row r="24" spans="1:19">
      <c r="A24" s="1679"/>
      <c r="B24" s="647" t="s">
        <v>513</v>
      </c>
      <c r="C24" s="1673"/>
      <c r="D24" s="1659"/>
      <c r="E24" s="1659"/>
      <c r="F24" s="1659"/>
      <c r="G24" s="1673"/>
      <c r="H24" s="1770"/>
      <c r="I24" s="1682"/>
      <c r="J24" s="1770"/>
      <c r="K24" s="1682"/>
      <c r="L24" s="1770"/>
      <c r="M24" s="1682"/>
      <c r="N24" s="1770"/>
      <c r="O24" s="1682"/>
      <c r="P24" s="1770"/>
      <c r="Q24" s="1682"/>
      <c r="R24" s="1770"/>
      <c r="S24" s="1681"/>
    </row>
    <row r="25" spans="1:19">
      <c r="A25" s="1679"/>
      <c r="B25" s="1567" t="s">
        <v>514</v>
      </c>
      <c r="C25" s="1673"/>
      <c r="D25" s="1683"/>
      <c r="E25" s="1659"/>
      <c r="F25" s="1684"/>
      <c r="G25" s="1685"/>
      <c r="H25" s="1770"/>
      <c r="I25" s="1682"/>
      <c r="J25" s="1770"/>
      <c r="K25" s="1682"/>
      <c r="L25" s="1770"/>
      <c r="M25" s="1682"/>
      <c r="N25" s="1770"/>
      <c r="O25" s="1681"/>
      <c r="P25" s="1770"/>
      <c r="Q25" s="1681"/>
      <c r="R25" s="1770"/>
      <c r="S25" s="1681"/>
    </row>
    <row r="26" spans="1:19">
      <c r="A26" s="1679"/>
      <c r="B26" s="1568" t="s">
        <v>515</v>
      </c>
      <c r="C26" s="1673"/>
      <c r="D26" s="1683"/>
      <c r="E26" s="1659"/>
      <c r="F26" s="1684"/>
      <c r="G26" s="1685"/>
      <c r="H26" s="1770"/>
      <c r="I26" s="1680"/>
      <c r="J26" s="1770"/>
      <c r="K26" s="1682"/>
      <c r="L26" s="1770"/>
      <c r="M26" s="1682"/>
      <c r="N26" s="1770"/>
      <c r="O26" s="1682"/>
      <c r="P26" s="1770"/>
      <c r="Q26" s="1682"/>
      <c r="R26" s="1770"/>
      <c r="S26" s="1681"/>
    </row>
    <row r="27" spans="1:19">
      <c r="A27" s="1679"/>
      <c r="B27" s="1568" t="s">
        <v>516</v>
      </c>
      <c r="C27" s="1673"/>
      <c r="D27" s="1683"/>
      <c r="E27" s="1659"/>
      <c r="F27" s="1684"/>
      <c r="G27" s="1685"/>
      <c r="H27" s="1770"/>
      <c r="I27" s="1680"/>
      <c r="J27" s="1770"/>
      <c r="K27" s="1682"/>
      <c r="L27" s="1770"/>
      <c r="M27" s="1682"/>
      <c r="N27" s="1770"/>
      <c r="O27" s="1682"/>
      <c r="P27" s="1770"/>
      <c r="Q27" s="1682"/>
      <c r="R27" s="1770"/>
      <c r="S27" s="1681"/>
    </row>
    <row r="28" spans="1:19">
      <c r="A28" s="1679"/>
      <c r="B28" s="1568" t="s">
        <v>517</v>
      </c>
      <c r="C28" s="1673"/>
      <c r="D28" s="1683"/>
      <c r="E28" s="1659"/>
      <c r="F28" s="1684"/>
      <c r="G28" s="1673"/>
      <c r="H28" s="1770"/>
      <c r="I28" s="1680"/>
      <c r="J28" s="1770"/>
      <c r="K28" s="1682"/>
      <c r="L28" s="1770"/>
      <c r="M28" s="1682"/>
      <c r="N28" s="1770"/>
      <c r="O28" s="1682"/>
      <c r="P28" s="1770"/>
      <c r="Q28" s="1682"/>
      <c r="R28" s="1770"/>
      <c r="S28" s="1681"/>
    </row>
    <row r="29" spans="1:19">
      <c r="A29" s="1679"/>
      <c r="B29" s="1568" t="s">
        <v>518</v>
      </c>
      <c r="C29" s="1673"/>
      <c r="D29" s="1683"/>
      <c r="E29" s="1659"/>
      <c r="F29" s="1684"/>
      <c r="G29" s="1673"/>
      <c r="H29" s="1770"/>
      <c r="I29" s="1680"/>
      <c r="J29" s="1770"/>
      <c r="K29" s="1682"/>
      <c r="L29" s="1770"/>
      <c r="M29" s="1682"/>
      <c r="N29" s="1770"/>
      <c r="O29" s="1682"/>
      <c r="P29" s="1770"/>
      <c r="Q29" s="1682"/>
      <c r="R29" s="1770"/>
      <c r="S29" s="1681"/>
    </row>
    <row r="30" spans="1:19">
      <c r="A30" s="1679"/>
      <c r="B30" s="1568" t="s">
        <v>693</v>
      </c>
      <c r="C30" s="1673"/>
      <c r="D30" s="1683"/>
      <c r="E30" s="1659"/>
      <c r="F30" s="1684"/>
      <c r="G30" s="1673"/>
      <c r="H30" s="1770"/>
      <c r="I30" s="1680"/>
      <c r="J30" s="1770"/>
      <c r="K30" s="1682"/>
      <c r="L30" s="1770"/>
      <c r="M30" s="1682"/>
      <c r="N30" s="1770"/>
      <c r="O30" s="1682"/>
      <c r="P30" s="1770"/>
      <c r="Q30" s="1682"/>
      <c r="R30" s="1770"/>
      <c r="S30" s="1681"/>
    </row>
    <row r="31" spans="1:19">
      <c r="A31" s="1679"/>
      <c r="B31" s="1569" t="s">
        <v>519</v>
      </c>
      <c r="C31" s="1673"/>
      <c r="D31" s="1683"/>
      <c r="E31" s="1659"/>
      <c r="F31" s="1794"/>
      <c r="G31" s="1795"/>
      <c r="H31" s="1770"/>
      <c r="I31" s="1680"/>
      <c r="J31" s="1770"/>
      <c r="K31" s="1682"/>
      <c r="L31" s="1770"/>
      <c r="M31" s="1682"/>
      <c r="N31" s="1770"/>
      <c r="O31" s="1682"/>
      <c r="P31" s="1770"/>
      <c r="Q31" s="1682"/>
      <c r="R31" s="1770"/>
      <c r="S31" s="1681"/>
    </row>
    <row r="32" spans="1:19">
      <c r="A32" s="1679"/>
      <c r="B32" s="1570" t="s">
        <v>520</v>
      </c>
      <c r="C32" s="1686"/>
      <c r="D32" s="1687"/>
      <c r="E32" s="1688"/>
      <c r="F32" s="1796"/>
      <c r="G32" s="1599"/>
      <c r="H32" s="1797"/>
      <c r="I32" s="1690"/>
      <c r="J32" s="1691"/>
      <c r="K32" s="1692"/>
      <c r="L32" s="1797"/>
      <c r="M32" s="1692"/>
      <c r="N32" s="1797"/>
      <c r="O32" s="1692"/>
      <c r="P32" s="1797"/>
      <c r="Q32" s="1692"/>
      <c r="R32" s="1797"/>
      <c r="S32" s="1693"/>
    </row>
    <row r="33" spans="1:19">
      <c r="A33" s="1679"/>
      <c r="B33" s="1694"/>
      <c r="C33" s="1673"/>
      <c r="D33" s="1683"/>
      <c r="E33" s="1659"/>
      <c r="F33" s="1794"/>
      <c r="G33" s="1798"/>
      <c r="H33" s="1770"/>
      <c r="I33" s="1680"/>
      <c r="J33" s="1770"/>
      <c r="K33" s="1682"/>
      <c r="L33" s="1770"/>
      <c r="M33" s="1682"/>
      <c r="N33" s="1770"/>
      <c r="O33" s="1682"/>
      <c r="P33" s="1770"/>
      <c r="Q33" s="1682"/>
      <c r="R33" s="1770"/>
      <c r="S33" s="1681"/>
    </row>
    <row r="34" spans="1:19">
      <c r="A34" s="1679"/>
      <c r="B34" s="1329" t="s">
        <v>694</v>
      </c>
      <c r="C34" s="1799"/>
      <c r="D34" s="1800"/>
      <c r="E34" s="1801"/>
      <c r="F34" s="1802"/>
      <c r="G34" s="1803"/>
      <c r="H34" s="1804"/>
      <c r="I34" s="1805"/>
      <c r="J34" s="1804"/>
      <c r="K34" s="1806"/>
      <c r="L34" s="1804"/>
      <c r="M34" s="1806"/>
      <c r="N34" s="1804"/>
      <c r="O34" s="1806"/>
      <c r="P34" s="1804"/>
      <c r="Q34" s="1806"/>
      <c r="R34" s="1804"/>
      <c r="S34" s="1807"/>
    </row>
    <row r="35" spans="1:19">
      <c r="A35" s="1679"/>
      <c r="B35" s="1694"/>
      <c r="C35" s="1673"/>
      <c r="D35" s="1683"/>
      <c r="E35" s="1659"/>
      <c r="F35" s="1794"/>
      <c r="G35" s="1798"/>
      <c r="H35" s="1770"/>
      <c r="I35" s="1680"/>
      <c r="J35" s="1770"/>
      <c r="K35" s="1682"/>
      <c r="L35" s="1770"/>
      <c r="M35" s="1682"/>
      <c r="N35" s="1770"/>
      <c r="O35" s="1682"/>
      <c r="P35" s="1770"/>
      <c r="Q35" s="1682"/>
      <c r="R35" s="1770"/>
      <c r="S35" s="1681"/>
    </row>
    <row r="36" spans="1:19">
      <c r="A36" s="1679"/>
      <c r="B36" s="1808" t="s">
        <v>695</v>
      </c>
      <c r="C36" s="1809"/>
      <c r="D36" s="1810"/>
      <c r="E36" s="1811"/>
      <c r="F36" s="1812"/>
      <c r="G36" s="1813"/>
      <c r="H36" s="1814"/>
      <c r="I36" s="1815"/>
      <c r="J36" s="1814"/>
      <c r="K36" s="1816"/>
      <c r="L36" s="1814"/>
      <c r="M36" s="1816"/>
      <c r="N36" s="1814"/>
      <c r="O36" s="1816"/>
      <c r="P36" s="1814"/>
      <c r="Q36" s="1816"/>
      <c r="R36" s="1814"/>
      <c r="S36" s="1817"/>
    </row>
    <row r="37" spans="1:19">
      <c r="A37" s="1679"/>
      <c r="B37" s="1694" t="s">
        <v>882</v>
      </c>
      <c r="C37" s="1673" t="s">
        <v>697</v>
      </c>
      <c r="D37" s="1683">
        <v>4</v>
      </c>
      <c r="E37" s="1659" t="s">
        <v>714</v>
      </c>
      <c r="F37" s="1794">
        <v>3000</v>
      </c>
      <c r="G37" s="1798">
        <f>D37*F37</f>
        <v>12000</v>
      </c>
      <c r="H37" s="1770"/>
      <c r="I37" s="1680">
        <f>G37</f>
        <v>12000</v>
      </c>
      <c r="J37" s="1770"/>
      <c r="K37" s="1682"/>
      <c r="L37" s="1770"/>
      <c r="M37" s="1682"/>
      <c r="N37" s="1770"/>
      <c r="O37" s="1682"/>
      <c r="P37" s="1770"/>
      <c r="Q37" s="1682"/>
      <c r="R37" s="1770"/>
      <c r="S37" s="1681"/>
    </row>
    <row r="38" spans="1:19">
      <c r="A38" s="1679"/>
      <c r="B38" s="1694" t="s">
        <v>883</v>
      </c>
      <c r="C38" s="1673" t="s">
        <v>697</v>
      </c>
      <c r="D38" s="1683">
        <f>'Cost Summary'!$J$7</f>
        <v>663</v>
      </c>
      <c r="E38" s="1659" t="s">
        <v>723</v>
      </c>
      <c r="F38" s="1794">
        <v>4</v>
      </c>
      <c r="G38" s="1798">
        <f>D38*F38</f>
        <v>2652</v>
      </c>
      <c r="H38" s="1770"/>
      <c r="I38" s="1680">
        <f>G38</f>
        <v>2652</v>
      </c>
      <c r="J38" s="1770"/>
      <c r="K38" s="1682"/>
      <c r="L38" s="1770"/>
      <c r="M38" s="1682"/>
      <c r="N38" s="1770"/>
      <c r="O38" s="1682"/>
      <c r="P38" s="1770"/>
      <c r="Q38" s="1682"/>
      <c r="R38" s="1770"/>
      <c r="S38" s="1681"/>
    </row>
    <row r="39" spans="1:19">
      <c r="A39" s="1679"/>
      <c r="B39" s="1694"/>
      <c r="C39" s="1673"/>
      <c r="D39" s="1683"/>
      <c r="E39" s="1659"/>
      <c r="F39" s="1794"/>
      <c r="G39" s="1798"/>
      <c r="H39" s="1770"/>
      <c r="I39" s="1680"/>
      <c r="J39" s="1770"/>
      <c r="K39" s="1682"/>
      <c r="L39" s="1770"/>
      <c r="M39" s="1682"/>
      <c r="N39" s="1770"/>
      <c r="O39" s="1682"/>
      <c r="P39" s="1770"/>
      <c r="Q39" s="1682"/>
      <c r="R39" s="1770"/>
      <c r="S39" s="1681"/>
    </row>
    <row r="40" spans="1:19">
      <c r="A40" s="1679"/>
      <c r="B40" s="1329" t="s">
        <v>649</v>
      </c>
      <c r="C40" s="1799"/>
      <c r="D40" s="1800"/>
      <c r="E40" s="1801"/>
      <c r="F40" s="1802"/>
      <c r="G40" s="1803"/>
      <c r="H40" s="1804"/>
      <c r="I40" s="1805"/>
      <c r="J40" s="1804"/>
      <c r="K40" s="1806"/>
      <c r="L40" s="1804"/>
      <c r="M40" s="1806"/>
      <c r="N40" s="1804"/>
      <c r="O40" s="1806"/>
      <c r="P40" s="1804"/>
      <c r="Q40" s="1806"/>
      <c r="R40" s="1804"/>
      <c r="S40" s="1807"/>
    </row>
    <row r="41" spans="1:19">
      <c r="A41" s="1679"/>
      <c r="B41" s="1694"/>
      <c r="C41" s="1673"/>
      <c r="D41" s="1683"/>
      <c r="E41" s="1659"/>
      <c r="F41" s="1794"/>
      <c r="G41" s="1798"/>
      <c r="H41" s="1770"/>
      <c r="I41" s="1680"/>
      <c r="J41" s="1770"/>
      <c r="K41" s="1682"/>
      <c r="L41" s="1770"/>
      <c r="M41" s="1682"/>
      <c r="N41" s="1770"/>
      <c r="O41" s="1682"/>
      <c r="P41" s="1770"/>
      <c r="Q41" s="1682"/>
      <c r="R41" s="1770"/>
      <c r="S41" s="1681"/>
    </row>
    <row r="42" spans="1:19">
      <c r="A42" s="1679"/>
      <c r="B42" s="1808" t="s">
        <v>700</v>
      </c>
      <c r="C42" s="1809"/>
      <c r="D42" s="1810"/>
      <c r="E42" s="1811"/>
      <c r="F42" s="1812"/>
      <c r="G42" s="1813"/>
      <c r="H42" s="1814"/>
      <c r="I42" s="1815"/>
      <c r="J42" s="1814"/>
      <c r="K42" s="1816"/>
      <c r="L42" s="1814"/>
      <c r="M42" s="1816"/>
      <c r="N42" s="1814"/>
      <c r="O42" s="1816"/>
      <c r="P42" s="1814"/>
      <c r="Q42" s="1816"/>
      <c r="R42" s="1814"/>
      <c r="S42" s="1817"/>
    </row>
    <row r="43" spans="1:19">
      <c r="A43" s="1679"/>
      <c r="B43" s="1694" t="s">
        <v>884</v>
      </c>
      <c r="C43" s="1673" t="s">
        <v>702</v>
      </c>
      <c r="D43" s="1683">
        <v>1</v>
      </c>
      <c r="E43" s="1659" t="s">
        <v>714</v>
      </c>
      <c r="F43" s="1794">
        <v>60000</v>
      </c>
      <c r="G43" s="1798">
        <f t="shared" ref="G43:G50" si="0">D43*F43</f>
        <v>60000</v>
      </c>
      <c r="H43" s="1770"/>
      <c r="I43" s="1680">
        <f>G43</f>
        <v>60000</v>
      </c>
      <c r="J43" s="1770"/>
      <c r="K43" s="1682"/>
      <c r="L43" s="1770"/>
      <c r="M43" s="1682"/>
      <c r="N43" s="1770"/>
      <c r="O43" s="1682"/>
      <c r="P43" s="1770"/>
      <c r="Q43" s="1682"/>
      <c r="R43" s="1770"/>
      <c r="S43" s="1681"/>
    </row>
    <row r="44" spans="1:19">
      <c r="A44" s="1679"/>
      <c r="B44" s="1694" t="s">
        <v>885</v>
      </c>
      <c r="C44" s="1673" t="s">
        <v>702</v>
      </c>
      <c r="D44" s="1683">
        <v>2</v>
      </c>
      <c r="E44" s="1659" t="s">
        <v>714</v>
      </c>
      <c r="F44" s="1794">
        <v>15000</v>
      </c>
      <c r="G44" s="1798">
        <f t="shared" si="0"/>
        <v>30000</v>
      </c>
      <c r="H44" s="1770"/>
      <c r="I44" s="1680">
        <f t="shared" ref="I44:I45" si="1">G44</f>
        <v>30000</v>
      </c>
      <c r="J44" s="1770"/>
      <c r="K44" s="1682"/>
      <c r="L44" s="1770"/>
      <c r="M44" s="1682"/>
      <c r="N44" s="1770"/>
      <c r="O44" s="1682"/>
      <c r="P44" s="1770"/>
      <c r="Q44" s="1682"/>
      <c r="R44" s="1770"/>
      <c r="S44" s="1681"/>
    </row>
    <row r="45" spans="1:19">
      <c r="A45" s="1679"/>
      <c r="B45" s="1694" t="s">
        <v>886</v>
      </c>
      <c r="C45" s="1673" t="s">
        <v>702</v>
      </c>
      <c r="D45" s="1683">
        <v>27</v>
      </c>
      <c r="E45" s="1659" t="s">
        <v>116</v>
      </c>
      <c r="F45" s="1794">
        <v>550</v>
      </c>
      <c r="G45" s="1798">
        <f t="shared" si="0"/>
        <v>14850</v>
      </c>
      <c r="H45" s="1770"/>
      <c r="I45" s="1680">
        <f t="shared" si="1"/>
        <v>14850</v>
      </c>
      <c r="J45" s="1770"/>
      <c r="K45" s="1682"/>
      <c r="L45" s="1770"/>
      <c r="M45" s="1682"/>
      <c r="N45" s="1770"/>
      <c r="O45" s="1682"/>
      <c r="P45" s="1770"/>
      <c r="Q45" s="1682"/>
      <c r="R45" s="1770"/>
      <c r="S45" s="1681"/>
    </row>
    <row r="46" spans="1:19">
      <c r="A46" s="1679"/>
      <c r="B46" s="1694" t="s">
        <v>887</v>
      </c>
      <c r="C46" s="1673" t="s">
        <v>702</v>
      </c>
      <c r="D46" s="1683">
        <v>19</v>
      </c>
      <c r="E46" s="1659" t="s">
        <v>116</v>
      </c>
      <c r="F46" s="1794">
        <v>750</v>
      </c>
      <c r="G46" s="1798">
        <f t="shared" si="0"/>
        <v>14250</v>
      </c>
      <c r="H46" s="1770"/>
      <c r="I46" s="1680">
        <f t="shared" ref="I46" si="2">G46</f>
        <v>14250</v>
      </c>
      <c r="J46" s="1770"/>
      <c r="K46" s="1682"/>
      <c r="L46" s="1770"/>
      <c r="M46" s="1682"/>
      <c r="N46" s="1770"/>
      <c r="O46" s="1682"/>
      <c r="P46" s="1770"/>
      <c r="Q46" s="1682"/>
      <c r="R46" s="1770"/>
      <c r="S46" s="1681"/>
    </row>
    <row r="47" spans="1:19">
      <c r="A47" s="1818"/>
      <c r="B47" s="1819" t="s">
        <v>888</v>
      </c>
      <c r="C47" s="1820" t="s">
        <v>702</v>
      </c>
      <c r="D47" s="1821">
        <f>43</f>
        <v>43</v>
      </c>
      <c r="E47" s="1822" t="s">
        <v>723</v>
      </c>
      <c r="F47" s="1823">
        <v>150</v>
      </c>
      <c r="G47" s="1824">
        <f t="shared" si="0"/>
        <v>6450</v>
      </c>
      <c r="H47" s="1825"/>
      <c r="I47" s="1826">
        <f t="shared" ref="I47" si="3">G47</f>
        <v>6450</v>
      </c>
      <c r="J47" s="1825"/>
      <c r="K47" s="1682"/>
      <c r="L47" s="1770"/>
      <c r="M47" s="1682"/>
      <c r="N47" s="1770"/>
      <c r="O47" s="1682"/>
      <c r="P47" s="1770"/>
      <c r="Q47" s="1682"/>
      <c r="R47" s="1770"/>
      <c r="S47" s="1681"/>
    </row>
    <row r="48" spans="1:19" ht="26.25">
      <c r="A48" s="1679"/>
      <c r="B48" s="1827" t="s">
        <v>889</v>
      </c>
      <c r="C48" s="1673" t="s">
        <v>702</v>
      </c>
      <c r="D48" s="1683">
        <f>13*6</f>
        <v>78</v>
      </c>
      <c r="E48" s="1659" t="s">
        <v>116</v>
      </c>
      <c r="F48" s="1794">
        <f>F46</f>
        <v>750</v>
      </c>
      <c r="G48" s="1798">
        <f t="shared" si="0"/>
        <v>58500</v>
      </c>
      <c r="H48" s="1770"/>
      <c r="I48" s="1680">
        <f t="shared" ref="I48" si="4">G48</f>
        <v>58500</v>
      </c>
      <c r="J48" s="1770"/>
      <c r="K48" s="1682"/>
      <c r="L48" s="1770"/>
      <c r="M48" s="1682"/>
      <c r="N48" s="1770"/>
      <c r="O48" s="1682"/>
      <c r="P48" s="1770"/>
      <c r="Q48" s="1682"/>
      <c r="R48" s="1770"/>
      <c r="S48" s="1681"/>
    </row>
    <row r="49" spans="1:19" ht="26.25">
      <c r="A49" s="1679"/>
      <c r="B49" s="1827" t="s">
        <v>890</v>
      </c>
      <c r="C49" s="1673" t="s">
        <v>702</v>
      </c>
      <c r="D49" s="1683">
        <f>6*13</f>
        <v>78</v>
      </c>
      <c r="E49" s="1659" t="s">
        <v>116</v>
      </c>
      <c r="F49" s="1794">
        <f>F46</f>
        <v>750</v>
      </c>
      <c r="G49" s="1798">
        <f t="shared" si="0"/>
        <v>58500</v>
      </c>
      <c r="H49" s="1770"/>
      <c r="I49" s="1680">
        <f t="shared" ref="I49" si="5">G49</f>
        <v>58500</v>
      </c>
      <c r="J49" s="1770"/>
      <c r="K49" s="1682"/>
      <c r="L49" s="1770"/>
      <c r="M49" s="1682"/>
      <c r="N49" s="1770"/>
      <c r="O49" s="1682"/>
      <c r="P49" s="1770"/>
      <c r="Q49" s="1682"/>
      <c r="R49" s="1770"/>
      <c r="S49" s="1681"/>
    </row>
    <row r="50" spans="1:19">
      <c r="A50" s="1679"/>
      <c r="B50" s="1694" t="s">
        <v>891</v>
      </c>
      <c r="C50" s="1673" t="s">
        <v>702</v>
      </c>
      <c r="D50" s="1683">
        <v>1</v>
      </c>
      <c r="E50" s="1659" t="s">
        <v>714</v>
      </c>
      <c r="F50" s="1794">
        <f>F37</f>
        <v>3000</v>
      </c>
      <c r="G50" s="1798">
        <f t="shared" si="0"/>
        <v>3000</v>
      </c>
      <c r="H50" s="1770"/>
      <c r="I50" s="1680">
        <f t="shared" ref="I50" si="6">G50</f>
        <v>3000</v>
      </c>
      <c r="J50" s="1770"/>
      <c r="K50" s="1682"/>
      <c r="L50" s="1770"/>
      <c r="M50" s="1682"/>
      <c r="N50" s="1770"/>
      <c r="O50" s="1682"/>
      <c r="P50" s="1770"/>
      <c r="Q50" s="1682"/>
      <c r="R50" s="1770"/>
      <c r="S50" s="1681"/>
    </row>
    <row r="51" spans="1:19">
      <c r="A51" s="1679"/>
      <c r="B51" s="1828" t="s">
        <v>892</v>
      </c>
      <c r="C51" s="1133" t="s">
        <v>702</v>
      </c>
      <c r="D51" s="1124">
        <v>11</v>
      </c>
      <c r="E51" s="1124" t="s">
        <v>116</v>
      </c>
      <c r="F51" s="1794">
        <v>500</v>
      </c>
      <c r="G51" s="1798">
        <f t="shared" ref="G51:G62" si="7">D51*F51</f>
        <v>5500</v>
      </c>
      <c r="H51" s="1770"/>
      <c r="I51" s="1680">
        <f t="shared" ref="I51:I62" si="8">G51</f>
        <v>5500</v>
      </c>
      <c r="J51" s="1770"/>
      <c r="K51" s="1682"/>
      <c r="L51" s="1770"/>
      <c r="M51" s="1682"/>
      <c r="N51" s="1770"/>
      <c r="O51" s="1682"/>
      <c r="P51" s="1770"/>
      <c r="Q51" s="1682"/>
      <c r="R51" s="1770"/>
      <c r="S51" s="1681"/>
    </row>
    <row r="52" spans="1:19">
      <c r="A52" s="1679"/>
      <c r="B52" s="1828" t="s">
        <v>893</v>
      </c>
      <c r="C52" s="1133" t="s">
        <v>702</v>
      </c>
      <c r="D52" s="1124">
        <v>12</v>
      </c>
      <c r="E52" s="1124" t="s">
        <v>116</v>
      </c>
      <c r="F52" s="1794">
        <v>350</v>
      </c>
      <c r="G52" s="1798">
        <f t="shared" si="7"/>
        <v>4200</v>
      </c>
      <c r="H52" s="1770"/>
      <c r="I52" s="1680">
        <f t="shared" si="8"/>
        <v>4200</v>
      </c>
      <c r="J52" s="1770"/>
      <c r="K52" s="1682"/>
      <c r="L52" s="1770"/>
      <c r="M52" s="1682"/>
      <c r="N52" s="1770"/>
      <c r="O52" s="1682"/>
      <c r="P52" s="1770"/>
      <c r="Q52" s="1682"/>
      <c r="R52" s="1770"/>
      <c r="S52" s="1681"/>
    </row>
    <row r="53" spans="1:19">
      <c r="A53" s="1679"/>
      <c r="B53" s="1828" t="s">
        <v>894</v>
      </c>
      <c r="C53" s="1133" t="s">
        <v>702</v>
      </c>
      <c r="D53" s="1124">
        <v>12</v>
      </c>
      <c r="E53" s="1124" t="s">
        <v>116</v>
      </c>
      <c r="F53" s="1794">
        <f>F52</f>
        <v>350</v>
      </c>
      <c r="G53" s="1798">
        <f t="shared" si="7"/>
        <v>4200</v>
      </c>
      <c r="H53" s="1770"/>
      <c r="I53" s="1680">
        <f t="shared" si="8"/>
        <v>4200</v>
      </c>
      <c r="J53" s="1770"/>
      <c r="K53" s="1682"/>
      <c r="L53" s="1770"/>
      <c r="M53" s="1682"/>
      <c r="N53" s="1770"/>
      <c r="O53" s="1682"/>
      <c r="P53" s="1770"/>
      <c r="Q53" s="1682"/>
      <c r="R53" s="1770"/>
      <c r="S53" s="1681"/>
    </row>
    <row r="54" spans="1:19">
      <c r="A54" s="1679"/>
      <c r="B54" s="1829" t="s">
        <v>895</v>
      </c>
      <c r="C54" s="1133" t="s">
        <v>702</v>
      </c>
      <c r="D54" s="1124">
        <v>8.5</v>
      </c>
      <c r="E54" s="1124" t="s">
        <v>116</v>
      </c>
      <c r="F54" s="1794">
        <v>500</v>
      </c>
      <c r="G54" s="1798">
        <f t="shared" si="7"/>
        <v>4250</v>
      </c>
      <c r="H54" s="1770"/>
      <c r="I54" s="1680">
        <f t="shared" si="8"/>
        <v>4250</v>
      </c>
      <c r="J54" s="1770"/>
      <c r="K54" s="1682"/>
      <c r="L54" s="1770"/>
      <c r="M54" s="1682"/>
      <c r="N54" s="1770"/>
      <c r="O54" s="1682"/>
      <c r="P54" s="1770"/>
      <c r="Q54" s="1682"/>
      <c r="R54" s="1770"/>
      <c r="S54" s="1681"/>
    </row>
    <row r="55" spans="1:19">
      <c r="A55" s="1679"/>
      <c r="B55" s="1830" t="s">
        <v>896</v>
      </c>
      <c r="C55" s="1133" t="s">
        <v>702</v>
      </c>
      <c r="D55" s="1124">
        <v>36</v>
      </c>
      <c r="E55" s="1124" t="s">
        <v>116</v>
      </c>
      <c r="F55" s="1794">
        <v>650</v>
      </c>
      <c r="G55" s="1798">
        <f t="shared" si="7"/>
        <v>23400</v>
      </c>
      <c r="H55" s="1770"/>
      <c r="I55" s="1680">
        <f t="shared" si="8"/>
        <v>23400</v>
      </c>
      <c r="J55" s="1770"/>
      <c r="K55" s="1682"/>
      <c r="L55" s="1770"/>
      <c r="M55" s="1682"/>
      <c r="N55" s="1770"/>
      <c r="O55" s="1682"/>
      <c r="P55" s="1770"/>
      <c r="Q55" s="1682"/>
      <c r="R55" s="1770"/>
      <c r="S55" s="1681"/>
    </row>
    <row r="56" spans="1:19">
      <c r="A56" s="1679"/>
      <c r="B56" s="1829" t="s">
        <v>897</v>
      </c>
      <c r="C56" s="1133" t="s">
        <v>702</v>
      </c>
      <c r="D56" s="1124">
        <f>20+3</f>
        <v>23</v>
      </c>
      <c r="E56" s="1124" t="s">
        <v>116</v>
      </c>
      <c r="F56" s="1794">
        <f>F48</f>
        <v>750</v>
      </c>
      <c r="G56" s="1798">
        <f t="shared" si="7"/>
        <v>17250</v>
      </c>
      <c r="H56" s="1770"/>
      <c r="I56" s="1680">
        <f t="shared" si="8"/>
        <v>17250</v>
      </c>
      <c r="J56" s="1770"/>
      <c r="K56" s="1682"/>
      <c r="L56" s="1770"/>
      <c r="M56" s="1682"/>
      <c r="N56" s="1770"/>
      <c r="O56" s="1682"/>
      <c r="P56" s="1770"/>
      <c r="Q56" s="1682"/>
      <c r="R56" s="1770"/>
      <c r="S56" s="1681"/>
    </row>
    <row r="57" spans="1:19">
      <c r="A57" s="1679"/>
      <c r="B57" s="1829" t="s">
        <v>898</v>
      </c>
      <c r="C57" s="1133" t="s">
        <v>702</v>
      </c>
      <c r="D57" s="1124">
        <f>16+3</f>
        <v>19</v>
      </c>
      <c r="E57" s="1124" t="s">
        <v>116</v>
      </c>
      <c r="F57" s="1794">
        <f>F48</f>
        <v>750</v>
      </c>
      <c r="G57" s="1798">
        <f t="shared" si="7"/>
        <v>14250</v>
      </c>
      <c r="H57" s="1770"/>
      <c r="I57" s="1680">
        <f t="shared" si="8"/>
        <v>14250</v>
      </c>
      <c r="J57" s="1770"/>
      <c r="K57" s="1682"/>
      <c r="L57" s="1770"/>
      <c r="M57" s="1682"/>
      <c r="N57" s="1770"/>
      <c r="O57" s="1682"/>
      <c r="P57" s="1770"/>
      <c r="Q57" s="1682"/>
      <c r="R57" s="1770"/>
      <c r="S57" s="1681"/>
    </row>
    <row r="58" spans="1:19">
      <c r="A58" s="1679"/>
      <c r="B58" s="1830" t="s">
        <v>899</v>
      </c>
      <c r="C58" s="1133" t="s">
        <v>702</v>
      </c>
      <c r="D58" s="1124">
        <v>11</v>
      </c>
      <c r="E58" s="1124" t="s">
        <v>116</v>
      </c>
      <c r="F58" s="1794">
        <f>F45</f>
        <v>550</v>
      </c>
      <c r="G58" s="1798">
        <f t="shared" si="7"/>
        <v>6050</v>
      </c>
      <c r="H58" s="1770"/>
      <c r="I58" s="1680">
        <f t="shared" si="8"/>
        <v>6050</v>
      </c>
      <c r="J58" s="1770"/>
      <c r="K58" s="1682"/>
      <c r="L58" s="1770"/>
      <c r="M58" s="1682"/>
      <c r="N58" s="1770"/>
      <c r="O58" s="1682"/>
      <c r="P58" s="1770"/>
      <c r="Q58" s="1682"/>
      <c r="R58" s="1770"/>
      <c r="S58" s="1681"/>
    </row>
    <row r="59" spans="1:19">
      <c r="A59" s="1679"/>
      <c r="B59" s="1829" t="s">
        <v>900</v>
      </c>
      <c r="C59" s="1133" t="s">
        <v>702</v>
      </c>
      <c r="D59" s="1124">
        <v>24</v>
      </c>
      <c r="E59" s="1124" t="s">
        <v>116</v>
      </c>
      <c r="F59" s="1794">
        <v>550</v>
      </c>
      <c r="G59" s="1798">
        <f t="shared" si="7"/>
        <v>13200</v>
      </c>
      <c r="H59" s="1770"/>
      <c r="I59" s="1680">
        <f t="shared" si="8"/>
        <v>13200</v>
      </c>
      <c r="J59" s="1770"/>
      <c r="K59" s="1682"/>
      <c r="L59" s="1770"/>
      <c r="M59" s="1682"/>
      <c r="N59" s="1770"/>
      <c r="O59" s="1682"/>
      <c r="P59" s="1770"/>
      <c r="Q59" s="1682"/>
      <c r="R59" s="1770"/>
      <c r="S59" s="1681"/>
    </row>
    <row r="60" spans="1:19">
      <c r="A60" s="1679"/>
      <c r="B60" s="1829" t="s">
        <v>901</v>
      </c>
      <c r="C60" s="1133" t="s">
        <v>702</v>
      </c>
      <c r="D60" s="1124">
        <v>18</v>
      </c>
      <c r="E60" s="1124" t="s">
        <v>116</v>
      </c>
      <c r="F60" s="1794">
        <f>F59</f>
        <v>550</v>
      </c>
      <c r="G60" s="1798">
        <f t="shared" si="7"/>
        <v>9900</v>
      </c>
      <c r="H60" s="1770"/>
      <c r="I60" s="1680">
        <f t="shared" si="8"/>
        <v>9900</v>
      </c>
      <c r="J60" s="1770"/>
      <c r="K60" s="1682"/>
      <c r="L60" s="1770"/>
      <c r="M60" s="1682"/>
      <c r="N60" s="1770"/>
      <c r="O60" s="1682"/>
      <c r="P60" s="1770"/>
      <c r="Q60" s="1682"/>
      <c r="R60" s="1770"/>
      <c r="S60" s="1681"/>
    </row>
    <row r="61" spans="1:19">
      <c r="A61" s="1679"/>
      <c r="B61" s="1829" t="s">
        <v>902</v>
      </c>
      <c r="C61" s="1133" t="s">
        <v>702</v>
      </c>
      <c r="D61" s="1124">
        <v>15</v>
      </c>
      <c r="E61" s="1124" t="s">
        <v>116</v>
      </c>
      <c r="F61" s="1794">
        <f>F59</f>
        <v>550</v>
      </c>
      <c r="G61" s="1798">
        <f t="shared" si="7"/>
        <v>8250</v>
      </c>
      <c r="H61" s="1770"/>
      <c r="I61" s="1680">
        <f t="shared" si="8"/>
        <v>8250</v>
      </c>
      <c r="J61" s="1770"/>
      <c r="K61" s="1682"/>
      <c r="L61" s="1770"/>
      <c r="M61" s="1682"/>
      <c r="N61" s="1770"/>
      <c r="O61" s="1682"/>
      <c r="P61" s="1770"/>
      <c r="Q61" s="1682"/>
      <c r="R61" s="1770"/>
      <c r="S61" s="1681"/>
    </row>
    <row r="62" spans="1:19">
      <c r="A62" s="1679"/>
      <c r="B62" s="1829" t="s">
        <v>883</v>
      </c>
      <c r="C62" s="1133"/>
      <c r="D62" s="1124">
        <f>'Cost Summary'!N7</f>
        <v>11678</v>
      </c>
      <c r="E62" s="1124" t="s">
        <v>723</v>
      </c>
      <c r="F62" s="1794">
        <v>6</v>
      </c>
      <c r="G62" s="1798">
        <f t="shared" si="7"/>
        <v>70068</v>
      </c>
      <c r="H62" s="1770"/>
      <c r="I62" s="1680">
        <f t="shared" si="8"/>
        <v>70068</v>
      </c>
      <c r="J62" s="1770"/>
      <c r="K62" s="1682"/>
      <c r="L62" s="1770"/>
      <c r="M62" s="1682"/>
      <c r="N62" s="1770"/>
      <c r="O62" s="1682"/>
      <c r="P62" s="1770"/>
      <c r="Q62" s="1682"/>
      <c r="R62" s="1770"/>
      <c r="S62" s="1681"/>
    </row>
    <row r="63" spans="1:19">
      <c r="A63" s="1679"/>
      <c r="B63" s="1828"/>
      <c r="C63" s="1133"/>
      <c r="D63" s="1124"/>
      <c r="E63" s="1124"/>
      <c r="F63" s="1794"/>
      <c r="G63" s="1798"/>
      <c r="H63" s="1770"/>
      <c r="I63" s="1680"/>
      <c r="J63" s="1770"/>
      <c r="K63" s="1682"/>
      <c r="L63" s="1770"/>
      <c r="M63" s="1682"/>
      <c r="N63" s="1770"/>
      <c r="O63" s="1682"/>
      <c r="P63" s="1770"/>
      <c r="Q63" s="1682"/>
      <c r="R63" s="1770"/>
      <c r="S63" s="1681"/>
    </row>
    <row r="64" spans="1:19">
      <c r="A64" s="1679"/>
      <c r="B64" s="1329" t="s">
        <v>703</v>
      </c>
      <c r="C64" s="1799"/>
      <c r="D64" s="1800"/>
      <c r="E64" s="1801"/>
      <c r="F64" s="1802"/>
      <c r="G64" s="1803"/>
      <c r="H64" s="1804"/>
      <c r="I64" s="1805"/>
      <c r="J64" s="1804"/>
      <c r="K64" s="1806"/>
      <c r="L64" s="1804"/>
      <c r="M64" s="1806"/>
      <c r="N64" s="1804"/>
      <c r="O64" s="1806"/>
      <c r="P64" s="1804"/>
      <c r="Q64" s="1806"/>
      <c r="R64" s="1804"/>
      <c r="S64" s="1807"/>
    </row>
    <row r="65" spans="1:19">
      <c r="A65" s="1679"/>
      <c r="B65" s="1694"/>
      <c r="C65" s="1673"/>
      <c r="D65" s="1683"/>
      <c r="E65" s="1659"/>
      <c r="F65" s="1794"/>
      <c r="G65" s="1798"/>
      <c r="H65" s="1770"/>
      <c r="I65" s="1680"/>
      <c r="J65" s="1770"/>
      <c r="K65" s="1682"/>
      <c r="L65" s="1770"/>
      <c r="M65" s="1682"/>
      <c r="N65" s="1770"/>
      <c r="O65" s="1682"/>
      <c r="P65" s="1770"/>
      <c r="Q65" s="1682"/>
      <c r="R65" s="1770"/>
      <c r="S65" s="1681"/>
    </row>
    <row r="66" spans="1:19">
      <c r="A66" s="1679"/>
      <c r="B66" s="1808" t="s">
        <v>704</v>
      </c>
      <c r="C66" s="1809"/>
      <c r="D66" s="1810"/>
      <c r="E66" s="1811"/>
      <c r="F66" s="1812"/>
      <c r="G66" s="1813"/>
      <c r="H66" s="1814"/>
      <c r="I66" s="1815"/>
      <c r="J66" s="1814"/>
      <c r="K66" s="1816"/>
      <c r="L66" s="1814"/>
      <c r="M66" s="1816"/>
      <c r="N66" s="1814"/>
      <c r="O66" s="1816"/>
      <c r="P66" s="1814"/>
      <c r="Q66" s="1816"/>
      <c r="R66" s="1814"/>
      <c r="S66" s="1817"/>
    </row>
    <row r="67" spans="1:19">
      <c r="A67" s="1679"/>
      <c r="B67" s="1694" t="s">
        <v>903</v>
      </c>
      <c r="C67" s="1133" t="s">
        <v>702</v>
      </c>
      <c r="D67" s="1124">
        <v>1</v>
      </c>
      <c r="E67" s="1124" t="s">
        <v>116</v>
      </c>
      <c r="F67" s="1794">
        <f>F37</f>
        <v>3000</v>
      </c>
      <c r="G67" s="1798">
        <f>D67*F67</f>
        <v>3000</v>
      </c>
      <c r="H67" s="1770"/>
      <c r="I67" s="1680">
        <f>G67</f>
        <v>3000</v>
      </c>
      <c r="J67" s="1770"/>
      <c r="K67" s="1682"/>
      <c r="L67" s="1770"/>
      <c r="M67" s="1682"/>
      <c r="N67" s="1770"/>
      <c r="O67" s="1682"/>
      <c r="P67" s="1770"/>
      <c r="Q67" s="1682"/>
      <c r="R67" s="1770"/>
      <c r="S67" s="1681"/>
    </row>
    <row r="68" spans="1:19">
      <c r="A68" s="1679"/>
      <c r="B68" s="1694" t="s">
        <v>904</v>
      </c>
      <c r="C68" s="1133" t="s">
        <v>905</v>
      </c>
      <c r="D68" s="1124">
        <v>1</v>
      </c>
      <c r="E68" s="1124" t="s">
        <v>116</v>
      </c>
      <c r="F68" s="1794">
        <f>F37</f>
        <v>3000</v>
      </c>
      <c r="G68" s="1798">
        <f>D68*F68</f>
        <v>3000</v>
      </c>
      <c r="H68" s="1770"/>
      <c r="I68" s="1680">
        <f>G68</f>
        <v>3000</v>
      </c>
      <c r="J68" s="1770"/>
      <c r="K68" s="1682"/>
      <c r="L68" s="1770"/>
      <c r="M68" s="1682"/>
      <c r="N68" s="1770"/>
      <c r="O68" s="1682"/>
      <c r="P68" s="1770"/>
      <c r="Q68" s="1682"/>
      <c r="R68" s="1770"/>
      <c r="S68" s="1681"/>
    </row>
    <row r="69" spans="1:19">
      <c r="A69" s="1679"/>
      <c r="B69" s="1694" t="s">
        <v>906</v>
      </c>
      <c r="C69" s="1133" t="s">
        <v>905</v>
      </c>
      <c r="D69" s="1124">
        <v>26</v>
      </c>
      <c r="E69" s="1124" t="s">
        <v>116</v>
      </c>
      <c r="F69" s="1794">
        <v>500</v>
      </c>
      <c r="G69" s="1798">
        <f>D69*F69</f>
        <v>13000</v>
      </c>
      <c r="H69" s="1770"/>
      <c r="I69" s="1680">
        <f>G69</f>
        <v>13000</v>
      </c>
      <c r="J69" s="1770"/>
      <c r="K69" s="1682"/>
      <c r="L69" s="1770"/>
      <c r="M69" s="1682"/>
      <c r="N69" s="1770"/>
      <c r="O69" s="1682"/>
      <c r="P69" s="1770"/>
      <c r="Q69" s="1682"/>
      <c r="R69" s="1770"/>
      <c r="S69" s="1681"/>
    </row>
    <row r="70" spans="1:19">
      <c r="A70" s="1679"/>
      <c r="B70" s="1694" t="s">
        <v>883</v>
      </c>
      <c r="C70" s="1133"/>
      <c r="D70" s="1124">
        <f>'Cost Summary'!$R$7</f>
        <v>11225</v>
      </c>
      <c r="E70" s="1124" t="s">
        <v>723</v>
      </c>
      <c r="F70" s="1794">
        <v>4</v>
      </c>
      <c r="G70" s="1798">
        <f>D70*F70</f>
        <v>44900</v>
      </c>
      <c r="H70" s="1770"/>
      <c r="I70" s="1680">
        <f>G70</f>
        <v>44900</v>
      </c>
      <c r="J70" s="1770"/>
      <c r="K70" s="1682"/>
      <c r="L70" s="1770"/>
      <c r="M70" s="1682"/>
      <c r="N70" s="1770"/>
      <c r="O70" s="1682"/>
      <c r="P70" s="1770"/>
      <c r="Q70" s="1682"/>
      <c r="R70" s="1770"/>
      <c r="S70" s="1681"/>
    </row>
    <row r="71" spans="1:19">
      <c r="A71" s="1679"/>
      <c r="B71" s="1694"/>
      <c r="C71" s="1673"/>
      <c r="D71" s="1683"/>
      <c r="E71" s="1659"/>
      <c r="F71" s="1794"/>
      <c r="G71" s="1798"/>
      <c r="H71" s="1770"/>
      <c r="I71" s="1680"/>
      <c r="J71" s="1770"/>
      <c r="K71" s="1682"/>
      <c r="L71" s="1770"/>
      <c r="M71" s="1682"/>
      <c r="N71" s="1770"/>
      <c r="O71" s="1682"/>
      <c r="P71" s="1770"/>
      <c r="Q71" s="1682"/>
      <c r="R71" s="1770"/>
      <c r="S71" s="1681"/>
    </row>
    <row r="72" spans="1:19">
      <c r="A72" s="1679"/>
      <c r="B72" s="1329" t="s">
        <v>705</v>
      </c>
      <c r="C72" s="1799"/>
      <c r="D72" s="1800"/>
      <c r="E72" s="1801"/>
      <c r="F72" s="1802"/>
      <c r="G72" s="1803"/>
      <c r="H72" s="1804"/>
      <c r="I72" s="1805"/>
      <c r="J72" s="1804"/>
      <c r="K72" s="1806"/>
      <c r="L72" s="1804"/>
      <c r="M72" s="1806"/>
      <c r="N72" s="1804"/>
      <c r="O72" s="1806"/>
      <c r="P72" s="1804"/>
      <c r="Q72" s="1806"/>
      <c r="R72" s="1804"/>
      <c r="S72" s="1807"/>
    </row>
    <row r="73" spans="1:19">
      <c r="A73" s="1679"/>
      <c r="B73" s="1694"/>
      <c r="C73" s="1673"/>
      <c r="D73" s="1683"/>
      <c r="E73" s="1659"/>
      <c r="F73" s="1794"/>
      <c r="G73" s="1798"/>
      <c r="H73" s="1770"/>
      <c r="I73" s="1680"/>
      <c r="J73" s="1770"/>
      <c r="K73" s="1682"/>
      <c r="L73" s="1770"/>
      <c r="M73" s="1682"/>
      <c r="N73" s="1770"/>
      <c r="O73" s="1682"/>
      <c r="P73" s="1770"/>
      <c r="Q73" s="1682"/>
      <c r="R73" s="1770"/>
      <c r="S73" s="1681"/>
    </row>
    <row r="74" spans="1:19">
      <c r="A74" s="1679"/>
      <c r="B74" s="1808" t="s">
        <v>602</v>
      </c>
      <c r="C74" s="1809"/>
      <c r="D74" s="1810"/>
      <c r="E74" s="1811"/>
      <c r="F74" s="1812"/>
      <c r="G74" s="1813"/>
      <c r="H74" s="1814"/>
      <c r="I74" s="1815"/>
      <c r="J74" s="1814"/>
      <c r="K74" s="1816"/>
      <c r="L74" s="1814"/>
      <c r="M74" s="1816"/>
      <c r="N74" s="1814"/>
      <c r="O74" s="1816"/>
      <c r="P74" s="1814"/>
      <c r="Q74" s="1816"/>
      <c r="R74" s="1814"/>
      <c r="S74" s="1817"/>
    </row>
    <row r="75" spans="1:19">
      <c r="A75" s="1679"/>
      <c r="B75" s="1694"/>
      <c r="C75" s="1673"/>
      <c r="D75" s="1683"/>
      <c r="E75" s="1659"/>
      <c r="F75" s="1794"/>
      <c r="G75" s="1798"/>
      <c r="H75" s="1770"/>
      <c r="I75" s="1680"/>
      <c r="J75" s="1770"/>
      <c r="K75" s="1682"/>
      <c r="L75" s="1770"/>
      <c r="M75" s="1682"/>
      <c r="N75" s="1770"/>
      <c r="O75" s="1682"/>
      <c r="P75" s="1770"/>
      <c r="Q75" s="1682"/>
      <c r="R75" s="1770"/>
      <c r="S75" s="1681"/>
    </row>
    <row r="76" spans="1:19">
      <c r="A76" s="1679"/>
      <c r="B76" s="1694"/>
      <c r="C76" s="1673"/>
      <c r="D76" s="1683"/>
      <c r="E76" s="1659"/>
      <c r="F76" s="1794"/>
      <c r="G76" s="1798"/>
      <c r="H76" s="1770"/>
      <c r="I76" s="1680"/>
      <c r="J76" s="1770"/>
      <c r="K76" s="1682"/>
      <c r="L76" s="1770"/>
      <c r="M76" s="1682"/>
      <c r="N76" s="1770"/>
      <c r="O76" s="1682"/>
      <c r="P76" s="1770"/>
      <c r="Q76" s="1682"/>
      <c r="R76" s="1770"/>
      <c r="S76" s="1681"/>
    </row>
    <row r="77" spans="1:19" ht="15.75" thickBot="1">
      <c r="A77" s="1679"/>
      <c r="B77" s="1694"/>
      <c r="C77" s="1695"/>
      <c r="D77" s="1683"/>
      <c r="E77" s="1659"/>
      <c r="F77" s="1659"/>
      <c r="G77" s="1673"/>
      <c r="H77" s="1770"/>
      <c r="I77" s="1681"/>
      <c r="J77" s="1770"/>
      <c r="K77" s="1682"/>
      <c r="L77" s="1770"/>
      <c r="M77" s="1681"/>
      <c r="N77" s="1770"/>
      <c r="O77" s="1682"/>
      <c r="P77" s="1770"/>
      <c r="Q77" s="1682"/>
      <c r="R77" s="1770"/>
      <c r="S77" s="1682"/>
    </row>
    <row r="78" spans="1:19" ht="15.75" thickTop="1">
      <c r="A78" s="76"/>
      <c r="B78" s="77"/>
      <c r="C78" s="78"/>
      <c r="D78" s="78"/>
      <c r="E78" s="79"/>
      <c r="F78" s="80" t="s">
        <v>567</v>
      </c>
      <c r="G78" s="90"/>
      <c r="H78" s="83"/>
      <c r="I78" s="82">
        <f>SUM(I24:I77)</f>
        <v>504620</v>
      </c>
      <c r="J78" s="81"/>
      <c r="K78" s="82">
        <f>SUM(K24:K77)</f>
        <v>0</v>
      </c>
      <c r="L78" s="83"/>
      <c r="M78" s="82">
        <f>SUM(M24:M77)</f>
        <v>0</v>
      </c>
      <c r="N78" s="83"/>
      <c r="O78" s="82">
        <f>SUM(O24:O77)</f>
        <v>0</v>
      </c>
      <c r="P78" s="83"/>
      <c r="Q78" s="82">
        <f>SUM(Q24:Q77)</f>
        <v>0</v>
      </c>
      <c r="R78" s="83"/>
      <c r="S78" s="82">
        <f>SUM(S25:S77)</f>
        <v>0</v>
      </c>
    </row>
    <row r="79" spans="1:19">
      <c r="A79" s="1831"/>
      <c r="B79" s="1697"/>
      <c r="C79" s="1698"/>
      <c r="D79" s="1698"/>
      <c r="E79" s="1699"/>
      <c r="F79" s="1700" t="s">
        <v>568</v>
      </c>
      <c r="G79" s="1701"/>
      <c r="H79" s="1832">
        <v>0</v>
      </c>
      <c r="I79" s="1833"/>
      <c r="J79" s="1834">
        <v>0</v>
      </c>
      <c r="K79" s="1833"/>
      <c r="L79" s="1832">
        <v>0</v>
      </c>
      <c r="M79" s="1833"/>
      <c r="N79" s="1832">
        <v>0</v>
      </c>
      <c r="O79" s="1833"/>
      <c r="P79" s="1832">
        <v>0</v>
      </c>
      <c r="Q79" s="1833"/>
      <c r="R79" s="1832">
        <v>0</v>
      </c>
      <c r="S79" s="1833"/>
    </row>
    <row r="80" spans="1:19">
      <c r="A80" s="1831"/>
      <c r="B80" s="1697"/>
      <c r="C80" s="1698"/>
      <c r="D80" s="1698"/>
      <c r="E80" s="1699"/>
      <c r="F80" s="1700" t="s">
        <v>569</v>
      </c>
      <c r="G80" s="1701"/>
      <c r="H80" s="1835"/>
      <c r="I80" s="1836">
        <f>H79*I78</f>
        <v>0</v>
      </c>
      <c r="J80" s="1707"/>
      <c r="K80" s="1836">
        <f>J79*K78</f>
        <v>0</v>
      </c>
      <c r="L80" s="1835"/>
      <c r="M80" s="1836">
        <f>L79*M78</f>
        <v>0</v>
      </c>
      <c r="N80" s="1835"/>
      <c r="O80" s="1836">
        <f>N79*O78</f>
        <v>0</v>
      </c>
      <c r="P80" s="1835"/>
      <c r="Q80" s="1836">
        <f>P79*Q78</f>
        <v>0</v>
      </c>
      <c r="R80" s="1835"/>
      <c r="S80" s="1836">
        <f>R79*S78</f>
        <v>0</v>
      </c>
    </row>
    <row r="81" spans="1:19">
      <c r="A81" s="1831"/>
      <c r="B81" s="1697"/>
      <c r="C81" s="1698"/>
      <c r="D81" s="1698"/>
      <c r="E81" s="1699"/>
      <c r="F81" s="1700"/>
      <c r="G81" s="1701"/>
      <c r="H81" s="1837"/>
      <c r="I81" s="1838"/>
      <c r="J81" s="1707"/>
      <c r="K81" s="1839"/>
      <c r="L81" s="1835"/>
      <c r="M81" s="1839"/>
      <c r="N81" s="1835"/>
      <c r="O81" s="1839"/>
      <c r="P81" s="1835"/>
      <c r="Q81" s="1839"/>
      <c r="R81" s="1835"/>
      <c r="S81" s="1839"/>
    </row>
    <row r="82" spans="1:19">
      <c r="A82" s="1831"/>
      <c r="B82" s="1697"/>
      <c r="C82" s="1698"/>
      <c r="D82" s="1698"/>
      <c r="E82" s="1699"/>
      <c r="F82" s="1700" t="s">
        <v>570</v>
      </c>
      <c r="G82" s="1701"/>
      <c r="H82" s="1840"/>
      <c r="I82" s="1838">
        <f>SUM(I78:I81)</f>
        <v>504620</v>
      </c>
      <c r="J82" s="1711"/>
      <c r="K82" s="1838">
        <f>SUM(K78:K81)</f>
        <v>0</v>
      </c>
      <c r="L82" s="1840"/>
      <c r="M82" s="1838">
        <f>SUM(M78:M81)</f>
        <v>0</v>
      </c>
      <c r="N82" s="1840"/>
      <c r="O82" s="1838">
        <f>SUM(O78:O81)</f>
        <v>0</v>
      </c>
      <c r="P82" s="1840"/>
      <c r="Q82" s="1838">
        <f>SUM(Q78:Q81)</f>
        <v>0</v>
      </c>
      <c r="R82" s="1840"/>
      <c r="S82" s="1838">
        <f>SUM(S78:S81)</f>
        <v>0</v>
      </c>
    </row>
    <row r="83" spans="1:19">
      <c r="A83" s="1831"/>
      <c r="B83" s="1697"/>
      <c r="C83" s="1698"/>
      <c r="D83" s="1698"/>
      <c r="E83" s="1699"/>
      <c r="F83" s="1700" t="s">
        <v>571</v>
      </c>
      <c r="G83" s="1712"/>
      <c r="H83" s="1841"/>
      <c r="I83" s="1741" t="e">
        <f>I82/'Area Calculations'!$J$4</f>
        <v>#DIV/0!</v>
      </c>
      <c r="J83" s="1714"/>
      <c r="K83" s="1741" t="e">
        <f>K82/'Area Calculations'!$J$4</f>
        <v>#DIV/0!</v>
      </c>
      <c r="L83" s="1841"/>
      <c r="M83" s="1741" t="e">
        <f>M82/'Area Calculations'!$J$4</f>
        <v>#DIV/0!</v>
      </c>
      <c r="N83" s="1841"/>
      <c r="O83" s="1741" t="e">
        <f>O82/'Area Calculations'!$J$4</f>
        <v>#DIV/0!</v>
      </c>
      <c r="P83" s="1841"/>
      <c r="Q83" s="1741" t="e">
        <f>Q82/'Area Calculations'!$J$4</f>
        <v>#DIV/0!</v>
      </c>
      <c r="R83" s="1841"/>
      <c r="S83" s="1741" t="e">
        <f>S82/'Area Calculations'!$J$4</f>
        <v>#DIV/0!</v>
      </c>
    </row>
    <row r="84" spans="1:19">
      <c r="A84" s="1831"/>
      <c r="B84" s="1697"/>
      <c r="C84" s="1698"/>
      <c r="D84" s="1698"/>
      <c r="E84" s="1699"/>
      <c r="F84" s="1700" t="s">
        <v>572</v>
      </c>
      <c r="G84" s="1701"/>
      <c r="H84" s="1841"/>
      <c r="I84" s="1741" t="e">
        <f>I82/'Area Calculations'!#REF!</f>
        <v>#REF!</v>
      </c>
      <c r="J84" s="1714"/>
      <c r="K84" s="1741" t="e">
        <f>K82/'Area Calculations'!#REF!</f>
        <v>#REF!</v>
      </c>
      <c r="L84" s="1841"/>
      <c r="M84" s="1741" t="e">
        <f>M82/'Area Calculations'!#REF!</f>
        <v>#REF!</v>
      </c>
      <c r="N84" s="1841"/>
      <c r="O84" s="1741" t="e">
        <f>O82/'Area Calculations'!#REF!</f>
        <v>#REF!</v>
      </c>
      <c r="P84" s="1841"/>
      <c r="Q84" s="1741" t="e">
        <f>Q82/'Area Calculations'!#REF!</f>
        <v>#REF!</v>
      </c>
      <c r="R84" s="1841"/>
      <c r="S84" s="1741" t="e">
        <f>S82/'Area Calculations'!#REF!</f>
        <v>#REF!</v>
      </c>
    </row>
    <row r="85" spans="1:19" ht="15.75" thickBot="1">
      <c r="A85" s="1831"/>
      <c r="B85" s="1156"/>
      <c r="C85" s="1157"/>
      <c r="D85" s="1157"/>
      <c r="E85" s="1158"/>
      <c r="F85" s="1159"/>
      <c r="G85" s="1533"/>
      <c r="H85" s="1742"/>
      <c r="I85" s="1743"/>
      <c r="J85" s="1842"/>
      <c r="K85" s="1843"/>
      <c r="L85" s="1843"/>
      <c r="M85" s="1843"/>
      <c r="N85" s="1843"/>
      <c r="O85" s="1843"/>
      <c r="P85" s="1843"/>
      <c r="Q85" s="1843"/>
      <c r="R85" s="1843"/>
      <c r="S85" s="1843"/>
    </row>
    <row r="86" spans="1:19" ht="16.5" thickTop="1" thickBot="1">
      <c r="A86" s="726" t="s">
        <v>573</v>
      </c>
      <c r="B86" s="727"/>
      <c r="C86" s="12"/>
      <c r="D86" s="12"/>
      <c r="E86" s="12"/>
      <c r="F86" s="12"/>
      <c r="G86" s="13"/>
      <c r="H86" s="21"/>
      <c r="I86" s="21"/>
      <c r="J86" s="52"/>
      <c r="K86" s="21"/>
      <c r="L86" s="21"/>
      <c r="M86" s="21"/>
      <c r="N86" s="21"/>
      <c r="O86" s="21"/>
      <c r="P86" s="21"/>
      <c r="Q86" s="21"/>
      <c r="R86" s="21"/>
      <c r="S86" s="21"/>
    </row>
    <row r="87" spans="1:19" ht="15.75" thickTop="1">
      <c r="A87" s="1844"/>
      <c r="B87" s="862"/>
      <c r="C87" s="1845"/>
      <c r="D87" s="1845"/>
      <c r="E87" s="1845"/>
      <c r="F87" s="1845"/>
      <c r="G87" s="1846"/>
      <c r="H87" s="1847"/>
      <c r="I87" s="1847"/>
      <c r="J87" s="1848"/>
      <c r="K87" s="1847"/>
      <c r="L87" s="1847"/>
      <c r="M87" s="1847"/>
      <c r="N87" s="1847"/>
      <c r="O87" s="1847"/>
      <c r="P87" s="1847"/>
      <c r="Q87" s="1847"/>
      <c r="R87" s="1847"/>
      <c r="S87" s="1847"/>
    </row>
    <row r="88" spans="1:19">
      <c r="A88" s="1844"/>
      <c r="B88" s="862"/>
      <c r="C88" s="1845"/>
      <c r="D88" s="1845"/>
      <c r="E88" s="1845"/>
      <c r="F88" s="1845"/>
      <c r="G88" s="1846"/>
      <c r="H88" s="1847"/>
      <c r="I88" s="1847"/>
      <c r="J88" s="1848"/>
      <c r="K88" s="1847"/>
      <c r="L88" s="1847"/>
      <c r="M88" s="1847"/>
      <c r="N88" s="1847"/>
      <c r="O88" s="1847"/>
      <c r="P88" s="1847"/>
      <c r="Q88" s="1847"/>
      <c r="R88" s="1847"/>
      <c r="S88" s="1847"/>
    </row>
    <row r="89" spans="1:19" ht="15.75" thickBot="1">
      <c r="A89" s="1844"/>
      <c r="B89" s="862"/>
      <c r="C89" s="1845"/>
      <c r="D89" s="1845"/>
      <c r="E89" s="1845"/>
      <c r="F89" s="1845"/>
      <c r="G89" s="1846"/>
      <c r="H89" s="1847"/>
      <c r="I89" s="1847"/>
      <c r="J89" s="1848"/>
      <c r="K89" s="1847"/>
      <c r="L89" s="1847"/>
      <c r="M89" s="1847"/>
      <c r="N89" s="1847"/>
      <c r="O89" s="1847"/>
      <c r="P89" s="1847"/>
      <c r="Q89" s="1847"/>
      <c r="R89" s="1847"/>
      <c r="S89" s="1847"/>
    </row>
    <row r="90" spans="1:19" s="67" customFormat="1" ht="16.5" thickTop="1" thickBot="1">
      <c r="A90" s="726" t="s">
        <v>574</v>
      </c>
      <c r="B90" s="727"/>
      <c r="C90" s="12"/>
      <c r="D90" s="12"/>
      <c r="E90" s="12"/>
      <c r="F90" s="12"/>
      <c r="G90" s="13"/>
      <c r="H90" s="21"/>
      <c r="I90" s="21"/>
      <c r="J90" s="52"/>
      <c r="K90" s="21"/>
      <c r="L90" s="21"/>
      <c r="M90" s="21"/>
      <c r="N90" s="21"/>
      <c r="O90" s="21"/>
      <c r="P90" s="21"/>
      <c r="Q90" s="21"/>
      <c r="R90" s="21"/>
      <c r="S90" s="21"/>
    </row>
    <row r="91" spans="1:19" s="67" customFormat="1" ht="15.75" thickTop="1">
      <c r="A91" s="1844"/>
      <c r="B91" s="862"/>
      <c r="C91" s="1845"/>
      <c r="D91" s="1845"/>
      <c r="E91" s="1845"/>
      <c r="F91" s="1845"/>
      <c r="G91" s="1846"/>
      <c r="H91" s="1847"/>
      <c r="I91" s="1847"/>
      <c r="J91" s="1848"/>
      <c r="K91" s="1847"/>
      <c r="L91" s="1847"/>
      <c r="M91" s="1847"/>
      <c r="N91" s="1847"/>
      <c r="O91" s="1847"/>
      <c r="P91" s="1847"/>
      <c r="Q91" s="1847"/>
      <c r="R91" s="1847"/>
      <c r="S91" s="1847"/>
    </row>
    <row r="92" spans="1:19" s="67" customFormat="1">
      <c r="A92" s="1844"/>
      <c r="B92" s="862"/>
      <c r="C92" s="1845"/>
      <c r="D92" s="1845"/>
      <c r="E92" s="1845"/>
      <c r="F92" s="1845"/>
      <c r="G92" s="1846"/>
      <c r="H92" s="1847"/>
      <c r="I92" s="1847"/>
      <c r="J92" s="1848"/>
      <c r="K92" s="1847"/>
      <c r="L92" s="1847"/>
      <c r="M92" s="1847"/>
      <c r="N92" s="1847"/>
      <c r="O92" s="1847"/>
      <c r="P92" s="1847"/>
      <c r="Q92" s="1847"/>
      <c r="R92" s="1847"/>
      <c r="S92" s="1847"/>
    </row>
    <row r="93" spans="1:19" ht="15.75" thickBot="1">
      <c r="A93" s="1844"/>
      <c r="B93" s="862"/>
      <c r="C93" s="1845"/>
      <c r="D93" s="1845"/>
      <c r="E93" s="1845"/>
      <c r="F93" s="1845"/>
      <c r="G93" s="1846"/>
      <c r="H93" s="1847"/>
      <c r="I93" s="1847"/>
      <c r="J93" s="1848"/>
      <c r="K93" s="1847"/>
      <c r="L93" s="1847"/>
      <c r="M93" s="1847"/>
      <c r="N93" s="1847"/>
      <c r="O93" s="1847"/>
      <c r="P93" s="1847"/>
      <c r="Q93" s="1847"/>
      <c r="R93" s="1847"/>
      <c r="S93" s="1847"/>
    </row>
    <row r="94" spans="1:19" s="67" customFormat="1" ht="16.5" thickTop="1" thickBot="1">
      <c r="A94" s="726" t="s">
        <v>575</v>
      </c>
      <c r="B94" s="727"/>
      <c r="C94" s="12"/>
      <c r="D94" s="12"/>
      <c r="E94" s="12"/>
      <c r="F94" s="12"/>
      <c r="G94" s="13"/>
      <c r="H94" s="21"/>
      <c r="I94" s="21"/>
      <c r="J94" s="52"/>
      <c r="K94" s="21"/>
      <c r="L94" s="21"/>
      <c r="M94" s="21"/>
      <c r="N94" s="21"/>
      <c r="O94" s="21"/>
      <c r="P94" s="21"/>
      <c r="Q94" s="21"/>
      <c r="R94" s="21"/>
      <c r="S94" s="21"/>
    </row>
    <row r="95" spans="1:19" s="67" customFormat="1" ht="15.75" thickTop="1">
      <c r="A95" s="1844"/>
      <c r="B95" s="862"/>
      <c r="C95" s="1845"/>
      <c r="D95" s="1845"/>
      <c r="E95" s="1845"/>
      <c r="F95" s="1845"/>
      <c r="G95" s="1846"/>
      <c r="H95" s="1847"/>
      <c r="I95" s="1847"/>
      <c r="J95" s="1848"/>
      <c r="K95" s="1847"/>
      <c r="L95" s="1847"/>
      <c r="M95" s="1847"/>
      <c r="N95" s="1847"/>
      <c r="O95" s="1847"/>
      <c r="P95" s="1847"/>
      <c r="Q95" s="1847"/>
      <c r="R95" s="1847"/>
      <c r="S95" s="1847"/>
    </row>
    <row r="96" spans="1:19" s="67" customFormat="1">
      <c r="A96" s="1768"/>
      <c r="B96" s="862"/>
      <c r="C96" s="1124"/>
      <c r="D96" s="1124"/>
      <c r="E96" s="1124"/>
      <c r="F96" s="1124"/>
      <c r="G96" s="1133"/>
      <c r="H96" s="1745"/>
      <c r="I96" s="1745"/>
      <c r="J96" s="1170"/>
      <c r="K96" s="1745"/>
      <c r="L96" s="1745"/>
      <c r="M96" s="1745"/>
      <c r="N96" s="1745"/>
      <c r="O96" s="1745"/>
      <c r="P96" s="1745"/>
      <c r="Q96" s="1745"/>
      <c r="R96" s="1745"/>
      <c r="S96" s="1745"/>
    </row>
    <row r="97" spans="1:19" s="67" customFormat="1" ht="15.75" thickBot="1">
      <c r="A97" s="1746"/>
      <c r="B97" s="1171"/>
      <c r="C97" s="1124"/>
      <c r="D97" s="1124"/>
      <c r="E97" s="1124"/>
      <c r="F97" s="1124"/>
      <c r="G97" s="1133"/>
      <c r="H97" s="1747"/>
      <c r="I97" s="1747"/>
      <c r="J97" s="1172"/>
      <c r="K97" s="1747"/>
      <c r="L97" s="1747"/>
      <c r="M97" s="1747"/>
      <c r="N97" s="1747"/>
      <c r="O97" s="1747"/>
      <c r="P97" s="1747"/>
      <c r="Q97" s="1747"/>
      <c r="R97" s="1747"/>
      <c r="S97" s="1747"/>
    </row>
    <row r="98" spans="1:19" s="67" customFormat="1" ht="16.5" thickTop="1" thickBot="1">
      <c r="A98" s="726" t="s">
        <v>576</v>
      </c>
      <c r="B98" s="727"/>
      <c r="C98" s="12"/>
      <c r="D98" s="12"/>
      <c r="E98" s="12"/>
      <c r="F98" s="12"/>
      <c r="G98" s="13"/>
      <c r="H98" s="21"/>
      <c r="I98" s="21"/>
      <c r="J98" s="52"/>
      <c r="K98" s="21"/>
      <c r="L98" s="21"/>
      <c r="M98" s="21"/>
      <c r="N98" s="21"/>
      <c r="O98" s="21"/>
      <c r="P98" s="21"/>
      <c r="Q98" s="21"/>
      <c r="R98" s="21"/>
      <c r="S98" s="21"/>
    </row>
    <row r="99" spans="1:19" ht="15.75" thickTop="1">
      <c r="A99" s="1849"/>
      <c r="B99" s="1850"/>
      <c r="C99" s="1845"/>
      <c r="D99" s="1845"/>
      <c r="E99" s="1845"/>
      <c r="F99" s="1845"/>
      <c r="G99" s="1846"/>
      <c r="H99" s="1847"/>
      <c r="I99" s="1847"/>
      <c r="J99" s="1848"/>
      <c r="K99" s="1847"/>
      <c r="L99" s="1847"/>
      <c r="M99" s="1847"/>
      <c r="N99" s="1847"/>
      <c r="O99" s="1847"/>
      <c r="P99" s="1847"/>
      <c r="Q99" s="1847"/>
      <c r="R99" s="1847"/>
      <c r="S99" s="1847"/>
    </row>
    <row r="100" spans="1:19">
      <c r="A100" s="1746"/>
      <c r="B100" s="1171"/>
      <c r="C100" s="1124"/>
      <c r="D100" s="1124"/>
      <c r="E100" s="1124"/>
      <c r="F100" s="1124"/>
      <c r="G100" s="1133"/>
      <c r="H100" s="1748"/>
      <c r="I100" s="1748"/>
      <c r="J100" s="1175"/>
      <c r="K100" s="1748"/>
      <c r="L100" s="1748"/>
      <c r="M100" s="1748"/>
      <c r="N100" s="1748"/>
      <c r="O100" s="1748"/>
      <c r="P100" s="1748"/>
      <c r="Q100" s="1748"/>
      <c r="R100" s="1748"/>
      <c r="S100" s="1748"/>
    </row>
    <row r="101" spans="1:19" ht="15.75" thickBot="1">
      <c r="A101" s="1746"/>
      <c r="B101" s="1171"/>
      <c r="C101" s="1124"/>
      <c r="D101" s="1124"/>
      <c r="E101" s="1124"/>
      <c r="F101" s="1124"/>
      <c r="G101" s="1133"/>
      <c r="H101" s="1748"/>
      <c r="I101" s="1748"/>
      <c r="J101" s="1175"/>
      <c r="K101" s="1748"/>
      <c r="L101" s="1748"/>
      <c r="M101" s="1748"/>
      <c r="N101" s="1748"/>
      <c r="O101" s="1748"/>
      <c r="P101" s="1748"/>
      <c r="Q101" s="1748"/>
      <c r="R101" s="1748"/>
      <c r="S101" s="1748"/>
    </row>
    <row r="102" spans="1:19" ht="16.5" thickTop="1" thickBot="1">
      <c r="A102" s="726" t="s">
        <v>577</v>
      </c>
      <c r="B102" s="727"/>
      <c r="C102" s="12"/>
      <c r="D102" s="12"/>
      <c r="E102" s="12"/>
      <c r="F102" s="12"/>
      <c r="G102" s="13"/>
      <c r="H102" s="21"/>
      <c r="I102" s="21"/>
      <c r="J102" s="52"/>
      <c r="K102" s="21"/>
      <c r="L102" s="21"/>
      <c r="M102" s="21"/>
      <c r="N102" s="21"/>
      <c r="O102" s="21"/>
      <c r="P102" s="21"/>
      <c r="Q102" s="21"/>
      <c r="R102" s="21"/>
      <c r="S102" s="21"/>
    </row>
    <row r="103" spans="1:19" ht="15.75" thickTop="1">
      <c r="A103" s="1768"/>
      <c r="B103" s="862" t="s">
        <v>578</v>
      </c>
      <c r="C103" s="1124"/>
      <c r="D103" s="1124"/>
      <c r="E103" s="1124"/>
      <c r="F103" s="1124"/>
      <c r="G103" s="1133"/>
      <c r="H103" s="1748"/>
      <c r="I103" s="1748"/>
      <c r="J103" s="1175"/>
      <c r="K103" s="1748"/>
      <c r="L103" s="1748"/>
      <c r="M103" s="1748"/>
      <c r="N103" s="1748"/>
      <c r="O103" s="1748"/>
      <c r="P103" s="1748"/>
      <c r="Q103" s="1748"/>
      <c r="R103" s="1748"/>
      <c r="S103" s="1748"/>
    </row>
    <row r="104" spans="1:19">
      <c r="A104" s="1768"/>
      <c r="B104" s="862" t="s">
        <v>579</v>
      </c>
      <c r="C104" s="1124"/>
      <c r="D104" s="1124"/>
      <c r="E104" s="1124"/>
      <c r="F104" s="1124"/>
      <c r="G104" s="1133"/>
      <c r="H104" s="1748"/>
      <c r="I104" s="1748"/>
      <c r="J104" s="1175"/>
      <c r="K104" s="1748"/>
      <c r="L104" s="1748"/>
      <c r="M104" s="1748"/>
      <c r="N104" s="1748"/>
      <c r="O104" s="1748"/>
      <c r="P104" s="1748"/>
      <c r="Q104" s="1748"/>
      <c r="R104" s="1748"/>
      <c r="S104" s="1748"/>
    </row>
    <row r="105" spans="1:19">
      <c r="A105" s="1768"/>
      <c r="B105" s="862" t="s">
        <v>580</v>
      </c>
      <c r="C105" s="1124"/>
      <c r="D105" s="1124"/>
      <c r="E105" s="1124"/>
      <c r="F105" s="1124"/>
      <c r="G105" s="1133"/>
      <c r="H105" s="1748"/>
      <c r="I105" s="1748"/>
      <c r="J105" s="1175"/>
      <c r="K105" s="1748"/>
      <c r="L105" s="1748"/>
      <c r="M105" s="1748"/>
      <c r="N105" s="1748"/>
      <c r="O105" s="1748"/>
      <c r="P105" s="1748"/>
      <c r="Q105" s="1748"/>
      <c r="R105" s="1748"/>
      <c r="S105" s="1748"/>
    </row>
    <row r="106" spans="1:19">
      <c r="A106" s="1768"/>
      <c r="B106" s="862" t="s">
        <v>581</v>
      </c>
      <c r="C106" s="1124"/>
      <c r="D106" s="1124"/>
      <c r="E106" s="1124"/>
      <c r="F106" s="1124"/>
      <c r="G106" s="1133"/>
      <c r="H106" s="1748"/>
      <c r="I106" s="1748"/>
      <c r="J106" s="1175"/>
      <c r="K106" s="1748"/>
      <c r="L106" s="1748"/>
      <c r="M106" s="1748"/>
      <c r="N106" s="1748"/>
      <c r="O106" s="1748"/>
      <c r="P106" s="1748"/>
      <c r="Q106" s="1748"/>
      <c r="R106" s="1748"/>
      <c r="S106" s="1748"/>
    </row>
    <row r="107" spans="1:19" ht="15.75" thickBot="1">
      <c r="A107" s="416"/>
      <c r="B107" s="295"/>
      <c r="C107" s="184"/>
      <c r="D107" s="184"/>
      <c r="E107" s="184"/>
      <c r="F107" s="184"/>
      <c r="G107" s="296"/>
      <c r="H107" s="418"/>
      <c r="I107" s="418"/>
      <c r="J107" s="53"/>
      <c r="K107" s="418"/>
      <c r="L107" s="418"/>
      <c r="M107" s="418"/>
      <c r="N107" s="418"/>
      <c r="O107" s="418"/>
      <c r="P107" s="418"/>
      <c r="Q107" s="418"/>
      <c r="R107" s="418"/>
      <c r="S107" s="418"/>
    </row>
    <row r="108" spans="1:19" ht="16.5" thickTop="1" thickBot="1">
      <c r="A108" s="7" t="s">
        <v>582</v>
      </c>
      <c r="B108" s="8"/>
      <c r="C108" s="12"/>
      <c r="D108" s="12"/>
      <c r="E108" s="12"/>
      <c r="F108" s="12"/>
      <c r="G108" s="13"/>
      <c r="H108" s="21"/>
      <c r="I108" s="21"/>
      <c r="J108" s="52"/>
      <c r="K108" s="21"/>
      <c r="L108" s="21"/>
      <c r="M108" s="21"/>
      <c r="N108" s="21"/>
      <c r="O108" s="21"/>
      <c r="P108" s="21"/>
      <c r="Q108" s="21"/>
      <c r="R108" s="21"/>
      <c r="S108" s="21"/>
    </row>
    <row r="109" spans="1:19" ht="15.75" thickTop="1">
      <c r="A109" s="1844"/>
      <c r="B109" s="1851" t="s">
        <v>583</v>
      </c>
      <c r="C109" s="1845"/>
      <c r="D109" s="1845"/>
      <c r="E109" s="1845"/>
      <c r="F109" s="1845"/>
      <c r="G109" s="1846"/>
      <c r="H109" s="1852"/>
      <c r="I109" s="1852"/>
      <c r="J109" s="1853"/>
      <c r="K109" s="1852"/>
      <c r="L109" s="1852"/>
      <c r="M109" s="1852"/>
      <c r="N109" s="1852"/>
      <c r="O109" s="1852"/>
      <c r="P109" s="1852"/>
      <c r="Q109" s="1852"/>
      <c r="R109" s="1852"/>
      <c r="S109" s="1852"/>
    </row>
    <row r="110" spans="1:19">
      <c r="A110" s="1768"/>
      <c r="B110" s="862" t="s">
        <v>584</v>
      </c>
      <c r="C110" s="1124"/>
      <c r="D110" s="1124"/>
      <c r="E110" s="1124"/>
      <c r="F110" s="1124"/>
      <c r="G110" s="1133"/>
      <c r="H110" s="1749"/>
      <c r="I110" s="1749"/>
      <c r="J110" s="1178"/>
      <c r="K110" s="1749"/>
      <c r="L110" s="1749"/>
      <c r="M110" s="1749"/>
      <c r="N110" s="1749"/>
      <c r="O110" s="1749"/>
      <c r="P110" s="1749"/>
      <c r="Q110" s="1749"/>
      <c r="R110" s="1749"/>
      <c r="S110" s="1749"/>
    </row>
    <row r="111" spans="1:19" ht="15.75" thickBot="1">
      <c r="A111" s="1750"/>
      <c r="B111" s="1751" t="s">
        <v>585</v>
      </c>
      <c r="C111" s="1752"/>
      <c r="D111" s="1752"/>
      <c r="E111" s="1752"/>
      <c r="F111" s="1752"/>
      <c r="G111" s="1753"/>
      <c r="H111" s="1754"/>
      <c r="I111" s="1754"/>
      <c r="J111" s="1854"/>
      <c r="K111" s="1754"/>
      <c r="L111" s="1754"/>
      <c r="M111" s="1754"/>
      <c r="N111" s="1754"/>
      <c r="O111" s="1754"/>
      <c r="P111" s="1754"/>
      <c r="Q111" s="1754"/>
      <c r="R111" s="1754"/>
      <c r="S111" s="1754"/>
    </row>
    <row r="112" spans="1:19" ht="16.5" thickTop="1" thickBot="1">
      <c r="A112"/>
      <c r="B112" s="1"/>
      <c r="C112" s="2"/>
      <c r="D112" s="2"/>
      <c r="E112" s="2"/>
      <c r="F112" s="2"/>
      <c r="G112" s="2"/>
      <c r="H112" s="2"/>
      <c r="I112" s="2"/>
      <c r="J112" s="2"/>
      <c r="K112" s="2"/>
      <c r="L112" s="2"/>
      <c r="M112" s="2"/>
      <c r="N112" s="2"/>
      <c r="O112" s="2"/>
      <c r="P112" s="2"/>
      <c r="Q112" s="2"/>
      <c r="R112" s="2"/>
      <c r="S112" s="2"/>
    </row>
    <row r="113" spans="1:19" ht="16.5" thickTop="1" thickBot="1">
      <c r="A113" s="92" t="s">
        <v>586</v>
      </c>
      <c r="B113" s="94"/>
      <c r="C113" s="2"/>
      <c r="D113" s="2"/>
      <c r="E113" s="2"/>
      <c r="F113" s="2"/>
      <c r="G113" s="2"/>
      <c r="H113" s="2"/>
      <c r="I113" s="2"/>
      <c r="J113" s="2"/>
      <c r="K113" s="2"/>
      <c r="L113" s="2"/>
      <c r="M113" s="2"/>
      <c r="N113" s="2"/>
      <c r="O113" s="2"/>
      <c r="P113" s="2"/>
      <c r="Q113" s="2"/>
      <c r="R113" s="2"/>
      <c r="S113" s="2"/>
    </row>
    <row r="114" spans="1:19" ht="15.75" thickTop="1">
      <c r="A114" s="93" t="s">
        <v>487</v>
      </c>
      <c r="B114" s="1755"/>
      <c r="C114" s="2"/>
      <c r="D114" s="2"/>
      <c r="E114" s="2"/>
      <c r="F114" s="2"/>
      <c r="G114" s="2"/>
      <c r="H114" s="2"/>
      <c r="I114" s="2"/>
      <c r="J114" s="2"/>
      <c r="K114" s="2"/>
      <c r="L114" s="2"/>
      <c r="M114" s="2"/>
      <c r="N114" s="2"/>
      <c r="O114" s="2"/>
      <c r="P114" s="2"/>
      <c r="Q114" s="2"/>
      <c r="R114" s="2"/>
      <c r="S114" s="2"/>
    </row>
    <row r="115" spans="1:19">
      <c r="A115" s="1756" t="s">
        <v>491</v>
      </c>
      <c r="B115" s="1755"/>
      <c r="C115" s="2"/>
      <c r="D115" s="2"/>
      <c r="E115" s="2"/>
      <c r="F115" s="2"/>
      <c r="G115" s="2"/>
      <c r="H115" s="2"/>
      <c r="I115" s="2"/>
      <c r="J115" s="2"/>
      <c r="K115" s="2"/>
      <c r="L115" s="2"/>
      <c r="M115" s="2"/>
      <c r="N115" s="2"/>
      <c r="O115" s="2"/>
      <c r="P115" s="2"/>
      <c r="Q115" s="2"/>
      <c r="R115" s="2"/>
      <c r="S115" s="2"/>
    </row>
    <row r="116" spans="1:19">
      <c r="A116" s="1757" t="s">
        <v>494</v>
      </c>
      <c r="B116" s="1758"/>
      <c r="C116" s="2"/>
      <c r="D116" s="2"/>
      <c r="E116" s="2"/>
      <c r="F116" s="2"/>
      <c r="G116" s="2"/>
      <c r="H116" s="2"/>
      <c r="I116" s="2"/>
      <c r="J116" s="2"/>
      <c r="K116" s="2"/>
      <c r="L116" s="2"/>
      <c r="M116" s="2"/>
      <c r="N116" s="2"/>
      <c r="O116" s="2"/>
      <c r="P116" s="2"/>
      <c r="Q116" s="2"/>
      <c r="R116" s="2"/>
      <c r="S116" s="2"/>
    </row>
    <row r="117" spans="1:19">
      <c r="A117" s="1757" t="s">
        <v>497</v>
      </c>
      <c r="B117" s="1759"/>
      <c r="C117" s="2"/>
      <c r="D117" s="2"/>
      <c r="E117" s="2"/>
      <c r="F117" s="2"/>
      <c r="G117" s="2"/>
      <c r="H117" s="2"/>
      <c r="I117" s="2"/>
      <c r="J117" s="2"/>
      <c r="K117" s="2"/>
      <c r="L117" s="2"/>
      <c r="M117" s="2"/>
      <c r="N117" s="2"/>
      <c r="O117" s="2"/>
      <c r="P117" s="2"/>
      <c r="Q117" s="2"/>
      <c r="R117" s="2"/>
      <c r="S117" s="2"/>
    </row>
    <row r="118" spans="1:19" ht="15.75" thickBot="1">
      <c r="A118" s="1760" t="s">
        <v>587</v>
      </c>
      <c r="B118" s="1761">
        <f>H8</f>
        <v>504620</v>
      </c>
      <c r="C118" s="2"/>
      <c r="D118" s="2"/>
      <c r="E118" s="2"/>
      <c r="F118" s="2"/>
      <c r="G118" s="2"/>
      <c r="H118" s="2"/>
      <c r="I118" s="2"/>
      <c r="J118" s="2"/>
      <c r="K118" s="2"/>
      <c r="L118" s="2"/>
      <c r="M118" s="2"/>
      <c r="N118" s="2"/>
      <c r="O118" s="2"/>
      <c r="P118" s="2"/>
      <c r="Q118" s="2"/>
      <c r="R118" s="2"/>
      <c r="S118" s="2"/>
    </row>
    <row r="119" spans="1:19" ht="15.75" thickTop="1">
      <c r="A119"/>
      <c r="B119" s="1"/>
      <c r="C119" s="2"/>
      <c r="D119" s="2"/>
      <c r="E119" s="2"/>
      <c r="F119" s="2"/>
      <c r="G119" s="2"/>
      <c r="H119" s="2"/>
      <c r="I119" s="2"/>
      <c r="J119" s="2"/>
      <c r="K119" s="2"/>
      <c r="L119" s="2"/>
      <c r="M119" s="2"/>
      <c r="N119" s="2"/>
      <c r="O119" s="2"/>
      <c r="P119" s="2"/>
      <c r="Q119" s="2"/>
      <c r="R119" s="2"/>
      <c r="S119" s="2"/>
    </row>
    <row r="120" spans="1:19">
      <c r="A120" s="95"/>
      <c r="B120" s="1" t="s">
        <v>588</v>
      </c>
      <c r="C120" s="2"/>
      <c r="D120" s="2"/>
      <c r="E120" s="2"/>
      <c r="F120" s="2"/>
      <c r="G120" s="2"/>
      <c r="H120" s="2"/>
      <c r="I120" s="2"/>
      <c r="J120" s="2"/>
      <c r="K120" s="2"/>
      <c r="L120" s="2"/>
      <c r="M120" s="2"/>
      <c r="N120" s="2"/>
      <c r="O120" s="2"/>
      <c r="P120" s="2"/>
      <c r="Q120" s="2"/>
      <c r="R120" s="2"/>
      <c r="S120" s="2"/>
    </row>
    <row r="121" spans="1:19">
      <c r="A121" s="96"/>
      <c r="B121" s="1" t="s">
        <v>589</v>
      </c>
      <c r="C121" s="2"/>
      <c r="D121" s="2"/>
      <c r="E121" s="2"/>
      <c r="F121" s="2"/>
      <c r="G121" s="2"/>
      <c r="H121" s="2"/>
      <c r="I121" s="2"/>
      <c r="J121" s="2"/>
      <c r="K121" s="2"/>
      <c r="L121" s="2"/>
      <c r="M121" s="2"/>
      <c r="N121" s="2"/>
      <c r="O121" s="2"/>
      <c r="P121" s="2"/>
      <c r="Q121" s="2"/>
      <c r="R121" s="2"/>
      <c r="S121" s="2"/>
    </row>
  </sheetData>
  <mergeCells count="48">
    <mergeCell ref="N1:O1"/>
    <mergeCell ref="P4:Q4"/>
    <mergeCell ref="P5:Q5"/>
    <mergeCell ref="P6:Q6"/>
    <mergeCell ref="N4:O4"/>
    <mergeCell ref="N5:O5"/>
    <mergeCell ref="N6:O6"/>
    <mergeCell ref="R3:S3"/>
    <mergeCell ref="H2:I2"/>
    <mergeCell ref="J2:K2"/>
    <mergeCell ref="L2:M2"/>
    <mergeCell ref="N2:O2"/>
    <mergeCell ref="R2:S2"/>
    <mergeCell ref="H3:I3"/>
    <mergeCell ref="J3:K3"/>
    <mergeCell ref="L3:M3"/>
    <mergeCell ref="N3:O3"/>
    <mergeCell ref="P2:Q2"/>
    <mergeCell ref="P3:Q3"/>
    <mergeCell ref="H8:I8"/>
    <mergeCell ref="J8:K8"/>
    <mergeCell ref="L4:M4"/>
    <mergeCell ref="L5:M5"/>
    <mergeCell ref="L6:M6"/>
    <mergeCell ref="L7:M7"/>
    <mergeCell ref="L8:M8"/>
    <mergeCell ref="H4:I4"/>
    <mergeCell ref="H5:I5"/>
    <mergeCell ref="H6:I6"/>
    <mergeCell ref="H7:I7"/>
    <mergeCell ref="J4:K4"/>
    <mergeCell ref="J5:K5"/>
    <mergeCell ref="J6:K6"/>
    <mergeCell ref="J7:K7"/>
    <mergeCell ref="N7:O7"/>
    <mergeCell ref="N8:O8"/>
    <mergeCell ref="R4:S4"/>
    <mergeCell ref="R5:S5"/>
    <mergeCell ref="R6:S6"/>
    <mergeCell ref="R7:S7"/>
    <mergeCell ref="R8:S8"/>
    <mergeCell ref="P7:Q7"/>
    <mergeCell ref="P8:Q8"/>
    <mergeCell ref="A86:B86"/>
    <mergeCell ref="A90:B90"/>
    <mergeCell ref="A94:B94"/>
    <mergeCell ref="A98:B98"/>
    <mergeCell ref="A102:B102"/>
  </mergeCells>
  <conditionalFormatting sqref="H21:H31 H33:H77 J33:J77 L33:L77 N33:N77 P33:P77 R33:R77">
    <cfRule type="cellIs" dxfId="1261" priority="7" operator="equal">
      <formula>"X"</formula>
    </cfRule>
    <cfRule type="cellIs" dxfId="1260" priority="8" operator="equal">
      <formula>"I"</formula>
    </cfRule>
  </conditionalFormatting>
  <conditionalFormatting sqref="J21:J31">
    <cfRule type="cellIs" dxfId="1259" priority="11" operator="equal">
      <formula>"X"</formula>
    </cfRule>
    <cfRule type="cellIs" dxfId="1258" priority="12" operator="equal">
      <formula>"I"</formula>
    </cfRule>
  </conditionalFormatting>
  <conditionalFormatting sqref="L21:L31">
    <cfRule type="cellIs" dxfId="1257" priority="15" operator="equal">
      <formula>"X"</formula>
    </cfRule>
    <cfRule type="cellIs" dxfId="1256" priority="16" operator="equal">
      <formula>"I"</formula>
    </cfRule>
  </conditionalFormatting>
  <conditionalFormatting sqref="N21:N31">
    <cfRule type="cellIs" dxfId="1255" priority="19" operator="equal">
      <formula>"X"</formula>
    </cfRule>
    <cfRule type="cellIs" dxfId="1254" priority="20" operator="equal">
      <formula>"I"</formula>
    </cfRule>
  </conditionalFormatting>
  <conditionalFormatting sqref="P21:P31">
    <cfRule type="cellIs" dxfId="1253" priority="23" operator="equal">
      <formula>"X"</formula>
    </cfRule>
    <cfRule type="cellIs" dxfId="1252" priority="24" operator="equal">
      <formula>"I"</formula>
    </cfRule>
  </conditionalFormatting>
  <conditionalFormatting sqref="R21:R31">
    <cfRule type="cellIs" dxfId="1251" priority="27" operator="equal">
      <formula>"X"</formula>
    </cfRule>
    <cfRule type="cellIs" dxfId="1250" priority="28" operator="equal">
      <formula>"I"</formula>
    </cfRule>
  </conditionalFormatting>
  <hyperlinks>
    <hyperlink ref="B3" location="'Cost Summary'!A1" display="BACK TO SUMMARY SHEET" xr:uid="{9F9A9977-A147-4E1D-8D08-10F4755EBCC1}"/>
  </hyperlinks>
  <pageMargins left="0.7" right="0.7" top="0.75" bottom="0.75" header="0.3" footer="0.3"/>
  <pageSetup scale="63"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923-EBE4-47A1-895F-CEC69C55CC7B}">
  <sheetPr>
    <tabColor rgb="FF92D050"/>
  </sheetPr>
  <dimension ref="A1:S101"/>
  <sheetViews>
    <sheetView zoomScale="98" zoomScaleNormal="98" workbookViewId="0">
      <pane xSplit="2" ySplit="9" topLeftCell="C31" activePane="bottomRight" state="frozen"/>
      <selection pane="bottomRight" activeCell="F50" sqref="F50"/>
      <selection pane="bottomLeft" sqref="A1:B1"/>
      <selection pane="topRight" sqref="A1:B1"/>
    </sheetView>
  </sheetViews>
  <sheetFormatPr defaultRowHeight="15"/>
  <cols>
    <col min="1" max="1" width="11" customWidth="1"/>
    <col min="2" max="2" width="72.42578125" style="1" customWidth="1"/>
    <col min="3" max="3" width="10.85546875" style="2" bestFit="1" customWidth="1"/>
    <col min="4" max="5" width="7.5703125" style="2" customWidth="1"/>
    <col min="6" max="6" width="11.5703125" style="2"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66"/>
      <c r="I2" s="766"/>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customHeight="1"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1762" t="s">
        <v>489</v>
      </c>
      <c r="B5" s="862" t="s">
        <v>156</v>
      </c>
      <c r="C5" s="1124"/>
      <c r="D5" s="1124"/>
      <c r="E5" s="1124"/>
      <c r="F5" s="1124"/>
      <c r="G5" s="1125" t="s">
        <v>491</v>
      </c>
      <c r="H5" s="1763"/>
      <c r="I5" s="1126"/>
      <c r="J5" s="1763"/>
      <c r="K5" s="1126"/>
      <c r="L5" s="1763"/>
      <c r="M5" s="1126"/>
      <c r="N5" s="1763"/>
      <c r="O5" s="1126"/>
      <c r="P5" s="1763"/>
      <c r="Q5" s="1126"/>
      <c r="R5" s="1763"/>
      <c r="S5" s="1126"/>
    </row>
    <row r="6" spans="1:19">
      <c r="A6" s="1762" t="s">
        <v>493</v>
      </c>
      <c r="B6" s="1127" t="s">
        <v>155</v>
      </c>
      <c r="C6" s="1124"/>
      <c r="D6" s="1124"/>
      <c r="E6" s="1124"/>
      <c r="F6" s="1124"/>
      <c r="G6" s="1125" t="s">
        <v>494</v>
      </c>
      <c r="H6" s="1764"/>
      <c r="I6" s="1129"/>
      <c r="J6" s="1764"/>
      <c r="K6" s="1129"/>
      <c r="L6" s="1764"/>
      <c r="M6" s="1129"/>
      <c r="N6" s="1764"/>
      <c r="O6" s="1129"/>
      <c r="P6" s="1764"/>
      <c r="Q6" s="1129"/>
      <c r="R6" s="1764"/>
      <c r="S6" s="1129"/>
    </row>
    <row r="7" spans="1:19">
      <c r="A7" s="1762" t="s">
        <v>496</v>
      </c>
      <c r="B7" s="1130"/>
      <c r="C7" s="1124"/>
      <c r="D7" s="1124"/>
      <c r="E7" s="1124"/>
      <c r="F7" s="1124"/>
      <c r="G7" s="1125" t="s">
        <v>497</v>
      </c>
      <c r="H7" s="764"/>
      <c r="I7" s="765"/>
      <c r="J7" s="1765"/>
      <c r="K7" s="1126"/>
      <c r="L7" s="1765"/>
      <c r="M7" s="1126"/>
      <c r="N7" s="1765"/>
      <c r="O7" s="1126"/>
      <c r="P7" s="1765"/>
      <c r="Q7" s="1126"/>
      <c r="R7" s="764"/>
      <c r="S7" s="765"/>
    </row>
    <row r="8" spans="1:19" ht="15.75" thickBot="1">
      <c r="A8" s="414" t="s">
        <v>499</v>
      </c>
      <c r="B8" s="295"/>
      <c r="C8" s="184"/>
      <c r="D8" s="184"/>
      <c r="E8" s="184"/>
      <c r="F8" s="184"/>
      <c r="G8" s="419" t="s">
        <v>499</v>
      </c>
      <c r="H8" s="1766">
        <f>I62</f>
        <v>514038</v>
      </c>
      <c r="I8" s="1767"/>
      <c r="J8" s="1766">
        <f xml:space="preserve"> K62</f>
        <v>0</v>
      </c>
      <c r="K8" s="1767"/>
      <c r="L8" s="1766">
        <f>M62</f>
        <v>0</v>
      </c>
      <c r="M8" s="1767"/>
      <c r="N8" s="1766">
        <f>O62</f>
        <v>0</v>
      </c>
      <c r="O8" s="1767"/>
      <c r="P8" s="1766">
        <f>Q62</f>
        <v>0</v>
      </c>
      <c r="Q8" s="1767"/>
      <c r="R8" s="1766">
        <f>S62</f>
        <v>0</v>
      </c>
      <c r="S8" s="176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1768"/>
      <c r="B10" s="1855" t="s">
        <v>508</v>
      </c>
      <c r="C10" s="1124"/>
      <c r="D10" s="1124"/>
      <c r="E10" s="1124"/>
      <c r="F10" s="1124"/>
      <c r="G10" s="1133"/>
      <c r="H10" s="1769"/>
      <c r="I10" s="1769"/>
      <c r="J10" s="1769"/>
      <c r="K10" s="1769"/>
      <c r="L10" s="1769"/>
      <c r="M10" s="1769"/>
      <c r="N10" s="1769"/>
      <c r="O10" s="1769"/>
      <c r="P10" s="1769"/>
      <c r="Q10" s="1769"/>
      <c r="R10" s="1769"/>
      <c r="S10" s="1769"/>
    </row>
    <row r="11" spans="1:19" hidden="1">
      <c r="A11" s="1768"/>
      <c r="B11" s="862" t="str">
        <f>'Area Calculations'!M62</f>
        <v>Architectural Drawings  by</v>
      </c>
      <c r="C11" s="1134" t="s">
        <v>509</v>
      </c>
      <c r="D11" s="1124"/>
      <c r="E11" s="1124"/>
      <c r="F11" s="1124"/>
      <c r="G11" s="1133"/>
      <c r="H11" s="1769"/>
      <c r="I11" s="1769"/>
      <c r="J11" s="1769"/>
      <c r="K11" s="1769"/>
      <c r="L11" s="1769"/>
      <c r="M11" s="1769"/>
      <c r="N11" s="1769"/>
      <c r="O11" s="1769"/>
      <c r="P11" s="1769"/>
      <c r="Q11" s="1769"/>
      <c r="R11" s="1769"/>
      <c r="S11" s="1769"/>
    </row>
    <row r="12" spans="1:19" hidden="1">
      <c r="A12" s="1768"/>
      <c r="B12" s="862" t="str">
        <f>'Area Calculations'!M63</f>
        <v>Structural Drawings by</v>
      </c>
      <c r="C12" s="1134" t="s">
        <v>509</v>
      </c>
      <c r="D12" s="1124"/>
      <c r="E12" s="1124"/>
      <c r="F12" s="1124"/>
      <c r="G12" s="1133"/>
      <c r="H12" s="1769"/>
      <c r="I12" s="1769"/>
      <c r="J12" s="1769"/>
      <c r="K12" s="1769"/>
      <c r="L12" s="1769"/>
      <c r="M12" s="1769"/>
      <c r="N12" s="1769"/>
      <c r="O12" s="1769"/>
      <c r="P12" s="1769"/>
      <c r="Q12" s="1769"/>
      <c r="R12" s="1769"/>
      <c r="S12" s="1769"/>
    </row>
    <row r="13" spans="1:19" hidden="1">
      <c r="A13" s="1768"/>
      <c r="B13" s="862" t="str">
        <f>'Area Calculations'!M64</f>
        <v>MEP FA FP Drawings by</v>
      </c>
      <c r="C13" s="1134" t="s">
        <v>509</v>
      </c>
      <c r="D13" s="1124"/>
      <c r="E13" s="1124"/>
      <c r="F13" s="1124"/>
      <c r="G13" s="1133"/>
      <c r="H13" s="1769"/>
      <c r="I13" s="1769"/>
      <c r="J13" s="1769"/>
      <c r="K13" s="1769"/>
      <c r="L13" s="1769"/>
      <c r="M13" s="1769"/>
      <c r="N13" s="1769"/>
      <c r="O13" s="1769"/>
      <c r="P13" s="1769"/>
      <c r="Q13" s="1769"/>
      <c r="R13" s="1769"/>
      <c r="S13" s="1769"/>
    </row>
    <row r="14" spans="1:19" hidden="1">
      <c r="A14" s="1768"/>
      <c r="B14" s="862" t="str">
        <f>'Area Calculations'!M65</f>
        <v xml:space="preserve">Civil Drawings by </v>
      </c>
      <c r="C14" s="1134" t="s">
        <v>509</v>
      </c>
      <c r="D14" s="1124"/>
      <c r="E14" s="1124"/>
      <c r="F14" s="1124"/>
      <c r="G14" s="1133"/>
      <c r="H14" s="1769"/>
      <c r="I14" s="1769"/>
      <c r="J14" s="1769"/>
      <c r="K14" s="1769"/>
      <c r="L14" s="1769"/>
      <c r="M14" s="1769"/>
      <c r="N14" s="1769"/>
      <c r="O14" s="1769"/>
      <c r="P14" s="1769"/>
      <c r="Q14" s="1769"/>
      <c r="R14" s="1769"/>
      <c r="S14" s="1769"/>
    </row>
    <row r="15" spans="1:19" hidden="1">
      <c r="A15" s="1768"/>
      <c r="B15" s="862" t="str">
        <f>'Area Calculations'!M66</f>
        <v>Land scape Drawings by</v>
      </c>
      <c r="C15" s="1134" t="s">
        <v>509</v>
      </c>
      <c r="D15" s="1124"/>
      <c r="E15" s="1124"/>
      <c r="F15" s="1124"/>
      <c r="G15" s="1133"/>
      <c r="H15" s="1769"/>
      <c r="I15" s="1769"/>
      <c r="J15" s="1769"/>
      <c r="K15" s="1769"/>
      <c r="L15" s="1769"/>
      <c r="M15" s="1769"/>
      <c r="N15" s="1769"/>
      <c r="O15" s="1769"/>
      <c r="P15" s="1769"/>
      <c r="Q15" s="1769"/>
      <c r="R15" s="1769"/>
      <c r="S15" s="1769"/>
    </row>
    <row r="16" spans="1:19" hidden="1">
      <c r="A16" s="1768"/>
      <c r="B16" s="862" t="str">
        <f>'Area Calculations'!M67</f>
        <v>Kitchen Drawings by</v>
      </c>
      <c r="C16" s="1134" t="s">
        <v>509</v>
      </c>
      <c r="D16" s="1124"/>
      <c r="E16" s="1124"/>
      <c r="F16" s="1124"/>
      <c r="G16" s="1133"/>
      <c r="H16" s="1769"/>
      <c r="I16" s="1769"/>
      <c r="J16" s="1769"/>
      <c r="K16" s="1769"/>
      <c r="L16" s="1769"/>
      <c r="M16" s="1769"/>
      <c r="N16" s="1769"/>
      <c r="O16" s="1769"/>
      <c r="P16" s="1769"/>
      <c r="Q16" s="1769"/>
      <c r="R16" s="1769"/>
      <c r="S16" s="1769"/>
    </row>
    <row r="17" spans="1:19" hidden="1">
      <c r="A17" s="1768"/>
      <c r="B17" s="862" t="str">
        <f>'Area Calculations'!M68</f>
        <v>Storefront Designer by</v>
      </c>
      <c r="C17" s="1134" t="s">
        <v>509</v>
      </c>
      <c r="D17" s="1124"/>
      <c r="E17" s="1124"/>
      <c r="F17" s="1124"/>
      <c r="G17" s="1133"/>
      <c r="H17" s="1769"/>
      <c r="I17" s="1769"/>
      <c r="J17" s="1769"/>
      <c r="K17" s="1769"/>
      <c r="L17" s="1769"/>
      <c r="M17" s="1769"/>
      <c r="N17" s="1769"/>
      <c r="O17" s="1769"/>
      <c r="P17" s="1769"/>
      <c r="Q17" s="1769"/>
      <c r="R17" s="1769"/>
      <c r="S17" s="1769"/>
    </row>
    <row r="18" spans="1:19" hidden="1">
      <c r="A18" s="1768"/>
      <c r="B18" s="862" t="str">
        <f>'Area Calculations'!M69</f>
        <v>Geotech report by</v>
      </c>
      <c r="C18" s="1134" t="s">
        <v>509</v>
      </c>
      <c r="D18" s="1124"/>
      <c r="E18" s="1124"/>
      <c r="F18" s="1124"/>
      <c r="G18" s="1133"/>
      <c r="H18" s="1769"/>
      <c r="I18" s="1769"/>
      <c r="J18" s="1769"/>
      <c r="K18" s="1769"/>
      <c r="L18" s="1769"/>
      <c r="M18" s="1769"/>
      <c r="N18" s="1769"/>
      <c r="O18" s="1769"/>
      <c r="P18" s="1769"/>
      <c r="Q18" s="1769"/>
      <c r="R18" s="1769"/>
      <c r="S18" s="1769"/>
    </row>
    <row r="19" spans="1:19" hidden="1">
      <c r="A19" s="1768"/>
      <c r="B19" s="862" t="str">
        <f>'Area Calculations'!M70</f>
        <v>Specifications</v>
      </c>
      <c r="C19" s="1134" t="s">
        <v>509</v>
      </c>
      <c r="D19" s="1124"/>
      <c r="E19" s="1124"/>
      <c r="F19" s="1124"/>
      <c r="G19" s="1133"/>
      <c r="H19" s="1769"/>
      <c r="I19" s="1769"/>
      <c r="J19" s="1769"/>
      <c r="K19" s="1769"/>
      <c r="L19" s="1769"/>
      <c r="M19" s="1769"/>
      <c r="N19" s="1769"/>
      <c r="O19" s="1769"/>
      <c r="P19" s="1769"/>
      <c r="Q19" s="1769"/>
      <c r="R19" s="1769"/>
      <c r="S19" s="1769"/>
    </row>
    <row r="20" spans="1:19" hidden="1">
      <c r="A20" s="1844"/>
      <c r="B20" s="862"/>
      <c r="C20" s="1134"/>
      <c r="D20" s="1124"/>
      <c r="E20" s="1124"/>
      <c r="F20" s="1124"/>
      <c r="G20" s="1133"/>
      <c r="H20" s="1769"/>
      <c r="I20" s="1856"/>
      <c r="J20" s="1769"/>
      <c r="K20" s="1856"/>
      <c r="L20" s="1769"/>
      <c r="M20" s="1856"/>
      <c r="N20" s="1769"/>
      <c r="O20" s="1856"/>
      <c r="P20" s="1769"/>
      <c r="Q20" s="1856"/>
      <c r="R20" s="1769"/>
      <c r="S20" s="1856"/>
    </row>
    <row r="21" spans="1:19" hidden="1">
      <c r="A21" s="1844"/>
      <c r="B21" s="862"/>
      <c r="C21" s="1134"/>
      <c r="D21" s="1124"/>
      <c r="E21" s="1124"/>
      <c r="F21" s="1124"/>
      <c r="G21" s="1133"/>
      <c r="H21" s="1770"/>
      <c r="I21" s="1856"/>
      <c r="J21" s="1770"/>
      <c r="K21" s="1856"/>
      <c r="L21" s="1770"/>
      <c r="M21" s="1856"/>
      <c r="N21" s="1770"/>
      <c r="O21" s="1856"/>
      <c r="P21" s="1770"/>
      <c r="Q21" s="1856"/>
      <c r="R21" s="1770"/>
      <c r="S21" s="1856"/>
    </row>
    <row r="22" spans="1:19" ht="16.5" thickTop="1" thickBot="1">
      <c r="A22" s="1857"/>
      <c r="B22" s="1136" t="s">
        <v>156</v>
      </c>
      <c r="C22" s="1134"/>
      <c r="D22" s="1124"/>
      <c r="E22" s="1124"/>
      <c r="F22" s="1124"/>
      <c r="G22" s="1133"/>
      <c r="H22" s="1770"/>
      <c r="I22" s="1853"/>
      <c r="J22" s="1770"/>
      <c r="K22" s="1853"/>
      <c r="L22" s="1770"/>
      <c r="M22" s="1853"/>
      <c r="N22" s="1770"/>
      <c r="O22" s="1853"/>
      <c r="P22" s="1770"/>
      <c r="Q22" s="1853"/>
      <c r="R22" s="1770"/>
      <c r="S22" s="1853"/>
    </row>
    <row r="23" spans="1:19" ht="15.75" thickBot="1">
      <c r="A23" s="1857"/>
      <c r="B23" s="374" t="s">
        <v>512</v>
      </c>
      <c r="C23" s="1134"/>
      <c r="D23" s="1124"/>
      <c r="E23" s="1124"/>
      <c r="F23" s="1124"/>
      <c r="G23" s="1133"/>
      <c r="H23" s="1770"/>
      <c r="I23" s="1858"/>
      <c r="J23" s="1770"/>
      <c r="K23" s="1858"/>
      <c r="L23" s="1770"/>
      <c r="M23" s="1853"/>
      <c r="N23" s="1770"/>
      <c r="O23" s="1853"/>
      <c r="P23" s="1770"/>
      <c r="Q23" s="1853"/>
      <c r="R23" s="1770"/>
      <c r="S23" s="1853"/>
    </row>
    <row r="24" spans="1:19">
      <c r="A24" s="1857"/>
      <c r="B24" s="647" t="s">
        <v>513</v>
      </c>
      <c r="C24" s="1859"/>
      <c r="D24" s="1124"/>
      <c r="E24" s="1124"/>
      <c r="F24" s="1124"/>
      <c r="G24" s="1133"/>
      <c r="H24" s="1770"/>
      <c r="I24" s="1860"/>
      <c r="J24" s="1770"/>
      <c r="K24" s="1858"/>
      <c r="L24" s="1770"/>
      <c r="M24" s="1749"/>
      <c r="N24" s="1770"/>
      <c r="O24" s="1853"/>
      <c r="P24" s="1770"/>
      <c r="Q24" s="1860"/>
      <c r="R24" s="1770"/>
      <c r="S24" s="1853"/>
    </row>
    <row r="25" spans="1:19">
      <c r="A25" s="1857"/>
      <c r="B25" s="1861" t="s">
        <v>514</v>
      </c>
      <c r="C25" s="1859"/>
      <c r="D25" s="1124"/>
      <c r="E25" s="1124"/>
      <c r="F25" s="1124"/>
      <c r="G25" s="1133"/>
      <c r="H25" s="1770"/>
      <c r="I25" s="1858"/>
      <c r="J25" s="1770"/>
      <c r="K25" s="1858"/>
      <c r="L25" s="1770"/>
      <c r="M25" s="1749"/>
      <c r="N25" s="1770"/>
      <c r="O25" s="1853"/>
      <c r="P25" s="1770"/>
      <c r="Q25" s="1860"/>
      <c r="R25" s="1770"/>
      <c r="S25" s="1853"/>
    </row>
    <row r="26" spans="1:19">
      <c r="A26" s="1857"/>
      <c r="B26" s="1862" t="s">
        <v>515</v>
      </c>
      <c r="C26" s="1859"/>
      <c r="D26" s="1124"/>
      <c r="E26" s="1124"/>
      <c r="F26" s="1124"/>
      <c r="G26" s="1133"/>
      <c r="H26" s="1770"/>
      <c r="I26" s="1858"/>
      <c r="J26" s="1770"/>
      <c r="K26" s="426"/>
      <c r="L26" s="1770"/>
      <c r="M26" s="1749"/>
      <c r="N26" s="1770"/>
      <c r="O26" s="1853"/>
      <c r="P26" s="1770"/>
      <c r="Q26" s="1860"/>
      <c r="R26" s="1770"/>
      <c r="S26" s="1853"/>
    </row>
    <row r="27" spans="1:19">
      <c r="A27" s="1857"/>
      <c r="B27" s="1862" t="s">
        <v>516</v>
      </c>
      <c r="C27" s="1859"/>
      <c r="D27" s="1124"/>
      <c r="E27" s="1124"/>
      <c r="F27" s="1124"/>
      <c r="G27" s="1133"/>
      <c r="H27" s="1770"/>
      <c r="I27" s="1858"/>
      <c r="J27" s="1770"/>
      <c r="K27" s="1749"/>
      <c r="L27" s="1770"/>
      <c r="M27" s="1749"/>
      <c r="N27" s="1770"/>
      <c r="O27" s="1853"/>
      <c r="P27" s="1770"/>
      <c r="Q27" s="1860"/>
      <c r="R27" s="1770"/>
      <c r="S27" s="1853"/>
    </row>
    <row r="28" spans="1:19">
      <c r="A28" s="1857"/>
      <c r="B28" s="1862" t="s">
        <v>517</v>
      </c>
      <c r="C28" s="1863"/>
      <c r="D28" s="1124"/>
      <c r="E28" s="1124"/>
      <c r="F28" s="1124"/>
      <c r="G28" s="1133"/>
      <c r="H28" s="1770"/>
      <c r="I28" s="1858"/>
      <c r="J28" s="1770"/>
      <c r="K28" s="1749"/>
      <c r="L28" s="1770"/>
      <c r="M28" s="1749"/>
      <c r="N28" s="1770"/>
      <c r="O28" s="1860"/>
      <c r="P28" s="1770"/>
      <c r="Q28" s="1860"/>
      <c r="R28" s="1770"/>
      <c r="S28" s="1853"/>
    </row>
    <row r="29" spans="1:19">
      <c r="A29" s="1857"/>
      <c r="B29" s="1862" t="s">
        <v>518</v>
      </c>
      <c r="C29" s="1863"/>
      <c r="D29" s="1124"/>
      <c r="E29" s="1124"/>
      <c r="F29" s="1124"/>
      <c r="G29" s="1133"/>
      <c r="H29" s="1770"/>
      <c r="I29" s="1860"/>
      <c r="J29" s="1770"/>
      <c r="K29" s="1749"/>
      <c r="L29" s="1770"/>
      <c r="M29" s="1749"/>
      <c r="N29" s="1770"/>
      <c r="O29" s="1860"/>
      <c r="P29" s="1770"/>
      <c r="Q29" s="1860"/>
      <c r="R29" s="1770"/>
      <c r="S29" s="1853"/>
    </row>
    <row r="30" spans="1:19">
      <c r="A30" s="1857"/>
      <c r="B30" s="1862" t="s">
        <v>693</v>
      </c>
      <c r="C30" s="1863"/>
      <c r="D30" s="1124"/>
      <c r="E30" s="1124"/>
      <c r="F30" s="1124"/>
      <c r="G30" s="1133"/>
      <c r="H30" s="1770"/>
      <c r="I30" s="1860"/>
      <c r="J30" s="1770"/>
      <c r="K30" s="1853"/>
      <c r="L30" s="1770"/>
      <c r="M30" s="1853"/>
      <c r="N30" s="1770"/>
      <c r="O30" s="1860"/>
      <c r="P30" s="1770"/>
      <c r="Q30" s="1860"/>
      <c r="R30" s="1770"/>
      <c r="S30" s="1853"/>
    </row>
    <row r="31" spans="1:19">
      <c r="A31" s="1857"/>
      <c r="B31" s="1864" t="s">
        <v>519</v>
      </c>
      <c r="C31" s="1863"/>
      <c r="D31" s="1124"/>
      <c r="E31" s="1124"/>
      <c r="F31" s="1124"/>
      <c r="G31" s="1133"/>
      <c r="H31" s="1770"/>
      <c r="I31" s="1860"/>
      <c r="J31" s="1770"/>
      <c r="K31" s="1860"/>
      <c r="L31" s="1770"/>
      <c r="M31" s="1860"/>
      <c r="N31" s="1770"/>
      <c r="O31" s="1860"/>
      <c r="P31" s="1770"/>
      <c r="Q31" s="1860"/>
      <c r="R31" s="1770"/>
      <c r="S31" s="1853"/>
    </row>
    <row r="32" spans="1:19">
      <c r="A32" s="1857"/>
      <c r="B32" s="1865" t="s">
        <v>520</v>
      </c>
      <c r="C32" s="1866"/>
      <c r="D32" s="1145"/>
      <c r="E32" s="1145"/>
      <c r="F32" s="1146"/>
      <c r="G32" s="1599"/>
      <c r="H32" s="1867"/>
      <c r="I32" s="1476"/>
      <c r="J32" s="1771"/>
      <c r="K32" s="1476"/>
      <c r="L32" s="1771"/>
      <c r="M32" s="1476"/>
      <c r="N32" s="1771"/>
      <c r="O32" s="1476"/>
      <c r="P32" s="1771"/>
      <c r="Q32" s="1476"/>
      <c r="R32" s="1477"/>
      <c r="S32" s="1477"/>
    </row>
    <row r="33" spans="1:19">
      <c r="A33" s="1857"/>
      <c r="B33" s="1558"/>
      <c r="C33" s="1133"/>
      <c r="D33" s="1124"/>
      <c r="E33" s="1124"/>
      <c r="F33" s="1151"/>
      <c r="G33" s="1229"/>
      <c r="H33" s="1770"/>
      <c r="I33" s="1858"/>
      <c r="J33" s="1770"/>
      <c r="K33" s="1860"/>
      <c r="L33" s="1770"/>
      <c r="M33" s="1860"/>
      <c r="N33" s="1770"/>
      <c r="O33" s="1773"/>
      <c r="P33" s="1770"/>
      <c r="Q33" s="1853"/>
      <c r="R33" s="1770"/>
      <c r="S33" s="1853"/>
    </row>
    <row r="34" spans="1:19">
      <c r="A34" s="1857"/>
      <c r="B34" s="1556" t="s">
        <v>694</v>
      </c>
      <c r="C34" s="1868"/>
      <c r="D34" s="1216"/>
      <c r="E34" s="1216"/>
      <c r="F34" s="1217"/>
      <c r="G34" s="1557"/>
      <c r="H34" s="1804"/>
      <c r="I34" s="1869"/>
      <c r="J34" s="1804"/>
      <c r="K34" s="1441"/>
      <c r="L34" s="1804"/>
      <c r="M34" s="1441"/>
      <c r="N34" s="1804"/>
      <c r="O34" s="1870"/>
      <c r="P34" s="1804"/>
      <c r="Q34" s="1440"/>
      <c r="R34" s="1804"/>
      <c r="S34" s="1440"/>
    </row>
    <row r="35" spans="1:19">
      <c r="A35" s="1857"/>
      <c r="B35" s="1558"/>
      <c r="C35" s="1537"/>
      <c r="D35" s="1124"/>
      <c r="E35" s="1124"/>
      <c r="F35" s="1151"/>
      <c r="G35" s="1229"/>
      <c r="H35" s="1770"/>
      <c r="I35" s="1858"/>
      <c r="J35" s="1770"/>
      <c r="K35" s="1860"/>
      <c r="L35" s="1770"/>
      <c r="M35" s="1860"/>
      <c r="N35" s="1770"/>
      <c r="O35" s="1773"/>
      <c r="P35" s="1770"/>
      <c r="Q35" s="1853"/>
      <c r="R35" s="1770"/>
      <c r="S35" s="1853"/>
    </row>
    <row r="36" spans="1:19">
      <c r="A36" s="1857"/>
      <c r="B36" s="1871" t="s">
        <v>695</v>
      </c>
      <c r="C36" s="1872"/>
      <c r="D36" s="1223"/>
      <c r="E36" s="1223"/>
      <c r="F36" s="1224"/>
      <c r="G36" s="1560"/>
      <c r="H36" s="1814"/>
      <c r="I36" s="1873"/>
      <c r="J36" s="1814"/>
      <c r="K36" s="1874"/>
      <c r="L36" s="1814"/>
      <c r="M36" s="1874"/>
      <c r="N36" s="1814"/>
      <c r="O36" s="1875"/>
      <c r="P36" s="1814"/>
      <c r="Q36" s="1876"/>
      <c r="R36" s="1814"/>
      <c r="S36" s="1876"/>
    </row>
    <row r="37" spans="1:19">
      <c r="A37" s="1857"/>
      <c r="B37" s="1877" t="s">
        <v>907</v>
      </c>
      <c r="C37" s="1537" t="s">
        <v>697</v>
      </c>
      <c r="D37" s="1124">
        <v>1024</v>
      </c>
      <c r="E37" s="1124" t="s">
        <v>723</v>
      </c>
      <c r="F37" s="1151">
        <v>22</v>
      </c>
      <c r="G37" s="1229">
        <f>D37*F37</f>
        <v>22528</v>
      </c>
      <c r="H37" s="1770"/>
      <c r="I37" s="1878">
        <f>G37</f>
        <v>22528</v>
      </c>
      <c r="J37" s="1770"/>
      <c r="K37" s="1860"/>
      <c r="L37" s="1770"/>
      <c r="M37" s="1860"/>
      <c r="N37" s="1770"/>
      <c r="O37" s="1773"/>
      <c r="P37" s="1770"/>
      <c r="Q37" s="1853"/>
      <c r="R37" s="1770"/>
      <c r="S37" s="1853"/>
    </row>
    <row r="38" spans="1:19">
      <c r="A38" s="1857"/>
      <c r="B38" s="1558"/>
      <c r="C38" s="1537"/>
      <c r="D38" s="1124"/>
      <c r="E38" s="1124"/>
      <c r="F38" s="1151"/>
      <c r="G38" s="1229"/>
      <c r="H38" s="1770"/>
      <c r="I38" s="1858"/>
      <c r="J38" s="1770"/>
      <c r="K38" s="1860"/>
      <c r="L38" s="1770"/>
      <c r="M38" s="1860"/>
      <c r="N38" s="1770"/>
      <c r="O38" s="1773"/>
      <c r="P38" s="1770"/>
      <c r="Q38" s="1853"/>
      <c r="R38" s="1770"/>
      <c r="S38" s="1853"/>
    </row>
    <row r="39" spans="1:19">
      <c r="A39" s="1857"/>
      <c r="B39" s="1556" t="s">
        <v>649</v>
      </c>
      <c r="C39" s="1868"/>
      <c r="D39" s="1216"/>
      <c r="E39" s="1216"/>
      <c r="F39" s="1217"/>
      <c r="G39" s="1557"/>
      <c r="H39" s="1804"/>
      <c r="I39" s="1869"/>
      <c r="J39" s="1804"/>
      <c r="K39" s="1441"/>
      <c r="L39" s="1804"/>
      <c r="M39" s="1441"/>
      <c r="N39" s="1804"/>
      <c r="O39" s="1870"/>
      <c r="P39" s="1804"/>
      <c r="Q39" s="1440"/>
      <c r="R39" s="1804"/>
      <c r="S39" s="1440"/>
    </row>
    <row r="40" spans="1:19">
      <c r="A40" s="1857"/>
      <c r="B40" s="1558"/>
      <c r="C40" s="1537"/>
      <c r="D40" s="1124"/>
      <c r="E40" s="1124"/>
      <c r="F40" s="1151"/>
      <c r="G40" s="1229"/>
      <c r="H40" s="1770"/>
      <c r="I40" s="1858"/>
      <c r="J40" s="1770"/>
      <c r="K40" s="1860"/>
      <c r="L40" s="1770"/>
      <c r="M40" s="1860"/>
      <c r="N40" s="1770"/>
      <c r="O40" s="1773"/>
      <c r="P40" s="1770"/>
      <c r="Q40" s="1853"/>
      <c r="R40" s="1770"/>
      <c r="S40" s="1853"/>
    </row>
    <row r="41" spans="1:19">
      <c r="A41" s="1857"/>
      <c r="B41" s="1871" t="s">
        <v>700</v>
      </c>
      <c r="C41" s="1872"/>
      <c r="D41" s="1223"/>
      <c r="E41" s="1223"/>
      <c r="F41" s="1224"/>
      <c r="G41" s="1560"/>
      <c r="H41" s="1814"/>
      <c r="I41" s="1873"/>
      <c r="J41" s="1814"/>
      <c r="K41" s="1874"/>
      <c r="L41" s="1814"/>
      <c r="M41" s="1874"/>
      <c r="N41" s="1814"/>
      <c r="O41" s="1875"/>
      <c r="P41" s="1814"/>
      <c r="Q41" s="1876"/>
      <c r="R41" s="1814"/>
      <c r="S41" s="1876"/>
    </row>
    <row r="42" spans="1:19">
      <c r="A42" s="1857"/>
      <c r="B42" s="1877" t="s">
        <v>908</v>
      </c>
      <c r="C42" s="1124" t="s">
        <v>826</v>
      </c>
      <c r="D42" s="1124">
        <f>11097+2182</f>
        <v>13279</v>
      </c>
      <c r="E42" s="1124" t="s">
        <v>723</v>
      </c>
      <c r="F42" s="1124">
        <v>20</v>
      </c>
      <c r="G42" s="1229">
        <f>D42*F42</f>
        <v>265580</v>
      </c>
      <c r="H42" s="1770"/>
      <c r="I42" s="1860">
        <f>G42</f>
        <v>265580</v>
      </c>
      <c r="J42" s="1770"/>
      <c r="K42" s="1860"/>
      <c r="L42" s="1770"/>
      <c r="M42" s="1860"/>
      <c r="N42" s="1770"/>
      <c r="O42" s="1773"/>
      <c r="P42" s="1770"/>
      <c r="Q42" s="1853"/>
      <c r="R42" s="1770"/>
      <c r="S42" s="1853"/>
    </row>
    <row r="43" spans="1:19">
      <c r="A43" s="1857"/>
      <c r="B43" s="1877" t="s">
        <v>909</v>
      </c>
      <c r="C43" s="1124" t="s">
        <v>826</v>
      </c>
      <c r="D43" s="1124">
        <f>6305-2182</f>
        <v>4123</v>
      </c>
      <c r="E43" s="1124" t="s">
        <v>723</v>
      </c>
      <c r="F43" s="1124">
        <f>F42</f>
        <v>20</v>
      </c>
      <c r="G43" s="1229">
        <f>D43*F43</f>
        <v>82460</v>
      </c>
      <c r="H43" s="1770"/>
      <c r="I43" s="1860">
        <f>G43</f>
        <v>82460</v>
      </c>
      <c r="J43" s="1770"/>
      <c r="K43" s="1860"/>
      <c r="L43" s="1770"/>
      <c r="M43" s="1860"/>
      <c r="N43" s="1770"/>
      <c r="O43" s="1773"/>
      <c r="P43" s="1770"/>
      <c r="Q43" s="1853"/>
      <c r="R43" s="1770"/>
      <c r="S43" s="1853"/>
    </row>
    <row r="44" spans="1:19">
      <c r="A44" s="1857"/>
      <c r="B44" s="1558"/>
      <c r="C44" s="1537"/>
      <c r="D44" s="1124"/>
      <c r="E44" s="1124"/>
      <c r="F44" s="1151"/>
      <c r="G44" s="1229"/>
      <c r="H44" s="1770"/>
      <c r="I44" s="1858"/>
      <c r="J44" s="1770"/>
      <c r="K44" s="1860"/>
      <c r="L44" s="1770"/>
      <c r="M44" s="1860"/>
      <c r="N44" s="1770"/>
      <c r="O44" s="1773"/>
      <c r="P44" s="1770"/>
      <c r="Q44" s="1853"/>
      <c r="R44" s="1770"/>
      <c r="S44" s="1853"/>
    </row>
    <row r="45" spans="1:19">
      <c r="A45" s="1857"/>
      <c r="B45" s="1556" t="s">
        <v>703</v>
      </c>
      <c r="C45" s="1868"/>
      <c r="D45" s="1216"/>
      <c r="E45" s="1216"/>
      <c r="F45" s="1217"/>
      <c r="G45" s="1557"/>
      <c r="H45" s="1804"/>
      <c r="I45" s="1869"/>
      <c r="J45" s="1804"/>
      <c r="K45" s="1441"/>
      <c r="L45" s="1804"/>
      <c r="M45" s="1441"/>
      <c r="N45" s="1804"/>
      <c r="O45" s="1870"/>
      <c r="P45" s="1804"/>
      <c r="Q45" s="1440"/>
      <c r="R45" s="1804"/>
      <c r="S45" s="1440"/>
    </row>
    <row r="46" spans="1:19">
      <c r="A46" s="1857"/>
      <c r="B46" s="1558"/>
      <c r="C46" s="1537"/>
      <c r="D46" s="1124"/>
      <c r="E46" s="1124"/>
      <c r="F46" s="1151"/>
      <c r="G46" s="1229"/>
      <c r="H46" s="1770"/>
      <c r="I46" s="1858"/>
      <c r="J46" s="1770"/>
      <c r="K46" s="1860"/>
      <c r="L46" s="1770"/>
      <c r="M46" s="1860"/>
      <c r="N46" s="1770"/>
      <c r="O46" s="1773"/>
      <c r="P46" s="1770"/>
      <c r="Q46" s="1853"/>
      <c r="R46" s="1770"/>
      <c r="S46" s="1853"/>
    </row>
    <row r="47" spans="1:19">
      <c r="A47" s="1857"/>
      <c r="B47" s="1871" t="s">
        <v>704</v>
      </c>
      <c r="C47" s="1872"/>
      <c r="D47" s="1223"/>
      <c r="E47" s="1223"/>
      <c r="F47" s="1224"/>
      <c r="G47" s="1560"/>
      <c r="H47" s="1814"/>
      <c r="I47" s="1873"/>
      <c r="J47" s="1814"/>
      <c r="K47" s="1874"/>
      <c r="L47" s="1814"/>
      <c r="M47" s="1874"/>
      <c r="N47" s="1814"/>
      <c r="O47" s="1875"/>
      <c r="P47" s="1814"/>
      <c r="Q47" s="1876"/>
      <c r="R47" s="1814"/>
      <c r="S47" s="1876"/>
    </row>
    <row r="48" spans="1:19">
      <c r="A48" s="1857"/>
      <c r="B48" s="1877" t="s">
        <v>910</v>
      </c>
      <c r="C48" s="1537" t="s">
        <v>850</v>
      </c>
      <c r="D48" s="1124">
        <v>1875</v>
      </c>
      <c r="E48" s="1124" t="s">
        <v>723</v>
      </c>
      <c r="F48" s="1151">
        <v>20</v>
      </c>
      <c r="G48" s="1229">
        <f t="shared" ref="G48:G50" si="0">D48*F48</f>
        <v>37500</v>
      </c>
      <c r="H48" s="1770"/>
      <c r="I48" s="1860">
        <f t="shared" ref="I48:I50" si="1">G48</f>
        <v>37500</v>
      </c>
      <c r="J48" s="1770"/>
      <c r="K48" s="1860"/>
      <c r="L48" s="1770"/>
      <c r="M48" s="1860"/>
      <c r="N48" s="1770"/>
      <c r="O48" s="1773"/>
      <c r="P48" s="1770"/>
      <c r="Q48" s="1853"/>
      <c r="R48" s="1770"/>
      <c r="S48" s="1853"/>
    </row>
    <row r="49" spans="1:19">
      <c r="A49" s="1857"/>
      <c r="B49" s="1877" t="s">
        <v>911</v>
      </c>
      <c r="C49" s="1537" t="s">
        <v>850</v>
      </c>
      <c r="D49" s="1124">
        <v>1091</v>
      </c>
      <c r="E49" s="1124" t="s">
        <v>723</v>
      </c>
      <c r="F49" s="1151">
        <v>20</v>
      </c>
      <c r="G49" s="1229">
        <f t="shared" si="0"/>
        <v>21820</v>
      </c>
      <c r="H49" s="1770"/>
      <c r="I49" s="1860">
        <f t="shared" si="1"/>
        <v>21820</v>
      </c>
      <c r="J49" s="1770"/>
      <c r="K49" s="1860"/>
      <c r="L49" s="1770"/>
      <c r="M49" s="1860"/>
      <c r="N49" s="1770"/>
      <c r="O49" s="1773"/>
      <c r="P49" s="1770"/>
      <c r="Q49" s="1853"/>
      <c r="R49" s="1770"/>
      <c r="S49" s="1853"/>
    </row>
    <row r="50" spans="1:19">
      <c r="A50" s="1857"/>
      <c r="B50" s="1877" t="s">
        <v>912</v>
      </c>
      <c r="C50" s="1537" t="s">
        <v>850</v>
      </c>
      <c r="D50" s="1124">
        <f>4916-$D$49</f>
        <v>3825</v>
      </c>
      <c r="E50" s="1124" t="s">
        <v>723</v>
      </c>
      <c r="F50" s="1151">
        <v>22</v>
      </c>
      <c r="G50" s="1229">
        <f t="shared" si="0"/>
        <v>84150</v>
      </c>
      <c r="H50" s="1770"/>
      <c r="I50" s="1860">
        <f t="shared" si="1"/>
        <v>84150</v>
      </c>
      <c r="J50" s="1770"/>
      <c r="K50" s="1860"/>
      <c r="L50" s="1770"/>
      <c r="M50" s="1860"/>
      <c r="N50" s="1770"/>
      <c r="O50" s="1773"/>
      <c r="P50" s="1770"/>
      <c r="Q50" s="1853"/>
      <c r="R50" s="1770"/>
      <c r="S50" s="1853"/>
    </row>
    <row r="51" spans="1:19">
      <c r="A51" s="1857"/>
      <c r="B51" s="1877"/>
      <c r="C51" s="1537"/>
      <c r="D51" s="1124"/>
      <c r="E51" s="1124"/>
      <c r="F51" s="1151"/>
      <c r="G51" s="1229"/>
      <c r="H51" s="1770"/>
      <c r="I51" s="1858"/>
      <c r="J51" s="1770"/>
      <c r="K51" s="1860"/>
      <c r="L51" s="1770"/>
      <c r="M51" s="1860"/>
      <c r="N51" s="1770"/>
      <c r="O51" s="1773"/>
      <c r="P51" s="1770"/>
      <c r="Q51" s="1853"/>
      <c r="R51" s="1770"/>
      <c r="S51" s="1853"/>
    </row>
    <row r="52" spans="1:19">
      <c r="A52" s="1857"/>
      <c r="B52" s="1556" t="s">
        <v>705</v>
      </c>
      <c r="C52" s="1868"/>
      <c r="D52" s="1216"/>
      <c r="E52" s="1216"/>
      <c r="F52" s="1217"/>
      <c r="G52" s="1557"/>
      <c r="H52" s="1804"/>
      <c r="I52" s="1869"/>
      <c r="J52" s="1804"/>
      <c r="K52" s="1441"/>
      <c r="L52" s="1804"/>
      <c r="M52" s="1441"/>
      <c r="N52" s="1804"/>
      <c r="O52" s="1870"/>
      <c r="P52" s="1804"/>
      <c r="Q52" s="1440"/>
      <c r="R52" s="1804"/>
      <c r="S52" s="1440"/>
    </row>
    <row r="53" spans="1:19">
      <c r="A53" s="1857"/>
      <c r="B53" s="1558"/>
      <c r="C53" s="1537"/>
      <c r="D53" s="1124"/>
      <c r="E53" s="1124"/>
      <c r="F53" s="1151"/>
      <c r="G53" s="1229"/>
      <c r="H53" s="1770"/>
      <c r="I53" s="1858"/>
      <c r="J53" s="1770"/>
      <c r="K53" s="1860"/>
      <c r="L53" s="1770"/>
      <c r="M53" s="1860"/>
      <c r="N53" s="1770"/>
      <c r="O53" s="1773"/>
      <c r="P53" s="1770"/>
      <c r="Q53" s="1853"/>
      <c r="R53" s="1770"/>
      <c r="S53" s="1853"/>
    </row>
    <row r="54" spans="1:19">
      <c r="A54" s="1857"/>
      <c r="B54" s="1871" t="s">
        <v>602</v>
      </c>
      <c r="C54" s="1872"/>
      <c r="D54" s="1223"/>
      <c r="E54" s="1223"/>
      <c r="F54" s="1224"/>
      <c r="G54" s="1560"/>
      <c r="H54" s="1814"/>
      <c r="I54" s="1873"/>
      <c r="J54" s="1814"/>
      <c r="K54" s="1874"/>
      <c r="L54" s="1814"/>
      <c r="M54" s="1874"/>
      <c r="N54" s="1814"/>
      <c r="O54" s="1875"/>
      <c r="P54" s="1814"/>
      <c r="Q54" s="1876"/>
      <c r="R54" s="1814"/>
      <c r="S54" s="1876"/>
    </row>
    <row r="55" spans="1:19">
      <c r="A55" s="1857"/>
      <c r="B55" s="1558"/>
      <c r="C55" s="1537"/>
      <c r="D55" s="1124"/>
      <c r="E55" s="1124"/>
      <c r="F55" s="1151"/>
      <c r="G55" s="1229"/>
      <c r="H55" s="1770"/>
      <c r="I55" s="1858"/>
      <c r="J55" s="1770"/>
      <c r="K55" s="1860"/>
      <c r="L55" s="1770"/>
      <c r="M55" s="1860"/>
      <c r="N55" s="1770"/>
      <c r="O55" s="1773"/>
      <c r="P55" s="1770"/>
      <c r="Q55" s="1853"/>
      <c r="R55" s="1770"/>
      <c r="S55" s="1853"/>
    </row>
    <row r="56" spans="1:19">
      <c r="A56" s="1857"/>
      <c r="B56" s="1558"/>
      <c r="C56" s="1537"/>
      <c r="D56" s="1124"/>
      <c r="E56" s="1124"/>
      <c r="F56" s="1151"/>
      <c r="G56" s="1229"/>
      <c r="H56" s="1770"/>
      <c r="I56" s="1858"/>
      <c r="J56" s="1770"/>
      <c r="K56" s="1860"/>
      <c r="L56" s="1770"/>
      <c r="M56" s="1860"/>
      <c r="N56" s="1770"/>
      <c r="O56" s="1773"/>
      <c r="P56" s="1770"/>
      <c r="Q56" s="1853"/>
      <c r="R56" s="1770"/>
      <c r="S56" s="1853"/>
    </row>
    <row r="57" spans="1:19">
      <c r="A57" s="1857"/>
      <c r="B57" s="1558"/>
      <c r="C57" s="1133"/>
      <c r="D57" s="1124"/>
      <c r="E57" s="1124"/>
      <c r="F57" s="1151"/>
      <c r="G57" s="1229"/>
      <c r="H57" s="1770"/>
      <c r="I57" s="1860"/>
      <c r="J57" s="1770"/>
      <c r="K57" s="1860"/>
      <c r="L57" s="1770"/>
      <c r="M57" s="1860"/>
      <c r="N57" s="1770"/>
      <c r="O57" s="1860"/>
      <c r="P57" s="1770"/>
      <c r="Q57" s="1860"/>
      <c r="R57" s="1770"/>
      <c r="S57" s="1860"/>
    </row>
    <row r="58" spans="1:19" ht="15.75" thickTop="1">
      <c r="A58" s="14"/>
      <c r="B58" s="15"/>
      <c r="C58" s="16"/>
      <c r="D58" s="16"/>
      <c r="E58" s="17"/>
      <c r="F58" s="18" t="s">
        <v>567</v>
      </c>
      <c r="G58" s="19"/>
      <c r="H58" s="20"/>
      <c r="I58" s="61">
        <f>SUM(I22:I57)</f>
        <v>514038</v>
      </c>
      <c r="J58" s="20"/>
      <c r="K58" s="61">
        <f>SUM(K22:K57)</f>
        <v>0</v>
      </c>
      <c r="L58" s="20"/>
      <c r="M58" s="61">
        <f>SUM(M22:M57)</f>
        <v>0</v>
      </c>
      <c r="N58" s="20"/>
      <c r="O58" s="61">
        <f>SUM(O22:O57)</f>
        <v>0</v>
      </c>
      <c r="P58" s="20"/>
      <c r="Q58" s="61">
        <f>SUM(Q22:Q57)</f>
        <v>0</v>
      </c>
      <c r="R58" s="20"/>
      <c r="S58" s="61">
        <f>SUM(S22:S57)</f>
        <v>0</v>
      </c>
    </row>
    <row r="59" spans="1:19">
      <c r="A59" s="1731"/>
      <c r="B59" s="1156"/>
      <c r="C59" s="1157"/>
      <c r="D59" s="1157"/>
      <c r="E59" s="1158"/>
      <c r="F59" s="1159" t="s">
        <v>568</v>
      </c>
      <c r="G59" s="1160"/>
      <c r="H59" s="1732">
        <v>0</v>
      </c>
      <c r="I59" s="415"/>
      <c r="J59" s="1732">
        <v>0</v>
      </c>
      <c r="K59" s="1732"/>
      <c r="L59" s="1732">
        <v>0</v>
      </c>
      <c r="M59" s="1732"/>
      <c r="N59" s="1732">
        <v>0</v>
      </c>
      <c r="O59" s="1732"/>
      <c r="P59" s="1732">
        <v>0</v>
      </c>
      <c r="Q59" s="1732"/>
      <c r="R59" s="1732">
        <v>0</v>
      </c>
      <c r="S59" s="1732"/>
    </row>
    <row r="60" spans="1:19">
      <c r="A60" s="1731"/>
      <c r="B60" s="1156"/>
      <c r="C60" s="1157"/>
      <c r="D60" s="1157"/>
      <c r="E60" s="1158"/>
      <c r="F60" s="1159" t="s">
        <v>569</v>
      </c>
      <c r="G60" s="1160"/>
      <c r="H60" s="1734"/>
      <c r="I60" s="1737">
        <f>I58*H59</f>
        <v>0</v>
      </c>
      <c r="J60" s="1734"/>
      <c r="K60" s="1737">
        <f>K58*J59</f>
        <v>0</v>
      </c>
      <c r="L60" s="1734"/>
      <c r="M60" s="1737">
        <f>M58*L59</f>
        <v>0</v>
      </c>
      <c r="N60" s="1734"/>
      <c r="O60" s="1737">
        <f>O58*N59</f>
        <v>0</v>
      </c>
      <c r="P60" s="1734"/>
      <c r="Q60" s="1737">
        <f>Q58*P59</f>
        <v>0</v>
      </c>
      <c r="R60" s="1734"/>
      <c r="S60" s="1737">
        <f>S58*R59</f>
        <v>0</v>
      </c>
    </row>
    <row r="61" spans="1:19">
      <c r="A61" s="1731"/>
      <c r="B61" s="1156"/>
      <c r="C61" s="1157"/>
      <c r="D61" s="1157"/>
      <c r="E61" s="1158"/>
      <c r="F61" s="1159"/>
      <c r="G61" s="1160"/>
      <c r="H61" s="1736"/>
      <c r="I61" s="1737"/>
      <c r="J61" s="1736"/>
      <c r="K61" s="1737"/>
      <c r="L61" s="1734"/>
      <c r="M61" s="1734"/>
      <c r="N61" s="1734"/>
      <c r="O61" s="1734"/>
      <c r="P61" s="1734"/>
      <c r="Q61" s="1734"/>
      <c r="R61" s="1734"/>
      <c r="S61" s="1734"/>
    </row>
    <row r="62" spans="1:19">
      <c r="A62" s="1731"/>
      <c r="B62" s="1156"/>
      <c r="C62" s="1157"/>
      <c r="D62" s="1157"/>
      <c r="E62" s="1158"/>
      <c r="F62" s="1159" t="s">
        <v>570</v>
      </c>
      <c r="G62" s="1160"/>
      <c r="H62" s="1739"/>
      <c r="I62" s="1737">
        <f>SUM(I58:I61)</f>
        <v>514038</v>
      </c>
      <c r="J62" s="1739"/>
      <c r="K62" s="1737">
        <f>SUM(K58:K61)</f>
        <v>0</v>
      </c>
      <c r="L62" s="1739"/>
      <c r="M62" s="1737">
        <f>SUM(M58:M60)</f>
        <v>0</v>
      </c>
      <c r="N62" s="1739"/>
      <c r="O62" s="1737">
        <f>SUM(O58:O60)</f>
        <v>0</v>
      </c>
      <c r="P62" s="1739"/>
      <c r="Q62" s="1737">
        <f>SUM(Q58:Q60)</f>
        <v>0</v>
      </c>
      <c r="R62" s="1739"/>
      <c r="S62" s="1737">
        <f>SUM(S58:S60)</f>
        <v>0</v>
      </c>
    </row>
    <row r="63" spans="1:19">
      <c r="A63" s="1731"/>
      <c r="B63" s="1156"/>
      <c r="C63" s="1157"/>
      <c r="D63" s="1157"/>
      <c r="E63" s="1158"/>
      <c r="F63" s="1161" t="s">
        <v>571</v>
      </c>
      <c r="G63" s="1162"/>
      <c r="H63" s="1740"/>
      <c r="I63" s="1741" t="e">
        <f>I62/'Area Calculations'!$J$4</f>
        <v>#DIV/0!</v>
      </c>
      <c r="J63" s="1740"/>
      <c r="K63" s="1741" t="e">
        <f>K62/'Area Calculations'!$J$4</f>
        <v>#DIV/0!</v>
      </c>
      <c r="L63" s="1740"/>
      <c r="M63" s="1741" t="e">
        <f>M62/'Area Calculations'!$J$4</f>
        <v>#DIV/0!</v>
      </c>
      <c r="N63" s="1740"/>
      <c r="O63" s="1741" t="e">
        <f>O62/'Area Calculations'!$J$4</f>
        <v>#DIV/0!</v>
      </c>
      <c r="P63" s="1740"/>
      <c r="Q63" s="1741" t="e">
        <f>Q62/'Area Calculations'!$J$4</f>
        <v>#DIV/0!</v>
      </c>
      <c r="R63" s="1740"/>
      <c r="S63" s="1741" t="e">
        <f>S62/'Area Calculations'!$J$4</f>
        <v>#DIV/0!</v>
      </c>
    </row>
    <row r="64" spans="1:19">
      <c r="A64" s="1731"/>
      <c r="B64" s="1156"/>
      <c r="C64" s="1157"/>
      <c r="D64" s="1157"/>
      <c r="E64" s="1158"/>
      <c r="F64" s="1161" t="s">
        <v>572</v>
      </c>
      <c r="G64" s="1163"/>
      <c r="H64" s="1740"/>
      <c r="I64" s="1741" t="e">
        <f>I62/'Area Calculations'!#REF!</f>
        <v>#REF!</v>
      </c>
      <c r="J64" s="1740"/>
      <c r="K64" s="1741" t="e">
        <f>K62/'Area Calculations'!#REF!</f>
        <v>#REF!</v>
      </c>
      <c r="L64" s="1740"/>
      <c r="M64" s="1741" t="e">
        <f>M62/'Area Calculations'!#REF!</f>
        <v>#REF!</v>
      </c>
      <c r="N64" s="1740"/>
      <c r="O64" s="1741" t="e">
        <f>O62/'Area Calculations'!#REF!</f>
        <v>#REF!</v>
      </c>
      <c r="P64" s="1740"/>
      <c r="Q64" s="1741" t="e">
        <f>Q62/'Area Calculations'!#REF!</f>
        <v>#REF!</v>
      </c>
      <c r="R64" s="1740"/>
      <c r="S64" s="1741" t="e">
        <f>S62/'Area Calculations'!#REF!</f>
        <v>#REF!</v>
      </c>
    </row>
    <row r="65" spans="1:19" ht="15.75" thickBot="1">
      <c r="A65" s="1731"/>
      <c r="B65" s="1156"/>
      <c r="C65" s="1157"/>
      <c r="D65" s="1157"/>
      <c r="E65" s="1158"/>
      <c r="F65" s="1159"/>
      <c r="G65" s="1533"/>
      <c r="H65" s="1742"/>
      <c r="I65" s="1743"/>
      <c r="J65" s="1744"/>
      <c r="K65" s="1744"/>
      <c r="L65" s="1744"/>
      <c r="M65" s="1744"/>
      <c r="N65" s="1744"/>
      <c r="O65" s="1744"/>
      <c r="P65" s="1744"/>
      <c r="Q65" s="1744"/>
      <c r="R65" s="1744"/>
      <c r="S65" s="1744"/>
    </row>
    <row r="66" spans="1:19" ht="16.5" thickTop="1" thickBot="1">
      <c r="A66" s="726" t="s">
        <v>573</v>
      </c>
      <c r="B66" s="727"/>
      <c r="C66" s="12"/>
      <c r="D66" s="12"/>
      <c r="E66" s="12"/>
      <c r="F66" s="12"/>
      <c r="G66" s="13"/>
      <c r="H66" s="21"/>
      <c r="I66" s="21"/>
      <c r="J66" s="21"/>
      <c r="K66" s="21"/>
      <c r="L66" s="21"/>
      <c r="M66" s="21"/>
      <c r="N66" s="21"/>
      <c r="O66" s="21"/>
      <c r="P66" s="21"/>
      <c r="Q66" s="21"/>
      <c r="R66" s="21"/>
      <c r="S66" s="21"/>
    </row>
    <row r="67" spans="1:19" ht="15.75" thickTop="1">
      <c r="A67" s="1844"/>
      <c r="B67" s="862"/>
      <c r="C67" s="1845"/>
      <c r="D67" s="1845"/>
      <c r="E67" s="1845"/>
      <c r="F67" s="1845"/>
      <c r="G67" s="1537"/>
      <c r="H67" s="1847"/>
      <c r="I67" s="1847"/>
      <c r="J67" s="1847"/>
      <c r="K67" s="1847"/>
      <c r="L67" s="1847"/>
      <c r="M67" s="1847"/>
      <c r="N67" s="1847"/>
      <c r="O67" s="1847"/>
      <c r="P67" s="1847"/>
      <c r="Q67" s="1847"/>
      <c r="R67" s="1847"/>
      <c r="S67" s="1847"/>
    </row>
    <row r="68" spans="1:19">
      <c r="A68" s="1844"/>
      <c r="B68" s="862"/>
      <c r="C68" s="1845"/>
      <c r="D68" s="1845"/>
      <c r="E68" s="1845"/>
      <c r="F68" s="1845"/>
      <c r="G68" s="1537"/>
      <c r="H68" s="1847"/>
      <c r="I68" s="1847"/>
      <c r="J68" s="1847"/>
      <c r="K68" s="1847"/>
      <c r="L68" s="1847"/>
      <c r="M68" s="1847"/>
      <c r="N68" s="1847"/>
      <c r="O68" s="1847"/>
      <c r="P68" s="1847"/>
      <c r="Q68" s="1847"/>
      <c r="R68" s="1847"/>
      <c r="S68" s="1847"/>
    </row>
    <row r="69" spans="1:19" ht="15.75" thickBot="1">
      <c r="A69" s="1844"/>
      <c r="B69" s="862"/>
      <c r="C69" s="1845"/>
      <c r="D69" s="1845"/>
      <c r="E69" s="1845"/>
      <c r="F69" s="1845"/>
      <c r="G69" s="1537"/>
      <c r="H69" s="1847"/>
      <c r="I69" s="1847"/>
      <c r="J69" s="1847"/>
      <c r="K69" s="1847"/>
      <c r="L69" s="1847"/>
      <c r="M69" s="1847"/>
      <c r="N69" s="1847"/>
      <c r="O69" s="1847"/>
      <c r="P69" s="1847"/>
      <c r="Q69" s="1847"/>
      <c r="R69" s="1847"/>
      <c r="S69" s="1847"/>
    </row>
    <row r="70" spans="1:19" s="2" customFormat="1" ht="16.5" thickTop="1" thickBot="1">
      <c r="A70" s="726" t="s">
        <v>574</v>
      </c>
      <c r="B70" s="727"/>
      <c r="C70" s="12"/>
      <c r="D70" s="12"/>
      <c r="E70" s="12"/>
      <c r="F70" s="12"/>
      <c r="G70" s="13"/>
      <c r="H70" s="21"/>
      <c r="I70" s="21"/>
      <c r="J70" s="21"/>
      <c r="K70" s="21"/>
      <c r="L70" s="21"/>
      <c r="M70" s="21"/>
      <c r="N70" s="21"/>
      <c r="O70" s="21"/>
      <c r="P70" s="21"/>
      <c r="Q70" s="21"/>
      <c r="R70" s="21"/>
      <c r="S70" s="21"/>
    </row>
    <row r="71" spans="1:19" s="2" customFormat="1" ht="15.75" thickTop="1">
      <c r="A71" s="1844"/>
      <c r="B71" s="862"/>
      <c r="C71" s="1845"/>
      <c r="D71" s="1845"/>
      <c r="E71" s="1845"/>
      <c r="F71" s="1845"/>
      <c r="G71" s="1537"/>
      <c r="H71" s="1847"/>
      <c r="I71" s="1847"/>
      <c r="J71" s="1847"/>
      <c r="K71" s="1847"/>
      <c r="L71" s="1847"/>
      <c r="M71" s="1847"/>
      <c r="N71" s="1847"/>
      <c r="O71" s="1847"/>
      <c r="P71" s="1847"/>
      <c r="Q71" s="1847"/>
      <c r="R71" s="1847"/>
      <c r="S71" s="1847"/>
    </row>
    <row r="72" spans="1:19" s="2" customFormat="1">
      <c r="A72" s="1844"/>
      <c r="B72" s="862"/>
      <c r="C72" s="1845"/>
      <c r="D72" s="1845"/>
      <c r="E72" s="1845"/>
      <c r="F72" s="1845"/>
      <c r="G72" s="1537"/>
      <c r="H72" s="1847"/>
      <c r="I72" s="1847"/>
      <c r="J72" s="1847"/>
      <c r="K72" s="1847"/>
      <c r="L72" s="1847"/>
      <c r="M72" s="1847"/>
      <c r="N72" s="1847"/>
      <c r="O72" s="1847"/>
      <c r="P72" s="1847"/>
      <c r="Q72" s="1847"/>
      <c r="R72" s="1847"/>
      <c r="S72" s="1847"/>
    </row>
    <row r="73" spans="1:19" ht="15.75" thickBot="1">
      <c r="A73" s="1844"/>
      <c r="B73" s="862"/>
      <c r="C73" s="1845"/>
      <c r="D73" s="1845"/>
      <c r="E73" s="1845"/>
      <c r="F73" s="1845"/>
      <c r="G73" s="1537"/>
      <c r="H73" s="1847"/>
      <c r="I73" s="1847"/>
      <c r="J73" s="1847"/>
      <c r="K73" s="1847"/>
      <c r="L73" s="1847"/>
      <c r="M73" s="1847"/>
      <c r="N73" s="1847"/>
      <c r="O73" s="1847"/>
      <c r="P73" s="1847"/>
      <c r="Q73" s="1847"/>
      <c r="R73" s="1847"/>
      <c r="S73" s="1847"/>
    </row>
    <row r="74" spans="1:19" s="2" customFormat="1" ht="16.5" thickTop="1" thickBot="1">
      <c r="A74" s="726" t="s">
        <v>575</v>
      </c>
      <c r="B74" s="727"/>
      <c r="C74" s="12"/>
      <c r="D74" s="12"/>
      <c r="E74" s="12"/>
      <c r="F74" s="12"/>
      <c r="G74" s="13"/>
      <c r="H74" s="21"/>
      <c r="I74" s="21"/>
      <c r="J74" s="21"/>
      <c r="K74" s="21"/>
      <c r="L74" s="21"/>
      <c r="M74" s="21"/>
      <c r="N74" s="21"/>
      <c r="O74" s="21"/>
      <c r="P74" s="21"/>
      <c r="Q74" s="21"/>
      <c r="R74" s="21"/>
      <c r="S74" s="21"/>
    </row>
    <row r="75" spans="1:19" s="2" customFormat="1" ht="15.75" thickTop="1">
      <c r="A75" s="1844"/>
      <c r="B75" s="862"/>
      <c r="C75" s="1845"/>
      <c r="D75" s="1845"/>
      <c r="E75" s="1845"/>
      <c r="F75" s="1845"/>
      <c r="G75" s="1537"/>
      <c r="H75" s="1847"/>
      <c r="I75" s="1847"/>
      <c r="J75" s="1847"/>
      <c r="K75" s="1847"/>
      <c r="L75" s="1847"/>
      <c r="M75" s="1847"/>
      <c r="N75" s="1847"/>
      <c r="O75" s="1847"/>
      <c r="P75" s="1847"/>
      <c r="Q75" s="1847"/>
      <c r="R75" s="1847"/>
      <c r="S75" s="1847"/>
    </row>
    <row r="76" spans="1:19" s="2" customFormat="1">
      <c r="A76" s="1768"/>
      <c r="B76" s="862"/>
      <c r="C76" s="1124"/>
      <c r="D76" s="1124"/>
      <c r="E76" s="1124"/>
      <c r="F76" s="1124"/>
      <c r="G76" s="1133"/>
      <c r="H76" s="1745"/>
      <c r="I76" s="1745"/>
      <c r="J76" s="1745"/>
      <c r="K76" s="1745"/>
      <c r="L76" s="1745"/>
      <c r="M76" s="1745"/>
      <c r="N76" s="1745"/>
      <c r="O76" s="1745"/>
      <c r="P76" s="1745"/>
      <c r="Q76" s="1745"/>
      <c r="R76" s="1745"/>
      <c r="S76" s="1745"/>
    </row>
    <row r="77" spans="1:19" s="2" customFormat="1" ht="15.75" thickBot="1">
      <c r="A77" s="1746"/>
      <c r="B77" s="1171"/>
      <c r="C77" s="1124"/>
      <c r="D77" s="1124"/>
      <c r="E77" s="1124"/>
      <c r="F77" s="1124"/>
      <c r="G77" s="1133"/>
      <c r="H77" s="1747"/>
      <c r="I77" s="1747"/>
      <c r="J77" s="1747"/>
      <c r="K77" s="1747"/>
      <c r="L77" s="1747"/>
      <c r="M77" s="1747"/>
      <c r="N77" s="1747"/>
      <c r="O77" s="1747"/>
      <c r="P77" s="1747"/>
      <c r="Q77" s="1747"/>
      <c r="R77" s="1747"/>
      <c r="S77" s="1747"/>
    </row>
    <row r="78" spans="1:19" s="2" customFormat="1" ht="16.5" thickTop="1" thickBot="1">
      <c r="A78" s="726" t="s">
        <v>576</v>
      </c>
      <c r="B78" s="727"/>
      <c r="C78" s="12"/>
      <c r="D78" s="12"/>
      <c r="E78" s="12"/>
      <c r="F78" s="12"/>
      <c r="G78" s="13"/>
      <c r="H78" s="21"/>
      <c r="I78" s="21"/>
      <c r="J78" s="21"/>
      <c r="K78" s="21"/>
      <c r="L78" s="21"/>
      <c r="M78" s="21"/>
      <c r="N78" s="21"/>
      <c r="O78" s="21"/>
      <c r="P78" s="21"/>
      <c r="Q78" s="21"/>
      <c r="R78" s="21"/>
      <c r="S78" s="21"/>
    </row>
    <row r="79" spans="1:19" ht="15.75" thickTop="1">
      <c r="A79" s="1849"/>
      <c r="B79" s="1850"/>
      <c r="C79" s="1845"/>
      <c r="D79" s="1845"/>
      <c r="E79" s="1845"/>
      <c r="F79" s="1845"/>
      <c r="G79" s="1537"/>
      <c r="H79" s="1847"/>
      <c r="I79" s="1847"/>
      <c r="J79" s="1847"/>
      <c r="K79" s="1847"/>
      <c r="L79" s="1847"/>
      <c r="M79" s="1847"/>
      <c r="N79" s="1847"/>
      <c r="O79" s="1847"/>
      <c r="P79" s="1847"/>
      <c r="Q79" s="1847"/>
      <c r="R79" s="1847"/>
      <c r="S79" s="1847"/>
    </row>
    <row r="80" spans="1:19">
      <c r="A80" s="1746"/>
      <c r="B80" s="1171"/>
      <c r="C80" s="1124"/>
      <c r="D80" s="1124"/>
      <c r="E80" s="1124"/>
      <c r="F80" s="1124"/>
      <c r="G80" s="1133"/>
      <c r="H80" s="1748"/>
      <c r="I80" s="1748"/>
      <c r="J80" s="1748"/>
      <c r="K80" s="1748"/>
      <c r="L80" s="1748"/>
      <c r="M80" s="1748"/>
      <c r="N80" s="1748"/>
      <c r="O80" s="1748"/>
      <c r="P80" s="1748"/>
      <c r="Q80" s="1748"/>
      <c r="R80" s="1748"/>
      <c r="S80" s="1748"/>
    </row>
    <row r="81" spans="1:19" ht="15.75" thickBot="1">
      <c r="A81" s="1746"/>
      <c r="B81" s="1171"/>
      <c r="C81" s="1124"/>
      <c r="D81" s="1124"/>
      <c r="E81" s="1124"/>
      <c r="F81" s="1124"/>
      <c r="G81" s="1133"/>
      <c r="H81" s="1748"/>
      <c r="I81" s="1748"/>
      <c r="J81" s="1748"/>
      <c r="K81" s="1748"/>
      <c r="L81" s="1748"/>
      <c r="M81" s="1748"/>
      <c r="N81" s="1748"/>
      <c r="O81" s="1748"/>
      <c r="P81" s="1748"/>
      <c r="Q81" s="1748"/>
      <c r="R81" s="1748"/>
      <c r="S81" s="1748"/>
    </row>
    <row r="82" spans="1:19" ht="16.5" thickTop="1" thickBot="1">
      <c r="A82" s="726" t="s">
        <v>577</v>
      </c>
      <c r="B82" s="727"/>
      <c r="C82" s="12"/>
      <c r="D82" s="12"/>
      <c r="E82" s="12"/>
      <c r="F82" s="12"/>
      <c r="G82" s="13"/>
      <c r="H82" s="21"/>
      <c r="I82" s="21"/>
      <c r="J82" s="21"/>
      <c r="K82" s="21"/>
      <c r="L82" s="21"/>
      <c r="M82" s="21"/>
      <c r="N82" s="21"/>
      <c r="O82" s="21"/>
      <c r="P82" s="21"/>
      <c r="Q82" s="21"/>
      <c r="R82" s="21"/>
      <c r="S82" s="21"/>
    </row>
    <row r="83" spans="1:19" ht="15.75" thickTop="1">
      <c r="A83" s="1768"/>
      <c r="B83" s="862" t="s">
        <v>578</v>
      </c>
      <c r="C83" s="1124"/>
      <c r="D83" s="1124"/>
      <c r="E83" s="1124"/>
      <c r="F83" s="1124"/>
      <c r="G83" s="1133"/>
      <c r="H83" s="1748"/>
      <c r="I83" s="1748"/>
      <c r="J83" s="1748"/>
      <c r="K83" s="1748"/>
      <c r="L83" s="1748"/>
      <c r="M83" s="1748"/>
      <c r="N83" s="1748"/>
      <c r="O83" s="1748"/>
      <c r="P83" s="1748"/>
      <c r="Q83" s="1748"/>
      <c r="R83" s="1748"/>
      <c r="S83" s="1748"/>
    </row>
    <row r="84" spans="1:19">
      <c r="A84" s="1768"/>
      <c r="B84" s="862" t="s">
        <v>579</v>
      </c>
      <c r="C84" s="1124"/>
      <c r="D84" s="1124"/>
      <c r="E84" s="1124"/>
      <c r="F84" s="1124"/>
      <c r="G84" s="1133"/>
      <c r="H84" s="1748"/>
      <c r="I84" s="1748"/>
      <c r="J84" s="1748"/>
      <c r="K84" s="1748"/>
      <c r="L84" s="1748"/>
      <c r="M84" s="1748"/>
      <c r="N84" s="1748"/>
      <c r="O84" s="1748"/>
      <c r="P84" s="1748"/>
      <c r="Q84" s="1748"/>
      <c r="R84" s="1748"/>
      <c r="S84" s="1748"/>
    </row>
    <row r="85" spans="1:19">
      <c r="A85" s="1768"/>
      <c r="B85" s="862" t="s">
        <v>580</v>
      </c>
      <c r="C85" s="1124"/>
      <c r="D85" s="1124"/>
      <c r="E85" s="1124"/>
      <c r="F85" s="1124"/>
      <c r="G85" s="1133"/>
      <c r="H85" s="1748"/>
      <c r="I85" s="1748"/>
      <c r="J85" s="1748"/>
      <c r="K85" s="1748"/>
      <c r="L85" s="1748"/>
      <c r="M85" s="1748"/>
      <c r="N85" s="1748"/>
      <c r="O85" s="1748"/>
      <c r="P85" s="1748"/>
      <c r="Q85" s="1748"/>
      <c r="R85" s="1748"/>
      <c r="S85" s="1748"/>
    </row>
    <row r="86" spans="1:19">
      <c r="A86" s="1768"/>
      <c r="B86" s="862" t="s">
        <v>581</v>
      </c>
      <c r="C86" s="1124"/>
      <c r="D86" s="1124"/>
      <c r="E86" s="1124"/>
      <c r="F86" s="1124"/>
      <c r="G86" s="1133"/>
      <c r="H86" s="1748"/>
      <c r="I86" s="1748"/>
      <c r="J86" s="1748"/>
      <c r="K86" s="1748"/>
      <c r="L86" s="1748"/>
      <c r="M86" s="1748"/>
      <c r="N86" s="1748"/>
      <c r="O86" s="1748"/>
      <c r="P86" s="1748"/>
      <c r="Q86" s="1748"/>
      <c r="R86" s="1748"/>
      <c r="S86" s="1748"/>
    </row>
    <row r="87" spans="1:19" ht="15.75" thickBot="1">
      <c r="A87" s="416"/>
      <c r="B87" s="295"/>
      <c r="C87" s="184"/>
      <c r="D87" s="184"/>
      <c r="E87" s="184"/>
      <c r="F87" s="184"/>
      <c r="G87" s="296"/>
      <c r="H87" s="418"/>
      <c r="I87" s="418"/>
      <c r="J87" s="418"/>
      <c r="K87" s="418"/>
      <c r="L87" s="418"/>
      <c r="M87" s="418"/>
      <c r="N87" s="418"/>
      <c r="O87" s="418"/>
      <c r="P87" s="418"/>
      <c r="Q87" s="418"/>
      <c r="R87" s="418"/>
      <c r="S87" s="418"/>
    </row>
    <row r="88" spans="1:19" ht="16.5" thickTop="1" thickBot="1">
      <c r="A88" s="7" t="s">
        <v>582</v>
      </c>
      <c r="B88" s="8"/>
      <c r="C88" s="12"/>
      <c r="D88" s="12"/>
      <c r="E88" s="12"/>
      <c r="F88" s="12"/>
      <c r="G88" s="13"/>
      <c r="H88" s="21"/>
      <c r="I88" s="21"/>
      <c r="J88" s="21"/>
      <c r="K88" s="21"/>
      <c r="L88" s="21"/>
      <c r="M88" s="21"/>
      <c r="N88" s="21"/>
      <c r="O88" s="21"/>
      <c r="P88" s="21"/>
      <c r="Q88" s="21"/>
      <c r="R88" s="21"/>
      <c r="S88" s="21"/>
    </row>
    <row r="89" spans="1:19" ht="15.75" thickTop="1">
      <c r="A89" s="1844"/>
      <c r="B89" s="1851" t="s">
        <v>583</v>
      </c>
      <c r="C89" s="1845"/>
      <c r="D89" s="1845"/>
      <c r="E89" s="1845"/>
      <c r="F89" s="1845"/>
      <c r="G89" s="1537"/>
      <c r="H89" s="1852"/>
      <c r="I89" s="1852"/>
      <c r="J89" s="1852"/>
      <c r="K89" s="1852"/>
      <c r="L89" s="1852"/>
      <c r="M89" s="1852"/>
      <c r="N89" s="1852"/>
      <c r="O89" s="1852"/>
      <c r="P89" s="1852"/>
      <c r="Q89" s="1852"/>
      <c r="R89" s="1852"/>
      <c r="S89" s="1852"/>
    </row>
    <row r="90" spans="1:19">
      <c r="A90" s="1768"/>
      <c r="B90" s="862" t="s">
        <v>584</v>
      </c>
      <c r="C90" s="1124"/>
      <c r="D90" s="1124"/>
      <c r="E90" s="1124"/>
      <c r="F90" s="1124"/>
      <c r="G90" s="1133"/>
      <c r="H90" s="1749"/>
      <c r="I90" s="1749"/>
      <c r="J90" s="1749"/>
      <c r="K90" s="1749"/>
      <c r="L90" s="1749"/>
      <c r="M90" s="1749"/>
      <c r="N90" s="1749"/>
      <c r="O90" s="1749"/>
      <c r="P90" s="1749"/>
      <c r="Q90" s="1749"/>
      <c r="R90" s="1749"/>
      <c r="S90" s="1749"/>
    </row>
    <row r="91" spans="1:19" ht="15.75" thickBot="1">
      <c r="A91" s="1750"/>
      <c r="B91" s="1751" t="s">
        <v>585</v>
      </c>
      <c r="C91" s="1752"/>
      <c r="D91" s="1752"/>
      <c r="E91" s="1752"/>
      <c r="F91" s="1752"/>
      <c r="G91" s="1753"/>
      <c r="H91" s="1754"/>
      <c r="I91" s="1754"/>
      <c r="J91" s="1754"/>
      <c r="K91" s="1754"/>
      <c r="L91" s="1754"/>
      <c r="M91" s="1754"/>
      <c r="N91" s="1754"/>
      <c r="O91" s="1754"/>
      <c r="P91" s="1754"/>
      <c r="Q91" s="1754"/>
      <c r="R91" s="1754"/>
      <c r="S91" s="1754"/>
    </row>
    <row r="92" spans="1:19" ht="16.5" thickTop="1" thickBot="1"/>
    <row r="93" spans="1:19" ht="16.5" thickTop="1" thickBot="1">
      <c r="A93" s="92" t="s">
        <v>586</v>
      </c>
      <c r="B93" s="94"/>
    </row>
    <row r="94" spans="1:19" ht="15.75" thickTop="1">
      <c r="A94" s="93" t="s">
        <v>487</v>
      </c>
      <c r="B94" s="1758"/>
    </row>
    <row r="95" spans="1:19">
      <c r="A95" s="1756" t="s">
        <v>491</v>
      </c>
      <c r="B95" s="1755"/>
    </row>
    <row r="96" spans="1:19">
      <c r="A96" s="1757" t="s">
        <v>494</v>
      </c>
      <c r="B96" s="1758"/>
    </row>
    <row r="97" spans="1:2">
      <c r="A97" s="1757" t="s">
        <v>497</v>
      </c>
      <c r="B97" s="1879"/>
    </row>
    <row r="98" spans="1:2" ht="15.75" thickBot="1">
      <c r="A98" s="1760" t="s">
        <v>587</v>
      </c>
      <c r="B98" s="1761">
        <f>H8</f>
        <v>514038</v>
      </c>
    </row>
    <row r="99" spans="1:2" ht="15.75" thickTop="1">
      <c r="B99" s="198"/>
    </row>
    <row r="100" spans="1:2">
      <c r="A100" s="95"/>
      <c r="B100" s="1" t="s">
        <v>588</v>
      </c>
    </row>
    <row r="101" spans="1:2">
      <c r="A101" s="96"/>
      <c r="B101" s="1" t="s">
        <v>589</v>
      </c>
    </row>
  </sheetData>
  <mergeCells count="47">
    <mergeCell ref="L6:M6"/>
    <mergeCell ref="N6:O6"/>
    <mergeCell ref="J7:K7"/>
    <mergeCell ref="L7:M7"/>
    <mergeCell ref="R4:S4"/>
    <mergeCell ref="R5:S5"/>
    <mergeCell ref="L4:M4"/>
    <mergeCell ref="N4:O4"/>
    <mergeCell ref="J5:K5"/>
    <mergeCell ref="N7:O7"/>
    <mergeCell ref="H8:I8"/>
    <mergeCell ref="J8:K8"/>
    <mergeCell ref="L8:M8"/>
    <mergeCell ref="P4:Q4"/>
    <mergeCell ref="P5:Q5"/>
    <mergeCell ref="P6:Q6"/>
    <mergeCell ref="H7:I7"/>
    <mergeCell ref="J4:K4"/>
    <mergeCell ref="J6:K6"/>
    <mergeCell ref="H6:I6"/>
    <mergeCell ref="P7:Q7"/>
    <mergeCell ref="N8:O8"/>
    <mergeCell ref="L5:M5"/>
    <mergeCell ref="N5:O5"/>
    <mergeCell ref="H4:I4"/>
    <mergeCell ref="H5:I5"/>
    <mergeCell ref="H2:I2"/>
    <mergeCell ref="J2:K2"/>
    <mergeCell ref="L2:M2"/>
    <mergeCell ref="N2:O2"/>
    <mergeCell ref="P2:Q2"/>
    <mergeCell ref="H3:I3"/>
    <mergeCell ref="J3:K3"/>
    <mergeCell ref="L3:M3"/>
    <mergeCell ref="N3:O3"/>
    <mergeCell ref="P3:Q3"/>
    <mergeCell ref="P8:Q8"/>
    <mergeCell ref="R6:S6"/>
    <mergeCell ref="R7:S7"/>
    <mergeCell ref="R8:S8"/>
    <mergeCell ref="R2:S2"/>
    <mergeCell ref="R3:S3"/>
    <mergeCell ref="A66:B66"/>
    <mergeCell ref="A70:B70"/>
    <mergeCell ref="A74:B74"/>
    <mergeCell ref="A78:B78"/>
    <mergeCell ref="A82:B82"/>
  </mergeCells>
  <conditionalFormatting sqref="H21:H31 J33:J57 L33:L57 N33:N57 P33:P57 R33:R57">
    <cfRule type="cellIs" dxfId="1249" priority="17" operator="equal">
      <formula>"X"</formula>
    </cfRule>
    <cfRule type="cellIs" dxfId="1248" priority="18" operator="equal">
      <formula>"I"</formula>
    </cfRule>
  </conditionalFormatting>
  <conditionalFormatting sqref="H33:H57">
    <cfRule type="cellIs" dxfId="1247" priority="1" operator="equal">
      <formula>"X"</formula>
    </cfRule>
    <cfRule type="cellIs" dxfId="1246" priority="2" operator="equal">
      <formula>"I"</formula>
    </cfRule>
  </conditionalFormatting>
  <conditionalFormatting sqref="J21:J31">
    <cfRule type="cellIs" dxfId="1245" priority="19" operator="equal">
      <formula>"X"</formula>
    </cfRule>
    <cfRule type="cellIs" dxfId="1244" priority="20" operator="equal">
      <formula>"I"</formula>
    </cfRule>
  </conditionalFormatting>
  <conditionalFormatting sqref="L21:L31">
    <cfRule type="cellIs" dxfId="1243" priority="21" operator="equal">
      <formula>"X"</formula>
    </cfRule>
    <cfRule type="cellIs" dxfId="1242" priority="22" operator="equal">
      <formula>"I"</formula>
    </cfRule>
  </conditionalFormatting>
  <conditionalFormatting sqref="N21:N31">
    <cfRule type="cellIs" dxfId="1241" priority="23" operator="equal">
      <formula>"X"</formula>
    </cfRule>
    <cfRule type="cellIs" dxfId="1240" priority="24" operator="equal">
      <formula>"I"</formula>
    </cfRule>
  </conditionalFormatting>
  <conditionalFormatting sqref="P21:P31">
    <cfRule type="cellIs" dxfId="1239" priority="25" operator="equal">
      <formula>"X"</formula>
    </cfRule>
    <cfRule type="cellIs" dxfId="1238" priority="26" operator="equal">
      <formula>"I"</formula>
    </cfRule>
  </conditionalFormatting>
  <conditionalFormatting sqref="R21:R31">
    <cfRule type="cellIs" dxfId="1237" priority="27" operator="equal">
      <formula>"X"</formula>
    </cfRule>
    <cfRule type="cellIs" dxfId="1236" priority="28" operator="equal">
      <formula>"I"</formula>
    </cfRule>
  </conditionalFormatting>
  <hyperlinks>
    <hyperlink ref="B3" location="'Cost Summary'!A1" display="BACK TO SUMMARY SHEET" xr:uid="{D409B23B-B740-4147-907A-7898DC0A8480}"/>
  </hyperlinks>
  <pageMargins left="0.7" right="0.7" top="0.75" bottom="0.75" header="0.3" footer="0.3"/>
  <pageSetup scale="60" orientation="portrait" horizontalDpi="1200" verticalDpi="1200" r:id="rId1"/>
  <rowBreaks count="1" manualBreakCount="1">
    <brk id="57" max="6"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2775-A828-4BDD-8172-4E1531FFE3C1}">
  <sheetPr>
    <tabColor rgb="FF92D050"/>
  </sheetPr>
  <dimension ref="A1:S122"/>
  <sheetViews>
    <sheetView zoomScale="80" zoomScaleNormal="80" workbookViewId="0">
      <pane xSplit="2" ySplit="9" topLeftCell="C25" activePane="bottomRight" state="frozen"/>
      <selection pane="bottomRight" activeCell="F38" sqref="F38"/>
      <selection pane="bottomLeft" sqref="A1:B1"/>
      <selection pane="topRight" sqref="A1:B1"/>
    </sheetView>
  </sheetViews>
  <sheetFormatPr defaultRowHeight="15"/>
  <cols>
    <col min="1" max="1" width="11" customWidth="1"/>
    <col min="2" max="2" width="70.7109375" style="1" customWidth="1"/>
    <col min="3" max="3" width="13.28515625" style="2" customWidth="1"/>
    <col min="4" max="5" width="7.5703125" style="2" customWidth="1"/>
    <col min="6" max="6" width="10.5703125" style="2" customWidth="1"/>
    <col min="7" max="7" width="13.140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1762" t="s">
        <v>489</v>
      </c>
      <c r="B5" s="862" t="s">
        <v>617</v>
      </c>
      <c r="C5" s="1124"/>
      <c r="D5" s="1124"/>
      <c r="E5" s="1124"/>
      <c r="F5" s="1124"/>
      <c r="G5" s="1125" t="s">
        <v>491</v>
      </c>
      <c r="H5" s="1763"/>
      <c r="I5" s="1126"/>
      <c r="J5" s="1763"/>
      <c r="K5" s="1126"/>
      <c r="L5" s="1763"/>
      <c r="M5" s="1126"/>
      <c r="N5" s="1763"/>
      <c r="O5" s="1126"/>
      <c r="P5" s="1763"/>
      <c r="Q5" s="1126"/>
      <c r="R5" s="1763"/>
      <c r="S5" s="1126"/>
    </row>
    <row r="6" spans="1:19">
      <c r="A6" s="1762" t="s">
        <v>493</v>
      </c>
      <c r="B6" s="1127" t="s">
        <v>616</v>
      </c>
      <c r="C6" s="1124"/>
      <c r="D6" s="1124"/>
      <c r="E6" s="1124"/>
      <c r="F6" s="1124"/>
      <c r="G6" s="1125" t="s">
        <v>494</v>
      </c>
      <c r="H6" s="1764"/>
      <c r="I6" s="1129"/>
      <c r="J6" s="1764"/>
      <c r="K6" s="1129"/>
      <c r="L6" s="1764"/>
      <c r="M6" s="1129"/>
      <c r="N6" s="1764"/>
      <c r="O6" s="1129"/>
      <c r="P6" s="1764"/>
      <c r="Q6" s="1129"/>
      <c r="R6" s="1764"/>
      <c r="S6" s="1129"/>
    </row>
    <row r="7" spans="1:19">
      <c r="A7" s="1762" t="s">
        <v>496</v>
      </c>
      <c r="B7" s="1130"/>
      <c r="C7" s="1124"/>
      <c r="D7" s="1124"/>
      <c r="E7" s="1124"/>
      <c r="F7" s="1124"/>
      <c r="G7" s="1125" t="s">
        <v>497</v>
      </c>
      <c r="H7" s="1765"/>
      <c r="I7" s="1126"/>
      <c r="J7" s="1784"/>
      <c r="K7" s="1131"/>
      <c r="L7" s="1784"/>
      <c r="M7" s="1131"/>
      <c r="N7" s="1784"/>
      <c r="O7" s="1131"/>
      <c r="P7" s="1784"/>
      <c r="Q7" s="1131"/>
      <c r="R7" s="1784"/>
      <c r="S7" s="1131"/>
    </row>
    <row r="8" spans="1:19" ht="15.75" thickBot="1">
      <c r="A8" s="414" t="s">
        <v>499</v>
      </c>
      <c r="B8" s="295"/>
      <c r="C8" s="184"/>
      <c r="D8" s="184"/>
      <c r="E8" s="184"/>
      <c r="F8" s="184"/>
      <c r="G8" s="419" t="s">
        <v>499</v>
      </c>
      <c r="H8" s="1766">
        <f>I82</f>
        <v>88695.705000000002</v>
      </c>
      <c r="I8" s="1767"/>
      <c r="J8" s="1766">
        <f>K82</f>
        <v>0</v>
      </c>
      <c r="K8" s="1767"/>
      <c r="L8" s="1766">
        <f>M82</f>
        <v>0</v>
      </c>
      <c r="M8" s="1767"/>
      <c r="N8" s="1766">
        <f>O82</f>
        <v>0</v>
      </c>
      <c r="O8" s="1767"/>
      <c r="P8" s="1766">
        <f>Q82</f>
        <v>0</v>
      </c>
      <c r="Q8" s="1767"/>
      <c r="R8" s="1766">
        <f>S82</f>
        <v>0</v>
      </c>
      <c r="S8" s="176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1768"/>
      <c r="B10" s="1855" t="s">
        <v>508</v>
      </c>
      <c r="C10" s="1124"/>
      <c r="D10" s="1124"/>
      <c r="E10" s="1124"/>
      <c r="F10" s="1124"/>
      <c r="G10" s="1133"/>
      <c r="H10" s="1769"/>
      <c r="I10" s="1769"/>
      <c r="J10" s="1769"/>
      <c r="K10" s="1769"/>
      <c r="L10" s="1769"/>
      <c r="M10" s="1769"/>
      <c r="N10" s="1769"/>
      <c r="O10" s="1769"/>
      <c r="P10" s="1769"/>
      <c r="Q10" s="1769"/>
      <c r="R10" s="1769"/>
      <c r="S10" s="1769"/>
    </row>
    <row r="11" spans="1:19" hidden="1">
      <c r="A11" s="1768"/>
      <c r="B11" s="862" t="str">
        <f>'Area Calculations'!M62</f>
        <v>Architectural Drawings  by</v>
      </c>
      <c r="C11" s="1134" t="s">
        <v>509</v>
      </c>
      <c r="D11" s="1124"/>
      <c r="E11" s="1124"/>
      <c r="F11" s="1124"/>
      <c r="G11" s="1133"/>
      <c r="H11" s="1769"/>
      <c r="I11" s="1769"/>
      <c r="J11" s="1769"/>
      <c r="K11" s="1769"/>
      <c r="L11" s="1769"/>
      <c r="M11" s="1769"/>
      <c r="N11" s="1769"/>
      <c r="O11" s="1769"/>
      <c r="P11" s="1769"/>
      <c r="Q11" s="1769"/>
      <c r="R11" s="1769"/>
      <c r="S11" s="1769"/>
    </row>
    <row r="12" spans="1:19" hidden="1">
      <c r="A12" s="1768"/>
      <c r="B12" s="862" t="str">
        <f>'Area Calculations'!M63</f>
        <v>Structural Drawings by</v>
      </c>
      <c r="C12" s="1134" t="s">
        <v>509</v>
      </c>
      <c r="D12" s="1124"/>
      <c r="E12" s="1124"/>
      <c r="F12" s="1124"/>
      <c r="G12" s="1133"/>
      <c r="H12" s="1769"/>
      <c r="I12" s="1769"/>
      <c r="J12" s="1769"/>
      <c r="K12" s="1769"/>
      <c r="L12" s="1769"/>
      <c r="M12" s="1769"/>
      <c r="N12" s="1769"/>
      <c r="O12" s="1769"/>
      <c r="P12" s="1769"/>
      <c r="Q12" s="1769"/>
      <c r="R12" s="1769"/>
      <c r="S12" s="1769"/>
    </row>
    <row r="13" spans="1:19" hidden="1">
      <c r="A13" s="1768"/>
      <c r="B13" s="862" t="str">
        <f>'Area Calculations'!M64</f>
        <v>MEP FA FP Drawings by</v>
      </c>
      <c r="C13" s="1134" t="s">
        <v>509</v>
      </c>
      <c r="D13" s="1124"/>
      <c r="E13" s="1124"/>
      <c r="F13" s="1124"/>
      <c r="G13" s="1133"/>
      <c r="H13" s="1769"/>
      <c r="I13" s="1769"/>
      <c r="J13" s="1769"/>
      <c r="K13" s="1769"/>
      <c r="L13" s="1769"/>
      <c r="M13" s="1769"/>
      <c r="N13" s="1769"/>
      <c r="O13" s="1769"/>
      <c r="P13" s="1769"/>
      <c r="Q13" s="1769"/>
      <c r="R13" s="1769"/>
      <c r="S13" s="1769"/>
    </row>
    <row r="14" spans="1:19" hidden="1">
      <c r="A14" s="1768"/>
      <c r="B14" s="862" t="str">
        <f>'Area Calculations'!M65</f>
        <v xml:space="preserve">Civil Drawings by </v>
      </c>
      <c r="C14" s="1134" t="s">
        <v>509</v>
      </c>
      <c r="D14" s="1124"/>
      <c r="E14" s="1124"/>
      <c r="F14" s="1124"/>
      <c r="G14" s="1133"/>
      <c r="H14" s="1769"/>
      <c r="I14" s="1769"/>
      <c r="J14" s="1769"/>
      <c r="K14" s="1769"/>
      <c r="L14" s="1769"/>
      <c r="M14" s="1769"/>
      <c r="N14" s="1769"/>
      <c r="O14" s="1769"/>
      <c r="P14" s="1769"/>
      <c r="Q14" s="1769"/>
      <c r="R14" s="1769"/>
      <c r="S14" s="1769"/>
    </row>
    <row r="15" spans="1:19" hidden="1">
      <c r="A15" s="1768"/>
      <c r="B15" s="862" t="str">
        <f>'Area Calculations'!M66</f>
        <v>Land scape Drawings by</v>
      </c>
      <c r="C15" s="1134" t="s">
        <v>509</v>
      </c>
      <c r="D15" s="1124"/>
      <c r="E15" s="1124"/>
      <c r="F15" s="1124"/>
      <c r="G15" s="1133"/>
      <c r="H15" s="1769"/>
      <c r="I15" s="1769"/>
      <c r="J15" s="1769"/>
      <c r="K15" s="1769"/>
      <c r="L15" s="1769"/>
      <c r="M15" s="1769"/>
      <c r="N15" s="1769"/>
      <c r="O15" s="1769"/>
      <c r="P15" s="1769"/>
      <c r="Q15" s="1769"/>
      <c r="R15" s="1769"/>
      <c r="S15" s="1769"/>
    </row>
    <row r="16" spans="1:19" hidden="1">
      <c r="A16" s="1768"/>
      <c r="B16" s="862" t="str">
        <f>'Area Calculations'!M67</f>
        <v>Kitchen Drawings by</v>
      </c>
      <c r="C16" s="1134" t="s">
        <v>509</v>
      </c>
      <c r="D16" s="1124"/>
      <c r="E16" s="1124"/>
      <c r="F16" s="1124"/>
      <c r="G16" s="1133"/>
      <c r="H16" s="1769"/>
      <c r="I16" s="1769"/>
      <c r="J16" s="1769"/>
      <c r="K16" s="1769"/>
      <c r="L16" s="1769"/>
      <c r="M16" s="1769"/>
      <c r="N16" s="1769"/>
      <c r="O16" s="1769"/>
      <c r="P16" s="1769"/>
      <c r="Q16" s="1769"/>
      <c r="R16" s="1769"/>
      <c r="S16" s="1769"/>
    </row>
    <row r="17" spans="1:19" hidden="1">
      <c r="A17" s="1768"/>
      <c r="B17" s="862" t="str">
        <f>'Area Calculations'!M68</f>
        <v>Storefront Designer by</v>
      </c>
      <c r="C17" s="1134" t="s">
        <v>509</v>
      </c>
      <c r="D17" s="1124"/>
      <c r="E17" s="1124"/>
      <c r="F17" s="1124"/>
      <c r="G17" s="1133"/>
      <c r="H17" s="1769"/>
      <c r="I17" s="1769"/>
      <c r="J17" s="1769"/>
      <c r="K17" s="1769"/>
      <c r="L17" s="1769"/>
      <c r="M17" s="1769"/>
      <c r="N17" s="1769"/>
      <c r="O17" s="1769"/>
      <c r="P17" s="1769"/>
      <c r="Q17" s="1769"/>
      <c r="R17" s="1769"/>
      <c r="S17" s="1769"/>
    </row>
    <row r="18" spans="1:19" hidden="1">
      <c r="A18" s="1768"/>
      <c r="B18" s="862" t="str">
        <f>'Area Calculations'!M69</f>
        <v>Geotech report by</v>
      </c>
      <c r="C18" s="1134" t="s">
        <v>509</v>
      </c>
      <c r="D18" s="1124"/>
      <c r="E18" s="1124"/>
      <c r="F18" s="1124"/>
      <c r="G18" s="1133"/>
      <c r="H18" s="1769"/>
      <c r="I18" s="1769"/>
      <c r="J18" s="1769"/>
      <c r="K18" s="1769"/>
      <c r="L18" s="1769"/>
      <c r="M18" s="1769"/>
      <c r="N18" s="1769"/>
      <c r="O18" s="1769"/>
      <c r="P18" s="1769"/>
      <c r="Q18" s="1769"/>
      <c r="R18" s="1769"/>
      <c r="S18" s="1769"/>
    </row>
    <row r="19" spans="1:19" hidden="1">
      <c r="A19" s="1768"/>
      <c r="B19" s="862" t="str">
        <f>'Area Calculations'!M70</f>
        <v>Specifications</v>
      </c>
      <c r="C19" s="1134" t="s">
        <v>509</v>
      </c>
      <c r="D19" s="1124"/>
      <c r="E19" s="1124"/>
      <c r="F19" s="1124"/>
      <c r="G19" s="1133"/>
      <c r="H19" s="1769"/>
      <c r="I19" s="1769"/>
      <c r="J19" s="1769"/>
      <c r="K19" s="1769"/>
      <c r="L19" s="1769"/>
      <c r="M19" s="1769"/>
      <c r="N19" s="1769"/>
      <c r="O19" s="1769"/>
      <c r="P19" s="1769"/>
      <c r="Q19" s="1769"/>
      <c r="R19" s="1769"/>
      <c r="S19" s="1769"/>
    </row>
    <row r="20" spans="1:19" hidden="1">
      <c r="A20" s="1768"/>
      <c r="B20" s="862">
        <f>'Area Calculations'!M71</f>
        <v>0</v>
      </c>
      <c r="C20" s="1134" t="s">
        <v>509</v>
      </c>
      <c r="D20" s="1124"/>
      <c r="E20" s="1124"/>
      <c r="F20" s="1124"/>
      <c r="G20" s="1133"/>
      <c r="H20" s="1769"/>
      <c r="I20" s="1769"/>
      <c r="J20" s="1769"/>
      <c r="K20" s="1769"/>
      <c r="L20" s="1769"/>
      <c r="M20" s="1769"/>
      <c r="N20" s="1769"/>
      <c r="O20" s="1769"/>
      <c r="P20" s="1769"/>
      <c r="Q20" s="1769"/>
      <c r="R20" s="1769"/>
      <c r="S20" s="1769"/>
    </row>
    <row r="21" spans="1:19" hidden="1">
      <c r="A21" s="1768"/>
      <c r="B21" s="862"/>
      <c r="C21" s="1134"/>
      <c r="D21" s="1124"/>
      <c r="E21" s="1124"/>
      <c r="F21" s="1124"/>
      <c r="G21" s="1133"/>
      <c r="H21" s="1770"/>
      <c r="I21" s="1769"/>
      <c r="J21" s="1770"/>
      <c r="K21" s="1769"/>
      <c r="L21" s="1770"/>
      <c r="M21" s="1769"/>
      <c r="N21" s="1770"/>
      <c r="O21" s="1769"/>
      <c r="P21" s="1770"/>
      <c r="Q21" s="1769"/>
      <c r="R21" s="1770"/>
      <c r="S21" s="1769"/>
    </row>
    <row r="22" spans="1:19" ht="16.5" thickTop="1" thickBot="1">
      <c r="A22" s="1768"/>
      <c r="B22" s="1136" t="s">
        <v>617</v>
      </c>
      <c r="C22" s="1134"/>
      <c r="D22" s="1124"/>
      <c r="E22" s="1124"/>
      <c r="F22" s="1124"/>
      <c r="G22" s="1133"/>
      <c r="H22" s="1770"/>
      <c r="I22" s="1769"/>
      <c r="J22" s="1770"/>
      <c r="K22" s="1769"/>
      <c r="L22" s="1770"/>
      <c r="M22" s="1769"/>
      <c r="N22" s="1770"/>
      <c r="O22" s="1769"/>
      <c r="P22" s="1770"/>
      <c r="Q22" s="1769"/>
      <c r="R22" s="1770"/>
      <c r="S22" s="1769"/>
    </row>
    <row r="23" spans="1:19" ht="15.75" thickBot="1">
      <c r="A23" s="1857"/>
      <c r="B23" s="374" t="s">
        <v>512</v>
      </c>
      <c r="C23" s="1134"/>
      <c r="D23" s="1124"/>
      <c r="E23" s="1124"/>
      <c r="F23" s="1124"/>
      <c r="G23" s="1133"/>
      <c r="H23" s="1770"/>
      <c r="I23" s="1860"/>
      <c r="J23" s="1770"/>
      <c r="K23" s="1853"/>
      <c r="L23" s="1770"/>
      <c r="M23" s="1853"/>
      <c r="N23" s="1770"/>
      <c r="O23" s="1853"/>
      <c r="P23" s="1770"/>
      <c r="Q23" s="1853"/>
      <c r="R23" s="1770"/>
      <c r="S23" s="1853"/>
    </row>
    <row r="24" spans="1:19">
      <c r="A24" s="1857"/>
      <c r="B24" s="647" t="s">
        <v>513</v>
      </c>
      <c r="C24" s="1134"/>
      <c r="D24" s="1124"/>
      <c r="E24" s="1124"/>
      <c r="F24" s="1124"/>
      <c r="G24" s="1133"/>
      <c r="H24" s="1770"/>
      <c r="I24" s="1860"/>
      <c r="J24" s="1770"/>
      <c r="K24" s="1853"/>
      <c r="L24" s="1770"/>
      <c r="M24" s="1853"/>
      <c r="N24" s="1770"/>
      <c r="O24" s="1853"/>
      <c r="P24" s="1770"/>
      <c r="Q24" s="1853"/>
      <c r="R24" s="1770"/>
      <c r="S24" s="1853"/>
    </row>
    <row r="25" spans="1:19">
      <c r="A25" s="1857"/>
      <c r="B25" s="1861" t="s">
        <v>514</v>
      </c>
      <c r="C25" s="1134"/>
      <c r="D25" s="1124"/>
      <c r="E25" s="1124"/>
      <c r="F25" s="1124"/>
      <c r="G25" s="1133"/>
      <c r="H25" s="1770"/>
      <c r="I25" s="1880"/>
      <c r="J25" s="1770"/>
      <c r="K25" s="1860"/>
      <c r="L25" s="1770"/>
      <c r="M25" s="1853"/>
      <c r="N25" s="1770"/>
      <c r="O25" s="1853"/>
      <c r="P25" s="1770"/>
      <c r="Q25" s="1853"/>
      <c r="R25" s="1770"/>
      <c r="S25" s="1853"/>
    </row>
    <row r="26" spans="1:19">
      <c r="A26" s="1857"/>
      <c r="B26" s="1862" t="s">
        <v>515</v>
      </c>
      <c r="C26" s="1134"/>
      <c r="D26" s="1124"/>
      <c r="E26" s="1124"/>
      <c r="F26" s="1124"/>
      <c r="G26" s="1133"/>
      <c r="H26" s="1770"/>
      <c r="I26" s="1860"/>
      <c r="J26" s="1770"/>
      <c r="K26" s="1860"/>
      <c r="L26" s="1770"/>
      <c r="M26" s="1853"/>
      <c r="N26" s="1770"/>
      <c r="O26" s="1853"/>
      <c r="P26" s="1770"/>
      <c r="Q26" s="1853"/>
      <c r="R26" s="1770"/>
      <c r="S26" s="1853"/>
    </row>
    <row r="27" spans="1:19">
      <c r="A27" s="1857"/>
      <c r="B27" s="1862" t="s">
        <v>516</v>
      </c>
      <c r="C27" s="1134"/>
      <c r="D27" s="1124"/>
      <c r="E27" s="1124"/>
      <c r="F27" s="1124"/>
      <c r="G27" s="1133"/>
      <c r="H27" s="1770"/>
      <c r="I27" s="1860"/>
      <c r="J27" s="1770"/>
      <c r="K27" s="1860"/>
      <c r="L27" s="1770"/>
      <c r="M27" s="1853"/>
      <c r="N27" s="1770"/>
      <c r="O27" s="1853"/>
      <c r="P27" s="1770"/>
      <c r="Q27" s="1853"/>
      <c r="R27" s="1770"/>
      <c r="S27" s="1853"/>
    </row>
    <row r="28" spans="1:19">
      <c r="A28" s="1857"/>
      <c r="B28" s="1862" t="s">
        <v>517</v>
      </c>
      <c r="C28" s="1134"/>
      <c r="D28" s="1124"/>
      <c r="E28" s="1124"/>
      <c r="F28" s="1124"/>
      <c r="G28" s="1133"/>
      <c r="H28" s="1770"/>
      <c r="I28" s="1860"/>
      <c r="J28" s="1770"/>
      <c r="K28" s="1860"/>
      <c r="L28" s="1770"/>
      <c r="M28" s="1853"/>
      <c r="N28" s="1770"/>
      <c r="O28" s="1853"/>
      <c r="P28" s="1770"/>
      <c r="Q28" s="1853"/>
      <c r="R28" s="1770"/>
      <c r="S28" s="1853"/>
    </row>
    <row r="29" spans="1:19">
      <c r="A29" s="1857"/>
      <c r="B29" s="1862" t="s">
        <v>518</v>
      </c>
      <c r="C29" s="1134"/>
      <c r="D29" s="1124"/>
      <c r="E29" s="1124"/>
      <c r="F29" s="1124"/>
      <c r="G29" s="1133"/>
      <c r="H29" s="1770"/>
      <c r="I29" s="1860"/>
      <c r="J29" s="1770"/>
      <c r="K29" s="1860"/>
      <c r="L29" s="1770"/>
      <c r="M29" s="1853"/>
      <c r="N29" s="1770"/>
      <c r="O29" s="1853"/>
      <c r="P29" s="1770"/>
      <c r="Q29" s="1853"/>
      <c r="R29" s="1770"/>
      <c r="S29" s="1853"/>
    </row>
    <row r="30" spans="1:19">
      <c r="A30" s="1857"/>
      <c r="B30" s="1862" t="s">
        <v>693</v>
      </c>
      <c r="C30" s="1134"/>
      <c r="D30" s="1124"/>
      <c r="E30" s="1124"/>
      <c r="F30" s="1124"/>
      <c r="G30" s="1133"/>
      <c r="H30" s="1770"/>
      <c r="I30" s="1860"/>
      <c r="J30" s="1770"/>
      <c r="K30" s="1860"/>
      <c r="L30" s="1770"/>
      <c r="M30" s="1853"/>
      <c r="N30" s="1770"/>
      <c r="O30" s="1853"/>
      <c r="P30" s="1770"/>
      <c r="Q30" s="1853"/>
      <c r="R30" s="1770"/>
      <c r="S30" s="1853"/>
    </row>
    <row r="31" spans="1:19">
      <c r="A31" s="1857"/>
      <c r="B31" s="1864" t="s">
        <v>519</v>
      </c>
      <c r="C31" s="1134"/>
      <c r="D31" s="1124"/>
      <c r="E31" s="1124"/>
      <c r="F31" s="1124"/>
      <c r="G31" s="1133"/>
      <c r="H31" s="1770"/>
      <c r="I31" s="1860"/>
      <c r="J31" s="1770"/>
      <c r="K31" s="1860"/>
      <c r="L31" s="1770"/>
      <c r="M31" s="1853"/>
      <c r="N31" s="1770"/>
      <c r="O31" s="1853"/>
      <c r="P31" s="1770"/>
      <c r="Q31" s="1853"/>
      <c r="R31" s="1770"/>
      <c r="S31" s="1853"/>
    </row>
    <row r="32" spans="1:19">
      <c r="A32" s="1857"/>
      <c r="B32" s="1865" t="s">
        <v>520</v>
      </c>
      <c r="C32" s="1144"/>
      <c r="D32" s="1145"/>
      <c r="E32" s="1145"/>
      <c r="F32" s="1145"/>
      <c r="G32" s="1599"/>
      <c r="H32" s="1771"/>
      <c r="I32" s="1881"/>
      <c r="J32" s="1771"/>
      <c r="K32" s="1881"/>
      <c r="L32" s="1882"/>
      <c r="M32" s="1882"/>
      <c r="N32" s="1882"/>
      <c r="O32" s="1882"/>
      <c r="P32" s="1882"/>
      <c r="Q32" s="1882"/>
      <c r="R32" s="1882"/>
      <c r="S32" s="1882"/>
    </row>
    <row r="33" spans="1:19">
      <c r="A33" s="1857"/>
      <c r="B33" s="1883"/>
      <c r="C33" s="1134"/>
      <c r="D33" s="1124"/>
      <c r="E33" s="1124"/>
      <c r="F33" s="1124"/>
      <c r="G33" s="1133"/>
      <c r="H33" s="1770"/>
      <c r="I33" s="1860"/>
      <c r="J33" s="1770"/>
      <c r="K33" s="1860"/>
      <c r="L33" s="1770"/>
      <c r="M33" s="1853"/>
      <c r="N33" s="1770"/>
      <c r="O33" s="1853"/>
      <c r="P33" s="1770"/>
      <c r="Q33" s="1853"/>
      <c r="R33" s="1770"/>
      <c r="S33" s="1853"/>
    </row>
    <row r="34" spans="1:19">
      <c r="A34" s="1857"/>
      <c r="B34" s="1884" t="s">
        <v>694</v>
      </c>
      <c r="C34" s="1215"/>
      <c r="D34" s="1216"/>
      <c r="E34" s="1216"/>
      <c r="F34" s="1216"/>
      <c r="G34" s="1218"/>
      <c r="H34" s="1804"/>
      <c r="I34" s="1885"/>
      <c r="J34" s="1804"/>
      <c r="K34" s="1885"/>
      <c r="L34" s="1804"/>
      <c r="M34" s="1886"/>
      <c r="N34" s="1804"/>
      <c r="O34" s="1886"/>
      <c r="P34" s="1804"/>
      <c r="Q34" s="1886"/>
      <c r="R34" s="1804"/>
      <c r="S34" s="1886"/>
    </row>
    <row r="35" spans="1:19">
      <c r="A35" s="1857"/>
      <c r="B35" s="1883"/>
      <c r="C35" s="1134"/>
      <c r="D35" s="1124"/>
      <c r="E35" s="1124"/>
      <c r="F35" s="1124"/>
      <c r="G35" s="1133"/>
      <c r="H35" s="1770"/>
      <c r="I35" s="1860"/>
      <c r="J35" s="1770"/>
      <c r="K35" s="1860"/>
      <c r="L35" s="1770"/>
      <c r="M35" s="1853"/>
      <c r="N35" s="1770"/>
      <c r="O35" s="1853"/>
      <c r="P35" s="1770"/>
      <c r="Q35" s="1853"/>
      <c r="R35" s="1770"/>
      <c r="S35" s="1853"/>
    </row>
    <row r="36" spans="1:19">
      <c r="A36" s="1857"/>
      <c r="B36" s="1887" t="s">
        <v>695</v>
      </c>
      <c r="C36" s="1222"/>
      <c r="D36" s="1223"/>
      <c r="E36" s="1223"/>
      <c r="F36" s="1223"/>
      <c r="G36" s="1225"/>
      <c r="H36" s="1814"/>
      <c r="I36" s="1874"/>
      <c r="J36" s="1814"/>
      <c r="K36" s="1874"/>
      <c r="L36" s="1814"/>
      <c r="M36" s="1876"/>
      <c r="N36" s="1814"/>
      <c r="O36" s="1876"/>
      <c r="P36" s="1814"/>
      <c r="Q36" s="1876"/>
      <c r="R36" s="1814"/>
      <c r="S36" s="1876"/>
    </row>
    <row r="37" spans="1:19">
      <c r="A37" s="1857"/>
      <c r="B37" s="1888" t="s">
        <v>913</v>
      </c>
      <c r="C37" s="1537" t="s">
        <v>697</v>
      </c>
      <c r="D37" s="1124">
        <f>'Cost Summary'!$J$7</f>
        <v>663</v>
      </c>
      <c r="E37" s="1124" t="s">
        <v>723</v>
      </c>
      <c r="F37" s="1124">
        <v>2.5</v>
      </c>
      <c r="G37" s="1133">
        <f>D37*F37</f>
        <v>1657.5</v>
      </c>
      <c r="H37" s="1770"/>
      <c r="I37" s="1860">
        <f>G37</f>
        <v>1657.5</v>
      </c>
      <c r="J37" s="1770"/>
      <c r="K37" s="1860"/>
      <c r="L37" s="1770"/>
      <c r="M37" s="1853"/>
      <c r="N37" s="1770"/>
      <c r="O37" s="1853"/>
      <c r="P37" s="1770"/>
      <c r="Q37" s="1853"/>
      <c r="R37" s="1770"/>
      <c r="S37" s="1853"/>
    </row>
    <row r="38" spans="1:19">
      <c r="A38" s="1857"/>
      <c r="B38" s="1883"/>
      <c r="C38" s="1134"/>
      <c r="D38" s="1124"/>
      <c r="E38" s="1124"/>
      <c r="F38" s="1124"/>
      <c r="G38" s="1133"/>
      <c r="H38" s="1770"/>
      <c r="I38" s="1860"/>
      <c r="J38" s="1770"/>
      <c r="K38" s="1860"/>
      <c r="L38" s="1770"/>
      <c r="M38" s="1853"/>
      <c r="N38" s="1770"/>
      <c r="O38" s="1853"/>
      <c r="P38" s="1770"/>
      <c r="Q38" s="1853"/>
      <c r="R38" s="1770"/>
      <c r="S38" s="1853"/>
    </row>
    <row r="39" spans="1:19">
      <c r="A39" s="1857"/>
      <c r="B39" s="1884" t="s">
        <v>649</v>
      </c>
      <c r="C39" s="1215"/>
      <c r="D39" s="1216"/>
      <c r="E39" s="1216"/>
      <c r="F39" s="1216"/>
      <c r="G39" s="1218"/>
      <c r="H39" s="1804"/>
      <c r="I39" s="1885"/>
      <c r="J39" s="1804"/>
      <c r="K39" s="1885"/>
      <c r="L39" s="1804"/>
      <c r="M39" s="1886"/>
      <c r="N39" s="1804"/>
      <c r="O39" s="1886"/>
      <c r="P39" s="1804"/>
      <c r="Q39" s="1886"/>
      <c r="R39" s="1804"/>
      <c r="S39" s="1886"/>
    </row>
    <row r="40" spans="1:19">
      <c r="A40" s="1857"/>
      <c r="B40" s="1883"/>
      <c r="C40" s="1134"/>
      <c r="D40" s="1124"/>
      <c r="E40" s="1124"/>
      <c r="F40" s="1124"/>
      <c r="G40" s="1133"/>
      <c r="H40" s="1770"/>
      <c r="I40" s="1860"/>
      <c r="J40" s="1770"/>
      <c r="K40" s="1860"/>
      <c r="L40" s="1770"/>
      <c r="M40" s="1853"/>
      <c r="N40" s="1770"/>
      <c r="O40" s="1853"/>
      <c r="P40" s="1770"/>
      <c r="Q40" s="1853"/>
      <c r="R40" s="1770"/>
      <c r="S40" s="1853"/>
    </row>
    <row r="41" spans="1:19">
      <c r="A41" s="1857"/>
      <c r="B41" s="1887" t="s">
        <v>700</v>
      </c>
      <c r="C41" s="1222"/>
      <c r="D41" s="1223"/>
      <c r="E41" s="1223"/>
      <c r="F41" s="1223"/>
      <c r="G41" s="1225"/>
      <c r="H41" s="1814"/>
      <c r="I41" s="1874"/>
      <c r="J41" s="1814"/>
      <c r="K41" s="1874"/>
      <c r="L41" s="1814"/>
      <c r="M41" s="1876"/>
      <c r="N41" s="1814"/>
      <c r="O41" s="1876"/>
      <c r="P41" s="1814"/>
      <c r="Q41" s="1876"/>
      <c r="R41" s="1814"/>
      <c r="S41" s="1876"/>
    </row>
    <row r="42" spans="1:19">
      <c r="A42" s="1857"/>
      <c r="B42" s="1888" t="s">
        <v>913</v>
      </c>
      <c r="C42" s="1537" t="s">
        <v>702</v>
      </c>
      <c r="D42" s="1124">
        <f>'Cost Summary'!$N$7</f>
        <v>11678</v>
      </c>
      <c r="E42" s="1124" t="s">
        <v>723</v>
      </c>
      <c r="F42" s="1124">
        <v>2.5</v>
      </c>
      <c r="G42" s="1133">
        <f>D42*F42</f>
        <v>29195</v>
      </c>
      <c r="H42" s="1770"/>
      <c r="I42" s="1860">
        <f>G42</f>
        <v>29195</v>
      </c>
      <c r="J42" s="1770"/>
      <c r="K42" s="1860"/>
      <c r="L42" s="1770"/>
      <c r="M42" s="1853"/>
      <c r="N42" s="1770"/>
      <c r="O42" s="1853"/>
      <c r="P42" s="1770"/>
      <c r="Q42" s="1853"/>
      <c r="R42" s="1770"/>
      <c r="S42" s="1853"/>
    </row>
    <row r="43" spans="1:19">
      <c r="A43" s="1545"/>
      <c r="B43" s="1877" t="s">
        <v>825</v>
      </c>
      <c r="C43" s="1124" t="s">
        <v>826</v>
      </c>
      <c r="D43" s="1124">
        <f>6305-2181.51</f>
        <v>4123.49</v>
      </c>
      <c r="E43" s="1124" t="s">
        <v>723</v>
      </c>
      <c r="F43" s="1124">
        <v>4.5</v>
      </c>
      <c r="G43" s="1229">
        <f>D43*F43</f>
        <v>18555.704999999998</v>
      </c>
      <c r="H43" s="1770"/>
      <c r="I43" s="1860">
        <f>G43</f>
        <v>18555.704999999998</v>
      </c>
      <c r="J43" s="1770"/>
      <c r="K43" s="1860"/>
      <c r="L43" s="1770"/>
      <c r="M43" s="1853"/>
      <c r="N43" s="1770"/>
      <c r="O43" s="1853"/>
      <c r="P43" s="1770"/>
      <c r="Q43" s="1853"/>
      <c r="R43" s="1770"/>
      <c r="S43" s="1853"/>
    </row>
    <row r="44" spans="1:19">
      <c r="A44" s="1857"/>
      <c r="B44" s="1883"/>
      <c r="C44" s="1134"/>
      <c r="D44" s="1124"/>
      <c r="E44" s="1124"/>
      <c r="F44" s="1124"/>
      <c r="G44" s="1133"/>
      <c r="H44" s="1770"/>
      <c r="I44" s="1860"/>
      <c r="J44" s="1770"/>
      <c r="K44" s="1860"/>
      <c r="L44" s="1770"/>
      <c r="M44" s="1853"/>
      <c r="N44" s="1770"/>
      <c r="O44" s="1853"/>
      <c r="P44" s="1770"/>
      <c r="Q44" s="1853"/>
      <c r="R44" s="1770"/>
      <c r="S44" s="1853"/>
    </row>
    <row r="45" spans="1:19">
      <c r="A45" s="1857"/>
      <c r="B45" s="1884" t="s">
        <v>703</v>
      </c>
      <c r="C45" s="1215"/>
      <c r="D45" s="1216"/>
      <c r="E45" s="1216"/>
      <c r="F45" s="1216"/>
      <c r="G45" s="1218"/>
      <c r="H45" s="1804"/>
      <c r="I45" s="1885"/>
      <c r="J45" s="1804"/>
      <c r="K45" s="1885"/>
      <c r="L45" s="1804"/>
      <c r="M45" s="1886"/>
      <c r="N45" s="1804"/>
      <c r="O45" s="1886"/>
      <c r="P45" s="1804"/>
      <c r="Q45" s="1886"/>
      <c r="R45" s="1804"/>
      <c r="S45" s="1886"/>
    </row>
    <row r="46" spans="1:19">
      <c r="A46" s="1857"/>
      <c r="B46" s="1883"/>
      <c r="C46" s="1134"/>
      <c r="D46" s="1124"/>
      <c r="E46" s="1124"/>
      <c r="F46" s="1124"/>
      <c r="G46" s="1133"/>
      <c r="H46" s="1770"/>
      <c r="I46" s="1860"/>
      <c r="J46" s="1770"/>
      <c r="K46" s="1860"/>
      <c r="L46" s="1770"/>
      <c r="M46" s="1853"/>
      <c r="N46" s="1770"/>
      <c r="O46" s="1853"/>
      <c r="P46" s="1770"/>
      <c r="Q46" s="1853"/>
      <c r="R46" s="1770"/>
      <c r="S46" s="1853"/>
    </row>
    <row r="47" spans="1:19">
      <c r="A47" s="1857"/>
      <c r="B47" s="1887" t="s">
        <v>704</v>
      </c>
      <c r="C47" s="1222"/>
      <c r="D47" s="1223"/>
      <c r="E47" s="1223"/>
      <c r="F47" s="1223"/>
      <c r="G47" s="1225"/>
      <c r="H47" s="1814"/>
      <c r="I47" s="1874"/>
      <c r="J47" s="1814"/>
      <c r="K47" s="1874"/>
      <c r="L47" s="1814"/>
      <c r="M47" s="1876"/>
      <c r="N47" s="1814"/>
      <c r="O47" s="1876"/>
      <c r="P47" s="1814"/>
      <c r="Q47" s="1876"/>
      <c r="R47" s="1814"/>
      <c r="S47" s="1876"/>
    </row>
    <row r="48" spans="1:19">
      <c r="A48" s="1857"/>
      <c r="B48" s="1888" t="s">
        <v>913</v>
      </c>
      <c r="C48" s="1537" t="s">
        <v>741</v>
      </c>
      <c r="D48" s="1124">
        <f>'Cost Summary'!$R$7</f>
        <v>11225</v>
      </c>
      <c r="E48" s="1124" t="s">
        <v>723</v>
      </c>
      <c r="F48" s="1124">
        <v>3.5</v>
      </c>
      <c r="G48" s="1133">
        <f>D48*F48</f>
        <v>39287.5</v>
      </c>
      <c r="H48" s="1770"/>
      <c r="I48" s="1860">
        <f>G48</f>
        <v>39287.5</v>
      </c>
      <c r="J48" s="1770"/>
      <c r="K48" s="1860"/>
      <c r="L48" s="1770"/>
      <c r="M48" s="1853"/>
      <c r="N48" s="1770"/>
      <c r="O48" s="1853"/>
      <c r="P48" s="1770"/>
      <c r="Q48" s="1853"/>
      <c r="R48" s="1770"/>
      <c r="S48" s="1853"/>
    </row>
    <row r="49" spans="1:19">
      <c r="A49" s="1857"/>
      <c r="B49" s="1883"/>
      <c r="C49" s="1134"/>
      <c r="D49" s="1124"/>
      <c r="E49" s="1124"/>
      <c r="F49" s="1124"/>
      <c r="G49" s="1133"/>
      <c r="H49" s="1770"/>
      <c r="I49" s="1860"/>
      <c r="J49" s="1770"/>
      <c r="K49" s="1860"/>
      <c r="L49" s="1770"/>
      <c r="M49" s="1853"/>
      <c r="N49" s="1770"/>
      <c r="O49" s="1853"/>
      <c r="P49" s="1770"/>
      <c r="Q49" s="1853"/>
      <c r="R49" s="1770"/>
      <c r="S49" s="1853"/>
    </row>
    <row r="50" spans="1:19">
      <c r="A50" s="1857"/>
      <c r="B50" s="1884" t="s">
        <v>705</v>
      </c>
      <c r="C50" s="1215"/>
      <c r="D50" s="1216"/>
      <c r="E50" s="1216"/>
      <c r="F50" s="1216"/>
      <c r="G50" s="1218"/>
      <c r="H50" s="1804"/>
      <c r="I50" s="1885"/>
      <c r="J50" s="1804"/>
      <c r="K50" s="1885"/>
      <c r="L50" s="1804"/>
      <c r="M50" s="1886"/>
      <c r="N50" s="1804"/>
      <c r="O50" s="1886"/>
      <c r="P50" s="1804"/>
      <c r="Q50" s="1886"/>
      <c r="R50" s="1804"/>
      <c r="S50" s="1886"/>
    </row>
    <row r="51" spans="1:19">
      <c r="A51" s="1857"/>
      <c r="B51" s="1883"/>
      <c r="C51" s="1134"/>
      <c r="D51" s="1124"/>
      <c r="E51" s="1124"/>
      <c r="F51" s="1124"/>
      <c r="G51" s="1133"/>
      <c r="H51" s="1770"/>
      <c r="I51" s="1860"/>
      <c r="J51" s="1770"/>
      <c r="K51" s="1860"/>
      <c r="L51" s="1770"/>
      <c r="M51" s="1853"/>
      <c r="N51" s="1770"/>
      <c r="O51" s="1853"/>
      <c r="P51" s="1770"/>
      <c r="Q51" s="1853"/>
      <c r="R51" s="1770"/>
      <c r="S51" s="1853"/>
    </row>
    <row r="52" spans="1:19">
      <c r="A52" s="1857"/>
      <c r="B52" s="1887" t="s">
        <v>602</v>
      </c>
      <c r="C52" s="1222"/>
      <c r="D52" s="1223"/>
      <c r="E52" s="1223"/>
      <c r="F52" s="1223"/>
      <c r="G52" s="1225"/>
      <c r="H52" s="1814"/>
      <c r="I52" s="1874"/>
      <c r="J52" s="1814"/>
      <c r="K52" s="1874"/>
      <c r="L52" s="1814"/>
      <c r="M52" s="1876"/>
      <c r="N52" s="1814"/>
      <c r="O52" s="1876"/>
      <c r="P52" s="1814"/>
      <c r="Q52" s="1876"/>
      <c r="R52" s="1814"/>
      <c r="S52" s="1876"/>
    </row>
    <row r="53" spans="1:19">
      <c r="A53" s="1857"/>
      <c r="B53" s="1883"/>
      <c r="C53" s="1134"/>
      <c r="D53" s="1124"/>
      <c r="E53" s="1124"/>
      <c r="F53" s="1124"/>
      <c r="G53" s="1133"/>
      <c r="H53" s="1770"/>
      <c r="I53" s="1860"/>
      <c r="J53" s="1770"/>
      <c r="K53" s="1860"/>
      <c r="L53" s="1770"/>
      <c r="M53" s="1853"/>
      <c r="N53" s="1770"/>
      <c r="O53" s="1853"/>
      <c r="P53" s="1770"/>
      <c r="Q53" s="1853"/>
      <c r="R53" s="1770"/>
      <c r="S53" s="1853"/>
    </row>
    <row r="54" spans="1:19">
      <c r="A54" s="1857"/>
      <c r="B54" s="1883"/>
      <c r="C54" s="1134"/>
      <c r="D54" s="1124"/>
      <c r="E54" s="1124"/>
      <c r="F54" s="1124"/>
      <c r="G54" s="1133"/>
      <c r="H54" s="1770"/>
      <c r="I54" s="1860"/>
      <c r="J54" s="1770"/>
      <c r="K54" s="1860"/>
      <c r="L54" s="1770"/>
      <c r="M54" s="1853"/>
      <c r="N54" s="1770"/>
      <c r="O54" s="1853"/>
      <c r="P54" s="1770"/>
      <c r="Q54" s="1853"/>
      <c r="R54" s="1770"/>
      <c r="S54" s="1853"/>
    </row>
    <row r="55" spans="1:19">
      <c r="A55" s="1857"/>
      <c r="B55" s="1889" t="s">
        <v>914</v>
      </c>
      <c r="C55" s="1134"/>
      <c r="D55" s="1124"/>
      <c r="E55" s="1124"/>
      <c r="F55" s="1124"/>
      <c r="G55" s="1133"/>
      <c r="H55" s="1770"/>
      <c r="I55" s="1860"/>
      <c r="J55" s="1770"/>
      <c r="K55" s="1860"/>
      <c r="L55" s="1770"/>
      <c r="M55" s="1853"/>
      <c r="N55" s="1770"/>
      <c r="O55" s="1853"/>
      <c r="P55" s="1770"/>
      <c r="Q55" s="1853"/>
      <c r="R55" s="1770"/>
      <c r="S55" s="1853"/>
    </row>
    <row r="56" spans="1:19">
      <c r="A56" s="1857"/>
      <c r="B56" s="1890" t="s">
        <v>915</v>
      </c>
      <c r="C56" s="1134"/>
      <c r="D56" s="1124"/>
      <c r="E56" s="1124"/>
      <c r="F56" s="1124"/>
      <c r="G56" s="1133"/>
      <c r="H56" s="1770"/>
      <c r="I56" s="1860"/>
      <c r="J56" s="1770"/>
      <c r="K56" s="1860"/>
      <c r="L56" s="1770"/>
      <c r="M56" s="1853"/>
      <c r="N56" s="1770"/>
      <c r="O56" s="1853"/>
      <c r="P56" s="1770"/>
      <c r="Q56" s="1853"/>
      <c r="R56" s="1770"/>
      <c r="S56" s="1853"/>
    </row>
    <row r="57" spans="1:19">
      <c r="A57" s="1857"/>
      <c r="B57" s="1890" t="s">
        <v>916</v>
      </c>
      <c r="C57" s="1134"/>
      <c r="D57" s="1124"/>
      <c r="E57" s="1124"/>
      <c r="F57" s="1124"/>
      <c r="G57" s="1133"/>
      <c r="H57" s="1770"/>
      <c r="I57" s="1860"/>
      <c r="J57" s="1770"/>
      <c r="K57" s="1860"/>
      <c r="L57" s="1770"/>
      <c r="M57" s="1853"/>
      <c r="N57" s="1770"/>
      <c r="O57" s="1853"/>
      <c r="P57" s="1770"/>
      <c r="Q57" s="1853"/>
      <c r="R57" s="1770"/>
      <c r="S57" s="1853"/>
    </row>
    <row r="58" spans="1:19">
      <c r="A58" s="1857"/>
      <c r="B58" s="1890" t="s">
        <v>917</v>
      </c>
      <c r="C58" s="1134"/>
      <c r="D58" s="1124"/>
      <c r="E58" s="1124"/>
      <c r="F58" s="1124"/>
      <c r="G58" s="1133"/>
      <c r="H58" s="1770"/>
      <c r="I58" s="1860"/>
      <c r="J58" s="1770"/>
      <c r="K58" s="1860"/>
      <c r="L58" s="1770"/>
      <c r="M58" s="1853"/>
      <c r="N58" s="1770"/>
      <c r="O58" s="1853"/>
      <c r="P58" s="1770"/>
      <c r="Q58" s="1853"/>
      <c r="R58" s="1770"/>
      <c r="S58" s="1853"/>
    </row>
    <row r="59" spans="1:19">
      <c r="A59" s="1857"/>
      <c r="B59" s="1890" t="s">
        <v>918</v>
      </c>
      <c r="C59" s="1134"/>
      <c r="D59" s="1124"/>
      <c r="E59" s="1124"/>
      <c r="F59" s="1124"/>
      <c r="G59" s="1133"/>
      <c r="H59" s="1770"/>
      <c r="I59" s="1860"/>
      <c r="J59" s="1770"/>
      <c r="K59" s="1860"/>
      <c r="L59" s="1770"/>
      <c r="M59" s="1853"/>
      <c r="N59" s="1770"/>
      <c r="O59" s="1853"/>
      <c r="P59" s="1770"/>
      <c r="Q59" s="1853"/>
      <c r="R59" s="1770"/>
      <c r="S59" s="1853"/>
    </row>
    <row r="60" spans="1:19">
      <c r="A60" s="1857"/>
      <c r="B60" s="1890" t="s">
        <v>919</v>
      </c>
      <c r="C60" s="1134"/>
      <c r="D60" s="1124"/>
      <c r="E60" s="1124"/>
      <c r="F60" s="1124"/>
      <c r="G60" s="1133"/>
      <c r="H60" s="1770"/>
      <c r="I60" s="1860"/>
      <c r="J60" s="1770"/>
      <c r="K60" s="1860"/>
      <c r="L60" s="1770"/>
      <c r="M60" s="1853"/>
      <c r="N60" s="1770"/>
      <c r="O60" s="1853"/>
      <c r="P60" s="1770"/>
      <c r="Q60" s="1853"/>
      <c r="R60" s="1770"/>
      <c r="S60" s="1853"/>
    </row>
    <row r="61" spans="1:19">
      <c r="A61" s="1857"/>
      <c r="B61" s="1890" t="s">
        <v>920</v>
      </c>
      <c r="C61" s="1134"/>
      <c r="D61" s="1124"/>
      <c r="E61" s="1124"/>
      <c r="F61" s="1124"/>
      <c r="G61" s="1133"/>
      <c r="H61" s="1770"/>
      <c r="I61" s="1860"/>
      <c r="J61" s="1770"/>
      <c r="K61" s="1860"/>
      <c r="L61" s="1770"/>
      <c r="M61" s="1853"/>
      <c r="N61" s="1770"/>
      <c r="O61" s="1853"/>
      <c r="P61" s="1770"/>
      <c r="Q61" s="1853"/>
      <c r="R61" s="1770"/>
      <c r="S61" s="1853"/>
    </row>
    <row r="62" spans="1:19">
      <c r="A62" s="1857"/>
      <c r="B62" s="1890" t="s">
        <v>921</v>
      </c>
      <c r="C62" s="1134"/>
      <c r="D62" s="1124"/>
      <c r="E62" s="1124"/>
      <c r="F62" s="1124"/>
      <c r="G62" s="1133"/>
      <c r="H62" s="1770"/>
      <c r="I62" s="1860"/>
      <c r="J62" s="1770"/>
      <c r="K62" s="1860"/>
      <c r="L62" s="1770"/>
      <c r="M62" s="1853"/>
      <c r="N62" s="1770"/>
      <c r="O62" s="1853"/>
      <c r="P62" s="1770"/>
      <c r="Q62" s="1853"/>
      <c r="R62" s="1770"/>
      <c r="S62" s="1853"/>
    </row>
    <row r="63" spans="1:19">
      <c r="A63" s="1857"/>
      <c r="B63" s="1888" t="s">
        <v>288</v>
      </c>
      <c r="C63" s="1134"/>
      <c r="D63" s="1124"/>
      <c r="E63" s="1124"/>
      <c r="F63" s="1124"/>
      <c r="G63" s="1133"/>
      <c r="H63" s="1770"/>
      <c r="I63" s="1860"/>
      <c r="J63" s="1770"/>
      <c r="K63" s="1860"/>
      <c r="L63" s="1770"/>
      <c r="M63" s="1853"/>
      <c r="N63" s="1770"/>
      <c r="O63" s="1853"/>
      <c r="P63" s="1770"/>
      <c r="Q63" s="1853"/>
      <c r="R63" s="1770"/>
      <c r="S63" s="1853"/>
    </row>
    <row r="64" spans="1:19">
      <c r="A64" s="1857"/>
      <c r="B64" s="1891" t="s">
        <v>922</v>
      </c>
      <c r="C64" s="1134"/>
      <c r="D64" s="1124"/>
      <c r="E64" s="1124"/>
      <c r="F64" s="1124"/>
      <c r="G64" s="1133"/>
      <c r="H64" s="1770"/>
      <c r="I64" s="1860"/>
      <c r="J64" s="1770"/>
      <c r="K64" s="1860"/>
      <c r="L64" s="1770"/>
      <c r="M64" s="1853"/>
      <c r="N64" s="1770"/>
      <c r="O64" s="1853"/>
      <c r="P64" s="1770"/>
      <c r="Q64" s="1853"/>
      <c r="R64" s="1770"/>
      <c r="S64" s="1853"/>
    </row>
    <row r="65" spans="1:19">
      <c r="A65" s="1857"/>
      <c r="B65" s="1888" t="s">
        <v>923</v>
      </c>
      <c r="C65" s="1134"/>
      <c r="D65" s="1124"/>
      <c r="E65" s="1124"/>
      <c r="F65" s="1124"/>
      <c r="G65" s="1133"/>
      <c r="H65" s="1770"/>
      <c r="I65" s="1860"/>
      <c r="J65" s="1770"/>
      <c r="K65" s="1860"/>
      <c r="L65" s="1770"/>
      <c r="M65" s="1853"/>
      <c r="N65" s="1770"/>
      <c r="O65" s="1853"/>
      <c r="P65" s="1770"/>
      <c r="Q65" s="1853"/>
      <c r="R65" s="1770"/>
      <c r="S65" s="1853"/>
    </row>
    <row r="66" spans="1:19">
      <c r="A66" s="1857"/>
      <c r="B66" s="1888" t="s">
        <v>924</v>
      </c>
      <c r="C66" s="1134"/>
      <c r="D66" s="1124"/>
      <c r="E66" s="1124"/>
      <c r="F66" s="1124"/>
      <c r="G66" s="1133"/>
      <c r="H66" s="1770"/>
      <c r="I66" s="1860"/>
      <c r="J66" s="1770"/>
      <c r="K66" s="1860"/>
      <c r="L66" s="1770"/>
      <c r="M66" s="1853"/>
      <c r="N66" s="1770"/>
      <c r="O66" s="1853"/>
      <c r="P66" s="1770"/>
      <c r="Q66" s="1853"/>
      <c r="R66" s="1770"/>
      <c r="S66" s="1853"/>
    </row>
    <row r="67" spans="1:19">
      <c r="A67" s="1857"/>
      <c r="B67" s="1888" t="s">
        <v>925</v>
      </c>
      <c r="C67" s="1134"/>
      <c r="D67" s="1124"/>
      <c r="E67" s="1124"/>
      <c r="F67" s="1124"/>
      <c r="G67" s="1133"/>
      <c r="H67" s="1770"/>
      <c r="I67" s="1860"/>
      <c r="J67" s="1770"/>
      <c r="K67" s="1860"/>
      <c r="L67" s="1770"/>
      <c r="M67" s="1853"/>
      <c r="N67" s="1770"/>
      <c r="O67" s="1853"/>
      <c r="P67" s="1770"/>
      <c r="Q67" s="1853"/>
      <c r="R67" s="1770"/>
      <c r="S67" s="1853"/>
    </row>
    <row r="68" spans="1:19">
      <c r="A68" s="1857"/>
      <c r="B68" s="1888" t="s">
        <v>926</v>
      </c>
      <c r="C68" s="1134"/>
      <c r="D68" s="1124"/>
      <c r="E68" s="1124"/>
      <c r="F68" s="1124"/>
      <c r="G68" s="1133"/>
      <c r="H68" s="1770"/>
      <c r="I68" s="1860"/>
      <c r="J68" s="1770"/>
      <c r="K68" s="1860"/>
      <c r="L68" s="1770"/>
      <c r="M68" s="1853"/>
      <c r="N68" s="1770"/>
      <c r="O68" s="1853"/>
      <c r="P68" s="1770"/>
      <c r="Q68" s="1853"/>
      <c r="R68" s="1770"/>
      <c r="S68" s="1853"/>
    </row>
    <row r="69" spans="1:19">
      <c r="A69" s="1857"/>
      <c r="B69" s="1888" t="s">
        <v>288</v>
      </c>
      <c r="C69" s="1134"/>
      <c r="D69" s="1124"/>
      <c r="E69" s="1124"/>
      <c r="F69" s="1124"/>
      <c r="G69" s="1133"/>
      <c r="H69" s="1770"/>
      <c r="I69" s="1860"/>
      <c r="J69" s="1770"/>
      <c r="K69" s="1860"/>
      <c r="L69" s="1770"/>
      <c r="M69" s="1853"/>
      <c r="N69" s="1770"/>
      <c r="O69" s="1853"/>
      <c r="P69" s="1770"/>
      <c r="Q69" s="1853"/>
      <c r="R69" s="1770"/>
      <c r="S69" s="1853"/>
    </row>
    <row r="70" spans="1:19">
      <c r="A70" s="1857"/>
      <c r="B70" s="1888" t="s">
        <v>288</v>
      </c>
      <c r="C70" s="1134"/>
      <c r="D70" s="1124"/>
      <c r="E70" s="1124"/>
      <c r="F70" s="1124"/>
      <c r="G70" s="1133"/>
      <c r="H70" s="1770"/>
      <c r="I70" s="1860"/>
      <c r="J70" s="1770"/>
      <c r="K70" s="1860"/>
      <c r="L70" s="1770"/>
      <c r="M70" s="1853"/>
      <c r="N70" s="1770"/>
      <c r="O70" s="1853"/>
      <c r="P70" s="1770"/>
      <c r="Q70" s="1853"/>
      <c r="R70" s="1770"/>
      <c r="S70" s="1853"/>
    </row>
    <row r="71" spans="1:19">
      <c r="A71" s="1857"/>
      <c r="B71" s="1891" t="s">
        <v>927</v>
      </c>
      <c r="C71" s="1134"/>
      <c r="D71" s="1124"/>
      <c r="E71" s="1124"/>
      <c r="F71" s="1124"/>
      <c r="G71" s="1133"/>
      <c r="H71" s="1770"/>
      <c r="I71" s="1860"/>
      <c r="J71" s="1770"/>
      <c r="K71" s="1860"/>
      <c r="L71" s="1770"/>
      <c r="M71" s="1853"/>
      <c r="N71" s="1770"/>
      <c r="O71" s="1853"/>
      <c r="P71" s="1770"/>
      <c r="Q71" s="1853"/>
      <c r="R71" s="1770"/>
      <c r="S71" s="1853"/>
    </row>
    <row r="72" spans="1:19">
      <c r="A72" s="1857"/>
      <c r="B72" s="1888" t="s">
        <v>923</v>
      </c>
      <c r="C72" s="1134"/>
      <c r="D72" s="1124"/>
      <c r="E72" s="1124"/>
      <c r="F72" s="1124"/>
      <c r="G72" s="1133"/>
      <c r="H72" s="1770"/>
      <c r="I72" s="1860"/>
      <c r="J72" s="1770"/>
      <c r="K72" s="1860"/>
      <c r="L72" s="1770"/>
      <c r="M72" s="1853"/>
      <c r="N72" s="1770"/>
      <c r="O72" s="1853"/>
      <c r="P72" s="1770"/>
      <c r="Q72" s="1853"/>
      <c r="R72" s="1770"/>
      <c r="S72" s="1853"/>
    </row>
    <row r="73" spans="1:19">
      <c r="A73" s="1857"/>
      <c r="B73" s="1888" t="s">
        <v>928</v>
      </c>
      <c r="C73" s="1134"/>
      <c r="D73" s="1124"/>
      <c r="E73" s="1124"/>
      <c r="F73" s="1124"/>
      <c r="G73" s="1133"/>
      <c r="H73" s="1770"/>
      <c r="I73" s="1860"/>
      <c r="J73" s="1770"/>
      <c r="K73" s="1860"/>
      <c r="L73" s="1770"/>
      <c r="M73" s="1853"/>
      <c r="N73" s="1770"/>
      <c r="O73" s="1853"/>
      <c r="P73" s="1770"/>
      <c r="Q73" s="1853"/>
      <c r="R73" s="1770"/>
      <c r="S73" s="1853"/>
    </row>
    <row r="74" spans="1:19">
      <c r="A74" s="1857"/>
      <c r="B74" s="1892"/>
      <c r="C74" s="1138"/>
      <c r="D74" s="1893"/>
      <c r="E74" s="1124"/>
      <c r="F74" s="1151"/>
      <c r="G74" s="1229"/>
      <c r="H74" s="1770"/>
      <c r="I74" s="1860"/>
      <c r="J74" s="1770"/>
      <c r="K74" s="1860"/>
      <c r="L74" s="1770"/>
      <c r="M74" s="1853"/>
      <c r="N74" s="1770"/>
      <c r="O74" s="1853"/>
      <c r="P74" s="1770"/>
      <c r="Q74" s="1853"/>
      <c r="R74" s="1770"/>
      <c r="S74" s="1853"/>
    </row>
    <row r="75" spans="1:19">
      <c r="A75" s="1857"/>
      <c r="B75" s="1894"/>
      <c r="C75" s="1138"/>
      <c r="D75" s="1893"/>
      <c r="E75" s="1124"/>
      <c r="F75" s="1151"/>
      <c r="G75" s="1229"/>
      <c r="H75" s="1770"/>
      <c r="I75" s="1860"/>
      <c r="J75" s="1770"/>
      <c r="K75" s="1860"/>
      <c r="L75" s="1770"/>
      <c r="M75" s="1853"/>
      <c r="N75" s="1770"/>
      <c r="O75" s="1853"/>
      <c r="P75" s="1770"/>
      <c r="Q75" s="1853"/>
      <c r="R75" s="1770"/>
      <c r="S75" s="1853"/>
    </row>
    <row r="76" spans="1:19">
      <c r="A76" s="1857"/>
      <c r="B76" s="1888"/>
      <c r="C76" s="1134"/>
      <c r="D76" s="1124"/>
      <c r="E76" s="1124"/>
      <c r="F76" s="1124"/>
      <c r="G76" s="1133"/>
      <c r="H76" s="1770"/>
      <c r="I76" s="1860"/>
      <c r="J76" s="1770"/>
      <c r="K76" s="1860"/>
      <c r="L76" s="1770"/>
      <c r="M76" s="1853"/>
      <c r="N76" s="1770"/>
      <c r="O76" s="1853"/>
      <c r="P76" s="1770"/>
      <c r="Q76" s="1853"/>
      <c r="R76" s="1770"/>
      <c r="S76" s="1853"/>
    </row>
    <row r="77" spans="1:19" ht="15.75" thickBot="1">
      <c r="A77" s="1857"/>
      <c r="B77" s="1888"/>
      <c r="C77" s="1134"/>
      <c r="D77" s="1124"/>
      <c r="E77" s="1124"/>
      <c r="F77" s="1124"/>
      <c r="G77" s="1133"/>
      <c r="H77" s="1770"/>
      <c r="I77" s="1860"/>
      <c r="J77" s="1770"/>
      <c r="K77" s="1860"/>
      <c r="L77" s="1770"/>
      <c r="M77" s="1853"/>
      <c r="N77" s="1770"/>
      <c r="O77" s="1853"/>
      <c r="P77" s="1770"/>
      <c r="Q77" s="1853"/>
      <c r="R77" s="1770"/>
      <c r="S77" s="1853"/>
    </row>
    <row r="78" spans="1:19" ht="15.75" thickTop="1">
      <c r="A78" s="14"/>
      <c r="B78" s="15"/>
      <c r="C78" s="16"/>
      <c r="D78" s="16"/>
      <c r="E78" s="17"/>
      <c r="F78" s="18" t="s">
        <v>567</v>
      </c>
      <c r="G78" s="19"/>
      <c r="H78" s="20"/>
      <c r="I78" s="61">
        <f>SUM(I24:I77)</f>
        <v>88695.705000000002</v>
      </c>
      <c r="J78" s="20"/>
      <c r="K78" s="61">
        <f>SUM(K24:K77)</f>
        <v>0</v>
      </c>
      <c r="L78" s="20"/>
      <c r="M78" s="61">
        <f>SUM(M24:M77)</f>
        <v>0</v>
      </c>
      <c r="N78" s="20"/>
      <c r="O78" s="61">
        <f>SUM(O24:O77)</f>
        <v>0</v>
      </c>
      <c r="P78" s="20"/>
      <c r="Q78" s="61">
        <f>SUM(Q24:Q77)</f>
        <v>0</v>
      </c>
      <c r="R78" s="20"/>
      <c r="S78" s="61">
        <f>SUM(S24:S77)</f>
        <v>0</v>
      </c>
    </row>
    <row r="79" spans="1:19">
      <c r="A79" s="624"/>
      <c r="B79" s="1156"/>
      <c r="C79" s="1157"/>
      <c r="D79" s="1157"/>
      <c r="E79" s="1158"/>
      <c r="F79" s="1159" t="s">
        <v>568</v>
      </c>
      <c r="G79" s="1160"/>
      <c r="H79" s="1627">
        <v>0</v>
      </c>
      <c r="I79" s="1628"/>
      <c r="J79" s="1627">
        <v>0</v>
      </c>
      <c r="K79" s="1628"/>
      <c r="L79" s="1627">
        <v>0</v>
      </c>
      <c r="M79" s="1628"/>
      <c r="N79" s="1627">
        <v>0</v>
      </c>
      <c r="O79" s="1628"/>
      <c r="P79" s="1627">
        <v>0</v>
      </c>
      <c r="Q79" s="1628"/>
      <c r="R79" s="1627">
        <v>0</v>
      </c>
      <c r="S79" s="1628"/>
    </row>
    <row r="80" spans="1:19">
      <c r="A80" s="624"/>
      <c r="B80" s="1156"/>
      <c r="C80" s="1157"/>
      <c r="D80" s="1157"/>
      <c r="E80" s="1158"/>
      <c r="F80" s="1159" t="s">
        <v>569</v>
      </c>
      <c r="G80" s="1160"/>
      <c r="H80" s="1629"/>
      <c r="I80" s="1630">
        <f>I78*H79</f>
        <v>0</v>
      </c>
      <c r="J80" s="1629"/>
      <c r="K80" s="1630">
        <f>K78*J79</f>
        <v>0</v>
      </c>
      <c r="L80" s="1629"/>
      <c r="M80" s="1630">
        <f>M78*L79</f>
        <v>0</v>
      </c>
      <c r="N80" s="1629"/>
      <c r="O80" s="1630">
        <f>O78*N79</f>
        <v>0</v>
      </c>
      <c r="P80" s="1629"/>
      <c r="Q80" s="1630">
        <f>Q78*P79</f>
        <v>0</v>
      </c>
      <c r="R80" s="1629"/>
      <c r="S80" s="1630">
        <f>S78*R79</f>
        <v>0</v>
      </c>
    </row>
    <row r="81" spans="1:19">
      <c r="A81" s="624"/>
      <c r="B81" s="1156"/>
      <c r="C81" s="1157"/>
      <c r="D81" s="1157"/>
      <c r="E81" s="1158"/>
      <c r="F81" s="1159"/>
      <c r="G81" s="1160"/>
      <c r="H81" s="1631"/>
      <c r="I81" s="1632"/>
      <c r="J81" s="1629"/>
      <c r="K81" s="1633"/>
      <c r="L81" s="1629"/>
      <c r="M81" s="1633"/>
      <c r="N81" s="1629"/>
      <c r="O81" s="1633"/>
      <c r="P81" s="1629"/>
      <c r="Q81" s="1633"/>
      <c r="R81" s="1629"/>
      <c r="S81" s="1633"/>
    </row>
    <row r="82" spans="1:19">
      <c r="A82" s="624"/>
      <c r="B82" s="1156"/>
      <c r="C82" s="1157"/>
      <c r="D82" s="1157"/>
      <c r="E82" s="1158"/>
      <c r="F82" s="1159" t="s">
        <v>570</v>
      </c>
      <c r="G82" s="1160"/>
      <c r="H82" s="1634"/>
      <c r="I82" s="1632">
        <f>SUM(I78:I81)</f>
        <v>88695.705000000002</v>
      </c>
      <c r="J82" s="1634"/>
      <c r="K82" s="1632">
        <f>SUM(K78:K80)</f>
        <v>0</v>
      </c>
      <c r="L82" s="1634"/>
      <c r="M82" s="1632">
        <f>SUM(M78:M80)</f>
        <v>0</v>
      </c>
      <c r="N82" s="1634"/>
      <c r="O82" s="1632">
        <f>SUM(O78:O80)</f>
        <v>0</v>
      </c>
      <c r="P82" s="1634"/>
      <c r="Q82" s="1632">
        <f>SUM(Q78:Q80)</f>
        <v>0</v>
      </c>
      <c r="R82" s="1634"/>
      <c r="S82" s="1632">
        <f>SUM(S78:S80)</f>
        <v>0</v>
      </c>
    </row>
    <row r="83" spans="1:19">
      <c r="A83" s="624"/>
      <c r="B83" s="1156"/>
      <c r="C83" s="1157"/>
      <c r="D83" s="1157"/>
      <c r="E83" s="1158"/>
      <c r="F83" s="1161" t="s">
        <v>571</v>
      </c>
      <c r="G83" s="1162"/>
      <c r="H83" s="1895"/>
      <c r="I83" s="1636" t="e">
        <f>I82/'Area Calculations'!$J$4</f>
        <v>#DIV/0!</v>
      </c>
      <c r="J83" s="1635"/>
      <c r="K83" s="1636" t="e">
        <f>K82/'Area Calculations'!$J$4</f>
        <v>#DIV/0!</v>
      </c>
      <c r="L83" s="1635"/>
      <c r="M83" s="1636" t="e">
        <f>M82/'Area Calculations'!$J$4</f>
        <v>#DIV/0!</v>
      </c>
      <c r="N83" s="1635"/>
      <c r="O83" s="1636" t="e">
        <f>O82/'Area Calculations'!$J$4</f>
        <v>#DIV/0!</v>
      </c>
      <c r="P83" s="1635"/>
      <c r="Q83" s="1636" t="e">
        <f>Q82/'Area Calculations'!$J$4</f>
        <v>#DIV/0!</v>
      </c>
      <c r="R83" s="1635"/>
      <c r="S83" s="1636" t="e">
        <f>S82/'Area Calculations'!$J$4</f>
        <v>#DIV/0!</v>
      </c>
    </row>
    <row r="84" spans="1:19">
      <c r="A84" s="624"/>
      <c r="B84" s="1156"/>
      <c r="C84" s="1157"/>
      <c r="D84" s="1157"/>
      <c r="E84" s="1158"/>
      <c r="F84" s="1161" t="s">
        <v>572</v>
      </c>
      <c r="G84" s="1163"/>
      <c r="H84" s="1635"/>
      <c r="I84" s="1636" t="e">
        <f>I82/'Area Calculations'!#REF!</f>
        <v>#REF!</v>
      </c>
      <c r="J84" s="1635"/>
      <c r="K84" s="1636" t="e">
        <f>K82/'Area Calculations'!#REF!</f>
        <v>#REF!</v>
      </c>
      <c r="L84" s="1635"/>
      <c r="M84" s="1636" t="e">
        <f>M82/'Area Calculations'!#REF!</f>
        <v>#REF!</v>
      </c>
      <c r="N84" s="1635"/>
      <c r="O84" s="1636" t="e">
        <f>O82/'Area Calculations'!#REF!</f>
        <v>#REF!</v>
      </c>
      <c r="P84" s="1635"/>
      <c r="Q84" s="1636" t="e">
        <f>Q82/'Area Calculations'!#REF!</f>
        <v>#REF!</v>
      </c>
      <c r="R84" s="1635"/>
      <c r="S84" s="1636" t="e">
        <f>S82/'Area Calculations'!#REF!</f>
        <v>#REF!</v>
      </c>
    </row>
    <row r="85" spans="1:19" ht="15.75" thickBot="1">
      <c r="A85" s="624"/>
      <c r="B85" s="1156"/>
      <c r="C85" s="1157"/>
      <c r="D85" s="1157"/>
      <c r="E85" s="1158"/>
      <c r="F85" s="1159"/>
      <c r="G85" s="1533"/>
      <c r="H85" s="1637"/>
      <c r="I85" s="1638"/>
      <c r="J85" s="1637"/>
      <c r="K85" s="1638"/>
      <c r="L85" s="1637"/>
      <c r="M85" s="1638"/>
      <c r="N85" s="1637"/>
      <c r="O85" s="1638"/>
      <c r="P85" s="1637"/>
      <c r="Q85" s="1638"/>
      <c r="R85" s="1637"/>
      <c r="S85" s="1638"/>
    </row>
    <row r="86" spans="1:19" ht="16.5" thickTop="1" thickBot="1">
      <c r="A86" s="726" t="s">
        <v>573</v>
      </c>
      <c r="B86" s="727"/>
      <c r="C86" s="12"/>
      <c r="D86" s="12"/>
      <c r="E86" s="12"/>
      <c r="F86" s="12"/>
      <c r="G86" s="13"/>
      <c r="H86" s="21"/>
      <c r="I86" s="21"/>
      <c r="J86" s="21"/>
      <c r="K86" s="21"/>
      <c r="L86" s="21"/>
      <c r="M86" s="21"/>
      <c r="N86" s="21"/>
      <c r="O86" s="21"/>
      <c r="P86" s="21"/>
      <c r="Q86" s="21"/>
      <c r="R86" s="21"/>
      <c r="S86" s="21"/>
    </row>
    <row r="87" spans="1:19" ht="15.75" thickTop="1">
      <c r="A87" s="1535"/>
      <c r="B87" s="862"/>
      <c r="C87" s="1536"/>
      <c r="D87" s="1536"/>
      <c r="E87" s="1536"/>
      <c r="F87" s="1536"/>
      <c r="G87" s="1537"/>
      <c r="H87" s="1588"/>
      <c r="I87" s="1588"/>
      <c r="J87" s="1588"/>
      <c r="K87" s="1588"/>
      <c r="L87" s="1588"/>
      <c r="M87" s="1588"/>
      <c r="N87" s="1588"/>
      <c r="O87" s="1588"/>
      <c r="P87" s="1588"/>
      <c r="Q87" s="1588"/>
      <c r="R87" s="1588"/>
      <c r="S87" s="1588"/>
    </row>
    <row r="88" spans="1:19">
      <c r="A88" s="1535"/>
      <c r="B88" s="862"/>
      <c r="C88" s="1536"/>
      <c r="D88" s="1536"/>
      <c r="E88" s="1536"/>
      <c r="F88" s="1536"/>
      <c r="G88" s="1537"/>
      <c r="H88" s="1588"/>
      <c r="I88" s="1588"/>
      <c r="J88" s="1588"/>
      <c r="K88" s="1588"/>
      <c r="L88" s="1588"/>
      <c r="M88" s="1588"/>
      <c r="N88" s="1588"/>
      <c r="O88" s="1588"/>
      <c r="P88" s="1588"/>
      <c r="Q88" s="1588"/>
      <c r="R88" s="1588"/>
      <c r="S88" s="1588"/>
    </row>
    <row r="89" spans="1:19" ht="15.75" thickBot="1">
      <c r="A89" s="1535"/>
      <c r="B89" s="862"/>
      <c r="C89" s="1536"/>
      <c r="D89" s="1536"/>
      <c r="E89" s="1536"/>
      <c r="F89" s="1536"/>
      <c r="G89" s="1537"/>
      <c r="H89" s="1588"/>
      <c r="I89" s="1588"/>
      <c r="J89" s="1588"/>
      <c r="K89" s="1588"/>
      <c r="L89" s="1588"/>
      <c r="M89" s="1588"/>
      <c r="N89" s="1588"/>
      <c r="O89" s="1588"/>
      <c r="P89" s="1588"/>
      <c r="Q89" s="1588"/>
      <c r="R89" s="1588"/>
      <c r="S89" s="1588"/>
    </row>
    <row r="90" spans="1:19" ht="16.5" thickTop="1" thickBot="1">
      <c r="A90" s="726" t="s">
        <v>574</v>
      </c>
      <c r="B90" s="727"/>
      <c r="C90" s="12"/>
      <c r="D90" s="12"/>
      <c r="E90" s="12"/>
      <c r="F90" s="12"/>
      <c r="G90" s="13"/>
      <c r="H90" s="21"/>
      <c r="I90" s="21"/>
      <c r="J90" s="21"/>
      <c r="K90" s="21"/>
      <c r="L90" s="21"/>
      <c r="M90" s="21"/>
      <c r="N90" s="21"/>
      <c r="O90" s="21"/>
      <c r="P90" s="21"/>
      <c r="Q90" s="21"/>
      <c r="R90" s="21"/>
      <c r="S90" s="21"/>
    </row>
    <row r="91" spans="1:19" s="2" customFormat="1" ht="15.75" thickTop="1">
      <c r="A91" s="1535"/>
      <c r="B91" s="862"/>
      <c r="C91" s="1536"/>
      <c r="D91" s="1536"/>
      <c r="E91" s="1536"/>
      <c r="F91" s="1536"/>
      <c r="G91" s="1537"/>
      <c r="H91" s="1588"/>
      <c r="I91" s="1588"/>
      <c r="J91" s="1588"/>
      <c r="K91" s="1588"/>
      <c r="L91" s="1588"/>
      <c r="M91" s="1588"/>
      <c r="N91" s="1588"/>
      <c r="O91" s="1588"/>
      <c r="P91" s="1588"/>
      <c r="Q91" s="1588"/>
      <c r="R91" s="1588"/>
      <c r="S91" s="1588"/>
    </row>
    <row r="92" spans="1:19" s="2" customFormat="1">
      <c r="A92" s="1535"/>
      <c r="B92" s="862"/>
      <c r="C92" s="1536"/>
      <c r="D92" s="1536"/>
      <c r="E92" s="1536"/>
      <c r="F92" s="1536"/>
      <c r="G92" s="1537"/>
      <c r="H92" s="1588"/>
      <c r="I92" s="1588"/>
      <c r="J92" s="1588"/>
      <c r="K92" s="1588"/>
      <c r="L92" s="1588"/>
      <c r="M92" s="1588"/>
      <c r="N92" s="1588"/>
      <c r="O92" s="1588"/>
      <c r="P92" s="1588"/>
      <c r="Q92" s="1588"/>
      <c r="R92" s="1588"/>
      <c r="S92" s="1588"/>
    </row>
    <row r="93" spans="1:19" s="2" customFormat="1" ht="15.75" thickBot="1">
      <c r="A93" s="1535"/>
      <c r="B93" s="862"/>
      <c r="C93" s="1536"/>
      <c r="D93" s="1536"/>
      <c r="E93" s="1536"/>
      <c r="F93" s="1536"/>
      <c r="G93" s="1537"/>
      <c r="H93" s="1588"/>
      <c r="I93" s="1588"/>
      <c r="J93" s="1588"/>
      <c r="K93" s="1588"/>
      <c r="L93" s="1588"/>
      <c r="M93" s="1588"/>
      <c r="N93" s="1588"/>
      <c r="O93" s="1588"/>
      <c r="P93" s="1588"/>
      <c r="Q93" s="1588"/>
      <c r="R93" s="1588"/>
      <c r="S93" s="1588"/>
    </row>
    <row r="94" spans="1:19" ht="16.5" thickTop="1" thickBot="1">
      <c r="A94" s="726" t="s">
        <v>575</v>
      </c>
      <c r="B94" s="727"/>
      <c r="C94" s="12"/>
      <c r="D94" s="12"/>
      <c r="E94" s="12"/>
      <c r="F94" s="12"/>
      <c r="G94" s="13"/>
      <c r="H94" s="21"/>
      <c r="I94" s="21"/>
      <c r="J94" s="21"/>
      <c r="K94" s="21"/>
      <c r="L94" s="21"/>
      <c r="M94" s="21"/>
      <c r="N94" s="21"/>
      <c r="O94" s="21"/>
      <c r="P94" s="21"/>
      <c r="Q94" s="21"/>
      <c r="R94" s="21"/>
      <c r="S94" s="21"/>
    </row>
    <row r="95" spans="1:19" s="2" customFormat="1" ht="15.75" thickTop="1">
      <c r="A95" s="1535"/>
      <c r="B95" s="862"/>
      <c r="C95" s="1536"/>
      <c r="D95" s="1536"/>
      <c r="E95" s="1536"/>
      <c r="F95" s="1536"/>
      <c r="G95" s="1537"/>
      <c r="H95" s="1588"/>
      <c r="I95" s="1588"/>
      <c r="J95" s="1588"/>
      <c r="K95" s="1588"/>
      <c r="L95" s="1588"/>
      <c r="M95" s="1588"/>
      <c r="N95" s="1588"/>
      <c r="O95" s="1588"/>
      <c r="P95" s="1588"/>
      <c r="Q95" s="1588"/>
      <c r="R95" s="1588"/>
      <c r="S95" s="1588"/>
    </row>
    <row r="96" spans="1:19" s="2" customFormat="1">
      <c r="A96" s="1768"/>
      <c r="B96" s="862"/>
      <c r="C96" s="1124"/>
      <c r="D96" s="1124"/>
      <c r="E96" s="1124"/>
      <c r="F96" s="1124"/>
      <c r="G96" s="1133"/>
      <c r="H96" s="1640"/>
      <c r="I96" s="1640"/>
      <c r="J96" s="1640"/>
      <c r="K96" s="1640"/>
      <c r="L96" s="1640"/>
      <c r="M96" s="1640"/>
      <c r="N96" s="1640"/>
      <c r="O96" s="1640"/>
      <c r="P96" s="1640"/>
      <c r="Q96" s="1640"/>
      <c r="R96" s="1640"/>
      <c r="S96" s="1640"/>
    </row>
    <row r="97" spans="1:19" s="2" customFormat="1" ht="15.75" thickBot="1">
      <c r="A97" s="625"/>
      <c r="B97" s="1171"/>
      <c r="C97" s="1124"/>
      <c r="D97" s="1124"/>
      <c r="E97" s="1124"/>
      <c r="F97" s="1124"/>
      <c r="G97" s="1133"/>
      <c r="H97" s="1642"/>
      <c r="I97" s="1642"/>
      <c r="J97" s="1642"/>
      <c r="K97" s="1642"/>
      <c r="L97" s="1642"/>
      <c r="M97" s="1642"/>
      <c r="N97" s="1642"/>
      <c r="O97" s="1642"/>
      <c r="P97" s="1642"/>
      <c r="Q97" s="1642"/>
      <c r="R97" s="1642"/>
      <c r="S97" s="1642"/>
    </row>
    <row r="98" spans="1:19" s="2" customFormat="1" ht="16.5" thickTop="1" thickBot="1">
      <c r="A98" s="726" t="s">
        <v>576</v>
      </c>
      <c r="B98" s="727"/>
      <c r="C98" s="12"/>
      <c r="D98" s="12"/>
      <c r="E98" s="12"/>
      <c r="F98" s="12"/>
      <c r="G98" s="13"/>
      <c r="H98" s="21"/>
      <c r="I98" s="21"/>
      <c r="J98" s="21"/>
      <c r="K98" s="21"/>
      <c r="L98" s="21"/>
      <c r="M98" s="21"/>
      <c r="N98" s="21"/>
      <c r="O98" s="21"/>
      <c r="P98" s="21"/>
      <c r="Q98" s="21"/>
      <c r="R98" s="21"/>
      <c r="S98" s="21"/>
    </row>
    <row r="99" spans="1:19" s="2" customFormat="1" ht="15.75" thickTop="1">
      <c r="A99" s="1539"/>
      <c r="B99" s="1540"/>
      <c r="C99" s="1536"/>
      <c r="D99" s="1536"/>
      <c r="E99" s="1536"/>
      <c r="F99" s="1536"/>
      <c r="G99" s="1537"/>
      <c r="H99" s="1588"/>
      <c r="I99" s="1588"/>
      <c r="J99" s="1588"/>
      <c r="K99" s="1588"/>
      <c r="L99" s="1588"/>
      <c r="M99" s="1588"/>
      <c r="N99" s="1588"/>
      <c r="O99" s="1588"/>
      <c r="P99" s="1588"/>
      <c r="Q99" s="1588"/>
      <c r="R99" s="1588"/>
      <c r="S99" s="1588"/>
    </row>
    <row r="100" spans="1:19">
      <c r="A100" s="625"/>
      <c r="B100" s="1171"/>
      <c r="C100" s="1124"/>
      <c r="D100" s="1124"/>
      <c r="E100" s="1124"/>
      <c r="F100" s="1124"/>
      <c r="G100" s="1133"/>
      <c r="H100" s="1643"/>
      <c r="I100" s="1643"/>
      <c r="J100" s="1643"/>
      <c r="K100" s="1643"/>
      <c r="L100" s="1643"/>
      <c r="M100" s="1643"/>
      <c r="N100" s="1643"/>
      <c r="O100" s="1643"/>
      <c r="P100" s="1643"/>
      <c r="Q100" s="1643"/>
      <c r="R100" s="1643"/>
      <c r="S100" s="1643"/>
    </row>
    <row r="101" spans="1:19" ht="15.75" thickBot="1">
      <c r="A101" s="625"/>
      <c r="B101" s="1171"/>
      <c r="C101" s="1124"/>
      <c r="D101" s="1124"/>
      <c r="E101" s="1124"/>
      <c r="F101" s="1124"/>
      <c r="G101" s="1133"/>
      <c r="H101" s="1643"/>
      <c r="I101" s="1643"/>
      <c r="J101" s="1643"/>
      <c r="K101" s="1643"/>
      <c r="L101" s="1643"/>
      <c r="M101" s="1643"/>
      <c r="N101" s="1643"/>
      <c r="O101" s="1643"/>
      <c r="P101" s="1643"/>
      <c r="Q101" s="1643"/>
      <c r="R101" s="1643"/>
      <c r="S101" s="1643"/>
    </row>
    <row r="102" spans="1:19" ht="16.5" thickTop="1" thickBot="1">
      <c r="A102" s="726" t="s">
        <v>577</v>
      </c>
      <c r="B102" s="727"/>
      <c r="C102" s="12"/>
      <c r="D102" s="12"/>
      <c r="E102" s="12"/>
      <c r="F102" s="12"/>
      <c r="G102" s="13"/>
      <c r="H102" s="21"/>
      <c r="I102" s="21"/>
      <c r="J102" s="21"/>
      <c r="K102" s="21"/>
      <c r="L102" s="21"/>
      <c r="M102" s="21"/>
      <c r="N102" s="21"/>
      <c r="O102" s="21"/>
      <c r="P102" s="21"/>
      <c r="Q102" s="21"/>
      <c r="R102" s="21"/>
      <c r="S102" s="21"/>
    </row>
    <row r="103" spans="1:19" ht="15.75" thickTop="1">
      <c r="A103" s="1768"/>
      <c r="B103" s="862" t="s">
        <v>578</v>
      </c>
      <c r="C103" s="1124"/>
      <c r="D103" s="1124"/>
      <c r="E103" s="1124"/>
      <c r="F103" s="1124"/>
      <c r="G103" s="1133"/>
      <c r="H103" s="1643"/>
      <c r="I103" s="1643"/>
      <c r="J103" s="1643"/>
      <c r="K103" s="1643"/>
      <c r="L103" s="1643"/>
      <c r="M103" s="1643"/>
      <c r="N103" s="1643"/>
      <c r="O103" s="1643"/>
      <c r="P103" s="1643"/>
      <c r="Q103" s="1643"/>
      <c r="R103" s="1643"/>
      <c r="S103" s="1643"/>
    </row>
    <row r="104" spans="1:19">
      <c r="A104" s="1768"/>
      <c r="B104" s="862" t="s">
        <v>579</v>
      </c>
      <c r="C104" s="1124"/>
      <c r="D104" s="1124"/>
      <c r="E104" s="1124"/>
      <c r="F104" s="1124"/>
      <c r="G104" s="1133"/>
      <c r="H104" s="1643"/>
      <c r="I104" s="1643"/>
      <c r="J104" s="1643"/>
      <c r="K104" s="1643"/>
      <c r="L104" s="1643"/>
      <c r="M104" s="1643"/>
      <c r="N104" s="1643"/>
      <c r="O104" s="1643"/>
      <c r="P104" s="1643"/>
      <c r="Q104" s="1643"/>
      <c r="R104" s="1643"/>
      <c r="S104" s="1643"/>
    </row>
    <row r="105" spans="1:19">
      <c r="A105" s="1768"/>
      <c r="B105" s="862" t="s">
        <v>580</v>
      </c>
      <c r="C105" s="1124"/>
      <c r="D105" s="1124"/>
      <c r="E105" s="1124"/>
      <c r="F105" s="1124"/>
      <c r="G105" s="1133"/>
      <c r="H105" s="1643"/>
      <c r="I105" s="1643"/>
      <c r="J105" s="1643"/>
      <c r="K105" s="1643"/>
      <c r="L105" s="1643"/>
      <c r="M105" s="1643"/>
      <c r="N105" s="1643"/>
      <c r="O105" s="1643"/>
      <c r="P105" s="1643"/>
      <c r="Q105" s="1643"/>
      <c r="R105" s="1643"/>
      <c r="S105" s="1643"/>
    </row>
    <row r="106" spans="1:19">
      <c r="A106" s="1768"/>
      <c r="B106" s="862" t="s">
        <v>581</v>
      </c>
      <c r="C106" s="1124"/>
      <c r="D106" s="1124"/>
      <c r="E106" s="1124"/>
      <c r="F106" s="1124"/>
      <c r="G106" s="1133"/>
      <c r="H106" s="1643"/>
      <c r="I106" s="1643"/>
      <c r="J106" s="1643"/>
      <c r="K106" s="1643"/>
      <c r="L106" s="1643"/>
      <c r="M106" s="1643"/>
      <c r="N106" s="1643"/>
      <c r="O106" s="1643"/>
      <c r="P106" s="1643"/>
      <c r="Q106" s="1643"/>
      <c r="R106" s="1643"/>
      <c r="S106" s="1643"/>
    </row>
    <row r="107" spans="1:19" ht="15.75" thickBot="1">
      <c r="A107" s="416"/>
      <c r="B107" s="295"/>
      <c r="C107" s="184"/>
      <c r="D107" s="184"/>
      <c r="E107" s="184"/>
      <c r="F107" s="184"/>
      <c r="G107" s="296"/>
      <c r="H107" s="418"/>
      <c r="I107" s="418"/>
      <c r="J107" s="418"/>
      <c r="K107" s="418"/>
      <c r="L107" s="418"/>
      <c r="M107" s="418"/>
      <c r="N107" s="418"/>
      <c r="O107" s="418"/>
      <c r="P107" s="418"/>
      <c r="Q107" s="418"/>
      <c r="R107" s="418"/>
      <c r="S107" s="418"/>
    </row>
    <row r="108" spans="1:19" ht="16.5" thickTop="1" thickBot="1">
      <c r="A108" s="7" t="s">
        <v>582</v>
      </c>
      <c r="B108" s="8"/>
      <c r="C108" s="12"/>
      <c r="D108" s="12"/>
      <c r="E108" s="12"/>
      <c r="F108" s="12"/>
      <c r="G108" s="13"/>
      <c r="H108" s="21"/>
      <c r="I108" s="21"/>
      <c r="J108" s="21"/>
      <c r="K108" s="21"/>
      <c r="L108" s="21"/>
      <c r="M108" s="21"/>
      <c r="N108" s="21"/>
      <c r="O108" s="21"/>
      <c r="P108" s="21"/>
      <c r="Q108" s="21"/>
      <c r="R108" s="21"/>
      <c r="S108" s="21"/>
    </row>
    <row r="109" spans="1:19" ht="15.75" thickTop="1">
      <c r="A109" s="1535"/>
      <c r="B109" s="1541" t="s">
        <v>583</v>
      </c>
      <c r="C109" s="1536"/>
      <c r="D109" s="1536"/>
      <c r="E109" s="1536"/>
      <c r="F109" s="1536"/>
      <c r="G109" s="1537"/>
      <c r="H109" s="1592"/>
      <c r="I109" s="1592"/>
      <c r="J109" s="1592"/>
      <c r="K109" s="1592"/>
      <c r="L109" s="1592"/>
      <c r="M109" s="1592"/>
      <c r="N109" s="1592"/>
      <c r="O109" s="1592"/>
      <c r="P109" s="1592"/>
      <c r="Q109" s="1592"/>
      <c r="R109" s="1592"/>
      <c r="S109" s="1592"/>
    </row>
    <row r="110" spans="1:19">
      <c r="A110" s="1768"/>
      <c r="B110" s="862" t="s">
        <v>584</v>
      </c>
      <c r="C110" s="1124"/>
      <c r="D110" s="1124"/>
      <c r="E110" s="1124"/>
      <c r="F110" s="1124"/>
      <c r="G110" s="1133"/>
      <c r="H110" s="1644"/>
      <c r="I110" s="1644"/>
      <c r="J110" s="1644"/>
      <c r="K110" s="1644"/>
      <c r="L110" s="1644"/>
      <c r="M110" s="1644"/>
      <c r="N110" s="1644"/>
      <c r="O110" s="1644"/>
      <c r="P110" s="1644"/>
      <c r="Q110" s="1644"/>
      <c r="R110" s="1644"/>
      <c r="S110" s="1644"/>
    </row>
    <row r="111" spans="1:19" ht="15.75" thickBot="1">
      <c r="A111" s="1645"/>
      <c r="B111" s="1646" t="s">
        <v>585</v>
      </c>
      <c r="C111" s="1647"/>
      <c r="D111" s="1647"/>
      <c r="E111" s="1647"/>
      <c r="F111" s="1647"/>
      <c r="G111" s="1648"/>
      <c r="H111" s="1649"/>
      <c r="I111" s="1649"/>
      <c r="J111" s="1649"/>
      <c r="K111" s="1649"/>
      <c r="L111" s="1649"/>
      <c r="M111" s="1649"/>
      <c r="N111" s="1649"/>
      <c r="O111" s="1649"/>
      <c r="P111" s="1649"/>
      <c r="Q111" s="1649"/>
      <c r="R111" s="1649"/>
      <c r="S111" s="1649"/>
    </row>
    <row r="112" spans="1:19" ht="16.5" thickTop="1" thickBot="1"/>
    <row r="113" spans="1:9" ht="16.5" thickTop="1" thickBot="1">
      <c r="A113" s="92" t="s">
        <v>586</v>
      </c>
      <c r="B113" s="94"/>
    </row>
    <row r="114" spans="1:9" ht="15.75" thickTop="1">
      <c r="A114" s="93" t="s">
        <v>487</v>
      </c>
      <c r="B114" s="1650"/>
    </row>
    <row r="115" spans="1:9">
      <c r="A115" s="626" t="s">
        <v>491</v>
      </c>
      <c r="B115" s="1650"/>
    </row>
    <row r="116" spans="1:9">
      <c r="A116" s="1651" t="s">
        <v>494</v>
      </c>
      <c r="B116" s="1652"/>
    </row>
    <row r="117" spans="1:9">
      <c r="A117" s="1651" t="s">
        <v>497</v>
      </c>
      <c r="B117" s="1653"/>
    </row>
    <row r="118" spans="1:9" ht="15.75" thickBot="1">
      <c r="A118" s="1654" t="s">
        <v>587</v>
      </c>
      <c r="B118" s="1655">
        <f>H8</f>
        <v>88695.705000000002</v>
      </c>
    </row>
    <row r="119" spans="1:9" ht="15.75" thickTop="1"/>
    <row r="120" spans="1:9">
      <c r="A120" s="95"/>
      <c r="B120" s="1" t="s">
        <v>588</v>
      </c>
    </row>
    <row r="121" spans="1:9">
      <c r="A121" s="96"/>
      <c r="B121" s="1" t="s">
        <v>589</v>
      </c>
    </row>
    <row r="122" spans="1:9">
      <c r="I122" s="84"/>
    </row>
  </sheetData>
  <mergeCells count="47">
    <mergeCell ref="R4:S4"/>
    <mergeCell ref="R5:S5"/>
    <mergeCell ref="R6:S6"/>
    <mergeCell ref="R7:S7"/>
    <mergeCell ref="R8:S8"/>
    <mergeCell ref="P4:Q4"/>
    <mergeCell ref="P5:Q5"/>
    <mergeCell ref="P6:Q6"/>
    <mergeCell ref="P7:Q7"/>
    <mergeCell ref="P8:Q8"/>
    <mergeCell ref="N4:O4"/>
    <mergeCell ref="N5:O5"/>
    <mergeCell ref="N6:O6"/>
    <mergeCell ref="N7:O7"/>
    <mergeCell ref="N8:O8"/>
    <mergeCell ref="L4:M4"/>
    <mergeCell ref="L5:M5"/>
    <mergeCell ref="L6:M6"/>
    <mergeCell ref="L7:M7"/>
    <mergeCell ref="L8:M8"/>
    <mergeCell ref="J4:K4"/>
    <mergeCell ref="J5:K5"/>
    <mergeCell ref="J6:K6"/>
    <mergeCell ref="J7:K7"/>
    <mergeCell ref="J8:K8"/>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A86:B86"/>
    <mergeCell ref="A90:B90"/>
    <mergeCell ref="A94:B94"/>
    <mergeCell ref="A98:B98"/>
    <mergeCell ref="A102:B102"/>
  </mergeCells>
  <conditionalFormatting sqref="H21:H31">
    <cfRule type="cellIs" dxfId="1235" priority="17" operator="equal">
      <formula>"X"</formula>
    </cfRule>
    <cfRule type="cellIs" dxfId="1234" priority="18" operator="equal">
      <formula>"I"</formula>
    </cfRule>
  </conditionalFormatting>
  <conditionalFormatting sqref="H33:H77">
    <cfRule type="cellIs" dxfId="1233" priority="1" operator="equal">
      <formula>"X"</formula>
    </cfRule>
    <cfRule type="cellIs" dxfId="1232" priority="2" operator="equal">
      <formula>"I"</formula>
    </cfRule>
  </conditionalFormatting>
  <conditionalFormatting sqref="J21:J31">
    <cfRule type="cellIs" dxfId="1231" priority="19" operator="equal">
      <formula>"X"</formula>
    </cfRule>
    <cfRule type="cellIs" dxfId="1230" priority="20" operator="equal">
      <formula>"I"</formula>
    </cfRule>
  </conditionalFormatting>
  <conditionalFormatting sqref="J33:J77">
    <cfRule type="cellIs" dxfId="1229" priority="7" operator="equal">
      <formula>"X"</formula>
    </cfRule>
    <cfRule type="cellIs" dxfId="1228" priority="8" operator="equal">
      <formula>"I"</formula>
    </cfRule>
  </conditionalFormatting>
  <conditionalFormatting sqref="L21:L31">
    <cfRule type="cellIs" dxfId="1227" priority="21" operator="equal">
      <formula>"X"</formula>
    </cfRule>
    <cfRule type="cellIs" dxfId="1226" priority="22" operator="equal">
      <formula>"I"</formula>
    </cfRule>
  </conditionalFormatting>
  <conditionalFormatting sqref="L33:L77">
    <cfRule type="cellIs" dxfId="1225" priority="9" operator="equal">
      <formula>"X"</formula>
    </cfRule>
    <cfRule type="cellIs" dxfId="1224" priority="10" operator="equal">
      <formula>"I"</formula>
    </cfRule>
  </conditionalFormatting>
  <conditionalFormatting sqref="N21:N31">
    <cfRule type="cellIs" dxfId="1223" priority="23" operator="equal">
      <formula>"X"</formula>
    </cfRule>
    <cfRule type="cellIs" dxfId="1222" priority="24" operator="equal">
      <formula>"I"</formula>
    </cfRule>
  </conditionalFormatting>
  <conditionalFormatting sqref="N33:N77">
    <cfRule type="cellIs" dxfId="1221" priority="11" operator="equal">
      <formula>"X"</formula>
    </cfRule>
    <cfRule type="cellIs" dxfId="1220" priority="12" operator="equal">
      <formula>"I"</formula>
    </cfRule>
  </conditionalFormatting>
  <conditionalFormatting sqref="P21:P31">
    <cfRule type="cellIs" dxfId="1219" priority="25" operator="equal">
      <formula>"X"</formula>
    </cfRule>
    <cfRule type="cellIs" dxfId="1218" priority="26" operator="equal">
      <formula>"I"</formula>
    </cfRule>
  </conditionalFormatting>
  <conditionalFormatting sqref="P33:P77">
    <cfRule type="cellIs" dxfId="1217" priority="13" operator="equal">
      <formula>"X"</formula>
    </cfRule>
    <cfRule type="cellIs" dxfId="1216" priority="14" operator="equal">
      <formula>"I"</formula>
    </cfRule>
  </conditionalFormatting>
  <conditionalFormatting sqref="R21:R31">
    <cfRule type="cellIs" dxfId="1215" priority="27" operator="equal">
      <formula>"X"</formula>
    </cfRule>
    <cfRule type="cellIs" dxfId="1214" priority="28" operator="equal">
      <formula>"I"</formula>
    </cfRule>
  </conditionalFormatting>
  <conditionalFormatting sqref="R33:R77">
    <cfRule type="cellIs" dxfId="1213" priority="15" operator="equal">
      <formula>"X"</formula>
    </cfRule>
    <cfRule type="cellIs" dxfId="1212" priority="16" operator="equal">
      <formula>"I"</formula>
    </cfRule>
  </conditionalFormatting>
  <hyperlinks>
    <hyperlink ref="B3" location="'Cost Summary'!A1" display="BACK TO SUMMARY SHEET" xr:uid="{2AEBC567-BC4A-432D-BAA0-B85026F295C6}"/>
  </hyperlinks>
  <pageMargins left="0.7" right="0.7" top="0.75" bottom="0.75" header="0.3" footer="0.3"/>
  <pageSetup scale="70" orientation="portrait" horizontalDpi="300" verticalDpi="300" r:id="rId1"/>
  <rowBreaks count="1" manualBreakCount="1">
    <brk id="77" max="6"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F0FF-0A35-400F-AD3D-0F727CDF7D70}">
  <sheetPr>
    <tabColor rgb="FF92D050"/>
  </sheetPr>
  <dimension ref="A1:S98"/>
  <sheetViews>
    <sheetView zoomScale="85" zoomScaleNormal="85" workbookViewId="0">
      <pane xSplit="2" ySplit="9" topLeftCell="C24" activePane="bottomRight" state="frozen"/>
      <selection pane="bottomRight" activeCell="B38" sqref="B38"/>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8.140625" style="2" bestFit="1" customWidth="1"/>
    <col min="5"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66"/>
      <c r="M2" s="766"/>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929</v>
      </c>
      <c r="C5" s="1124"/>
      <c r="D5" s="1124"/>
      <c r="E5" s="1124"/>
      <c r="F5" s="1124"/>
      <c r="G5" s="1125" t="s">
        <v>491</v>
      </c>
      <c r="H5" s="778"/>
      <c r="I5" s="1126"/>
      <c r="J5" s="778"/>
      <c r="K5" s="1126"/>
      <c r="L5" s="1564"/>
      <c r="M5" s="1565"/>
      <c r="N5" s="1564"/>
      <c r="O5" s="1565"/>
      <c r="P5" s="1564"/>
      <c r="Q5" s="1565"/>
      <c r="R5" s="1564"/>
      <c r="S5" s="1565"/>
    </row>
    <row r="6" spans="1:19">
      <c r="A6" s="627" t="s">
        <v>493</v>
      </c>
      <c r="B6" s="1127" t="s">
        <v>930</v>
      </c>
      <c r="C6" s="1124"/>
      <c r="D6" s="1124"/>
      <c r="E6" s="1124"/>
      <c r="F6" s="1124"/>
      <c r="G6" s="1125" t="s">
        <v>494</v>
      </c>
      <c r="H6" s="776"/>
      <c r="I6" s="1129"/>
      <c r="J6" s="776"/>
      <c r="K6" s="1129"/>
      <c r="L6" s="767"/>
      <c r="M6" s="768"/>
      <c r="N6" s="767"/>
      <c r="O6" s="768"/>
      <c r="P6" s="767"/>
      <c r="Q6" s="768"/>
      <c r="R6" s="767"/>
      <c r="S6" s="768"/>
    </row>
    <row r="7" spans="1:19">
      <c r="A7" s="627" t="s">
        <v>496</v>
      </c>
      <c r="B7" s="1130"/>
      <c r="C7" s="1124"/>
      <c r="D7" s="1124"/>
      <c r="E7" s="1124"/>
      <c r="F7" s="1124"/>
      <c r="G7" s="299" t="s">
        <v>497</v>
      </c>
      <c r="H7" s="764"/>
      <c r="I7" s="765"/>
      <c r="J7" s="764"/>
      <c r="K7" s="765"/>
      <c r="L7" s="751"/>
      <c r="M7" s="753"/>
      <c r="N7" s="751"/>
      <c r="O7" s="753"/>
      <c r="P7" s="751"/>
      <c r="Q7" s="753"/>
      <c r="R7" s="769"/>
      <c r="S7" s="753"/>
    </row>
    <row r="8" spans="1:19" ht="15.75" thickBot="1">
      <c r="A8" s="414" t="s">
        <v>499</v>
      </c>
      <c r="B8" s="295"/>
      <c r="C8" s="184"/>
      <c r="D8" s="184"/>
      <c r="E8" s="184"/>
      <c r="F8" s="184"/>
      <c r="G8" s="419" t="s">
        <v>499</v>
      </c>
      <c r="H8" s="1724">
        <f>I59</f>
        <v>0</v>
      </c>
      <c r="I8" s="1725"/>
      <c r="J8" s="1724">
        <f>K59</f>
        <v>0</v>
      </c>
      <c r="K8" s="1725"/>
      <c r="L8" s="1724">
        <f>M59</f>
        <v>0</v>
      </c>
      <c r="M8" s="1725"/>
      <c r="N8" s="1724">
        <f>O59</f>
        <v>0</v>
      </c>
      <c r="O8" s="1725"/>
      <c r="P8" s="1724">
        <f>Q59</f>
        <v>0</v>
      </c>
      <c r="Q8" s="1725"/>
      <c r="R8" s="1724">
        <f>S59</f>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543" t="s">
        <v>508</v>
      </c>
      <c r="C10" s="1124"/>
      <c r="D10" s="1124"/>
      <c r="E10" s="1124"/>
      <c r="F10" s="1124"/>
      <c r="G10" s="1133"/>
      <c r="H10" s="1726"/>
      <c r="I10" s="1726"/>
      <c r="J10" s="1726"/>
      <c r="K10" s="1726"/>
      <c r="L10" s="1726"/>
      <c r="M10" s="1726"/>
      <c r="N10" s="1726"/>
      <c r="O10" s="1726"/>
      <c r="P10" s="1726"/>
      <c r="Q10" s="1726"/>
      <c r="R10" s="1726"/>
      <c r="S10" s="1726"/>
    </row>
    <row r="11" spans="1:19" ht="15.75" hidden="1" thickTop="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t="15.75" hidden="1" thickTop="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t="15.75" hidden="1" thickTop="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t="15.75" hidden="1" thickTop="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t="15.75" hidden="1" thickTop="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t="15.75" hidden="1" thickTop="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t="15.75" hidden="1" thickTop="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t="15.75" hidden="1" thickTop="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t="15.75" hidden="1" thickTop="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t="15.75" hidden="1" thickTop="1">
      <c r="A20" s="628"/>
      <c r="B20" s="862">
        <f>'Area Calculations'!M71</f>
        <v>0</v>
      </c>
      <c r="C20" s="1134" t="s">
        <v>509</v>
      </c>
      <c r="D20" s="1124"/>
      <c r="E20" s="1124"/>
      <c r="F20" s="1124"/>
      <c r="G20" s="1133"/>
      <c r="H20" s="1726"/>
      <c r="I20" s="1726"/>
      <c r="J20" s="1726"/>
      <c r="K20" s="1726"/>
      <c r="L20" s="1726"/>
      <c r="M20" s="1726"/>
      <c r="N20" s="1726"/>
      <c r="O20" s="1726"/>
      <c r="P20" s="1726"/>
      <c r="Q20" s="1726"/>
      <c r="R20" s="1726"/>
      <c r="S20" s="1726"/>
    </row>
    <row r="21" spans="1:19" ht="15.75" hidden="1" thickTop="1">
      <c r="A21" s="628"/>
      <c r="B21" s="862">
        <f>'Area Calculations'!M72</f>
        <v>0</v>
      </c>
      <c r="C21" s="1134" t="s">
        <v>509</v>
      </c>
      <c r="D21" s="1124"/>
      <c r="E21" s="1124"/>
      <c r="F21" s="1124"/>
      <c r="G21" s="1133"/>
      <c r="H21" s="1726"/>
      <c r="I21" s="1726"/>
      <c r="J21" s="1726"/>
      <c r="K21" s="1726"/>
      <c r="L21" s="1726"/>
      <c r="M21" s="1726"/>
      <c r="N21" s="1726"/>
      <c r="O21" s="1726"/>
      <c r="P21" s="1726"/>
      <c r="Q21" s="1726"/>
      <c r="R21" s="1726"/>
      <c r="S21" s="1726"/>
    </row>
    <row r="22" spans="1:19" ht="15.75" hidden="1" thickTop="1">
      <c r="A22" s="628"/>
      <c r="B22" s="862">
        <f>'Area Calculations'!M73</f>
        <v>0</v>
      </c>
      <c r="C22" s="1134" t="s">
        <v>509</v>
      </c>
      <c r="D22" s="1124"/>
      <c r="E22" s="1124"/>
      <c r="F22" s="1124"/>
      <c r="G22" s="1133"/>
      <c r="H22" s="1726"/>
      <c r="I22" s="1726"/>
      <c r="J22" s="1726"/>
      <c r="K22" s="1726"/>
      <c r="L22" s="1726"/>
      <c r="M22" s="1726"/>
      <c r="N22" s="1726"/>
      <c r="O22" s="1726"/>
      <c r="P22" s="1726"/>
      <c r="Q22" s="1726"/>
      <c r="R22" s="1726"/>
      <c r="S22" s="1726"/>
    </row>
    <row r="23" spans="1:19" ht="15.75" hidden="1" thickTop="1">
      <c r="A23" s="628"/>
      <c r="B23" s="862">
        <f>'Area Calculations'!M74</f>
        <v>0</v>
      </c>
      <c r="C23" s="1134" t="s">
        <v>509</v>
      </c>
      <c r="D23" s="1124"/>
      <c r="E23" s="1124"/>
      <c r="F23" s="1124"/>
      <c r="G23" s="1133"/>
      <c r="H23" s="1726"/>
      <c r="I23" s="1726"/>
      <c r="J23" s="1726"/>
      <c r="K23" s="1726"/>
      <c r="L23" s="1726"/>
      <c r="M23" s="1726"/>
      <c r="N23" s="1726"/>
      <c r="O23" s="1726"/>
      <c r="P23" s="1726"/>
      <c r="Q23" s="1726"/>
      <c r="R23" s="1726"/>
      <c r="S23" s="1726"/>
    </row>
    <row r="24" spans="1:19" ht="15.75" thickTop="1">
      <c r="A24" s="628"/>
      <c r="B24" s="862"/>
      <c r="C24" s="1134"/>
      <c r="D24" s="1124"/>
      <c r="E24" s="1124"/>
      <c r="F24" s="1124"/>
      <c r="G24" s="1133"/>
      <c r="H24" s="1678"/>
      <c r="I24" s="1726"/>
      <c r="J24" s="1678"/>
      <c r="K24" s="1726"/>
      <c r="L24" s="1678"/>
      <c r="M24" s="1726"/>
      <c r="N24" s="1678"/>
      <c r="O24" s="1726"/>
      <c r="P24" s="1678"/>
      <c r="Q24" s="1726"/>
      <c r="R24" s="1678"/>
      <c r="S24" s="1726"/>
    </row>
    <row r="25" spans="1:19" ht="15.75" thickBot="1">
      <c r="A25" s="628"/>
      <c r="B25" s="1136" t="s">
        <v>929</v>
      </c>
      <c r="C25" s="1134"/>
      <c r="D25" s="1124"/>
      <c r="E25" s="1124"/>
      <c r="F25" s="1124"/>
      <c r="G25" s="1133"/>
      <c r="H25" s="1678"/>
      <c r="I25" s="1726"/>
      <c r="J25" s="1678"/>
      <c r="K25" s="1726"/>
      <c r="L25" s="1678"/>
      <c r="M25" s="1726"/>
      <c r="N25" s="1678"/>
      <c r="O25" s="1726"/>
      <c r="P25" s="1678"/>
      <c r="Q25" s="1726"/>
      <c r="R25" s="1678"/>
      <c r="S25" s="1726"/>
    </row>
    <row r="26" spans="1:19" ht="15.75" thickBot="1">
      <c r="A26" s="1545"/>
      <c r="B26" s="374" t="s">
        <v>512</v>
      </c>
      <c r="C26" s="1134"/>
      <c r="D26" s="1124"/>
      <c r="E26" s="1124"/>
      <c r="F26" s="1124"/>
      <c r="G26" s="1133"/>
      <c r="H26" s="1678"/>
      <c r="I26" s="1548"/>
      <c r="J26" s="1678"/>
      <c r="K26" s="1548"/>
      <c r="L26" s="1678"/>
      <c r="M26" s="1546"/>
      <c r="N26" s="1678"/>
      <c r="O26" s="1546"/>
      <c r="P26" s="1678"/>
      <c r="Q26" s="1546"/>
      <c r="R26" s="1678"/>
      <c r="S26" s="1546"/>
    </row>
    <row r="27" spans="1:19">
      <c r="A27" s="1545"/>
      <c r="B27" s="647" t="s">
        <v>513</v>
      </c>
      <c r="C27" s="1859"/>
      <c r="D27" s="1124"/>
      <c r="E27" s="1124"/>
      <c r="F27" s="1124"/>
      <c r="G27" s="1133"/>
      <c r="H27" s="1678"/>
      <c r="I27" s="1424"/>
      <c r="J27" s="1678"/>
      <c r="K27" s="1548"/>
      <c r="L27" s="1678"/>
      <c r="M27" s="1644"/>
      <c r="N27" s="1678"/>
      <c r="O27" s="1546"/>
      <c r="P27" s="1678"/>
      <c r="Q27" s="1424"/>
      <c r="R27" s="1678"/>
      <c r="S27" s="1546"/>
    </row>
    <row r="28" spans="1:19">
      <c r="A28" s="1545"/>
      <c r="B28" s="1567" t="s">
        <v>514</v>
      </c>
      <c r="C28" s="1859"/>
      <c r="D28" s="1124"/>
      <c r="E28" s="1124"/>
      <c r="F28" s="1124"/>
      <c r="G28" s="1133"/>
      <c r="H28" s="1678"/>
      <c r="I28" s="1548"/>
      <c r="J28" s="1678"/>
      <c r="K28" s="1548"/>
      <c r="L28" s="1678"/>
      <c r="M28" s="1644"/>
      <c r="N28" s="1678"/>
      <c r="O28" s="1546"/>
      <c r="P28" s="1678"/>
      <c r="Q28" s="1424"/>
      <c r="R28" s="1678"/>
      <c r="S28" s="1546"/>
    </row>
    <row r="29" spans="1:19">
      <c r="A29" s="1545"/>
      <c r="B29" s="1568" t="s">
        <v>515</v>
      </c>
      <c r="C29" s="1859"/>
      <c r="D29" s="1124"/>
      <c r="E29" s="1124"/>
      <c r="F29" s="1124"/>
      <c r="G29" s="1133"/>
      <c r="H29" s="1678"/>
      <c r="I29" s="1548"/>
      <c r="J29" s="1678"/>
      <c r="K29" s="426"/>
      <c r="L29" s="1678"/>
      <c r="M29" s="1644"/>
      <c r="N29" s="1678"/>
      <c r="O29" s="1546"/>
      <c r="P29" s="1678"/>
      <c r="Q29" s="1424"/>
      <c r="R29" s="1678"/>
      <c r="S29" s="1546"/>
    </row>
    <row r="30" spans="1:19">
      <c r="A30" s="1545"/>
      <c r="B30" s="1568" t="s">
        <v>516</v>
      </c>
      <c r="C30" s="1859"/>
      <c r="D30" s="1124"/>
      <c r="E30" s="1124"/>
      <c r="F30" s="1124"/>
      <c r="G30" s="1133"/>
      <c r="H30" s="1678"/>
      <c r="I30" s="1548"/>
      <c r="J30" s="1678"/>
      <c r="K30" s="1644"/>
      <c r="L30" s="1678"/>
      <c r="M30" s="1644"/>
      <c r="N30" s="1678"/>
      <c r="O30" s="1546"/>
      <c r="P30" s="1678"/>
      <c r="Q30" s="1424"/>
      <c r="R30" s="1678"/>
      <c r="S30" s="1546"/>
    </row>
    <row r="31" spans="1:19">
      <c r="A31" s="1545"/>
      <c r="B31" s="1568" t="s">
        <v>517</v>
      </c>
      <c r="C31" s="1896"/>
      <c r="D31" s="1124"/>
      <c r="E31" s="1124"/>
      <c r="F31" s="1124"/>
      <c r="G31" s="1133"/>
      <c r="H31" s="1678"/>
      <c r="I31" s="1548"/>
      <c r="J31" s="1678"/>
      <c r="K31" s="1644"/>
      <c r="L31" s="1678"/>
      <c r="M31" s="1644"/>
      <c r="N31" s="1678"/>
      <c r="O31" s="1424"/>
      <c r="P31" s="1678"/>
      <c r="Q31" s="1424"/>
      <c r="R31" s="1678"/>
      <c r="S31" s="1546"/>
    </row>
    <row r="32" spans="1:19">
      <c r="A32" s="1545"/>
      <c r="B32" s="1568" t="s">
        <v>518</v>
      </c>
      <c r="C32" s="1896"/>
      <c r="D32" s="1124"/>
      <c r="E32" s="1124"/>
      <c r="F32" s="1124"/>
      <c r="G32" s="1133"/>
      <c r="H32" s="1678"/>
      <c r="I32" s="1424"/>
      <c r="J32" s="1678"/>
      <c r="K32" s="1644"/>
      <c r="L32" s="1678"/>
      <c r="M32" s="1644"/>
      <c r="N32" s="1678"/>
      <c r="O32" s="1424"/>
      <c r="P32" s="1678"/>
      <c r="Q32" s="1424"/>
      <c r="R32" s="1678"/>
      <c r="S32" s="1546"/>
    </row>
    <row r="33" spans="1:19">
      <c r="A33" s="1545"/>
      <c r="B33" s="1568" t="s">
        <v>693</v>
      </c>
      <c r="C33" s="1896"/>
      <c r="D33" s="1124"/>
      <c r="E33" s="1124"/>
      <c r="F33" s="1124"/>
      <c r="G33" s="1133"/>
      <c r="H33" s="1678"/>
      <c r="I33" s="1424"/>
      <c r="J33" s="1678"/>
      <c r="K33" s="1546"/>
      <c r="L33" s="1678"/>
      <c r="M33" s="1546"/>
      <c r="N33" s="1678"/>
      <c r="O33" s="1424"/>
      <c r="P33" s="1678"/>
      <c r="Q33" s="1424"/>
      <c r="R33" s="1678"/>
      <c r="S33" s="1546"/>
    </row>
    <row r="34" spans="1:19">
      <c r="A34" s="1545"/>
      <c r="B34" s="1569" t="s">
        <v>519</v>
      </c>
      <c r="C34" s="1896"/>
      <c r="D34" s="1124"/>
      <c r="E34" s="1124"/>
      <c r="F34" s="1124"/>
      <c r="G34" s="1133"/>
      <c r="H34" s="1678"/>
      <c r="I34" s="1424"/>
      <c r="J34" s="1678"/>
      <c r="K34" s="1424"/>
      <c r="L34" s="1678"/>
      <c r="M34" s="1424"/>
      <c r="N34" s="1678"/>
      <c r="O34" s="1424"/>
      <c r="P34" s="1678"/>
      <c r="Q34" s="1424"/>
      <c r="R34" s="1678"/>
      <c r="S34" s="1546"/>
    </row>
    <row r="35" spans="1:19">
      <c r="A35" s="1545"/>
      <c r="B35" s="1570" t="s">
        <v>520</v>
      </c>
      <c r="C35" s="1897"/>
      <c r="D35" s="1145"/>
      <c r="E35" s="1145"/>
      <c r="F35" s="1145"/>
      <c r="G35" s="1898"/>
      <c r="H35" s="1899"/>
      <c r="I35" s="1900"/>
      <c r="J35" s="1727"/>
      <c r="K35" s="1900"/>
      <c r="L35" s="1727"/>
      <c r="M35" s="1900"/>
      <c r="N35" s="1727"/>
      <c r="O35" s="1900"/>
      <c r="P35" s="1727"/>
      <c r="Q35" s="1900"/>
      <c r="R35" s="1901"/>
      <c r="S35" s="1901"/>
    </row>
    <row r="36" spans="1:19">
      <c r="A36" s="1545"/>
      <c r="B36" s="1902" t="s">
        <v>748</v>
      </c>
      <c r="C36" s="1896"/>
      <c r="D36" s="1124"/>
      <c r="E36" s="1124"/>
      <c r="F36" s="1124"/>
      <c r="G36" s="1133"/>
      <c r="H36" s="1678"/>
      <c r="I36" s="1424"/>
      <c r="J36" s="1678"/>
      <c r="K36" s="1424"/>
      <c r="L36" s="1678"/>
      <c r="M36" s="1424"/>
      <c r="N36" s="1678"/>
      <c r="O36" s="1424"/>
      <c r="P36" s="1678"/>
      <c r="Q36" s="1424"/>
      <c r="R36" s="1678"/>
      <c r="S36" s="1546"/>
    </row>
    <row r="37" spans="1:19">
      <c r="A37" s="1545"/>
      <c r="B37" s="1902"/>
      <c r="C37" s="1896"/>
      <c r="D37" s="1124"/>
      <c r="E37" s="1124"/>
      <c r="F37" s="1124"/>
      <c r="G37" s="1133"/>
      <c r="H37" s="1678"/>
      <c r="I37" s="1424"/>
      <c r="J37" s="1678"/>
      <c r="K37" s="1424"/>
      <c r="L37" s="1678"/>
      <c r="M37" s="1424"/>
      <c r="N37" s="1678"/>
      <c r="O37" s="1424"/>
      <c r="P37" s="1678"/>
      <c r="Q37" s="1424"/>
      <c r="R37" s="1678"/>
      <c r="S37" s="1546"/>
    </row>
    <row r="38" spans="1:19">
      <c r="A38" s="1545"/>
      <c r="B38" s="1903"/>
      <c r="C38" s="1896"/>
      <c r="D38" s="1904"/>
      <c r="E38" s="1124"/>
      <c r="F38" s="1621"/>
      <c r="G38" s="1616"/>
      <c r="H38" s="1678"/>
      <c r="I38" s="1424"/>
      <c r="J38" s="1678"/>
      <c r="K38" s="1424"/>
      <c r="L38" s="1678"/>
      <c r="M38" s="1424"/>
      <c r="N38" s="1678"/>
      <c r="O38" s="1424"/>
      <c r="P38" s="1678"/>
      <c r="Q38" s="1424"/>
      <c r="R38" s="1678"/>
      <c r="S38" s="1546"/>
    </row>
    <row r="39" spans="1:19">
      <c r="A39" s="1545"/>
      <c r="B39" s="1903"/>
      <c r="C39" s="1896"/>
      <c r="D39" s="1904"/>
      <c r="E39" s="1124"/>
      <c r="F39" s="1621"/>
      <c r="G39" s="1616"/>
      <c r="H39" s="1678"/>
      <c r="I39" s="1424"/>
      <c r="J39" s="1678"/>
      <c r="K39" s="1424"/>
      <c r="L39" s="1678"/>
      <c r="M39" s="1424"/>
      <c r="N39" s="1678"/>
      <c r="O39" s="1424"/>
      <c r="P39" s="1678"/>
      <c r="Q39" s="1424"/>
      <c r="R39" s="1678"/>
      <c r="S39" s="1546"/>
    </row>
    <row r="40" spans="1:19">
      <c r="A40" s="1545"/>
      <c r="B40" s="1903"/>
      <c r="C40" s="1896"/>
      <c r="D40" s="1904"/>
      <c r="E40" s="1124"/>
      <c r="F40" s="1621"/>
      <c r="G40" s="1616"/>
      <c r="H40" s="1678"/>
      <c r="I40" s="1424"/>
      <c r="J40" s="1678"/>
      <c r="K40" s="1424"/>
      <c r="L40" s="1678"/>
      <c r="M40" s="1424"/>
      <c r="N40" s="1678"/>
      <c r="O40" s="1424"/>
      <c r="P40" s="1678"/>
      <c r="Q40" s="1424"/>
      <c r="R40" s="1678"/>
      <c r="S40" s="1546"/>
    </row>
    <row r="41" spans="1:19">
      <c r="A41" s="1545"/>
      <c r="B41" s="1902"/>
      <c r="C41" s="1896"/>
      <c r="D41" s="1124"/>
      <c r="E41" s="1124"/>
      <c r="F41" s="1124"/>
      <c r="G41" s="1133"/>
      <c r="H41" s="1678"/>
      <c r="I41" s="1424"/>
      <c r="J41" s="1678"/>
      <c r="K41" s="1424"/>
      <c r="L41" s="1678"/>
      <c r="M41" s="1424"/>
      <c r="N41" s="1678"/>
      <c r="O41" s="1424"/>
      <c r="P41" s="1678"/>
      <c r="Q41" s="1424"/>
      <c r="R41" s="1678"/>
      <c r="S41" s="1546"/>
    </row>
    <row r="42" spans="1:19">
      <c r="A42" s="1545"/>
      <c r="B42" s="1902"/>
      <c r="C42" s="1896"/>
      <c r="D42" s="1124"/>
      <c r="E42" s="1124"/>
      <c r="F42" s="1124"/>
      <c r="G42" s="1133"/>
      <c r="H42" s="1678"/>
      <c r="I42" s="1424"/>
      <c r="J42" s="1678"/>
      <c r="K42" s="1424"/>
      <c r="L42" s="1678"/>
      <c r="M42" s="1424"/>
      <c r="N42" s="1678"/>
      <c r="O42" s="1424"/>
      <c r="P42" s="1678"/>
      <c r="Q42" s="1424"/>
      <c r="R42" s="1678"/>
      <c r="S42" s="1546"/>
    </row>
    <row r="43" spans="1:19">
      <c r="A43" s="1545"/>
      <c r="B43" s="1902"/>
      <c r="C43" s="1896"/>
      <c r="D43" s="1124"/>
      <c r="E43" s="1124"/>
      <c r="F43" s="1124"/>
      <c r="G43" s="1133"/>
      <c r="H43" s="1678" t="s">
        <v>709</v>
      </c>
      <c r="I43" s="1424"/>
      <c r="J43" s="1678"/>
      <c r="K43" s="1424"/>
      <c r="L43" s="1678"/>
      <c r="M43" s="1424"/>
      <c r="N43" s="1678"/>
      <c r="O43" s="1424"/>
      <c r="P43" s="1678"/>
      <c r="Q43" s="1424"/>
      <c r="R43" s="1678"/>
      <c r="S43" s="1546"/>
    </row>
    <row r="44" spans="1:19">
      <c r="A44" s="1545"/>
      <c r="B44" s="1902"/>
      <c r="C44" s="1896"/>
      <c r="D44" s="1124"/>
      <c r="E44" s="1124"/>
      <c r="F44" s="1124"/>
      <c r="G44" s="1133"/>
      <c r="H44" s="1678"/>
      <c r="I44" s="1424"/>
      <c r="J44" s="1678"/>
      <c r="K44" s="1424"/>
      <c r="L44" s="1678"/>
      <c r="M44" s="1424"/>
      <c r="N44" s="1678"/>
      <c r="O44" s="1424"/>
      <c r="P44" s="1678"/>
      <c r="Q44" s="1424"/>
      <c r="R44" s="1678"/>
      <c r="S44" s="1546"/>
    </row>
    <row r="45" spans="1:19">
      <c r="A45" s="1545"/>
      <c r="B45" s="1902"/>
      <c r="C45" s="1896"/>
      <c r="D45" s="1124"/>
      <c r="E45" s="1124"/>
      <c r="F45" s="1124"/>
      <c r="G45" s="1133"/>
      <c r="H45" s="1678"/>
      <c r="I45" s="1424"/>
      <c r="J45" s="1678"/>
      <c r="K45" s="1424"/>
      <c r="L45" s="1678"/>
      <c r="M45" s="1424"/>
      <c r="N45" s="1678"/>
      <c r="O45" s="1424"/>
      <c r="P45" s="1678"/>
      <c r="Q45" s="1424"/>
      <c r="R45" s="1678"/>
      <c r="S45" s="1546"/>
    </row>
    <row r="46" spans="1:19">
      <c r="A46" s="1545"/>
      <c r="B46" s="1902"/>
      <c r="C46" s="1896"/>
      <c r="D46" s="1124"/>
      <c r="E46" s="1124"/>
      <c r="F46" s="1124"/>
      <c r="G46" s="1133"/>
      <c r="H46" s="1678"/>
      <c r="I46" s="1424"/>
      <c r="J46" s="1678"/>
      <c r="K46" s="1424"/>
      <c r="L46" s="1678"/>
      <c r="M46" s="1424"/>
      <c r="N46" s="1678"/>
      <c r="O46" s="1424"/>
      <c r="P46" s="1678"/>
      <c r="Q46" s="1424"/>
      <c r="R46" s="1678"/>
      <c r="S46" s="1546"/>
    </row>
    <row r="47" spans="1:19">
      <c r="A47" s="1545"/>
      <c r="B47" s="1902"/>
      <c r="C47" s="1896"/>
      <c r="D47" s="1124"/>
      <c r="E47" s="1124"/>
      <c r="F47" s="1124"/>
      <c r="G47" s="1133"/>
      <c r="H47" s="1678"/>
      <c r="I47" s="1424"/>
      <c r="J47" s="1678"/>
      <c r="K47" s="1424"/>
      <c r="L47" s="1678"/>
      <c r="M47" s="1424"/>
      <c r="N47" s="1678"/>
      <c r="O47" s="1424"/>
      <c r="P47" s="1678"/>
      <c r="Q47" s="1424"/>
      <c r="R47" s="1678"/>
      <c r="S47" s="1546"/>
    </row>
    <row r="48" spans="1:19">
      <c r="A48" s="1545"/>
      <c r="B48" s="1902"/>
      <c r="C48" s="1896"/>
      <c r="D48" s="1124"/>
      <c r="E48" s="1124"/>
      <c r="F48" s="1124"/>
      <c r="G48" s="1133"/>
      <c r="H48" s="1678"/>
      <c r="I48" s="1424"/>
      <c r="J48" s="1678"/>
      <c r="K48" s="1424"/>
      <c r="L48" s="1678"/>
      <c r="M48" s="1424"/>
      <c r="N48" s="1678"/>
      <c r="O48" s="1424"/>
      <c r="P48" s="1678"/>
      <c r="Q48" s="1424"/>
      <c r="R48" s="1678"/>
      <c r="S48" s="1546"/>
    </row>
    <row r="49" spans="1:19">
      <c r="A49" s="1545"/>
      <c r="B49" s="1902"/>
      <c r="C49" s="1896"/>
      <c r="D49" s="1124"/>
      <c r="E49" s="1124"/>
      <c r="F49" s="1124"/>
      <c r="G49" s="1133"/>
      <c r="H49" s="1678"/>
      <c r="I49" s="1424"/>
      <c r="J49" s="1678"/>
      <c r="K49" s="1424"/>
      <c r="L49" s="1678"/>
      <c r="M49" s="1424"/>
      <c r="N49" s="1678"/>
      <c r="O49" s="1424"/>
      <c r="P49" s="1678"/>
      <c r="Q49" s="1424"/>
      <c r="R49" s="1678"/>
      <c r="S49" s="1546"/>
    </row>
    <row r="50" spans="1:19">
      <c r="A50" s="1545"/>
      <c r="B50" s="1902"/>
      <c r="C50" s="1896"/>
      <c r="D50" s="1124"/>
      <c r="E50" s="1124"/>
      <c r="F50" s="1124"/>
      <c r="G50" s="1133"/>
      <c r="H50" s="1678"/>
      <c r="I50" s="1424"/>
      <c r="J50" s="1678"/>
      <c r="K50" s="1424"/>
      <c r="L50" s="1678"/>
      <c r="M50" s="1424"/>
      <c r="N50" s="1678"/>
      <c r="O50" s="1424"/>
      <c r="P50" s="1678"/>
      <c r="Q50" s="1424"/>
      <c r="R50" s="1678"/>
      <c r="S50" s="1546"/>
    </row>
    <row r="51" spans="1:19">
      <c r="A51" s="1545"/>
      <c r="B51" s="1902"/>
      <c r="C51" s="1896"/>
      <c r="D51" s="1124"/>
      <c r="E51" s="1124"/>
      <c r="F51" s="1124"/>
      <c r="G51" s="1133"/>
      <c r="H51" s="1678"/>
      <c r="I51" s="1424"/>
      <c r="J51" s="1678"/>
      <c r="K51" s="1424"/>
      <c r="L51" s="1678"/>
      <c r="M51" s="1424"/>
      <c r="N51" s="1678"/>
      <c r="O51" s="1424"/>
      <c r="P51" s="1678"/>
      <c r="Q51" s="1424"/>
      <c r="R51" s="1678"/>
      <c r="S51" s="1546"/>
    </row>
    <row r="52" spans="1:19">
      <c r="A52" s="1545"/>
      <c r="B52" s="1902"/>
      <c r="C52" s="1896"/>
      <c r="D52" s="1124"/>
      <c r="E52" s="1124"/>
      <c r="F52" s="1124"/>
      <c r="G52" s="1133"/>
      <c r="H52" s="1678"/>
      <c r="I52" s="1424"/>
      <c r="J52" s="1678"/>
      <c r="K52" s="1424"/>
      <c r="L52" s="1678"/>
      <c r="M52" s="1424"/>
      <c r="N52" s="1678"/>
      <c r="O52" s="1424"/>
      <c r="P52" s="1678"/>
      <c r="Q52" s="1424"/>
      <c r="R52" s="1678"/>
      <c r="S52" s="1546"/>
    </row>
    <row r="53" spans="1:19">
      <c r="A53" s="1545"/>
      <c r="B53" s="1902"/>
      <c r="C53" s="1896"/>
      <c r="D53" s="1124"/>
      <c r="E53" s="1124"/>
      <c r="F53" s="1124"/>
      <c r="G53" s="1133"/>
      <c r="H53" s="1678"/>
      <c r="I53" s="1424"/>
      <c r="J53" s="1678"/>
      <c r="K53" s="1424"/>
      <c r="L53" s="1678"/>
      <c r="M53" s="1424"/>
      <c r="N53" s="1678"/>
      <c r="O53" s="1424"/>
      <c r="P53" s="1678"/>
      <c r="Q53" s="1424"/>
      <c r="R53" s="1678"/>
      <c r="S53" s="1546"/>
    </row>
    <row r="54" spans="1:19" ht="15.75" thickBot="1">
      <c r="A54" s="1545"/>
      <c r="B54" s="1902"/>
      <c r="C54" s="1896"/>
      <c r="D54" s="1124"/>
      <c r="E54" s="1124"/>
      <c r="F54" s="1124"/>
      <c r="G54" s="1133"/>
      <c r="H54" s="1678"/>
      <c r="I54" s="1548"/>
      <c r="J54" s="1678"/>
      <c r="K54" s="1424"/>
      <c r="L54" s="1678"/>
      <c r="M54" s="1424"/>
      <c r="N54" s="1678"/>
      <c r="O54" s="1424"/>
      <c r="P54" s="1678"/>
      <c r="Q54" s="1424"/>
      <c r="R54" s="1678"/>
      <c r="S54" s="1546"/>
    </row>
    <row r="55" spans="1:19" ht="15.75" thickTop="1">
      <c r="A55" s="14"/>
      <c r="B55" s="15"/>
      <c r="C55" s="16"/>
      <c r="D55" s="16"/>
      <c r="E55" s="17"/>
      <c r="F55" s="18" t="s">
        <v>567</v>
      </c>
      <c r="G55" s="19"/>
      <c r="H55" s="20"/>
      <c r="I55" s="61">
        <f>SUM(I27:I54)</f>
        <v>0</v>
      </c>
      <c r="J55" s="20"/>
      <c r="K55" s="61">
        <f>SUM(K27:K54)</f>
        <v>0</v>
      </c>
      <c r="L55" s="20"/>
      <c r="M55" s="61">
        <f>SUM(M27:M54)</f>
        <v>0</v>
      </c>
      <c r="N55" s="20"/>
      <c r="O55" s="61">
        <f>SUM(O27:O54)</f>
        <v>0</v>
      </c>
      <c r="P55" s="20"/>
      <c r="Q55" s="61">
        <f>SUM(Q27:Q54)</f>
        <v>0</v>
      </c>
      <c r="R55" s="20"/>
      <c r="S55" s="61">
        <f>SUM(S27:S54)</f>
        <v>0</v>
      </c>
    </row>
    <row r="56" spans="1:19">
      <c r="A56" s="624"/>
      <c r="B56" s="1156"/>
      <c r="C56" s="1157"/>
      <c r="D56" s="1157"/>
      <c r="E56" s="1158"/>
      <c r="F56" s="1159" t="s">
        <v>568</v>
      </c>
      <c r="G56" s="1160"/>
      <c r="H56" s="1627">
        <v>0</v>
      </c>
      <c r="I56" s="1628"/>
      <c r="J56" s="1627">
        <v>0</v>
      </c>
      <c r="K56" s="1628"/>
      <c r="L56" s="1627">
        <v>0</v>
      </c>
      <c r="M56" s="1628"/>
      <c r="N56" s="1627">
        <v>0</v>
      </c>
      <c r="O56" s="1628"/>
      <c r="P56" s="1627">
        <v>0</v>
      </c>
      <c r="Q56" s="1628"/>
      <c r="R56" s="1627">
        <v>0</v>
      </c>
      <c r="S56" s="1628"/>
    </row>
    <row r="57" spans="1:19">
      <c r="A57" s="624"/>
      <c r="B57" s="1156"/>
      <c r="C57" s="1157"/>
      <c r="D57" s="1157"/>
      <c r="E57" s="1158"/>
      <c r="F57" s="1159" t="s">
        <v>569</v>
      </c>
      <c r="G57" s="1160"/>
      <c r="H57" s="1629"/>
      <c r="I57" s="1630">
        <f>I55*H56</f>
        <v>0</v>
      </c>
      <c r="J57" s="1629"/>
      <c r="K57" s="1630">
        <f>K55*J56</f>
        <v>0</v>
      </c>
      <c r="L57" s="1629"/>
      <c r="M57" s="1630">
        <f>M55*L56</f>
        <v>0</v>
      </c>
      <c r="N57" s="1629"/>
      <c r="O57" s="1630">
        <f>O55*N56</f>
        <v>0</v>
      </c>
      <c r="P57" s="1629"/>
      <c r="Q57" s="1630">
        <f>Q55*P56</f>
        <v>0</v>
      </c>
      <c r="R57" s="1629"/>
      <c r="S57" s="1630">
        <f>S55*R56</f>
        <v>0</v>
      </c>
    </row>
    <row r="58" spans="1:19">
      <c r="A58" s="624"/>
      <c r="B58" s="1156"/>
      <c r="C58" s="1157"/>
      <c r="D58" s="1157"/>
      <c r="E58" s="1158"/>
      <c r="F58" s="1159"/>
      <c r="G58" s="1160"/>
      <c r="H58" s="1629"/>
      <c r="I58" s="1633"/>
      <c r="J58" s="1629"/>
      <c r="K58" s="1633"/>
      <c r="L58" s="1629"/>
      <c r="M58" s="1633"/>
      <c r="N58" s="1629"/>
      <c r="O58" s="1633"/>
      <c r="P58" s="1629"/>
      <c r="Q58" s="1633"/>
      <c r="R58" s="1629"/>
      <c r="S58" s="1633"/>
    </row>
    <row r="59" spans="1:19">
      <c r="A59" s="624"/>
      <c r="B59" s="1156"/>
      <c r="C59" s="1157"/>
      <c r="D59" s="1157"/>
      <c r="E59" s="1158"/>
      <c r="F59" s="1159" t="s">
        <v>570</v>
      </c>
      <c r="G59" s="1160"/>
      <c r="H59" s="1634"/>
      <c r="I59" s="1632">
        <f>SUM(I55:I58)</f>
        <v>0</v>
      </c>
      <c r="J59" s="1634"/>
      <c r="K59" s="1632">
        <f>SUM(K55:K58)</f>
        <v>0</v>
      </c>
      <c r="L59" s="1634"/>
      <c r="M59" s="1632">
        <f>SUM(M55:M58)</f>
        <v>0</v>
      </c>
      <c r="N59" s="1634"/>
      <c r="O59" s="1632">
        <f>SUM(O55:O58)</f>
        <v>0</v>
      </c>
      <c r="P59" s="1634"/>
      <c r="Q59" s="1632">
        <f>SUM(Q55:Q58)</f>
        <v>0</v>
      </c>
      <c r="R59" s="1634"/>
      <c r="S59" s="1632">
        <f>SUM(S55:S58)</f>
        <v>0</v>
      </c>
    </row>
    <row r="60" spans="1:19">
      <c r="A60" s="624"/>
      <c r="B60" s="1156"/>
      <c r="C60" s="1157"/>
      <c r="D60" s="1157"/>
      <c r="E60" s="1158"/>
      <c r="F60" s="1161" t="s">
        <v>571</v>
      </c>
      <c r="G60" s="1162"/>
      <c r="H60" s="1635"/>
      <c r="I60" s="1636" t="e">
        <f>I59/'Area Calculations'!$J$4</f>
        <v>#DIV/0!</v>
      </c>
      <c r="J60" s="1635"/>
      <c r="K60" s="1636" t="e">
        <f>K59/'Area Calculations'!$J$4</f>
        <v>#DIV/0!</v>
      </c>
      <c r="L60" s="1635"/>
      <c r="M60" s="1636" t="e">
        <f>M59/'Area Calculations'!$J$4</f>
        <v>#DIV/0!</v>
      </c>
      <c r="N60" s="1635"/>
      <c r="O60" s="1636" t="e">
        <f>O59/'Area Calculations'!$J$4</f>
        <v>#DIV/0!</v>
      </c>
      <c r="P60" s="1635"/>
      <c r="Q60" s="1636" t="e">
        <f>Q59/'Area Calculations'!$J$4</f>
        <v>#DIV/0!</v>
      </c>
      <c r="R60" s="1635"/>
      <c r="S60" s="1636" t="e">
        <f>S59/'Area Calculations'!$J$4</f>
        <v>#DIV/0!</v>
      </c>
    </row>
    <row r="61" spans="1:19">
      <c r="A61" s="624"/>
      <c r="B61" s="1156"/>
      <c r="C61" s="1157"/>
      <c r="D61" s="1157"/>
      <c r="E61" s="1158"/>
      <c r="F61" s="1161" t="s">
        <v>572</v>
      </c>
      <c r="G61" s="1163"/>
      <c r="H61" s="1635"/>
      <c r="I61" s="1636" t="e">
        <f>I59/'Area Calculations'!#REF!</f>
        <v>#REF!</v>
      </c>
      <c r="J61" s="1635"/>
      <c r="K61" s="1636" t="e">
        <f>K59/'Area Calculations'!#REF!</f>
        <v>#REF!</v>
      </c>
      <c r="L61" s="1635"/>
      <c r="M61" s="1636" t="e">
        <f>M59/'Area Calculations'!#REF!</f>
        <v>#REF!</v>
      </c>
      <c r="N61" s="1635"/>
      <c r="O61" s="1636" t="e">
        <f>O59/'Area Calculations'!#REF!</f>
        <v>#REF!</v>
      </c>
      <c r="P61" s="1635"/>
      <c r="Q61" s="1636" t="e">
        <f>Q59/'Area Calculations'!#REF!</f>
        <v>#REF!</v>
      </c>
      <c r="R61" s="1635"/>
      <c r="S61" s="1636" t="e">
        <f>S59/'Area Calculations'!#REF!</f>
        <v>#REF!</v>
      </c>
    </row>
    <row r="62" spans="1:19" ht="15.75" thickBot="1">
      <c r="A62" s="624"/>
      <c r="B62" s="1156"/>
      <c r="C62" s="1157"/>
      <c r="D62" s="1157"/>
      <c r="E62" s="1158"/>
      <c r="F62" s="1159"/>
      <c r="G62" s="1533"/>
      <c r="H62" s="1637"/>
      <c r="I62" s="1638"/>
      <c r="J62" s="1639"/>
      <c r="K62" s="1905"/>
      <c r="L62" s="1639"/>
      <c r="M62" s="1639"/>
      <c r="N62" s="1639"/>
      <c r="O62" s="1639"/>
      <c r="P62" s="1639"/>
      <c r="Q62" s="1639"/>
      <c r="R62" s="1639"/>
      <c r="S62" s="1639"/>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1906"/>
      <c r="B64" s="862"/>
      <c r="C64" s="1907"/>
      <c r="D64" s="1907"/>
      <c r="E64" s="1907"/>
      <c r="F64" s="1907"/>
      <c r="G64" s="1908"/>
      <c r="H64" s="1719"/>
      <c r="I64" s="1719"/>
      <c r="J64" s="1719"/>
      <c r="K64" s="1719"/>
      <c r="L64" s="1719"/>
      <c r="M64" s="1719"/>
      <c r="N64" s="1719"/>
      <c r="O64" s="1719"/>
      <c r="P64" s="1719"/>
      <c r="Q64" s="1719"/>
      <c r="R64" s="1719"/>
      <c r="S64" s="1719"/>
    </row>
    <row r="65" spans="1:19" s="2" customFormat="1">
      <c r="A65" s="1906"/>
      <c r="B65" s="862"/>
      <c r="C65" s="1907"/>
      <c r="D65" s="1907"/>
      <c r="E65" s="1907"/>
      <c r="F65" s="1907"/>
      <c r="G65" s="1908"/>
      <c r="H65" s="1719"/>
      <c r="I65" s="1719"/>
      <c r="J65" s="1719"/>
      <c r="K65" s="1719"/>
      <c r="L65" s="1719"/>
      <c r="M65" s="1719"/>
      <c r="N65" s="1719"/>
      <c r="O65" s="1719"/>
      <c r="P65" s="1719"/>
      <c r="Q65" s="1719"/>
      <c r="R65" s="1719"/>
      <c r="S65" s="1719"/>
    </row>
    <row r="66" spans="1:19" s="2" customFormat="1" ht="15.75" thickBot="1">
      <c r="A66" s="1906"/>
      <c r="B66" s="862"/>
      <c r="C66" s="1907"/>
      <c r="D66" s="1907"/>
      <c r="E66" s="1907"/>
      <c r="F66" s="1907"/>
      <c r="G66" s="1908"/>
      <c r="H66" s="1719"/>
      <c r="I66" s="1719"/>
      <c r="J66" s="1719"/>
      <c r="K66" s="1719"/>
      <c r="L66" s="1719"/>
      <c r="M66" s="1719"/>
      <c r="N66" s="1719"/>
      <c r="O66" s="1719"/>
      <c r="P66" s="1719"/>
      <c r="Q66" s="1719"/>
      <c r="R66" s="1719"/>
      <c r="S66" s="1719"/>
    </row>
    <row r="67" spans="1:19" ht="16.5" thickTop="1" thickBot="1">
      <c r="A67" s="726" t="s">
        <v>574</v>
      </c>
      <c r="B67" s="727"/>
      <c r="C67" s="12"/>
      <c r="D67" s="12"/>
      <c r="E67" s="12"/>
      <c r="F67" s="12"/>
      <c r="G67" s="13"/>
      <c r="H67" s="21"/>
      <c r="I67" s="21"/>
      <c r="J67" s="21"/>
      <c r="K67" s="21"/>
      <c r="L67" s="21"/>
      <c r="M67" s="21"/>
      <c r="N67" s="21"/>
      <c r="O67" s="21"/>
      <c r="P67" s="21"/>
      <c r="Q67" s="21"/>
      <c r="R67" s="21"/>
      <c r="S67" s="21"/>
    </row>
    <row r="68" spans="1:19" s="2" customFormat="1" ht="15.75" thickTop="1">
      <c r="A68" s="1906"/>
      <c r="B68" s="862"/>
      <c r="C68" s="1907"/>
      <c r="D68" s="1907"/>
      <c r="E68" s="1907"/>
      <c r="F68" s="1907"/>
      <c r="G68" s="1908"/>
      <c r="H68" s="1719"/>
      <c r="I68" s="1719"/>
      <c r="J68" s="1719"/>
      <c r="K68" s="1719"/>
      <c r="L68" s="1719"/>
      <c r="M68" s="1719"/>
      <c r="N68" s="1719"/>
      <c r="O68" s="1719"/>
      <c r="P68" s="1719"/>
      <c r="Q68" s="1719"/>
      <c r="R68" s="1719"/>
      <c r="S68" s="1719"/>
    </row>
    <row r="69" spans="1:19" s="2" customFormat="1">
      <c r="A69" s="1906"/>
      <c r="B69" s="862"/>
      <c r="C69" s="1907"/>
      <c r="D69" s="1907"/>
      <c r="E69" s="1907"/>
      <c r="F69" s="1907"/>
      <c r="G69" s="1908"/>
      <c r="H69" s="1719"/>
      <c r="I69" s="1719"/>
      <c r="J69" s="1719"/>
      <c r="K69" s="1719"/>
      <c r="L69" s="1719"/>
      <c r="M69" s="1719"/>
      <c r="N69" s="1719"/>
      <c r="O69" s="1719"/>
      <c r="P69" s="1719"/>
      <c r="Q69" s="1719"/>
      <c r="R69" s="1719"/>
      <c r="S69" s="1719"/>
    </row>
    <row r="70" spans="1:19" s="2" customFormat="1" ht="15.75" thickBot="1">
      <c r="A70" s="1906"/>
      <c r="B70" s="862"/>
      <c r="C70" s="1907"/>
      <c r="D70" s="1907"/>
      <c r="E70" s="1907"/>
      <c r="F70" s="1907"/>
      <c r="G70" s="1908"/>
      <c r="H70" s="1719"/>
      <c r="I70" s="1719"/>
      <c r="J70" s="1719"/>
      <c r="K70" s="1719"/>
      <c r="L70" s="1719"/>
      <c r="M70" s="1719"/>
      <c r="N70" s="1719"/>
      <c r="O70" s="1719"/>
      <c r="P70" s="1719"/>
      <c r="Q70" s="1719"/>
      <c r="R70" s="1719"/>
      <c r="S70" s="1719"/>
    </row>
    <row r="71" spans="1:19" s="2" customFormat="1" ht="16.5" thickTop="1" thickBot="1">
      <c r="A71" s="726" t="s">
        <v>575</v>
      </c>
      <c r="B71" s="727"/>
      <c r="C71" s="12"/>
      <c r="D71" s="12"/>
      <c r="E71" s="12"/>
      <c r="F71" s="12"/>
      <c r="G71" s="13"/>
      <c r="H71" s="21"/>
      <c r="I71" s="21"/>
      <c r="J71" s="21"/>
      <c r="K71" s="21"/>
      <c r="L71" s="21"/>
      <c r="M71" s="21"/>
      <c r="N71" s="21"/>
      <c r="O71" s="21"/>
      <c r="P71" s="21"/>
      <c r="Q71" s="21"/>
      <c r="R71" s="21"/>
      <c r="S71" s="21"/>
    </row>
    <row r="72" spans="1:19" s="2" customFormat="1" ht="15.75" thickTop="1">
      <c r="A72" s="1906"/>
      <c r="B72" s="862"/>
      <c r="C72" s="1907"/>
      <c r="D72" s="1907"/>
      <c r="E72" s="1907"/>
      <c r="F72" s="1907"/>
      <c r="G72" s="1908"/>
      <c r="H72" s="1719"/>
      <c r="I72" s="1719"/>
      <c r="J72" s="1719"/>
      <c r="K72" s="1719"/>
      <c r="L72" s="1719"/>
      <c r="M72" s="1719"/>
      <c r="N72" s="1719"/>
      <c r="O72" s="1719"/>
      <c r="P72" s="1719"/>
      <c r="Q72" s="1719"/>
      <c r="R72" s="1719"/>
      <c r="S72" s="1719"/>
    </row>
    <row r="73" spans="1:19">
      <c r="A73" s="628"/>
      <c r="B73" s="862"/>
      <c r="C73" s="1124"/>
      <c r="D73" s="1124"/>
      <c r="E73" s="1124"/>
      <c r="F73" s="1124"/>
      <c r="G73" s="1133"/>
      <c r="H73" s="1640"/>
      <c r="I73" s="1640"/>
      <c r="J73" s="1640"/>
      <c r="K73" s="1640"/>
      <c r="L73" s="1640"/>
      <c r="M73" s="1640"/>
      <c r="N73" s="1640"/>
      <c r="O73" s="1640"/>
      <c r="P73" s="1640"/>
      <c r="Q73" s="1640"/>
      <c r="R73" s="1640"/>
      <c r="S73" s="1640"/>
    </row>
    <row r="74" spans="1:19" ht="15.75" thickBot="1">
      <c r="A74" s="625"/>
      <c r="B74" s="1171"/>
      <c r="C74" s="1124"/>
      <c r="D74" s="1124"/>
      <c r="E74" s="1124"/>
      <c r="F74" s="1124"/>
      <c r="G74" s="1133"/>
      <c r="H74" s="1642"/>
      <c r="I74" s="1642"/>
      <c r="J74" s="1642"/>
      <c r="K74" s="1642"/>
      <c r="L74" s="1642"/>
      <c r="M74" s="1642"/>
      <c r="N74" s="1642"/>
      <c r="O74" s="1642"/>
      <c r="P74" s="1642"/>
      <c r="Q74" s="1642"/>
      <c r="R74" s="1642"/>
      <c r="S74" s="1642"/>
    </row>
    <row r="75" spans="1:19"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1909"/>
      <c r="B76" s="1910"/>
      <c r="C76" s="1907"/>
      <c r="D76" s="1907"/>
      <c r="E76" s="1907"/>
      <c r="F76" s="1907"/>
      <c r="G76" s="1908"/>
      <c r="H76" s="1719"/>
      <c r="I76" s="1719"/>
      <c r="J76" s="1719"/>
      <c r="K76" s="1719"/>
      <c r="L76" s="1719"/>
      <c r="M76" s="1719"/>
      <c r="N76" s="1719"/>
      <c r="O76" s="1719"/>
      <c r="P76" s="1719"/>
      <c r="Q76" s="1719"/>
      <c r="R76" s="1719"/>
      <c r="S76" s="1719"/>
    </row>
    <row r="77" spans="1:19">
      <c r="A77" s="625"/>
      <c r="B77" s="1171"/>
      <c r="C77" s="1124"/>
      <c r="D77" s="1124"/>
      <c r="E77" s="1124"/>
      <c r="F77" s="1124"/>
      <c r="G77" s="1133"/>
      <c r="H77" s="1643"/>
      <c r="I77" s="1643"/>
      <c r="J77" s="1643"/>
      <c r="K77" s="1643"/>
      <c r="L77" s="1643"/>
      <c r="M77" s="1643"/>
      <c r="N77" s="1643"/>
      <c r="O77" s="1643"/>
      <c r="P77" s="1643"/>
      <c r="Q77" s="1643"/>
      <c r="R77" s="1643"/>
      <c r="S77" s="1643"/>
    </row>
    <row r="78" spans="1:19" ht="15.75" thickBot="1">
      <c r="A78" s="625"/>
      <c r="B78" s="1171"/>
      <c r="C78" s="1124"/>
      <c r="D78" s="1124"/>
      <c r="E78" s="1124"/>
      <c r="F78" s="1124"/>
      <c r="G78" s="1133"/>
      <c r="H78" s="1643"/>
      <c r="I78" s="1643"/>
      <c r="J78" s="1643"/>
      <c r="K78" s="1643"/>
      <c r="L78" s="1643"/>
      <c r="M78" s="1643"/>
      <c r="N78" s="1643"/>
      <c r="O78" s="1643"/>
      <c r="P78" s="1643"/>
      <c r="Q78" s="1643"/>
      <c r="R78" s="1643"/>
      <c r="S78" s="1643"/>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628"/>
      <c r="B80" s="862" t="s">
        <v>578</v>
      </c>
      <c r="C80" s="1124"/>
      <c r="D80" s="1124"/>
      <c r="E80" s="1124"/>
      <c r="F80" s="1124"/>
      <c r="G80" s="1133"/>
      <c r="H80" s="1643"/>
      <c r="I80" s="1643"/>
      <c r="J80" s="1643"/>
      <c r="K80" s="1643"/>
      <c r="L80" s="1643"/>
      <c r="M80" s="1643"/>
      <c r="N80" s="1643"/>
      <c r="O80" s="1643"/>
      <c r="P80" s="1643"/>
      <c r="Q80" s="1643"/>
      <c r="R80" s="1643"/>
      <c r="S80" s="1643"/>
    </row>
    <row r="81" spans="1:19">
      <c r="A81" s="628"/>
      <c r="B81" s="862" t="s">
        <v>579</v>
      </c>
      <c r="C81" s="1124"/>
      <c r="D81" s="1124"/>
      <c r="E81" s="1124"/>
      <c r="F81" s="1124"/>
      <c r="G81" s="1133"/>
      <c r="H81" s="1643"/>
      <c r="I81" s="1643"/>
      <c r="J81" s="1643"/>
      <c r="K81" s="1643"/>
      <c r="L81" s="1643"/>
      <c r="M81" s="1643"/>
      <c r="N81" s="1643"/>
      <c r="O81" s="1643"/>
      <c r="P81" s="1643"/>
      <c r="Q81" s="1643"/>
      <c r="R81" s="1643"/>
      <c r="S81" s="1643"/>
    </row>
    <row r="82" spans="1:19">
      <c r="A82" s="628"/>
      <c r="B82" s="862" t="s">
        <v>580</v>
      </c>
      <c r="C82" s="1124"/>
      <c r="D82" s="1124"/>
      <c r="E82" s="1124"/>
      <c r="F82" s="1124"/>
      <c r="G82" s="1133"/>
      <c r="H82" s="1643"/>
      <c r="I82" s="1643"/>
      <c r="J82" s="1643"/>
      <c r="K82" s="1643"/>
      <c r="L82" s="1643"/>
      <c r="M82" s="1643"/>
      <c r="N82" s="1643"/>
      <c r="O82" s="1643"/>
      <c r="P82" s="1643"/>
      <c r="Q82" s="1643"/>
      <c r="R82" s="1643"/>
      <c r="S82" s="1643"/>
    </row>
    <row r="83" spans="1:19">
      <c r="A83" s="628"/>
      <c r="B83" s="862" t="s">
        <v>581</v>
      </c>
      <c r="C83" s="1124"/>
      <c r="D83" s="1124"/>
      <c r="E83" s="1124"/>
      <c r="F83" s="1124"/>
      <c r="G83" s="1133"/>
      <c r="H83" s="1643"/>
      <c r="I83" s="1643"/>
      <c r="J83" s="1643"/>
      <c r="K83" s="1643"/>
      <c r="L83" s="1643"/>
      <c r="M83" s="1643"/>
      <c r="N83" s="1643"/>
      <c r="O83" s="1643"/>
      <c r="P83" s="1643"/>
      <c r="Q83" s="1643"/>
      <c r="R83" s="1643"/>
      <c r="S83" s="1643"/>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1906"/>
      <c r="B86" s="1911" t="s">
        <v>583</v>
      </c>
      <c r="C86" s="1907"/>
      <c r="D86" s="1907"/>
      <c r="E86" s="1907"/>
      <c r="F86" s="1907"/>
      <c r="G86" s="1908"/>
      <c r="H86" s="1912"/>
      <c r="I86" s="1912"/>
      <c r="J86" s="1912"/>
      <c r="K86" s="1912"/>
      <c r="L86" s="1912"/>
      <c r="M86" s="1912"/>
      <c r="N86" s="1912"/>
      <c r="O86" s="1912"/>
      <c r="P86" s="1912"/>
      <c r="Q86" s="1912"/>
      <c r="R86" s="1912"/>
      <c r="S86" s="1912"/>
    </row>
    <row r="87" spans="1:19">
      <c r="A87" s="628"/>
      <c r="B87" s="862" t="s">
        <v>584</v>
      </c>
      <c r="C87" s="1124"/>
      <c r="D87" s="1124"/>
      <c r="E87" s="1124"/>
      <c r="F87" s="1124"/>
      <c r="G87" s="1133"/>
      <c r="H87" s="1644"/>
      <c r="I87" s="1644"/>
      <c r="J87" s="1644"/>
      <c r="K87" s="1644"/>
      <c r="L87" s="1644"/>
      <c r="M87" s="1644"/>
      <c r="N87" s="1644"/>
      <c r="O87" s="1644"/>
      <c r="P87" s="1644"/>
      <c r="Q87" s="1644"/>
      <c r="R87" s="1644"/>
      <c r="S87" s="1644"/>
    </row>
    <row r="88" spans="1:19" ht="15.75" thickBot="1">
      <c r="A88" s="1645"/>
      <c r="B88" s="1646" t="s">
        <v>585</v>
      </c>
      <c r="C88" s="1647"/>
      <c r="D88" s="1647"/>
      <c r="E88" s="1647"/>
      <c r="F88" s="1647"/>
      <c r="G88" s="1648"/>
      <c r="H88" s="1649"/>
      <c r="I88" s="1649"/>
      <c r="J88" s="1649"/>
      <c r="K88" s="1649"/>
      <c r="L88" s="1649"/>
      <c r="M88" s="1649"/>
      <c r="N88" s="1649"/>
      <c r="O88" s="1649"/>
      <c r="P88" s="1649"/>
      <c r="Q88" s="1649"/>
      <c r="R88" s="1649"/>
      <c r="S88" s="1649"/>
    </row>
    <row r="89" spans="1:19" ht="16.5" thickTop="1" thickBot="1"/>
    <row r="90" spans="1:19" ht="16.5" thickTop="1" thickBot="1">
      <c r="A90" s="92" t="s">
        <v>586</v>
      </c>
      <c r="B90" s="94"/>
    </row>
    <row r="91" spans="1:19" ht="15.75" thickTop="1">
      <c r="A91" s="93" t="s">
        <v>487</v>
      </c>
      <c r="B91" s="1650"/>
    </row>
    <row r="92" spans="1:19">
      <c r="A92" s="626" t="s">
        <v>491</v>
      </c>
      <c r="B92" s="1650"/>
    </row>
    <row r="93" spans="1:19">
      <c r="A93" s="1651" t="s">
        <v>494</v>
      </c>
      <c r="B93" s="1652"/>
    </row>
    <row r="94" spans="1:19">
      <c r="A94" s="1651" t="s">
        <v>497</v>
      </c>
      <c r="B94" s="1653"/>
    </row>
    <row r="95" spans="1:19" ht="15.75" thickBot="1">
      <c r="A95" s="1654" t="s">
        <v>587</v>
      </c>
      <c r="B95" s="1655"/>
    </row>
    <row r="96" spans="1:19" ht="15.75" thickTop="1"/>
    <row r="97" spans="1:2">
      <c r="A97" s="95"/>
      <c r="B97" s="1" t="s">
        <v>588</v>
      </c>
    </row>
    <row r="98" spans="1:2">
      <c r="A98" s="96"/>
      <c r="B98"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3:B63"/>
    <mergeCell ref="A67:B67"/>
    <mergeCell ref="A71:B71"/>
    <mergeCell ref="A75:B75"/>
    <mergeCell ref="A79:B79"/>
  </mergeCells>
  <conditionalFormatting sqref="H24:H34">
    <cfRule type="cellIs" dxfId="1211" priority="13" operator="equal">
      <formula>"X"</formula>
    </cfRule>
    <cfRule type="cellIs" dxfId="1210" priority="14" operator="equal">
      <formula>"I"</formula>
    </cfRule>
  </conditionalFormatting>
  <conditionalFormatting sqref="H36:H54">
    <cfRule type="cellIs" dxfId="1209" priority="1" operator="equal">
      <formula>"X"</formula>
    </cfRule>
    <cfRule type="cellIs" dxfId="1208" priority="2" operator="equal">
      <formula>"I"</formula>
    </cfRule>
  </conditionalFormatting>
  <conditionalFormatting sqref="J24:J34">
    <cfRule type="cellIs" dxfId="1207" priority="15" operator="equal">
      <formula>"X"</formula>
    </cfRule>
    <cfRule type="cellIs" dxfId="1206" priority="16" operator="equal">
      <formula>"I"</formula>
    </cfRule>
  </conditionalFormatting>
  <conditionalFormatting sqref="J36:J54">
    <cfRule type="cellIs" dxfId="1205" priority="3" operator="equal">
      <formula>"X"</formula>
    </cfRule>
    <cfRule type="cellIs" dxfId="1204" priority="4" operator="equal">
      <formula>"I"</formula>
    </cfRule>
  </conditionalFormatting>
  <conditionalFormatting sqref="L24:L34">
    <cfRule type="cellIs" dxfId="1203" priority="17" operator="equal">
      <formula>"X"</formula>
    </cfRule>
    <cfRule type="cellIs" dxfId="1202" priority="18" operator="equal">
      <formula>"I"</formula>
    </cfRule>
  </conditionalFormatting>
  <conditionalFormatting sqref="L36:L54">
    <cfRule type="cellIs" dxfId="1201" priority="5" operator="equal">
      <formula>"X"</formula>
    </cfRule>
    <cfRule type="cellIs" dxfId="1200" priority="6" operator="equal">
      <formula>"I"</formula>
    </cfRule>
  </conditionalFormatting>
  <conditionalFormatting sqref="N24:N34">
    <cfRule type="cellIs" dxfId="1199" priority="19" operator="equal">
      <formula>"X"</formula>
    </cfRule>
    <cfRule type="cellIs" dxfId="1198" priority="20" operator="equal">
      <formula>"I"</formula>
    </cfRule>
  </conditionalFormatting>
  <conditionalFormatting sqref="N36:N54">
    <cfRule type="cellIs" dxfId="1197" priority="7" operator="equal">
      <formula>"X"</formula>
    </cfRule>
    <cfRule type="cellIs" dxfId="1196" priority="8" operator="equal">
      <formula>"I"</formula>
    </cfRule>
  </conditionalFormatting>
  <conditionalFormatting sqref="P24:P34">
    <cfRule type="cellIs" dxfId="1195" priority="21" operator="equal">
      <formula>"X"</formula>
    </cfRule>
    <cfRule type="cellIs" dxfId="1194" priority="22" operator="equal">
      <formula>"I"</formula>
    </cfRule>
  </conditionalFormatting>
  <conditionalFormatting sqref="P36:P54">
    <cfRule type="cellIs" dxfId="1193" priority="9" operator="equal">
      <formula>"X"</formula>
    </cfRule>
    <cfRule type="cellIs" dxfId="1192" priority="10" operator="equal">
      <formula>"I"</formula>
    </cfRule>
  </conditionalFormatting>
  <conditionalFormatting sqref="R24:R34">
    <cfRule type="cellIs" dxfId="1191" priority="23" operator="equal">
      <formula>"X"</formula>
    </cfRule>
    <cfRule type="cellIs" dxfId="1190" priority="24" operator="equal">
      <formula>"I"</formula>
    </cfRule>
  </conditionalFormatting>
  <conditionalFormatting sqref="R36:R54">
    <cfRule type="cellIs" dxfId="1189" priority="11" operator="equal">
      <formula>"X"</formula>
    </cfRule>
    <cfRule type="cellIs" dxfId="1188" priority="12" operator="equal">
      <formula>"I"</formula>
    </cfRule>
  </conditionalFormatting>
  <hyperlinks>
    <hyperlink ref="B3" location="'Cost Summary'!A1" display="BACK TO SUMMARY SHEET" xr:uid="{A1803A85-E256-42F9-95CB-E43F052623D6}"/>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059D-33B9-45FE-8DD1-83F95E0A4806}">
  <sheetPr>
    <tabColor rgb="FF92D050"/>
  </sheetPr>
  <dimension ref="A1:S96"/>
  <sheetViews>
    <sheetView zoomScale="96" zoomScaleNormal="96" workbookViewId="0">
      <pane xSplit="2" ySplit="9" topLeftCell="C30" activePane="bottomRight" state="frozen"/>
      <selection pane="bottomRight" activeCell="F42" sqref="F42"/>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66"/>
      <c r="M2" s="766"/>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619</v>
      </c>
      <c r="C5" s="1124"/>
      <c r="D5" s="1124"/>
      <c r="E5" s="1124"/>
      <c r="F5" s="1124"/>
      <c r="G5" s="1125" t="s">
        <v>491</v>
      </c>
      <c r="H5" s="778"/>
      <c r="I5" s="1126"/>
      <c r="J5" s="778"/>
      <c r="K5" s="1126"/>
      <c r="L5" s="1913"/>
      <c r="M5" s="1914"/>
      <c r="N5" s="1913"/>
      <c r="O5" s="1914"/>
      <c r="P5" s="1913"/>
      <c r="Q5" s="1914"/>
      <c r="R5" s="1913"/>
      <c r="S5" s="1914"/>
    </row>
    <row r="6" spans="1:19">
      <c r="A6" s="627" t="s">
        <v>493</v>
      </c>
      <c r="B6" s="1127" t="s">
        <v>618</v>
      </c>
      <c r="C6" s="1124"/>
      <c r="D6" s="1124"/>
      <c r="E6" s="1124"/>
      <c r="F6" s="1124"/>
      <c r="G6" s="1125" t="s">
        <v>494</v>
      </c>
      <c r="H6" s="776"/>
      <c r="I6" s="1129"/>
      <c r="J6" s="776"/>
      <c r="K6" s="1129"/>
      <c r="L6" s="767"/>
      <c r="M6" s="768"/>
      <c r="N6" s="767"/>
      <c r="O6" s="768"/>
      <c r="P6" s="767"/>
      <c r="Q6" s="768"/>
      <c r="R6" s="767"/>
      <c r="S6" s="768"/>
    </row>
    <row r="7" spans="1:19">
      <c r="A7" s="627" t="s">
        <v>496</v>
      </c>
      <c r="B7" s="1130"/>
      <c r="C7" s="1124"/>
      <c r="D7" s="1124"/>
      <c r="E7" s="1124"/>
      <c r="F7" s="1124"/>
      <c r="G7" s="299" t="s">
        <v>497</v>
      </c>
      <c r="H7" s="764"/>
      <c r="I7" s="765"/>
      <c r="J7" s="764"/>
      <c r="K7" s="765"/>
      <c r="L7" s="751"/>
      <c r="M7" s="753"/>
      <c r="N7" s="751"/>
      <c r="O7" s="753"/>
      <c r="P7" s="751"/>
      <c r="Q7" s="753"/>
      <c r="R7" s="769"/>
      <c r="S7" s="753"/>
    </row>
    <row r="8" spans="1:19" ht="15.75" thickBot="1">
      <c r="A8" s="414" t="s">
        <v>499</v>
      </c>
      <c r="B8" s="295"/>
      <c r="C8" s="184"/>
      <c r="D8" s="184"/>
      <c r="E8" s="184"/>
      <c r="F8" s="184"/>
      <c r="G8" s="419" t="s">
        <v>499</v>
      </c>
      <c r="H8" s="1724">
        <f>I57</f>
        <v>226791.94999999998</v>
      </c>
      <c r="I8" s="1725"/>
      <c r="J8" s="1724">
        <f>K57</f>
        <v>0</v>
      </c>
      <c r="K8" s="1725"/>
      <c r="L8" s="1724">
        <f>M57</f>
        <v>0</v>
      </c>
      <c r="M8" s="1725"/>
      <c r="N8" s="1724">
        <f>O57</f>
        <v>0</v>
      </c>
      <c r="O8" s="1725"/>
      <c r="P8" s="1724">
        <f>Q57</f>
        <v>0</v>
      </c>
      <c r="Q8" s="1725"/>
      <c r="R8" s="1724">
        <f>S57</f>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915" t="s">
        <v>508</v>
      </c>
      <c r="C10" s="1124"/>
      <c r="D10" s="1124"/>
      <c r="E10" s="1124"/>
      <c r="F10" s="1124"/>
      <c r="G10" s="1133"/>
      <c r="H10" s="1726"/>
      <c r="I10" s="1726"/>
      <c r="J10" s="1726"/>
      <c r="K10" s="1726"/>
      <c r="L10" s="1726"/>
      <c r="M10" s="1726"/>
      <c r="N10" s="1726"/>
      <c r="O10" s="1726"/>
      <c r="P10" s="1726"/>
      <c r="Q10" s="1726"/>
      <c r="R10" s="1726"/>
      <c r="S10" s="1726"/>
    </row>
    <row r="11" spans="1:19" ht="15.75" hidden="1" thickTop="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t="15.75" hidden="1" thickTop="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t="15.75" hidden="1" thickTop="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t="15.75" hidden="1" thickTop="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t="15.75" hidden="1" thickTop="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t="15.75" hidden="1" thickTop="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t="15.75" hidden="1" thickTop="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t="15.75" hidden="1" thickTop="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t="15.75" hidden="1" thickTop="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t="15.75" thickTop="1">
      <c r="A20" s="628"/>
      <c r="B20" s="862"/>
      <c r="C20" s="1134"/>
      <c r="D20" s="1124"/>
      <c r="E20" s="1124"/>
      <c r="F20" s="1124"/>
      <c r="G20" s="1133"/>
      <c r="H20" s="1678"/>
      <c r="I20" s="1726"/>
      <c r="J20" s="1678"/>
      <c r="K20" s="1726"/>
      <c r="L20" s="1678"/>
      <c r="M20" s="1726"/>
      <c r="N20" s="1678"/>
      <c r="O20" s="1726"/>
      <c r="P20" s="1678"/>
      <c r="Q20" s="1726"/>
      <c r="R20" s="1678"/>
      <c r="S20" s="1726"/>
    </row>
    <row r="21" spans="1:19" ht="15.75" thickBot="1">
      <c r="A21" s="628"/>
      <c r="B21" s="1136" t="s">
        <v>619</v>
      </c>
      <c r="C21" s="1134"/>
      <c r="D21" s="1124"/>
      <c r="E21" s="1124"/>
      <c r="F21" s="1124"/>
      <c r="G21" s="1133"/>
      <c r="H21" s="1678"/>
      <c r="I21" s="1726"/>
      <c r="J21" s="1678"/>
      <c r="K21" s="1726"/>
      <c r="L21" s="1678"/>
      <c r="M21" s="1726"/>
      <c r="N21" s="1678"/>
      <c r="O21" s="1726"/>
      <c r="P21" s="1678"/>
      <c r="Q21" s="1726"/>
      <c r="R21" s="1678"/>
      <c r="S21" s="1726"/>
    </row>
    <row r="22" spans="1:19" ht="15.75" thickBot="1">
      <c r="A22" s="1306"/>
      <c r="B22" s="374" t="s">
        <v>512</v>
      </c>
      <c r="C22" s="1134"/>
      <c r="D22" s="1124"/>
      <c r="E22" s="1124"/>
      <c r="F22" s="1124"/>
      <c r="G22" s="1133"/>
      <c r="H22" s="1678"/>
      <c r="I22" s="1916"/>
      <c r="J22" s="1678"/>
      <c r="K22" s="1916"/>
      <c r="L22" s="1678"/>
      <c r="M22" s="1305"/>
      <c r="N22" s="1678"/>
      <c r="O22" s="1305"/>
      <c r="P22" s="1678"/>
      <c r="Q22" s="1305"/>
      <c r="R22" s="1678"/>
      <c r="S22" s="1305"/>
    </row>
    <row r="23" spans="1:19">
      <c r="A23" s="1306"/>
      <c r="B23" s="647" t="s">
        <v>513</v>
      </c>
      <c r="C23" s="1859"/>
      <c r="D23" s="1124"/>
      <c r="E23" s="1124"/>
      <c r="F23" s="1124"/>
      <c r="G23" s="1133"/>
      <c r="H23" s="1678"/>
      <c r="I23" s="1304"/>
      <c r="J23" s="1678"/>
      <c r="K23" s="1916"/>
      <c r="L23" s="1678"/>
      <c r="M23" s="1644"/>
      <c r="N23" s="1678"/>
      <c r="O23" s="1305"/>
      <c r="P23" s="1678"/>
      <c r="Q23" s="1304"/>
      <c r="R23" s="1678"/>
      <c r="S23" s="1305"/>
    </row>
    <row r="24" spans="1:19">
      <c r="A24" s="1306"/>
      <c r="B24" s="1290" t="s">
        <v>514</v>
      </c>
      <c r="C24" s="1859"/>
      <c r="D24" s="1124"/>
      <c r="E24" s="1124"/>
      <c r="F24" s="1124"/>
      <c r="G24" s="1133"/>
      <c r="H24" s="1678"/>
      <c r="I24" s="1916"/>
      <c r="J24" s="1678"/>
      <c r="K24" s="1916"/>
      <c r="L24" s="1678"/>
      <c r="M24" s="1644"/>
      <c r="N24" s="1678"/>
      <c r="O24" s="1305"/>
      <c r="P24" s="1678"/>
      <c r="Q24" s="1304"/>
      <c r="R24" s="1678"/>
      <c r="S24" s="1305"/>
    </row>
    <row r="25" spans="1:19">
      <c r="A25" s="623"/>
      <c r="B25" s="1291" t="s">
        <v>515</v>
      </c>
      <c r="C25" s="1859"/>
      <c r="D25" s="1124"/>
      <c r="E25" s="1124"/>
      <c r="F25" s="1124"/>
      <c r="G25" s="1133"/>
      <c r="H25" s="1678"/>
      <c r="I25" s="1916"/>
      <c r="J25" s="1678"/>
      <c r="K25" s="426"/>
      <c r="L25" s="1678"/>
      <c r="M25" s="1644"/>
      <c r="N25" s="1678"/>
      <c r="O25" s="1305"/>
      <c r="P25" s="1678"/>
      <c r="Q25" s="1304"/>
      <c r="R25" s="1678"/>
      <c r="S25" s="1305"/>
    </row>
    <row r="26" spans="1:19">
      <c r="A26" s="623"/>
      <c r="B26" s="1291" t="s">
        <v>516</v>
      </c>
      <c r="C26" s="1859"/>
      <c r="D26" s="1124"/>
      <c r="E26" s="1124"/>
      <c r="F26" s="1124"/>
      <c r="G26" s="1133"/>
      <c r="H26" s="1678"/>
      <c r="I26" s="1916"/>
      <c r="J26" s="1678"/>
      <c r="K26" s="1644"/>
      <c r="L26" s="1678"/>
      <c r="M26" s="1644"/>
      <c r="N26" s="1678"/>
      <c r="O26" s="1305"/>
      <c r="P26" s="1678"/>
      <c r="Q26" s="1304"/>
      <c r="R26" s="1678"/>
      <c r="S26" s="1305"/>
    </row>
    <row r="27" spans="1:19">
      <c r="A27" s="1306"/>
      <c r="B27" s="1291" t="s">
        <v>517</v>
      </c>
      <c r="C27" s="1917"/>
      <c r="D27" s="1124"/>
      <c r="E27" s="1124"/>
      <c r="F27" s="1124"/>
      <c r="G27" s="1133"/>
      <c r="H27" s="1678"/>
      <c r="I27" s="1916"/>
      <c r="J27" s="1678"/>
      <c r="K27" s="1644"/>
      <c r="L27" s="1678"/>
      <c r="M27" s="1644"/>
      <c r="N27" s="1678"/>
      <c r="O27" s="1304"/>
      <c r="P27" s="1678"/>
      <c r="Q27" s="1304"/>
      <c r="R27" s="1678"/>
      <c r="S27" s="1305"/>
    </row>
    <row r="28" spans="1:19">
      <c r="A28" s="1306"/>
      <c r="B28" s="1291" t="s">
        <v>518</v>
      </c>
      <c r="C28" s="1917"/>
      <c r="D28" s="1124"/>
      <c r="E28" s="1124"/>
      <c r="F28" s="1124"/>
      <c r="G28" s="1133"/>
      <c r="H28" s="1678"/>
      <c r="I28" s="1304"/>
      <c r="J28" s="1678"/>
      <c r="K28" s="1644"/>
      <c r="L28" s="1678"/>
      <c r="M28" s="1644"/>
      <c r="N28" s="1678"/>
      <c r="O28" s="1304"/>
      <c r="P28" s="1678"/>
      <c r="Q28" s="1304"/>
      <c r="R28" s="1678"/>
      <c r="S28" s="1305"/>
    </row>
    <row r="29" spans="1:19">
      <c r="A29" s="1306"/>
      <c r="B29" s="1291" t="s">
        <v>693</v>
      </c>
      <c r="C29" s="1917"/>
      <c r="D29" s="1124"/>
      <c r="E29" s="1124"/>
      <c r="F29" s="1124"/>
      <c r="G29" s="1133"/>
      <c r="H29" s="1678"/>
      <c r="I29" s="1304"/>
      <c r="J29" s="1678"/>
      <c r="K29" s="1305"/>
      <c r="L29" s="1678"/>
      <c r="M29" s="1305"/>
      <c r="N29" s="1678"/>
      <c r="O29" s="1304"/>
      <c r="P29" s="1678"/>
      <c r="Q29" s="1304"/>
      <c r="R29" s="1678"/>
      <c r="S29" s="1305"/>
    </row>
    <row r="30" spans="1:19">
      <c r="A30" s="1306"/>
      <c r="B30" s="1294" t="s">
        <v>519</v>
      </c>
      <c r="C30" s="1917"/>
      <c r="D30" s="1124"/>
      <c r="E30" s="1124"/>
      <c r="F30" s="1124"/>
      <c r="G30" s="1133"/>
      <c r="H30" s="1678"/>
      <c r="I30" s="1304"/>
      <c r="J30" s="1678"/>
      <c r="K30" s="1304"/>
      <c r="L30" s="1678"/>
      <c r="M30" s="1304"/>
      <c r="N30" s="1678"/>
      <c r="O30" s="1304"/>
      <c r="P30" s="1678"/>
      <c r="Q30" s="1304"/>
      <c r="R30" s="1678"/>
      <c r="S30" s="1305"/>
    </row>
    <row r="31" spans="1:19">
      <c r="A31" s="1306"/>
      <c r="B31" s="1295" t="s">
        <v>520</v>
      </c>
      <c r="C31" s="1918"/>
      <c r="D31" s="1145"/>
      <c r="E31" s="1145"/>
      <c r="F31" s="1145"/>
      <c r="G31" s="1147"/>
      <c r="H31" s="1919"/>
      <c r="I31" s="1920"/>
      <c r="J31" s="1727"/>
      <c r="K31" s="1920"/>
      <c r="L31" s="1727"/>
      <c r="M31" s="1920"/>
      <c r="N31" s="1727"/>
      <c r="O31" s="1920"/>
      <c r="P31" s="1727"/>
      <c r="Q31" s="1920"/>
      <c r="R31" s="1149"/>
      <c r="S31" s="1149"/>
    </row>
    <row r="32" spans="1:19">
      <c r="A32" s="1306"/>
      <c r="B32" s="1921" t="s">
        <v>748</v>
      </c>
      <c r="C32" s="1917"/>
      <c r="D32" s="1124"/>
      <c r="E32" s="1124"/>
      <c r="F32" s="1124"/>
      <c r="G32" s="1133"/>
      <c r="H32" s="1678"/>
      <c r="I32" s="1304"/>
      <c r="J32" s="1678"/>
      <c r="K32" s="1304"/>
      <c r="L32" s="1678"/>
      <c r="M32" s="1304"/>
      <c r="N32" s="1678"/>
      <c r="O32" s="1304"/>
      <c r="P32" s="1678"/>
      <c r="Q32" s="1304"/>
      <c r="R32" s="1678"/>
      <c r="S32" s="1305"/>
    </row>
    <row r="33" spans="1:19">
      <c r="A33" s="1306"/>
      <c r="B33" s="1921"/>
      <c r="C33" s="1917"/>
      <c r="D33" s="1124"/>
      <c r="E33" s="1124"/>
      <c r="F33" s="1124"/>
      <c r="G33" s="1133"/>
      <c r="H33" s="1678"/>
      <c r="I33" s="1304"/>
      <c r="J33" s="1678"/>
      <c r="K33" s="1304"/>
      <c r="L33" s="1678"/>
      <c r="M33" s="1304"/>
      <c r="N33" s="1678"/>
      <c r="O33" s="1304"/>
      <c r="P33" s="1678"/>
      <c r="Q33" s="1304"/>
      <c r="R33" s="1678"/>
      <c r="S33" s="1305"/>
    </row>
    <row r="34" spans="1:19">
      <c r="A34" s="1306"/>
      <c r="B34" s="1611" t="s">
        <v>694</v>
      </c>
      <c r="C34" s="1216"/>
      <c r="D34" s="1216"/>
      <c r="E34" s="1216"/>
      <c r="F34" s="1216"/>
      <c r="G34" s="1218"/>
      <c r="H34" s="1922"/>
      <c r="I34" s="1923"/>
      <c r="J34" s="1922"/>
      <c r="K34" s="1923"/>
      <c r="L34" s="1922"/>
      <c r="M34" s="1923"/>
      <c r="N34" s="1922"/>
      <c r="O34" s="1924"/>
      <c r="P34" s="1922"/>
      <c r="Q34" s="1924"/>
      <c r="R34" s="1922"/>
      <c r="S34" s="1924"/>
    </row>
    <row r="35" spans="1:19">
      <c r="A35" s="1306"/>
      <c r="B35" s="1610"/>
      <c r="C35" s="1124"/>
      <c r="D35" s="1124"/>
      <c r="E35" s="1124"/>
      <c r="F35" s="1124"/>
      <c r="G35" s="1133"/>
      <c r="H35" s="1678"/>
      <c r="I35" s="1304"/>
      <c r="J35" s="1678"/>
      <c r="K35" s="1304"/>
      <c r="L35" s="1678"/>
      <c r="M35" s="1304"/>
      <c r="N35" s="1678"/>
      <c r="O35" s="1305"/>
      <c r="P35" s="1678"/>
      <c r="Q35" s="1305"/>
      <c r="R35" s="1678"/>
      <c r="S35" s="1305"/>
    </row>
    <row r="36" spans="1:19">
      <c r="A36" s="1306"/>
      <c r="B36" s="1612" t="s">
        <v>695</v>
      </c>
      <c r="C36" s="1223"/>
      <c r="D36" s="1223"/>
      <c r="E36" s="1223"/>
      <c r="F36" s="1223"/>
      <c r="G36" s="1225"/>
      <c r="H36" s="1925"/>
      <c r="I36" s="1926"/>
      <c r="J36" s="1925"/>
      <c r="K36" s="1926"/>
      <c r="L36" s="1925"/>
      <c r="M36" s="1926"/>
      <c r="N36" s="1925"/>
      <c r="O36" s="1927"/>
      <c r="P36" s="1925"/>
      <c r="Q36" s="1927"/>
      <c r="R36" s="1925"/>
      <c r="S36" s="1927"/>
    </row>
    <row r="37" spans="1:19">
      <c r="A37" s="1306"/>
      <c r="B37" s="1610"/>
      <c r="C37" s="1124"/>
      <c r="D37" s="1124"/>
      <c r="E37" s="1124"/>
      <c r="F37" s="1124"/>
      <c r="G37" s="1133"/>
      <c r="H37" s="1678"/>
      <c r="I37" s="1304"/>
      <c r="J37" s="1678"/>
      <c r="K37" s="1304"/>
      <c r="L37" s="1678"/>
      <c r="M37" s="1304"/>
      <c r="N37" s="1678"/>
      <c r="O37" s="1305"/>
      <c r="P37" s="1678"/>
      <c r="Q37" s="1305"/>
      <c r="R37" s="1678"/>
      <c r="S37" s="1305"/>
    </row>
    <row r="38" spans="1:19">
      <c r="A38" s="1306"/>
      <c r="B38" s="1611" t="s">
        <v>649</v>
      </c>
      <c r="C38" s="1216"/>
      <c r="D38" s="1216"/>
      <c r="E38" s="1216"/>
      <c r="F38" s="1216"/>
      <c r="G38" s="1218"/>
      <c r="H38" s="1922"/>
      <c r="I38" s="1923"/>
      <c r="J38" s="1922"/>
      <c r="K38" s="1923"/>
      <c r="L38" s="1922"/>
      <c r="M38" s="1923"/>
      <c r="N38" s="1922"/>
      <c r="O38" s="1924"/>
      <c r="P38" s="1922"/>
      <c r="Q38" s="1924"/>
      <c r="R38" s="1922"/>
      <c r="S38" s="1924"/>
    </row>
    <row r="39" spans="1:19">
      <c r="A39" s="1306"/>
      <c r="B39" s="1610"/>
      <c r="C39" s="1124"/>
      <c r="D39" s="1124"/>
      <c r="E39" s="1124"/>
      <c r="F39" s="1124"/>
      <c r="G39" s="1133"/>
      <c r="H39" s="1678"/>
      <c r="I39" s="1304"/>
      <c r="J39" s="1678"/>
      <c r="K39" s="1304"/>
      <c r="L39" s="1678"/>
      <c r="M39" s="1304"/>
      <c r="N39" s="1678"/>
      <c r="O39" s="1305"/>
      <c r="P39" s="1678"/>
      <c r="Q39" s="1305"/>
      <c r="R39" s="1678"/>
      <c r="S39" s="1305"/>
    </row>
    <row r="40" spans="1:19">
      <c r="A40" s="1306"/>
      <c r="B40" s="1612" t="s">
        <v>700</v>
      </c>
      <c r="C40" s="1223"/>
      <c r="D40" s="1223"/>
      <c r="E40" s="1223"/>
      <c r="F40" s="1223"/>
      <c r="G40" s="1225"/>
      <c r="H40" s="1925"/>
      <c r="I40" s="1926"/>
      <c r="J40" s="1925"/>
      <c r="K40" s="1926"/>
      <c r="L40" s="1925"/>
      <c r="M40" s="1926"/>
      <c r="N40" s="1925"/>
      <c r="O40" s="1927"/>
      <c r="P40" s="1925"/>
      <c r="Q40" s="1927"/>
      <c r="R40" s="1925"/>
      <c r="S40" s="1927"/>
    </row>
    <row r="41" spans="1:19">
      <c r="A41" s="1306"/>
      <c r="B41" s="1928" t="s">
        <v>931</v>
      </c>
      <c r="C41" s="1124" t="s">
        <v>826</v>
      </c>
      <c r="D41" s="1124">
        <f>6305-2181.51</f>
        <v>4123.49</v>
      </c>
      <c r="E41" s="1124" t="s">
        <v>723</v>
      </c>
      <c r="F41" s="1124">
        <v>55</v>
      </c>
      <c r="G41" s="1229">
        <f>D41*F41</f>
        <v>226791.94999999998</v>
      </c>
      <c r="H41" s="1678"/>
      <c r="I41" s="1305">
        <f>G41</f>
        <v>226791.94999999998</v>
      </c>
      <c r="J41" s="1678"/>
      <c r="K41" s="1304"/>
      <c r="L41" s="1678"/>
      <c r="M41" s="1304"/>
      <c r="N41" s="1678"/>
      <c r="O41" s="1305"/>
      <c r="P41" s="1678"/>
      <c r="Q41" s="1305"/>
      <c r="R41" s="1678"/>
      <c r="S41" s="1305"/>
    </row>
    <row r="42" spans="1:19">
      <c r="A42" s="1306"/>
      <c r="B42" s="1610"/>
      <c r="C42" s="1124"/>
      <c r="D42" s="1124"/>
      <c r="E42" s="1124"/>
      <c r="F42" s="1124"/>
      <c r="G42" s="1133"/>
      <c r="H42" s="1678"/>
      <c r="I42" s="1304"/>
      <c r="J42" s="1678"/>
      <c r="K42" s="1304"/>
      <c r="L42" s="1678"/>
      <c r="M42" s="1304"/>
      <c r="N42" s="1678"/>
      <c r="O42" s="1305"/>
      <c r="P42" s="1678"/>
      <c r="Q42" s="1305"/>
      <c r="R42" s="1678"/>
      <c r="S42" s="1305"/>
    </row>
    <row r="43" spans="1:19">
      <c r="A43" s="1306"/>
      <c r="B43" s="1611" t="s">
        <v>703</v>
      </c>
      <c r="C43" s="1216"/>
      <c r="D43" s="1216"/>
      <c r="E43" s="1216"/>
      <c r="F43" s="1216"/>
      <c r="G43" s="1218"/>
      <c r="H43" s="1922"/>
      <c r="I43" s="1923"/>
      <c r="J43" s="1922"/>
      <c r="K43" s="1923"/>
      <c r="L43" s="1922"/>
      <c r="M43" s="1923"/>
      <c r="N43" s="1922"/>
      <c r="O43" s="1924"/>
      <c r="P43" s="1922"/>
      <c r="Q43" s="1924"/>
      <c r="R43" s="1922"/>
      <c r="S43" s="1924"/>
    </row>
    <row r="44" spans="1:19">
      <c r="A44" s="1306"/>
      <c r="B44" s="1610"/>
      <c r="C44" s="1124"/>
      <c r="D44" s="1124"/>
      <c r="E44" s="1124"/>
      <c r="F44" s="1124"/>
      <c r="G44" s="1133"/>
      <c r="H44" s="1678"/>
      <c r="I44" s="1304"/>
      <c r="J44" s="1678"/>
      <c r="K44" s="1304"/>
      <c r="L44" s="1678"/>
      <c r="M44" s="1304"/>
      <c r="N44" s="1678"/>
      <c r="O44" s="1305"/>
      <c r="P44" s="1678"/>
      <c r="Q44" s="1305"/>
      <c r="R44" s="1678"/>
      <c r="S44" s="1305"/>
    </row>
    <row r="45" spans="1:19">
      <c r="A45" s="1306"/>
      <c r="B45" s="1612" t="s">
        <v>704</v>
      </c>
      <c r="C45" s="1223"/>
      <c r="D45" s="1223"/>
      <c r="E45" s="1223"/>
      <c r="F45" s="1223"/>
      <c r="G45" s="1225"/>
      <c r="H45" s="1925"/>
      <c r="I45" s="1926"/>
      <c r="J45" s="1925"/>
      <c r="K45" s="1926"/>
      <c r="L45" s="1925"/>
      <c r="M45" s="1926"/>
      <c r="N45" s="1925"/>
      <c r="O45" s="1927"/>
      <c r="P45" s="1925"/>
      <c r="Q45" s="1927"/>
      <c r="R45" s="1925"/>
      <c r="S45" s="1927"/>
    </row>
    <row r="46" spans="1:19">
      <c r="A46" s="1306"/>
      <c r="B46" s="1610"/>
      <c r="C46" s="1124"/>
      <c r="D46" s="1124"/>
      <c r="E46" s="1124"/>
      <c r="F46" s="1124"/>
      <c r="G46" s="1133"/>
      <c r="H46" s="1678"/>
      <c r="I46" s="1304"/>
      <c r="J46" s="1678"/>
      <c r="K46" s="1304"/>
      <c r="L46" s="1678"/>
      <c r="M46" s="1304"/>
      <c r="N46" s="1678"/>
      <c r="O46" s="1305"/>
      <c r="P46" s="1678"/>
      <c r="Q46" s="1305"/>
      <c r="R46" s="1678"/>
      <c r="S46" s="1305"/>
    </row>
    <row r="47" spans="1:19">
      <c r="A47" s="1306"/>
      <c r="B47" s="1611" t="s">
        <v>705</v>
      </c>
      <c r="C47" s="1216"/>
      <c r="D47" s="1216"/>
      <c r="E47" s="1216"/>
      <c r="F47" s="1216"/>
      <c r="G47" s="1218"/>
      <c r="H47" s="1922"/>
      <c r="I47" s="1923"/>
      <c r="J47" s="1922"/>
      <c r="K47" s="1923"/>
      <c r="L47" s="1922"/>
      <c r="M47" s="1923"/>
      <c r="N47" s="1922"/>
      <c r="O47" s="1924"/>
      <c r="P47" s="1922"/>
      <c r="Q47" s="1924"/>
      <c r="R47" s="1922"/>
      <c r="S47" s="1924"/>
    </row>
    <row r="48" spans="1:19">
      <c r="A48" s="1306"/>
      <c r="B48" s="1610"/>
      <c r="C48" s="1124"/>
      <c r="D48" s="1124"/>
      <c r="E48" s="1124"/>
      <c r="F48" s="1124"/>
      <c r="G48" s="1133"/>
      <c r="H48" s="1678"/>
      <c r="I48" s="1304"/>
      <c r="J48" s="1678"/>
      <c r="K48" s="1304"/>
      <c r="L48" s="1678"/>
      <c r="M48" s="1304"/>
      <c r="N48" s="1678"/>
      <c r="O48" s="1305"/>
      <c r="P48" s="1678"/>
      <c r="Q48" s="1305"/>
      <c r="R48" s="1678"/>
      <c r="S48" s="1305"/>
    </row>
    <row r="49" spans="1:19">
      <c r="A49" s="1306"/>
      <c r="B49" s="1612" t="s">
        <v>602</v>
      </c>
      <c r="C49" s="1223"/>
      <c r="D49" s="1223"/>
      <c r="E49" s="1223"/>
      <c r="F49" s="1223"/>
      <c r="G49" s="1225"/>
      <c r="H49" s="1925"/>
      <c r="I49" s="1926"/>
      <c r="J49" s="1925"/>
      <c r="K49" s="1926"/>
      <c r="L49" s="1925"/>
      <c r="M49" s="1926"/>
      <c r="N49" s="1925"/>
      <c r="O49" s="1927"/>
      <c r="P49" s="1925"/>
      <c r="Q49" s="1927"/>
      <c r="R49" s="1925"/>
      <c r="S49" s="1927"/>
    </row>
    <row r="50" spans="1:19">
      <c r="A50" s="623"/>
      <c r="B50" s="1921"/>
      <c r="C50" s="1917"/>
      <c r="D50" s="1124"/>
      <c r="E50" s="1124"/>
      <c r="F50" s="1124"/>
      <c r="G50" s="1133"/>
      <c r="H50" s="1678"/>
      <c r="I50" s="1916"/>
      <c r="J50" s="1678"/>
      <c r="K50" s="1916"/>
      <c r="L50" s="1678"/>
      <c r="M50" s="1305"/>
      <c r="N50" s="1678"/>
      <c r="O50" s="1304"/>
      <c r="P50" s="1678"/>
      <c r="Q50" s="1304"/>
      <c r="R50" s="1678"/>
      <c r="S50" s="1305"/>
    </row>
    <row r="51" spans="1:19">
      <c r="A51" s="1306"/>
      <c r="B51" s="1921"/>
      <c r="C51" s="1134"/>
      <c r="D51" s="1124"/>
      <c r="E51" s="1124"/>
      <c r="F51" s="1124"/>
      <c r="G51" s="1133"/>
      <c r="H51" s="1678"/>
      <c r="I51" s="1916"/>
      <c r="J51" s="1678"/>
      <c r="K51" s="1916"/>
      <c r="L51" s="1678"/>
      <c r="M51" s="1305"/>
      <c r="N51" s="1678"/>
      <c r="O51" s="1305"/>
      <c r="P51" s="1678"/>
      <c r="Q51" s="1305"/>
      <c r="R51" s="1678"/>
      <c r="S51" s="1305"/>
    </row>
    <row r="52" spans="1:19">
      <c r="A52" s="623"/>
      <c r="B52" s="1921"/>
      <c r="C52" s="1134"/>
      <c r="D52" s="1124"/>
      <c r="E52" s="1124"/>
      <c r="F52" s="1124"/>
      <c r="G52" s="1133"/>
      <c r="H52" s="1678"/>
      <c r="I52" s="1916"/>
      <c r="J52" s="1678"/>
      <c r="K52" s="1916"/>
      <c r="L52" s="1678"/>
      <c r="M52" s="1305"/>
      <c r="N52" s="1678"/>
      <c r="O52" s="1305"/>
      <c r="P52" s="1678"/>
      <c r="Q52" s="1305"/>
      <c r="R52" s="1678"/>
      <c r="S52" s="1305"/>
    </row>
    <row r="53" spans="1:19" ht="15.75" thickTop="1">
      <c r="A53" s="14"/>
      <c r="B53" s="15"/>
      <c r="C53" s="16"/>
      <c r="D53" s="16"/>
      <c r="E53" s="17"/>
      <c r="F53" s="18" t="s">
        <v>567</v>
      </c>
      <c r="G53" s="19"/>
      <c r="H53" s="20"/>
      <c r="I53" s="61">
        <f>SUM(I23:I52)</f>
        <v>226791.94999999998</v>
      </c>
      <c r="J53" s="20"/>
      <c r="K53" s="61">
        <f>SUM(K23:K52)</f>
        <v>0</v>
      </c>
      <c r="L53" s="20"/>
      <c r="M53" s="61">
        <f>SUM(M23:M52)</f>
        <v>0</v>
      </c>
      <c r="N53" s="20"/>
      <c r="O53" s="61">
        <f>SUM(O23:O52)</f>
        <v>0</v>
      </c>
      <c r="P53" s="20"/>
      <c r="Q53" s="61">
        <f>SUM(Q23:Q52)</f>
        <v>0</v>
      </c>
      <c r="R53" s="20"/>
      <c r="S53" s="61">
        <f>SUM(S23:S52)</f>
        <v>0</v>
      </c>
    </row>
    <row r="54" spans="1:19">
      <c r="A54" s="624"/>
      <c r="B54" s="1156"/>
      <c r="C54" s="1157"/>
      <c r="D54" s="1157"/>
      <c r="E54" s="1158"/>
      <c r="F54" s="1159" t="s">
        <v>568</v>
      </c>
      <c r="G54" s="1160"/>
      <c r="H54" s="1627">
        <v>0</v>
      </c>
      <c r="I54" s="415"/>
      <c r="J54" s="427">
        <v>0</v>
      </c>
      <c r="K54" s="415"/>
      <c r="L54" s="427">
        <v>0</v>
      </c>
      <c r="M54" s="415"/>
      <c r="N54" s="427">
        <v>0</v>
      </c>
      <c r="O54" s="415"/>
      <c r="P54" s="427">
        <v>0</v>
      </c>
      <c r="Q54" s="415"/>
      <c r="R54" s="427">
        <v>0</v>
      </c>
      <c r="S54" s="415"/>
    </row>
    <row r="55" spans="1:19">
      <c r="A55" s="624"/>
      <c r="B55" s="1156"/>
      <c r="C55" s="1157"/>
      <c r="D55" s="1157"/>
      <c r="E55" s="1158"/>
      <c r="F55" s="1159" t="s">
        <v>569</v>
      </c>
      <c r="G55" s="1160"/>
      <c r="H55" s="1629"/>
      <c r="I55" s="1632">
        <f>I53*H54</f>
        <v>0</v>
      </c>
      <c r="J55" s="1629"/>
      <c r="K55" s="1632">
        <f>K53*J54</f>
        <v>0</v>
      </c>
      <c r="L55" s="1629"/>
      <c r="M55" s="1632">
        <f>M53*L54</f>
        <v>0</v>
      </c>
      <c r="N55" s="1629"/>
      <c r="O55" s="1632">
        <f>O53*N54</f>
        <v>0</v>
      </c>
      <c r="P55" s="1629"/>
      <c r="Q55" s="1632">
        <f>Q53*P54</f>
        <v>0</v>
      </c>
      <c r="R55" s="1629"/>
      <c r="S55" s="1632">
        <f>S53*R54</f>
        <v>0</v>
      </c>
    </row>
    <row r="56" spans="1:19">
      <c r="A56" s="624"/>
      <c r="B56" s="1156"/>
      <c r="C56" s="1157"/>
      <c r="D56" s="1157"/>
      <c r="E56" s="1158"/>
      <c r="F56" s="1159"/>
      <c r="G56" s="1160"/>
      <c r="H56" s="1629"/>
      <c r="I56" s="1633"/>
      <c r="J56" s="1629"/>
      <c r="K56" s="1633"/>
      <c r="L56" s="1629"/>
      <c r="M56" s="1633"/>
      <c r="N56" s="1629"/>
      <c r="O56" s="1633"/>
      <c r="P56" s="1629"/>
      <c r="Q56" s="1633"/>
      <c r="R56" s="1629"/>
      <c r="S56" s="1633"/>
    </row>
    <row r="57" spans="1:19">
      <c r="A57" s="624"/>
      <c r="B57" s="1156"/>
      <c r="C57" s="1157"/>
      <c r="D57" s="1157"/>
      <c r="E57" s="1158"/>
      <c r="F57" s="1159" t="s">
        <v>570</v>
      </c>
      <c r="G57" s="1160"/>
      <c r="H57" s="1634"/>
      <c r="I57" s="1632">
        <f>SUM(I53:I56)</f>
        <v>226791.94999999998</v>
      </c>
      <c r="J57" s="1634"/>
      <c r="K57" s="1632">
        <f>SUM(K53:K56)</f>
        <v>0</v>
      </c>
      <c r="L57" s="1634"/>
      <c r="M57" s="1632">
        <f>SUM(M53:M56)</f>
        <v>0</v>
      </c>
      <c r="N57" s="1634"/>
      <c r="O57" s="1632">
        <f>SUM(O53:O56)</f>
        <v>0</v>
      </c>
      <c r="P57" s="1634"/>
      <c r="Q57" s="1632">
        <f>SUM(Q53:Q56)</f>
        <v>0</v>
      </c>
      <c r="R57" s="1634"/>
      <c r="S57" s="1632">
        <f>SUM(S53:S56)</f>
        <v>0</v>
      </c>
    </row>
    <row r="58" spans="1:19">
      <c r="A58" s="624"/>
      <c r="B58" s="1156"/>
      <c r="C58" s="1157"/>
      <c r="D58" s="1157"/>
      <c r="E58" s="1158"/>
      <c r="F58" s="1161" t="s">
        <v>571</v>
      </c>
      <c r="G58" s="1162"/>
      <c r="H58" s="1635"/>
      <c r="I58" s="1636" t="e">
        <f>I57/'Area Calculations'!$J$4</f>
        <v>#DIV/0!</v>
      </c>
      <c r="J58" s="1635"/>
      <c r="K58" s="1636" t="e">
        <f>K57/'Area Calculations'!$J$4</f>
        <v>#DIV/0!</v>
      </c>
      <c r="L58" s="1635"/>
      <c r="M58" s="1636" t="e">
        <f>M57/'Area Calculations'!$J$4</f>
        <v>#DIV/0!</v>
      </c>
      <c r="N58" s="1635"/>
      <c r="O58" s="1636" t="e">
        <f>O57/'Area Calculations'!$J$4</f>
        <v>#DIV/0!</v>
      </c>
      <c r="P58" s="1635"/>
      <c r="Q58" s="1636" t="e">
        <f>Q57/'Area Calculations'!$J$4</f>
        <v>#DIV/0!</v>
      </c>
      <c r="R58" s="1635"/>
      <c r="S58" s="1636" t="e">
        <f>S57/'Area Calculations'!$J$4</f>
        <v>#DIV/0!</v>
      </c>
    </row>
    <row r="59" spans="1:19">
      <c r="A59" s="624"/>
      <c r="B59" s="1156"/>
      <c r="C59" s="1157"/>
      <c r="D59" s="1157"/>
      <c r="E59" s="1158"/>
      <c r="F59" s="1161" t="s">
        <v>572</v>
      </c>
      <c r="G59" s="1163"/>
      <c r="H59" s="1635"/>
      <c r="I59" s="1636" t="e">
        <f>I57/'Area Calculations'!#REF!</f>
        <v>#REF!</v>
      </c>
      <c r="J59" s="1635"/>
      <c r="K59" s="1636" t="e">
        <f>K57/'Area Calculations'!#REF!</f>
        <v>#REF!</v>
      </c>
      <c r="L59" s="1635"/>
      <c r="M59" s="1636" t="e">
        <f>M57/'Area Calculations'!#REF!</f>
        <v>#REF!</v>
      </c>
      <c r="N59" s="1635"/>
      <c r="O59" s="1636" t="e">
        <f>O57/'Area Calculations'!#REF!</f>
        <v>#REF!</v>
      </c>
      <c r="P59" s="1635"/>
      <c r="Q59" s="1636" t="e">
        <f>Q57/'Area Calculations'!#REF!</f>
        <v>#REF!</v>
      </c>
      <c r="R59" s="1635"/>
      <c r="S59" s="1636" t="e">
        <f>S57/'Area Calculations'!#REF!</f>
        <v>#REF!</v>
      </c>
    </row>
    <row r="60" spans="1:19" ht="15.75" thickBot="1">
      <c r="A60" s="624"/>
      <c r="B60" s="1156"/>
      <c r="C60" s="1157"/>
      <c r="D60" s="1157"/>
      <c r="E60" s="1158"/>
      <c r="F60" s="1159"/>
      <c r="G60" s="1533"/>
      <c r="H60" s="1637"/>
      <c r="I60" s="1638"/>
      <c r="J60" s="1639"/>
      <c r="K60" s="1905"/>
      <c r="L60" s="1639"/>
      <c r="M60" s="1639"/>
      <c r="N60" s="1639"/>
      <c r="O60" s="1639"/>
      <c r="P60" s="1639"/>
      <c r="Q60" s="1639"/>
      <c r="R60" s="1639"/>
      <c r="S60" s="1639"/>
    </row>
    <row r="61" spans="1:19" ht="16.5" thickTop="1" thickBot="1">
      <c r="A61" s="726" t="s">
        <v>573</v>
      </c>
      <c r="B61" s="727"/>
      <c r="C61" s="12"/>
      <c r="D61" s="12"/>
      <c r="E61" s="12"/>
      <c r="F61" s="12"/>
      <c r="G61" s="13"/>
      <c r="H61" s="21"/>
      <c r="I61" s="21"/>
      <c r="J61" s="21"/>
      <c r="K61" s="21"/>
      <c r="L61" s="21"/>
      <c r="M61" s="21"/>
      <c r="N61" s="21"/>
      <c r="O61" s="21"/>
      <c r="P61" s="21"/>
      <c r="Q61" s="21"/>
      <c r="R61" s="21"/>
      <c r="S61" s="21"/>
    </row>
    <row r="62" spans="1:19" ht="15.75" thickTop="1">
      <c r="A62" s="1929"/>
      <c r="B62" s="862"/>
      <c r="C62" s="1930"/>
      <c r="D62" s="1930"/>
      <c r="E62" s="1930"/>
      <c r="F62" s="1930"/>
      <c r="G62" s="1931"/>
      <c r="H62" s="1932"/>
      <c r="I62" s="1932"/>
      <c r="J62" s="1932"/>
      <c r="K62" s="1932"/>
      <c r="L62" s="1932"/>
      <c r="M62" s="1932"/>
      <c r="N62" s="1932"/>
      <c r="O62" s="1932"/>
      <c r="P62" s="1932"/>
      <c r="Q62" s="1932"/>
      <c r="R62" s="1932"/>
      <c r="S62" s="1932"/>
    </row>
    <row r="63" spans="1:19" s="2" customFormat="1">
      <c r="A63" s="1929"/>
      <c r="B63" s="862"/>
      <c r="C63" s="1930"/>
      <c r="D63" s="1930"/>
      <c r="E63" s="1930"/>
      <c r="F63" s="1930"/>
      <c r="G63" s="1931"/>
      <c r="H63" s="1932"/>
      <c r="I63" s="1932"/>
      <c r="J63" s="1932"/>
      <c r="K63" s="1932"/>
      <c r="L63" s="1932"/>
      <c r="M63" s="1932"/>
      <c r="N63" s="1932"/>
      <c r="O63" s="1932"/>
      <c r="P63" s="1932"/>
      <c r="Q63" s="1932"/>
      <c r="R63" s="1932"/>
      <c r="S63" s="1932"/>
    </row>
    <row r="64" spans="1:19" s="2" customFormat="1" ht="15.75" thickBot="1">
      <c r="A64" s="1929"/>
      <c r="B64" s="862"/>
      <c r="C64" s="1930"/>
      <c r="D64" s="1930"/>
      <c r="E64" s="1930"/>
      <c r="F64" s="1930"/>
      <c r="G64" s="1931"/>
      <c r="H64" s="1932"/>
      <c r="I64" s="1932"/>
      <c r="J64" s="1932"/>
      <c r="K64" s="1932"/>
      <c r="L64" s="1932"/>
      <c r="M64" s="1932"/>
      <c r="N64" s="1932"/>
      <c r="O64" s="1932"/>
      <c r="P64" s="1932"/>
      <c r="Q64" s="1932"/>
      <c r="R64" s="1932"/>
      <c r="S64" s="1932"/>
    </row>
    <row r="65" spans="1:19" ht="16.5" thickTop="1" thickBot="1">
      <c r="A65" s="726" t="s">
        <v>574</v>
      </c>
      <c r="B65" s="727"/>
      <c r="C65" s="12"/>
      <c r="D65" s="12"/>
      <c r="E65" s="12"/>
      <c r="F65" s="12"/>
      <c r="G65" s="13"/>
      <c r="H65" s="21"/>
      <c r="I65" s="21"/>
      <c r="J65" s="21"/>
      <c r="K65" s="21"/>
      <c r="L65" s="21"/>
      <c r="M65" s="21"/>
      <c r="N65" s="21"/>
      <c r="O65" s="21"/>
      <c r="P65" s="21"/>
      <c r="Q65" s="21"/>
      <c r="R65" s="21"/>
      <c r="S65" s="21"/>
    </row>
    <row r="66" spans="1:19" s="2" customFormat="1" ht="15.75" thickTop="1">
      <c r="A66" s="1929"/>
      <c r="B66" s="862"/>
      <c r="C66" s="1930"/>
      <c r="D66" s="1930"/>
      <c r="E66" s="1930"/>
      <c r="F66" s="1930"/>
      <c r="G66" s="1931"/>
      <c r="H66" s="1932"/>
      <c r="I66" s="1932"/>
      <c r="J66" s="1932"/>
      <c r="K66" s="1932"/>
      <c r="L66" s="1932"/>
      <c r="M66" s="1932"/>
      <c r="N66" s="1932"/>
      <c r="O66" s="1932"/>
      <c r="P66" s="1932"/>
      <c r="Q66" s="1932"/>
      <c r="R66" s="1932"/>
      <c r="S66" s="1932"/>
    </row>
    <row r="67" spans="1:19" s="2" customFormat="1">
      <c r="A67" s="1929"/>
      <c r="B67" s="862"/>
      <c r="C67" s="1930"/>
      <c r="D67" s="1930"/>
      <c r="E67" s="1930"/>
      <c r="F67" s="1930"/>
      <c r="G67" s="1931"/>
      <c r="H67" s="1932"/>
      <c r="I67" s="1932"/>
      <c r="J67" s="1932"/>
      <c r="K67" s="1932"/>
      <c r="L67" s="1932"/>
      <c r="M67" s="1932"/>
      <c r="N67" s="1932"/>
      <c r="O67" s="1932"/>
      <c r="P67" s="1932"/>
      <c r="Q67" s="1932"/>
      <c r="R67" s="1932"/>
      <c r="S67" s="1932"/>
    </row>
    <row r="68" spans="1:19" s="2" customFormat="1" ht="15.75" thickBot="1">
      <c r="A68" s="1929"/>
      <c r="B68" s="862"/>
      <c r="C68" s="1930"/>
      <c r="D68" s="1930"/>
      <c r="E68" s="1930"/>
      <c r="F68" s="1930"/>
      <c r="G68" s="1931"/>
      <c r="H68" s="1932"/>
      <c r="I68" s="1932"/>
      <c r="J68" s="1932"/>
      <c r="K68" s="1932"/>
      <c r="L68" s="1932"/>
      <c r="M68" s="1932"/>
      <c r="N68" s="1932"/>
      <c r="O68" s="1932"/>
      <c r="P68" s="1932"/>
      <c r="Q68" s="1932"/>
      <c r="R68" s="1932"/>
      <c r="S68" s="1932"/>
    </row>
    <row r="69" spans="1:19" s="2" customFormat="1" ht="16.5" thickTop="1" thickBot="1">
      <c r="A69" s="726" t="s">
        <v>575</v>
      </c>
      <c r="B69" s="727"/>
      <c r="C69" s="12"/>
      <c r="D69" s="12"/>
      <c r="E69" s="12"/>
      <c r="F69" s="12"/>
      <c r="G69" s="13"/>
      <c r="H69" s="21"/>
      <c r="I69" s="21"/>
      <c r="J69" s="21"/>
      <c r="K69" s="21"/>
      <c r="L69" s="21"/>
      <c r="M69" s="21"/>
      <c r="N69" s="21"/>
      <c r="O69" s="21"/>
      <c r="P69" s="21"/>
      <c r="Q69" s="21"/>
      <c r="R69" s="21"/>
      <c r="S69" s="21"/>
    </row>
    <row r="70" spans="1:19" s="2" customFormat="1" ht="15.75" thickTop="1">
      <c r="A70" s="1929"/>
      <c r="B70" s="862"/>
      <c r="C70" s="1930"/>
      <c r="D70" s="1930"/>
      <c r="E70" s="1930"/>
      <c r="F70" s="1930"/>
      <c r="G70" s="1931"/>
      <c r="H70" s="1932"/>
      <c r="I70" s="1932"/>
      <c r="J70" s="1932"/>
      <c r="K70" s="1932"/>
      <c r="L70" s="1932"/>
      <c r="M70" s="1932"/>
      <c r="N70" s="1932"/>
      <c r="O70" s="1932"/>
      <c r="P70" s="1932"/>
      <c r="Q70" s="1932"/>
      <c r="R70" s="1932"/>
      <c r="S70" s="1932"/>
    </row>
    <row r="71" spans="1:19">
      <c r="A71" s="628"/>
      <c r="B71" s="862"/>
      <c r="C71" s="1124"/>
      <c r="D71" s="1124"/>
      <c r="E71" s="1124"/>
      <c r="F71" s="1124"/>
      <c r="G71" s="1133"/>
      <c r="H71" s="1640"/>
      <c r="I71" s="1640"/>
      <c r="J71" s="1640"/>
      <c r="K71" s="1640"/>
      <c r="L71" s="1640"/>
      <c r="M71" s="1640"/>
      <c r="N71" s="1640"/>
      <c r="O71" s="1640"/>
      <c r="P71" s="1640"/>
      <c r="Q71" s="1640"/>
      <c r="R71" s="1640"/>
      <c r="S71" s="1640"/>
    </row>
    <row r="72" spans="1:19" ht="15.75" thickBot="1">
      <c r="A72" s="625"/>
      <c r="B72" s="1171"/>
      <c r="C72" s="1124"/>
      <c r="D72" s="1124"/>
      <c r="E72" s="1124"/>
      <c r="F72" s="1124"/>
      <c r="G72" s="1133"/>
      <c r="H72" s="1642"/>
      <c r="I72" s="1642"/>
      <c r="J72" s="1642"/>
      <c r="K72" s="1642"/>
      <c r="L72" s="1642"/>
      <c r="M72" s="1642"/>
      <c r="N72" s="1642"/>
      <c r="O72" s="1642"/>
      <c r="P72" s="1642"/>
      <c r="Q72" s="1642"/>
      <c r="R72" s="1642"/>
      <c r="S72" s="1642"/>
    </row>
    <row r="73" spans="1:19" ht="16.5" thickTop="1" thickBot="1">
      <c r="A73" s="726" t="s">
        <v>576</v>
      </c>
      <c r="B73" s="727"/>
      <c r="C73" s="12"/>
      <c r="D73" s="12"/>
      <c r="E73" s="12"/>
      <c r="F73" s="12"/>
      <c r="G73" s="13"/>
      <c r="H73" s="21"/>
      <c r="I73" s="21"/>
      <c r="J73" s="21"/>
      <c r="K73" s="21"/>
      <c r="L73" s="21"/>
      <c r="M73" s="21"/>
      <c r="N73" s="21"/>
      <c r="O73" s="21"/>
      <c r="P73" s="21"/>
      <c r="Q73" s="21"/>
      <c r="R73" s="21"/>
      <c r="S73" s="21"/>
    </row>
    <row r="74" spans="1:19" ht="15.75" thickTop="1">
      <c r="A74" s="1933"/>
      <c r="B74" s="1934"/>
      <c r="C74" s="1930"/>
      <c r="D74" s="1930"/>
      <c r="E74" s="1930"/>
      <c r="F74" s="1930"/>
      <c r="G74" s="1931"/>
      <c r="H74" s="1932"/>
      <c r="I74" s="1932"/>
      <c r="J74" s="1932"/>
      <c r="K74" s="1932"/>
      <c r="L74" s="1932"/>
      <c r="M74" s="1932"/>
      <c r="N74" s="1932"/>
      <c r="O74" s="1932"/>
      <c r="P74" s="1932"/>
      <c r="Q74" s="1932"/>
      <c r="R74" s="1932"/>
      <c r="S74" s="1932"/>
    </row>
    <row r="75" spans="1:19">
      <c r="A75" s="625"/>
      <c r="B75" s="1171"/>
      <c r="C75" s="1124"/>
      <c r="D75" s="1124"/>
      <c r="E75" s="1124"/>
      <c r="F75" s="1124"/>
      <c r="G75" s="1133"/>
      <c r="H75" s="1643"/>
      <c r="I75" s="1643"/>
      <c r="J75" s="1643"/>
      <c r="K75" s="1643"/>
      <c r="L75" s="1643"/>
      <c r="M75" s="1643"/>
      <c r="N75" s="1643"/>
      <c r="O75" s="1643"/>
      <c r="P75" s="1643"/>
      <c r="Q75" s="1643"/>
      <c r="R75" s="1643"/>
      <c r="S75" s="1643"/>
    </row>
    <row r="76" spans="1:19" ht="15.75" thickBot="1">
      <c r="A76" s="625"/>
      <c r="B76" s="1171"/>
      <c r="C76" s="1124"/>
      <c r="D76" s="1124"/>
      <c r="E76" s="1124"/>
      <c r="F76" s="1124"/>
      <c r="G76" s="1133"/>
      <c r="H76" s="1643"/>
      <c r="I76" s="1643"/>
      <c r="J76" s="1643"/>
      <c r="K76" s="1643"/>
      <c r="L76" s="1643"/>
      <c r="M76" s="1643"/>
      <c r="N76" s="1643"/>
      <c r="O76" s="1643"/>
      <c r="P76" s="1643"/>
      <c r="Q76" s="1643"/>
      <c r="R76" s="1643"/>
      <c r="S76" s="1643"/>
    </row>
    <row r="77" spans="1:19" ht="16.5" thickTop="1" thickBot="1">
      <c r="A77" s="726" t="s">
        <v>577</v>
      </c>
      <c r="B77" s="727"/>
      <c r="C77" s="12"/>
      <c r="D77" s="12"/>
      <c r="E77" s="12"/>
      <c r="F77" s="12"/>
      <c r="G77" s="13"/>
      <c r="H77" s="21"/>
      <c r="I77" s="21"/>
      <c r="J77" s="21"/>
      <c r="K77" s="21"/>
      <c r="L77" s="21"/>
      <c r="M77" s="21"/>
      <c r="N77" s="21"/>
      <c r="O77" s="21"/>
      <c r="P77" s="21"/>
      <c r="Q77" s="21"/>
      <c r="R77" s="21"/>
      <c r="S77" s="21"/>
    </row>
    <row r="78" spans="1:19" ht="15.75" thickTop="1">
      <c r="A78" s="628"/>
      <c r="B78" s="862" t="s">
        <v>578</v>
      </c>
      <c r="C78" s="1124"/>
      <c r="D78" s="1124"/>
      <c r="E78" s="1124"/>
      <c r="F78" s="1124"/>
      <c r="G78" s="1133"/>
      <c r="H78" s="1643"/>
      <c r="I78" s="1643"/>
      <c r="J78" s="1643"/>
      <c r="K78" s="1643"/>
      <c r="L78" s="1643"/>
      <c r="M78" s="1643"/>
      <c r="N78" s="1643"/>
      <c r="O78" s="1643"/>
      <c r="P78" s="1643"/>
      <c r="Q78" s="1643"/>
      <c r="R78" s="1643"/>
      <c r="S78" s="1643"/>
    </row>
    <row r="79" spans="1:19">
      <c r="A79" s="628"/>
      <c r="B79" s="862" t="s">
        <v>579</v>
      </c>
      <c r="C79" s="1124"/>
      <c r="D79" s="1124"/>
      <c r="E79" s="1124"/>
      <c r="F79" s="1124"/>
      <c r="G79" s="1133"/>
      <c r="H79" s="1643"/>
      <c r="I79" s="1643"/>
      <c r="J79" s="1643"/>
      <c r="K79" s="1643"/>
      <c r="L79" s="1643"/>
      <c r="M79" s="1643"/>
      <c r="N79" s="1643"/>
      <c r="O79" s="1643"/>
      <c r="P79" s="1643"/>
      <c r="Q79" s="1643"/>
      <c r="R79" s="1643"/>
      <c r="S79" s="1643"/>
    </row>
    <row r="80" spans="1:19">
      <c r="A80" s="628"/>
      <c r="B80" s="862" t="s">
        <v>580</v>
      </c>
      <c r="C80" s="1124"/>
      <c r="D80" s="1124"/>
      <c r="E80" s="1124"/>
      <c r="F80" s="1124"/>
      <c r="G80" s="1133"/>
      <c r="H80" s="1643"/>
      <c r="I80" s="1643"/>
      <c r="J80" s="1643"/>
      <c r="K80" s="1643"/>
      <c r="L80" s="1643"/>
      <c r="M80" s="1643"/>
      <c r="N80" s="1643"/>
      <c r="O80" s="1643"/>
      <c r="P80" s="1643"/>
      <c r="Q80" s="1643"/>
      <c r="R80" s="1643"/>
      <c r="S80" s="1643"/>
    </row>
    <row r="81" spans="1:19">
      <c r="A81" s="628"/>
      <c r="B81" s="862" t="s">
        <v>581</v>
      </c>
      <c r="C81" s="1124"/>
      <c r="D81" s="1124"/>
      <c r="E81" s="1124"/>
      <c r="F81" s="1124"/>
      <c r="G81" s="1133"/>
      <c r="H81" s="1643"/>
      <c r="I81" s="1643"/>
      <c r="J81" s="1643"/>
      <c r="K81" s="1643"/>
      <c r="L81" s="1643"/>
      <c r="M81" s="1643"/>
      <c r="N81" s="1643"/>
      <c r="O81" s="1643"/>
      <c r="P81" s="1643"/>
      <c r="Q81" s="1643"/>
      <c r="R81" s="1643"/>
      <c r="S81" s="1643"/>
    </row>
    <row r="82" spans="1:19" ht="15.75" thickBot="1">
      <c r="A82" s="416"/>
      <c r="B82" s="295"/>
      <c r="C82" s="184"/>
      <c r="D82" s="184"/>
      <c r="E82" s="184"/>
      <c r="F82" s="184"/>
      <c r="G82" s="296"/>
      <c r="H82" s="418"/>
      <c r="I82" s="418"/>
      <c r="J82" s="418"/>
      <c r="K82" s="418"/>
      <c r="L82" s="418"/>
      <c r="M82" s="418"/>
      <c r="N82" s="418"/>
      <c r="O82" s="418"/>
      <c r="P82" s="418"/>
      <c r="Q82" s="418"/>
      <c r="R82" s="418"/>
      <c r="S82" s="418"/>
    </row>
    <row r="83" spans="1:19" ht="16.5" thickTop="1" thickBot="1">
      <c r="A83" s="7" t="s">
        <v>582</v>
      </c>
      <c r="B83" s="8"/>
      <c r="C83" s="12"/>
      <c r="D83" s="12"/>
      <c r="E83" s="12"/>
      <c r="F83" s="12"/>
      <c r="G83" s="13"/>
      <c r="H83" s="21"/>
      <c r="I83" s="21"/>
      <c r="J83" s="21"/>
      <c r="K83" s="21"/>
      <c r="L83" s="21"/>
      <c r="M83" s="21"/>
      <c r="N83" s="21"/>
      <c r="O83" s="21"/>
      <c r="P83" s="21"/>
      <c r="Q83" s="21"/>
      <c r="R83" s="21"/>
      <c r="S83" s="21"/>
    </row>
    <row r="84" spans="1:19" ht="15.75" thickTop="1">
      <c r="A84" s="1929"/>
      <c r="B84" s="1935" t="s">
        <v>583</v>
      </c>
      <c r="C84" s="1930"/>
      <c r="D84" s="1930"/>
      <c r="E84" s="1930"/>
      <c r="F84" s="1930"/>
      <c r="G84" s="1931"/>
      <c r="H84" s="1936"/>
      <c r="I84" s="1936"/>
      <c r="J84" s="1936"/>
      <c r="K84" s="1936"/>
      <c r="L84" s="1936"/>
      <c r="M84" s="1936"/>
      <c r="N84" s="1936"/>
      <c r="O84" s="1936"/>
      <c r="P84" s="1936"/>
      <c r="Q84" s="1936"/>
      <c r="R84" s="1936"/>
      <c r="S84" s="1936"/>
    </row>
    <row r="85" spans="1:19">
      <c r="A85" s="628"/>
      <c r="B85" s="862" t="s">
        <v>584</v>
      </c>
      <c r="C85" s="1124"/>
      <c r="D85" s="1124"/>
      <c r="E85" s="1124"/>
      <c r="F85" s="1124"/>
      <c r="G85" s="1133"/>
      <c r="H85" s="1644"/>
      <c r="I85" s="1644"/>
      <c r="J85" s="1644"/>
      <c r="K85" s="1644"/>
      <c r="L85" s="1644"/>
      <c r="M85" s="1644"/>
      <c r="N85" s="1644"/>
      <c r="O85" s="1644"/>
      <c r="P85" s="1644"/>
      <c r="Q85" s="1644"/>
      <c r="R85" s="1644"/>
      <c r="S85" s="1644"/>
    </row>
    <row r="86" spans="1:19" ht="15.75" thickBot="1">
      <c r="A86" s="1645"/>
      <c r="B86" s="1646" t="s">
        <v>585</v>
      </c>
      <c r="C86" s="1647"/>
      <c r="D86" s="1647"/>
      <c r="E86" s="1647"/>
      <c r="F86" s="1647"/>
      <c r="G86" s="1648"/>
      <c r="H86" s="1649"/>
      <c r="I86" s="1649"/>
      <c r="J86" s="1649"/>
      <c r="K86" s="1649"/>
      <c r="L86" s="1649"/>
      <c r="M86" s="1649"/>
      <c r="N86" s="1649"/>
      <c r="O86" s="1649"/>
      <c r="P86" s="1649"/>
      <c r="Q86" s="1649"/>
      <c r="R86" s="1649"/>
      <c r="S86" s="1649"/>
    </row>
    <row r="87" spans="1:19" ht="16.5" thickTop="1" thickBot="1"/>
    <row r="88" spans="1:19" ht="16.5" thickTop="1" thickBot="1">
      <c r="A88" s="92" t="s">
        <v>586</v>
      </c>
      <c r="B88" s="94"/>
    </row>
    <row r="89" spans="1:19" ht="15.75" thickTop="1">
      <c r="A89" s="93" t="s">
        <v>487</v>
      </c>
      <c r="B89" s="1650"/>
    </row>
    <row r="90" spans="1:19">
      <c r="A90" s="626" t="s">
        <v>491</v>
      </c>
      <c r="B90" s="1650"/>
    </row>
    <row r="91" spans="1:19">
      <c r="A91" s="1651" t="s">
        <v>494</v>
      </c>
      <c r="B91" s="1652"/>
    </row>
    <row r="92" spans="1:19">
      <c r="A92" s="1651" t="s">
        <v>497</v>
      </c>
      <c r="B92" s="1653"/>
    </row>
    <row r="93" spans="1:19" ht="15.75" thickBot="1">
      <c r="A93" s="1654" t="s">
        <v>587</v>
      </c>
      <c r="B93" s="1655">
        <f>H8</f>
        <v>226791.94999999998</v>
      </c>
    </row>
    <row r="94" spans="1:19" ht="15.75" thickTop="1"/>
    <row r="95" spans="1:19">
      <c r="A95" s="95"/>
      <c r="B95" s="1" t="s">
        <v>588</v>
      </c>
    </row>
    <row r="96" spans="1:19">
      <c r="A96" s="96"/>
      <c r="B96" s="1" t="s">
        <v>589</v>
      </c>
    </row>
  </sheetData>
  <mergeCells count="4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61:B61"/>
    <mergeCell ref="A65:B65"/>
    <mergeCell ref="A69:B69"/>
    <mergeCell ref="A73:B73"/>
    <mergeCell ref="A77:B77"/>
  </mergeCells>
  <conditionalFormatting sqref="H20:H30">
    <cfRule type="cellIs" dxfId="1187" priority="17" operator="equal">
      <formula>"X"</formula>
    </cfRule>
    <cfRule type="cellIs" dxfId="1186" priority="18" operator="equal">
      <formula>"I"</formula>
    </cfRule>
  </conditionalFormatting>
  <conditionalFormatting sqref="H32:H52">
    <cfRule type="cellIs" dxfId="1185" priority="1" operator="equal">
      <formula>"X"</formula>
    </cfRule>
    <cfRule type="cellIs" dxfId="1184" priority="2" operator="equal">
      <formula>"I"</formula>
    </cfRule>
  </conditionalFormatting>
  <conditionalFormatting sqref="J20:J30">
    <cfRule type="cellIs" dxfId="1183" priority="19" operator="equal">
      <formula>"X"</formula>
    </cfRule>
    <cfRule type="cellIs" dxfId="1182" priority="20" operator="equal">
      <formula>"I"</formula>
    </cfRule>
  </conditionalFormatting>
  <conditionalFormatting sqref="J32:J52">
    <cfRule type="cellIs" dxfId="1181" priority="7" operator="equal">
      <formula>"X"</formula>
    </cfRule>
    <cfRule type="cellIs" dxfId="1180" priority="8" operator="equal">
      <formula>"I"</formula>
    </cfRule>
  </conditionalFormatting>
  <conditionalFormatting sqref="L20:L30">
    <cfRule type="cellIs" dxfId="1179" priority="21" operator="equal">
      <formula>"X"</formula>
    </cfRule>
    <cfRule type="cellIs" dxfId="1178" priority="22" operator="equal">
      <formula>"I"</formula>
    </cfRule>
  </conditionalFormatting>
  <conditionalFormatting sqref="L32:L52">
    <cfRule type="cellIs" dxfId="1177" priority="9" operator="equal">
      <formula>"X"</formula>
    </cfRule>
    <cfRule type="cellIs" dxfId="1176" priority="10" operator="equal">
      <formula>"I"</formula>
    </cfRule>
  </conditionalFormatting>
  <conditionalFormatting sqref="N20:N30">
    <cfRule type="cellIs" dxfId="1175" priority="23" operator="equal">
      <formula>"X"</formula>
    </cfRule>
    <cfRule type="cellIs" dxfId="1174" priority="24" operator="equal">
      <formula>"I"</formula>
    </cfRule>
  </conditionalFormatting>
  <conditionalFormatting sqref="N32:N52">
    <cfRule type="cellIs" dxfId="1173" priority="11" operator="equal">
      <formula>"X"</formula>
    </cfRule>
    <cfRule type="cellIs" dxfId="1172" priority="12" operator="equal">
      <formula>"I"</formula>
    </cfRule>
  </conditionalFormatting>
  <conditionalFormatting sqref="P20:P30">
    <cfRule type="cellIs" dxfId="1171" priority="25" operator="equal">
      <formula>"X"</formula>
    </cfRule>
    <cfRule type="cellIs" dxfId="1170" priority="26" operator="equal">
      <formula>"I"</formula>
    </cfRule>
  </conditionalFormatting>
  <conditionalFormatting sqref="P32:P52">
    <cfRule type="cellIs" dxfId="1169" priority="13" operator="equal">
      <formula>"X"</formula>
    </cfRule>
    <cfRule type="cellIs" dxfId="1168" priority="14" operator="equal">
      <formula>"I"</formula>
    </cfRule>
  </conditionalFormatting>
  <conditionalFormatting sqref="R20:R30">
    <cfRule type="cellIs" dxfId="1167" priority="27" operator="equal">
      <formula>"X"</formula>
    </cfRule>
    <cfRule type="cellIs" dxfId="1166" priority="28" operator="equal">
      <formula>"I"</formula>
    </cfRule>
  </conditionalFormatting>
  <conditionalFormatting sqref="R32:R52">
    <cfRule type="cellIs" dxfId="1165" priority="15" operator="equal">
      <formula>"X"</formula>
    </cfRule>
    <cfRule type="cellIs" dxfId="1164" priority="16" operator="equal">
      <formula>"I"</formula>
    </cfRule>
  </conditionalFormatting>
  <hyperlinks>
    <hyperlink ref="B3" location="'Cost Summary'!A1" display="BACK TO SUMMARY SHEET" xr:uid="{73CE9600-3F67-422E-843B-46B4DA29A0DA}"/>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8C4E-6FAE-4228-B3F1-FCA51A49C1FC}">
  <sheetPr>
    <tabColor rgb="FF92D050"/>
  </sheetPr>
  <dimension ref="A1:S98"/>
  <sheetViews>
    <sheetView zoomScale="93" zoomScaleNormal="93" zoomScaleSheetLayoutView="100" workbookViewId="0">
      <pane xSplit="2" ySplit="9" topLeftCell="C31" activePane="bottomRight" state="frozen"/>
      <selection pane="bottomRight" activeCell="F48" sqref="F48"/>
      <selection pane="bottomLeft" sqref="A1:B1"/>
      <selection pane="topRight" sqref="A1:B1"/>
    </sheetView>
  </sheetViews>
  <sheetFormatPr defaultRowHeight="15"/>
  <cols>
    <col min="1" max="1" width="11" customWidth="1"/>
    <col min="2" max="2" width="70.7109375" style="1" customWidth="1"/>
    <col min="3" max="3" width="13.85546875" style="2" customWidth="1"/>
    <col min="4" max="5" width="7.5703125" style="2" customWidth="1"/>
    <col min="6" max="6" width="12.42578125" style="2" customWidth="1"/>
    <col min="7" max="7" width="12.140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621</v>
      </c>
      <c r="C5" s="1124"/>
      <c r="D5" s="1124"/>
      <c r="E5" s="1124"/>
      <c r="F5" s="1124"/>
      <c r="G5" s="1125" t="s">
        <v>491</v>
      </c>
      <c r="H5" s="778"/>
      <c r="I5" s="1126"/>
      <c r="J5" s="778"/>
      <c r="K5" s="1126"/>
      <c r="L5" s="778"/>
      <c r="M5" s="1126"/>
      <c r="N5" s="778"/>
      <c r="O5" s="1126"/>
      <c r="P5" s="778"/>
      <c r="Q5" s="1126"/>
      <c r="R5" s="778"/>
      <c r="S5" s="1126"/>
    </row>
    <row r="6" spans="1:19">
      <c r="A6" s="627" t="s">
        <v>493</v>
      </c>
      <c r="B6" s="1127" t="s">
        <v>620</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0"/>
      <c r="I7" s="771"/>
      <c r="J7" s="1937"/>
      <c r="K7" s="1776"/>
      <c r="L7" s="764"/>
      <c r="M7" s="765"/>
      <c r="N7" s="1937"/>
      <c r="O7" s="1126"/>
      <c r="P7" s="1937"/>
      <c r="Q7" s="1126"/>
      <c r="R7" s="1937"/>
      <c r="S7" s="1126"/>
    </row>
    <row r="8" spans="1:19" ht="15.75" thickBot="1">
      <c r="A8" s="414" t="s">
        <v>499</v>
      </c>
      <c r="B8" s="295"/>
      <c r="C8" s="184"/>
      <c r="D8" s="184"/>
      <c r="E8" s="184"/>
      <c r="F8" s="184"/>
      <c r="G8" s="419" t="s">
        <v>499</v>
      </c>
      <c r="H8" s="1724">
        <f>I59</f>
        <v>165750</v>
      </c>
      <c r="I8" s="1725"/>
      <c r="J8" s="1724">
        <v>0</v>
      </c>
      <c r="K8" s="1725"/>
      <c r="L8" s="1724">
        <v>0</v>
      </c>
      <c r="M8" s="1725"/>
      <c r="N8" s="1724">
        <v>0</v>
      </c>
      <c r="O8" s="1725"/>
      <c r="P8" s="1724">
        <v>0</v>
      </c>
      <c r="Q8" s="1725"/>
      <c r="R8" s="1724">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customHeight="1" thickTop="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t="15" hidden="1" customHeight="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t="15" hidden="1" customHeight="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t="15" hidden="1" customHeight="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t="15" hidden="1" customHeight="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t="15" hidden="1" customHeight="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t="15" hidden="1" customHeight="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t="15" hidden="1" customHeight="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t="15" hidden="1" customHeight="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t="15" hidden="1" customHeight="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t="15" hidden="1" customHeight="1">
      <c r="A20" s="628"/>
      <c r="B20" s="862"/>
      <c r="C20" s="1134"/>
      <c r="D20" s="1124"/>
      <c r="E20" s="1124"/>
      <c r="F20" s="1124"/>
      <c r="G20" s="1133"/>
      <c r="H20" s="1726"/>
      <c r="I20" s="1726"/>
      <c r="J20" s="1726"/>
      <c r="K20" s="1726"/>
      <c r="L20" s="1726"/>
      <c r="M20" s="1726"/>
      <c r="N20" s="1726"/>
      <c r="O20" s="1726"/>
      <c r="P20" s="1726"/>
      <c r="Q20" s="1726"/>
      <c r="R20" s="1726"/>
      <c r="S20" s="1726"/>
    </row>
    <row r="21" spans="1:19" hidden="1">
      <c r="A21" s="628"/>
      <c r="B21" s="862"/>
      <c r="C21" s="1134"/>
      <c r="D21" s="1124"/>
      <c r="E21" s="1124"/>
      <c r="F21" s="1124"/>
      <c r="G21" s="1133"/>
      <c r="H21" s="1678"/>
      <c r="I21" s="1726"/>
      <c r="J21" s="1678"/>
      <c r="K21" s="1726"/>
      <c r="L21" s="1678"/>
      <c r="M21" s="1726"/>
      <c r="N21" s="1678"/>
      <c r="O21" s="1726"/>
      <c r="P21" s="1678"/>
      <c r="Q21" s="1726"/>
      <c r="R21" s="1678"/>
      <c r="S21" s="1726"/>
    </row>
    <row r="22" spans="1:19" ht="16.5" thickTop="1" thickBot="1">
      <c r="A22" s="59"/>
      <c r="B22" s="1136" t="s">
        <v>621</v>
      </c>
      <c r="C22" s="56"/>
      <c r="D22" s="57"/>
      <c r="E22" s="57"/>
      <c r="F22" s="57"/>
      <c r="G22" s="1133"/>
      <c r="H22" s="1678"/>
      <c r="I22" s="1939"/>
      <c r="J22" s="1678"/>
      <c r="K22" s="1939"/>
      <c r="L22" s="1678"/>
      <c r="M22" s="1939"/>
      <c r="N22" s="1678"/>
      <c r="O22" s="1939"/>
      <c r="P22" s="1678"/>
      <c r="Q22" s="1939"/>
      <c r="R22" s="1678"/>
      <c r="S22" s="1939"/>
    </row>
    <row r="23" spans="1:19" ht="15.75" thickBot="1">
      <c r="A23" s="640"/>
      <c r="B23" s="589" t="s">
        <v>512</v>
      </c>
      <c r="C23" s="1134"/>
      <c r="D23" s="1124"/>
      <c r="E23" s="1124"/>
      <c r="F23" s="1124"/>
      <c r="G23" s="1133"/>
      <c r="H23" s="1678"/>
      <c r="I23" s="639"/>
      <c r="J23" s="1678"/>
      <c r="K23" s="639"/>
      <c r="L23" s="1678"/>
      <c r="M23" s="1939"/>
      <c r="N23" s="1678"/>
      <c r="O23" s="1939"/>
      <c r="P23" s="1678"/>
      <c r="Q23" s="1939"/>
      <c r="R23" s="1678"/>
      <c r="S23" s="1939"/>
    </row>
    <row r="24" spans="1:19">
      <c r="A24" s="640"/>
      <c r="B24" s="1422" t="s">
        <v>513</v>
      </c>
      <c r="C24" s="1133"/>
      <c r="D24" s="1124"/>
      <c r="E24" s="1124"/>
      <c r="F24" s="1124"/>
      <c r="G24" s="1133"/>
      <c r="H24" s="1678"/>
      <c r="I24" s="639"/>
      <c r="J24" s="1678"/>
      <c r="K24" s="639"/>
      <c r="L24" s="1678"/>
      <c r="M24" s="1939"/>
      <c r="N24" s="1678"/>
      <c r="O24" s="1939"/>
      <c r="P24" s="1678"/>
      <c r="Q24" s="1939"/>
      <c r="R24" s="1678"/>
      <c r="S24" s="1939"/>
    </row>
    <row r="25" spans="1:19">
      <c r="A25" s="640"/>
      <c r="B25" s="1940" t="s">
        <v>514</v>
      </c>
      <c r="C25" s="1133"/>
      <c r="D25" s="1941"/>
      <c r="E25" s="1124"/>
      <c r="F25" s="1124"/>
      <c r="G25" s="1133"/>
      <c r="H25" s="1678"/>
      <c r="I25" s="1942"/>
      <c r="J25" s="1678"/>
      <c r="K25" s="639"/>
      <c r="L25" s="1678"/>
      <c r="M25" s="1939"/>
      <c r="N25" s="1678"/>
      <c r="O25" s="1939"/>
      <c r="P25" s="1678"/>
      <c r="Q25" s="1939"/>
      <c r="R25" s="1678"/>
      <c r="S25" s="1939"/>
    </row>
    <row r="26" spans="1:19">
      <c r="A26" s="640"/>
      <c r="B26" s="1943" t="s">
        <v>515</v>
      </c>
      <c r="C26" s="1133"/>
      <c r="D26" s="1941"/>
      <c r="E26" s="1124"/>
      <c r="F26" s="1124"/>
      <c r="G26" s="1133"/>
      <c r="H26" s="1678"/>
      <c r="I26" s="1942"/>
      <c r="J26" s="1678"/>
      <c r="K26" s="639"/>
      <c r="L26" s="1678"/>
      <c r="M26" s="1939"/>
      <c r="N26" s="1678"/>
      <c r="O26" s="1939"/>
      <c r="P26" s="1678"/>
      <c r="Q26" s="1939"/>
      <c r="R26" s="1678"/>
      <c r="S26" s="1939"/>
    </row>
    <row r="27" spans="1:19">
      <c r="A27" s="640"/>
      <c r="B27" s="1943" t="s">
        <v>516</v>
      </c>
      <c r="C27" s="1133"/>
      <c r="D27" s="1941"/>
      <c r="E27" s="1124"/>
      <c r="F27" s="1124"/>
      <c r="G27" s="1133"/>
      <c r="H27" s="1678"/>
      <c r="I27" s="1942"/>
      <c r="J27" s="1678"/>
      <c r="K27" s="639"/>
      <c r="L27" s="1678"/>
      <c r="M27" s="1939"/>
      <c r="N27" s="1678"/>
      <c r="O27" s="1939"/>
      <c r="P27" s="1678"/>
      <c r="Q27" s="1939"/>
      <c r="R27" s="1678"/>
      <c r="S27" s="1939"/>
    </row>
    <row r="28" spans="1:19">
      <c r="A28" s="640"/>
      <c r="B28" s="1943" t="s">
        <v>517</v>
      </c>
      <c r="C28" s="1133"/>
      <c r="D28" s="1941"/>
      <c r="E28" s="1124"/>
      <c r="F28" s="1124"/>
      <c r="G28" s="1133"/>
      <c r="H28" s="1678"/>
      <c r="I28" s="1942"/>
      <c r="J28" s="1678"/>
      <c r="K28" s="639"/>
      <c r="L28" s="1678"/>
      <c r="M28" s="1939"/>
      <c r="N28" s="1678"/>
      <c r="O28" s="1939"/>
      <c r="P28" s="1678"/>
      <c r="Q28" s="1939"/>
      <c r="R28" s="1678"/>
      <c r="S28" s="1939"/>
    </row>
    <row r="29" spans="1:19">
      <c r="A29" s="640"/>
      <c r="B29" s="1943" t="s">
        <v>518</v>
      </c>
      <c r="C29" s="1133"/>
      <c r="D29" s="1124"/>
      <c r="E29" s="1124"/>
      <c r="F29" s="1124"/>
      <c r="G29" s="1133"/>
      <c r="H29" s="1678"/>
      <c r="I29" s="1942"/>
      <c r="J29" s="1678"/>
      <c r="K29" s="639"/>
      <c r="L29" s="1678"/>
      <c r="M29" s="1939"/>
      <c r="N29" s="1678"/>
      <c r="O29" s="1939"/>
      <c r="P29" s="1678"/>
      <c r="Q29" s="1939"/>
      <c r="R29" s="1678"/>
      <c r="S29" s="1939"/>
    </row>
    <row r="30" spans="1:19">
      <c r="A30" s="640"/>
      <c r="B30" s="1943" t="s">
        <v>693</v>
      </c>
      <c r="C30" s="1133"/>
      <c r="D30" s="1124"/>
      <c r="E30" s="1124"/>
      <c r="F30" s="1124"/>
      <c r="G30" s="1133"/>
      <c r="H30" s="1678"/>
      <c r="I30" s="1942"/>
      <c r="J30" s="1678"/>
      <c r="K30" s="639"/>
      <c r="L30" s="1678"/>
      <c r="M30" s="1939"/>
      <c r="N30" s="1678"/>
      <c r="O30" s="1939"/>
      <c r="P30" s="1678"/>
      <c r="Q30" s="1939"/>
      <c r="R30" s="1678"/>
      <c r="S30" s="1939"/>
    </row>
    <row r="31" spans="1:19" ht="17.25" customHeight="1">
      <c r="A31" s="640"/>
      <c r="B31" s="1944" t="s">
        <v>519</v>
      </c>
      <c r="C31" s="1133"/>
      <c r="D31" s="1124"/>
      <c r="E31" s="1124"/>
      <c r="F31" s="1124"/>
      <c r="G31" s="1133"/>
      <c r="H31" s="1678"/>
      <c r="I31" s="1942"/>
      <c r="J31" s="1678"/>
      <c r="K31" s="639"/>
      <c r="L31" s="1678"/>
      <c r="M31" s="1939"/>
      <c r="N31" s="1678"/>
      <c r="O31" s="1939"/>
      <c r="P31" s="1678"/>
      <c r="Q31" s="1939"/>
      <c r="R31" s="1678"/>
      <c r="S31" s="1939"/>
    </row>
    <row r="32" spans="1:19" ht="17.25" customHeight="1">
      <c r="A32" s="640"/>
      <c r="B32" s="1945" t="s">
        <v>520</v>
      </c>
      <c r="C32" s="1147"/>
      <c r="D32" s="1145"/>
      <c r="E32" s="1145"/>
      <c r="F32" s="1146"/>
      <c r="G32" s="1599"/>
      <c r="H32" s="1727"/>
      <c r="I32" s="1946"/>
      <c r="J32" s="1727"/>
      <c r="K32" s="1947"/>
      <c r="L32" s="1727"/>
      <c r="M32" s="1948"/>
      <c r="N32" s="1727"/>
      <c r="O32" s="1948"/>
      <c r="P32" s="1727"/>
      <c r="Q32" s="1948"/>
      <c r="R32" s="1727"/>
      <c r="S32" s="1948"/>
    </row>
    <row r="33" spans="1:19" ht="17.25" customHeight="1">
      <c r="A33" s="1949"/>
      <c r="B33" s="644"/>
      <c r="C33" s="534"/>
      <c r="D33" s="1124"/>
      <c r="E33" s="1124"/>
      <c r="F33" s="1151"/>
      <c r="G33" s="1229"/>
      <c r="H33" s="1678"/>
      <c r="I33" s="1950"/>
      <c r="J33" s="1678"/>
      <c r="K33" s="639"/>
      <c r="L33" s="1678"/>
      <c r="M33" s="1939"/>
      <c r="N33" s="1678"/>
      <c r="O33" s="1939"/>
      <c r="P33" s="1678"/>
      <c r="Q33" s="1939"/>
      <c r="R33" s="1678"/>
      <c r="S33" s="1939"/>
    </row>
    <row r="34" spans="1:19" ht="17.25" customHeight="1">
      <c r="A34" s="1949"/>
      <c r="B34" s="645" t="s">
        <v>694</v>
      </c>
      <c r="C34" s="535"/>
      <c r="D34" s="1216"/>
      <c r="E34" s="1216"/>
      <c r="F34" s="1217"/>
      <c r="G34" s="1557"/>
      <c r="H34" s="1922"/>
      <c r="I34" s="1951"/>
      <c r="J34" s="1922"/>
      <c r="K34" s="1952"/>
      <c r="L34" s="1922"/>
      <c r="M34" s="1953"/>
      <c r="N34" s="1922"/>
      <c r="O34" s="1953"/>
      <c r="P34" s="1922"/>
      <c r="Q34" s="1953"/>
      <c r="R34" s="1922"/>
      <c r="S34" s="1953"/>
    </row>
    <row r="35" spans="1:19" ht="17.25" customHeight="1">
      <c r="A35" s="1949"/>
      <c r="B35" s="644"/>
      <c r="C35" s="534"/>
      <c r="D35" s="1124"/>
      <c r="E35" s="1124"/>
      <c r="F35" s="1151"/>
      <c r="G35" s="1229"/>
      <c r="H35" s="1678"/>
      <c r="I35" s="1954"/>
      <c r="J35" s="1678"/>
      <c r="K35" s="639"/>
      <c r="L35" s="1678"/>
      <c r="M35" s="1939"/>
      <c r="N35" s="1678"/>
      <c r="O35" s="1939"/>
      <c r="P35" s="1678"/>
      <c r="Q35" s="1939"/>
      <c r="R35" s="1678"/>
      <c r="S35" s="1939"/>
    </row>
    <row r="36" spans="1:19" ht="17.25" customHeight="1">
      <c r="A36" s="1949"/>
      <c r="B36" s="646" t="s">
        <v>695</v>
      </c>
      <c r="C36" s="536"/>
      <c r="D36" s="1223"/>
      <c r="E36" s="1223"/>
      <c r="F36" s="1224"/>
      <c r="G36" s="1560"/>
      <c r="H36" s="1925"/>
      <c r="I36" s="1955"/>
      <c r="J36" s="1925"/>
      <c r="K36" s="1956"/>
      <c r="L36" s="1925"/>
      <c r="M36" s="1957"/>
      <c r="N36" s="1925"/>
      <c r="O36" s="1957"/>
      <c r="P36" s="1925"/>
      <c r="Q36" s="1957"/>
      <c r="R36" s="1925"/>
      <c r="S36" s="1957"/>
    </row>
    <row r="37" spans="1:19" ht="17.25" customHeight="1">
      <c r="A37" s="1949"/>
      <c r="B37" s="644" t="s">
        <v>932</v>
      </c>
      <c r="C37" s="534" t="s">
        <v>697</v>
      </c>
      <c r="D37" s="1124">
        <v>2</v>
      </c>
      <c r="E37" s="1124" t="s">
        <v>714</v>
      </c>
      <c r="F37" s="1151">
        <v>1750</v>
      </c>
      <c r="G37" s="1229">
        <f>D37*F37</f>
        <v>3500</v>
      </c>
      <c r="H37" s="1678"/>
      <c r="I37" s="1954">
        <f>G37</f>
        <v>3500</v>
      </c>
      <c r="J37" s="1678"/>
      <c r="K37" s="639"/>
      <c r="L37" s="1678"/>
      <c r="M37" s="1939"/>
      <c r="N37" s="1678"/>
      <c r="O37" s="1939"/>
      <c r="P37" s="1678"/>
      <c r="Q37" s="1939"/>
      <c r="R37" s="1678"/>
      <c r="S37" s="1939"/>
    </row>
    <row r="38" spans="1:19" ht="17.25" customHeight="1">
      <c r="A38" s="1949"/>
      <c r="B38" s="644"/>
      <c r="C38" s="534"/>
      <c r="D38" s="1124"/>
      <c r="E38" s="1124"/>
      <c r="F38" s="1151"/>
      <c r="G38" s="1229"/>
      <c r="H38" s="1678"/>
      <c r="I38" s="1954"/>
      <c r="J38" s="1678"/>
      <c r="K38" s="639"/>
      <c r="L38" s="1678"/>
      <c r="M38" s="1939"/>
      <c r="N38" s="1678"/>
      <c r="O38" s="1939"/>
      <c r="P38" s="1678"/>
      <c r="Q38" s="1939"/>
      <c r="R38" s="1678"/>
      <c r="S38" s="1939"/>
    </row>
    <row r="39" spans="1:19" ht="17.25" customHeight="1">
      <c r="A39" s="1949"/>
      <c r="B39" s="645" t="s">
        <v>649</v>
      </c>
      <c r="C39" s="535"/>
      <c r="D39" s="1216"/>
      <c r="E39" s="1216"/>
      <c r="F39" s="1217"/>
      <c r="G39" s="1557"/>
      <c r="H39" s="1922"/>
      <c r="I39" s="1951"/>
      <c r="J39" s="1922"/>
      <c r="K39" s="1952"/>
      <c r="L39" s="1922"/>
      <c r="M39" s="1953"/>
      <c r="N39" s="1922"/>
      <c r="O39" s="1953"/>
      <c r="P39" s="1922"/>
      <c r="Q39" s="1953"/>
      <c r="R39" s="1922"/>
      <c r="S39" s="1953"/>
    </row>
    <row r="40" spans="1:19" ht="17.25" customHeight="1">
      <c r="A40" s="1949"/>
      <c r="B40" s="644"/>
      <c r="C40" s="534"/>
      <c r="D40" s="1124"/>
      <c r="E40" s="1124"/>
      <c r="F40" s="1151"/>
      <c r="G40" s="1229"/>
      <c r="H40" s="1678"/>
      <c r="I40" s="1954"/>
      <c r="J40" s="1678"/>
      <c r="K40" s="639"/>
      <c r="L40" s="1678"/>
      <c r="M40" s="1939"/>
      <c r="N40" s="1678"/>
      <c r="O40" s="1939"/>
      <c r="P40" s="1678"/>
      <c r="Q40" s="1939"/>
      <c r="R40" s="1678"/>
      <c r="S40" s="1939"/>
    </row>
    <row r="41" spans="1:19" ht="17.25" customHeight="1">
      <c r="A41" s="1949"/>
      <c r="B41" s="646" t="s">
        <v>700</v>
      </c>
      <c r="C41" s="536"/>
      <c r="D41" s="1223"/>
      <c r="E41" s="1223"/>
      <c r="F41" s="1224"/>
      <c r="G41" s="1560"/>
      <c r="H41" s="1925"/>
      <c r="I41" s="1955"/>
      <c r="J41" s="1925"/>
      <c r="K41" s="1956"/>
      <c r="L41" s="1925"/>
      <c r="M41" s="1957"/>
      <c r="N41" s="1925"/>
      <c r="O41" s="1957"/>
      <c r="P41" s="1925"/>
      <c r="Q41" s="1957"/>
      <c r="R41" s="1925"/>
      <c r="S41" s="1957"/>
    </row>
    <row r="42" spans="1:19" ht="17.25" customHeight="1">
      <c r="A42" s="1949"/>
      <c r="B42" s="644" t="s">
        <v>701</v>
      </c>
      <c r="C42" s="534" t="s">
        <v>702</v>
      </c>
      <c r="D42" s="1124">
        <v>61</v>
      </c>
      <c r="E42" s="1124" t="s">
        <v>933</v>
      </c>
      <c r="F42" s="1151">
        <v>2000</v>
      </c>
      <c r="G42" s="1229">
        <f>D42*F42</f>
        <v>122000</v>
      </c>
      <c r="H42" s="1678"/>
      <c r="I42" s="1954">
        <f>G42</f>
        <v>122000</v>
      </c>
      <c r="J42" s="1678"/>
      <c r="K42" s="639"/>
      <c r="L42" s="1678"/>
      <c r="M42" s="1939"/>
      <c r="N42" s="1678"/>
      <c r="O42" s="1939"/>
      <c r="P42" s="1678"/>
      <c r="Q42" s="1939"/>
      <c r="R42" s="1678"/>
      <c r="S42" s="1939"/>
    </row>
    <row r="43" spans="1:19" ht="17.25" customHeight="1">
      <c r="A43" s="1949"/>
      <c r="B43" s="644"/>
      <c r="C43" s="534"/>
      <c r="D43" s="1124"/>
      <c r="E43" s="1124"/>
      <c r="F43" s="1151"/>
      <c r="G43" s="1229"/>
      <c r="H43" s="1678"/>
      <c r="I43" s="1954"/>
      <c r="J43" s="1678"/>
      <c r="K43" s="639"/>
      <c r="L43" s="1678"/>
      <c r="M43" s="1939"/>
      <c r="N43" s="1678"/>
      <c r="O43" s="1939"/>
      <c r="P43" s="1678"/>
      <c r="Q43" s="1939"/>
      <c r="R43" s="1678"/>
      <c r="S43" s="1939"/>
    </row>
    <row r="44" spans="1:19" ht="17.25" customHeight="1">
      <c r="A44" s="1949"/>
      <c r="B44" s="645" t="s">
        <v>703</v>
      </c>
      <c r="C44" s="535"/>
      <c r="D44" s="1216"/>
      <c r="E44" s="1216"/>
      <c r="F44" s="1217"/>
      <c r="G44" s="1557"/>
      <c r="H44" s="1922"/>
      <c r="I44" s="1951"/>
      <c r="J44" s="1922"/>
      <c r="K44" s="1952"/>
      <c r="L44" s="1922"/>
      <c r="M44" s="1953"/>
      <c r="N44" s="1922"/>
      <c r="O44" s="1953"/>
      <c r="P44" s="1922"/>
      <c r="Q44" s="1953"/>
      <c r="R44" s="1922"/>
      <c r="S44" s="1953"/>
    </row>
    <row r="45" spans="1:19" ht="17.25" customHeight="1">
      <c r="A45" s="1949"/>
      <c r="B45" s="644"/>
      <c r="C45" s="534"/>
      <c r="D45" s="1124"/>
      <c r="E45" s="1124"/>
      <c r="F45" s="1151"/>
      <c r="G45" s="1229"/>
      <c r="H45" s="1678"/>
      <c r="I45" s="1954"/>
      <c r="J45" s="1678"/>
      <c r="K45" s="639"/>
      <c r="L45" s="1678"/>
      <c r="M45" s="1939"/>
      <c r="N45" s="1678"/>
      <c r="O45" s="1939"/>
      <c r="P45" s="1678"/>
      <c r="Q45" s="1939"/>
      <c r="R45" s="1678"/>
      <c r="S45" s="1939"/>
    </row>
    <row r="46" spans="1:19" ht="17.25" customHeight="1">
      <c r="A46" s="1949"/>
      <c r="B46" s="646" t="s">
        <v>704</v>
      </c>
      <c r="C46" s="536"/>
      <c r="D46" s="1223"/>
      <c r="E46" s="1223"/>
      <c r="F46" s="1224"/>
      <c r="G46" s="1560"/>
      <c r="H46" s="1925"/>
      <c r="I46" s="1955"/>
      <c r="J46" s="1925"/>
      <c r="K46" s="1956"/>
      <c r="L46" s="1925"/>
      <c r="M46" s="1957"/>
      <c r="N46" s="1925"/>
      <c r="O46" s="1957"/>
      <c r="P46" s="1925"/>
      <c r="Q46" s="1957"/>
      <c r="R46" s="1925"/>
      <c r="S46" s="1957"/>
    </row>
    <row r="47" spans="1:19" ht="17.25" customHeight="1">
      <c r="A47" s="1949"/>
      <c r="B47" s="644" t="s">
        <v>701</v>
      </c>
      <c r="C47" s="534" t="s">
        <v>741</v>
      </c>
      <c r="D47" s="1124">
        <v>23</v>
      </c>
      <c r="E47" s="1124" t="s">
        <v>723</v>
      </c>
      <c r="F47" s="1151">
        <v>1750</v>
      </c>
      <c r="G47" s="1229">
        <f>D47*F47</f>
        <v>40250</v>
      </c>
      <c r="H47" s="1678"/>
      <c r="I47" s="1954">
        <f>G47</f>
        <v>40250</v>
      </c>
      <c r="J47" s="1678"/>
      <c r="K47" s="639"/>
      <c r="L47" s="1678"/>
      <c r="M47" s="1939"/>
      <c r="N47" s="1678"/>
      <c r="O47" s="1939"/>
      <c r="P47" s="1678"/>
      <c r="Q47" s="1939"/>
      <c r="R47" s="1678"/>
      <c r="S47" s="1939"/>
    </row>
    <row r="48" spans="1:19" ht="17.25" customHeight="1">
      <c r="A48" s="1949"/>
      <c r="B48" s="644"/>
      <c r="C48" s="534"/>
      <c r="D48" s="1124"/>
      <c r="E48" s="1124"/>
      <c r="F48" s="1151"/>
      <c r="G48" s="1229"/>
      <c r="H48" s="1678"/>
      <c r="I48" s="1954"/>
      <c r="J48" s="1678"/>
      <c r="K48" s="639"/>
      <c r="L48" s="1678"/>
      <c r="M48" s="1939"/>
      <c r="N48" s="1678"/>
      <c r="O48" s="1939"/>
      <c r="P48" s="1678"/>
      <c r="Q48" s="1939"/>
      <c r="R48" s="1678"/>
      <c r="S48" s="1939"/>
    </row>
    <row r="49" spans="1:19" ht="17.25" customHeight="1">
      <c r="A49" s="1949"/>
      <c r="B49" s="645" t="s">
        <v>705</v>
      </c>
      <c r="C49" s="535"/>
      <c r="D49" s="1216"/>
      <c r="E49" s="1216"/>
      <c r="F49" s="1217"/>
      <c r="G49" s="1557"/>
      <c r="H49" s="1922"/>
      <c r="I49" s="1951"/>
      <c r="J49" s="1922"/>
      <c r="K49" s="1952"/>
      <c r="L49" s="1922"/>
      <c r="M49" s="1953"/>
      <c r="N49" s="1922"/>
      <c r="O49" s="1953"/>
      <c r="P49" s="1922"/>
      <c r="Q49" s="1953"/>
      <c r="R49" s="1922"/>
      <c r="S49" s="1953"/>
    </row>
    <row r="50" spans="1:19" ht="17.25" customHeight="1">
      <c r="A50" s="1949"/>
      <c r="B50" s="644"/>
      <c r="C50" s="534"/>
      <c r="D50" s="1124"/>
      <c r="E50" s="1124"/>
      <c r="F50" s="1151"/>
      <c r="G50" s="1229"/>
      <c r="H50" s="1678"/>
      <c r="I50" s="1954"/>
      <c r="J50" s="1678"/>
      <c r="K50" s="639"/>
      <c r="L50" s="1678"/>
      <c r="M50" s="1939"/>
      <c r="N50" s="1678"/>
      <c r="O50" s="1939"/>
      <c r="P50" s="1678"/>
      <c r="Q50" s="1939"/>
      <c r="R50" s="1678"/>
      <c r="S50" s="1939"/>
    </row>
    <row r="51" spans="1:19" ht="17.25" customHeight="1">
      <c r="A51" s="1949"/>
      <c r="B51" s="646" t="s">
        <v>602</v>
      </c>
      <c r="C51" s="536"/>
      <c r="D51" s="1223"/>
      <c r="E51" s="1223"/>
      <c r="F51" s="1224"/>
      <c r="G51" s="1560"/>
      <c r="H51" s="1925"/>
      <c r="I51" s="1955"/>
      <c r="J51" s="1925"/>
      <c r="K51" s="1956"/>
      <c r="L51" s="1925"/>
      <c r="M51" s="1957"/>
      <c r="N51" s="1925"/>
      <c r="O51" s="1957"/>
      <c r="P51" s="1925"/>
      <c r="Q51" s="1957"/>
      <c r="R51" s="1925"/>
      <c r="S51" s="1957"/>
    </row>
    <row r="52" spans="1:19" ht="17.25" customHeight="1">
      <c r="A52" s="1949"/>
      <c r="B52" s="644"/>
      <c r="C52" s="534"/>
      <c r="D52" s="1124"/>
      <c r="E52" s="1124"/>
      <c r="F52" s="1151"/>
      <c r="G52" s="1229"/>
      <c r="H52" s="1678"/>
      <c r="I52" s="1954"/>
      <c r="J52" s="1678"/>
      <c r="K52" s="639"/>
      <c r="L52" s="1678"/>
      <c r="M52" s="1939"/>
      <c r="N52" s="1678"/>
      <c r="O52" s="1939"/>
      <c r="P52" s="1678"/>
      <c r="Q52" s="1939"/>
      <c r="R52" s="1678"/>
      <c r="S52" s="1939"/>
    </row>
    <row r="53" spans="1:19" ht="17.25" customHeight="1">
      <c r="A53" s="1949"/>
      <c r="B53" s="644"/>
      <c r="C53" s="534"/>
      <c r="D53" s="1124"/>
      <c r="E53" s="1124"/>
      <c r="F53" s="1151"/>
      <c r="G53" s="1229"/>
      <c r="H53" s="1678"/>
      <c r="I53" s="1954"/>
      <c r="J53" s="1678"/>
      <c r="K53" s="639"/>
      <c r="L53" s="1678"/>
      <c r="M53" s="1939"/>
      <c r="N53" s="1678"/>
      <c r="O53" s="1939"/>
      <c r="P53" s="1678"/>
      <c r="Q53" s="1939"/>
      <c r="R53" s="1678"/>
      <c r="S53" s="1939"/>
    </row>
    <row r="54" spans="1:19" ht="15.75" thickBot="1">
      <c r="A54" s="1949"/>
      <c r="B54" s="1958"/>
      <c r="C54" s="1138"/>
      <c r="D54" s="1124"/>
      <c r="E54" s="1124"/>
      <c r="F54" s="1151"/>
      <c r="G54" s="1229"/>
      <c r="H54" s="1678"/>
      <c r="I54" s="1942"/>
      <c r="J54" s="1678"/>
      <c r="K54" s="639"/>
      <c r="L54" s="1678"/>
      <c r="M54" s="1939"/>
      <c r="N54" s="1678"/>
      <c r="O54" s="1939"/>
      <c r="P54" s="1678"/>
      <c r="Q54" s="1939"/>
      <c r="R54" s="1678"/>
      <c r="S54" s="1939"/>
    </row>
    <row r="55" spans="1:19" ht="15.75" thickTop="1">
      <c r="A55" s="14"/>
      <c r="B55" s="15"/>
      <c r="C55" s="16"/>
      <c r="D55" s="16"/>
      <c r="E55" s="17"/>
      <c r="F55" s="18" t="s">
        <v>567</v>
      </c>
      <c r="G55" s="19"/>
      <c r="H55" s="20"/>
      <c r="I55" s="64">
        <f>SUM(I22:I54)</f>
        <v>165750</v>
      </c>
      <c r="J55" s="20"/>
      <c r="K55" s="64">
        <f>SUM(K22:K54)</f>
        <v>0</v>
      </c>
      <c r="L55" s="20"/>
      <c r="M55" s="64">
        <f>SUM(M22:M54)</f>
        <v>0</v>
      </c>
      <c r="N55" s="20"/>
      <c r="O55" s="64">
        <f>SUM(O22:O54)</f>
        <v>0</v>
      </c>
      <c r="P55" s="20"/>
      <c r="Q55" s="64">
        <f>SUM(Q22:Q54)</f>
        <v>0</v>
      </c>
      <c r="R55" s="20"/>
      <c r="S55" s="64">
        <f>SUM(S22:S54)</f>
        <v>0</v>
      </c>
    </row>
    <row r="56" spans="1:19">
      <c r="A56" s="624"/>
      <c r="B56" s="1156"/>
      <c r="C56" s="1157"/>
      <c r="D56" s="1157"/>
      <c r="E56" s="1158"/>
      <c r="F56" s="1159" t="s">
        <v>568</v>
      </c>
      <c r="G56" s="1160"/>
      <c r="H56" s="1627">
        <v>0</v>
      </c>
      <c r="I56" s="1959"/>
      <c r="J56" s="1627"/>
      <c r="K56" s="1959"/>
      <c r="L56" s="1627"/>
      <c r="M56" s="1959"/>
      <c r="N56" s="1627"/>
      <c r="O56" s="1959"/>
      <c r="P56" s="1627">
        <v>0</v>
      </c>
      <c r="Q56" s="1959"/>
      <c r="R56" s="1627">
        <v>0</v>
      </c>
      <c r="S56" s="1959"/>
    </row>
    <row r="57" spans="1:19">
      <c r="A57" s="624"/>
      <c r="B57" s="1156"/>
      <c r="C57" s="1157"/>
      <c r="D57" s="1157"/>
      <c r="E57" s="1158"/>
      <c r="F57" s="1159" t="s">
        <v>569</v>
      </c>
      <c r="G57" s="1160"/>
      <c r="H57" s="1629"/>
      <c r="I57" s="1960">
        <f>I55*H56</f>
        <v>0</v>
      </c>
      <c r="J57" s="1629"/>
      <c r="K57" s="1960">
        <f>K55*J56</f>
        <v>0</v>
      </c>
      <c r="L57" s="1629"/>
      <c r="M57" s="1960">
        <f>M55*L56</f>
        <v>0</v>
      </c>
      <c r="N57" s="1629"/>
      <c r="O57" s="1960">
        <f>O55*N56</f>
        <v>0</v>
      </c>
      <c r="P57" s="1629"/>
      <c r="Q57" s="1960">
        <f>Q55*P56</f>
        <v>0</v>
      </c>
      <c r="R57" s="1629"/>
      <c r="S57" s="1960">
        <f>S55*R56</f>
        <v>0</v>
      </c>
    </row>
    <row r="58" spans="1:19">
      <c r="A58" s="624"/>
      <c r="B58" s="1156"/>
      <c r="C58" s="1157"/>
      <c r="D58" s="1157"/>
      <c r="E58" s="1158"/>
      <c r="F58" s="1159"/>
      <c r="G58" s="1160"/>
      <c r="H58" s="1629"/>
      <c r="I58" s="1629"/>
      <c r="J58" s="1629"/>
      <c r="K58" s="1629"/>
      <c r="L58" s="1629"/>
      <c r="M58" s="1629"/>
      <c r="N58" s="1629"/>
      <c r="O58" s="1629"/>
      <c r="P58" s="1629"/>
      <c r="Q58" s="1629"/>
      <c r="R58" s="1629"/>
      <c r="S58" s="1629"/>
    </row>
    <row r="59" spans="1:19">
      <c r="A59" s="624"/>
      <c r="B59" s="1156"/>
      <c r="C59" s="1157"/>
      <c r="D59" s="1157"/>
      <c r="E59" s="1158"/>
      <c r="F59" s="1159" t="s">
        <v>570</v>
      </c>
      <c r="G59" s="1160"/>
      <c r="H59" s="1634"/>
      <c r="I59" s="1961">
        <f>SUM(I55:I57)</f>
        <v>165750</v>
      </c>
      <c r="J59" s="1634"/>
      <c r="K59" s="1961">
        <f>SUM(K55:K57)</f>
        <v>0</v>
      </c>
      <c r="L59" s="1634"/>
      <c r="M59" s="1961">
        <f>SUM(M55:M57)</f>
        <v>0</v>
      </c>
      <c r="N59" s="1634"/>
      <c r="O59" s="1961">
        <f>SUM(O55:O57)</f>
        <v>0</v>
      </c>
      <c r="P59" s="1634"/>
      <c r="Q59" s="1961">
        <f>SUM(Q55:Q57)</f>
        <v>0</v>
      </c>
      <c r="R59" s="1634"/>
      <c r="S59" s="1961">
        <f>SUM(S55:S57)</f>
        <v>0</v>
      </c>
    </row>
    <row r="60" spans="1:19">
      <c r="A60" s="624"/>
      <c r="B60" s="1156"/>
      <c r="C60" s="1157"/>
      <c r="D60" s="1157"/>
      <c r="E60" s="1158"/>
      <c r="F60" s="1161" t="s">
        <v>571</v>
      </c>
      <c r="G60" s="1162"/>
      <c r="H60" s="1635"/>
      <c r="I60" s="1636" t="e">
        <f>I59/'Area Calculations'!$J$4</f>
        <v>#DIV/0!</v>
      </c>
      <c r="J60" s="1635"/>
      <c r="K60" s="1636" t="e">
        <f>K59/'Area Calculations'!$J$4</f>
        <v>#DIV/0!</v>
      </c>
      <c r="L60" s="1635"/>
      <c r="M60" s="1636" t="e">
        <f>M59/'Area Calculations'!$J$4</f>
        <v>#DIV/0!</v>
      </c>
      <c r="N60" s="1635"/>
      <c r="O60" s="1636" t="e">
        <f>O59/'Area Calculations'!$J$4</f>
        <v>#DIV/0!</v>
      </c>
      <c r="P60" s="1635"/>
      <c r="Q60" s="1636" t="e">
        <f>Q59/'Area Calculations'!$J$4</f>
        <v>#DIV/0!</v>
      </c>
      <c r="R60" s="1635"/>
      <c r="S60" s="1636" t="e">
        <f>S59/'Area Calculations'!$J$4</f>
        <v>#DIV/0!</v>
      </c>
    </row>
    <row r="61" spans="1:19" ht="14.25" customHeight="1">
      <c r="A61" s="624"/>
      <c r="B61" s="1156"/>
      <c r="C61" s="1157"/>
      <c r="D61" s="1157"/>
      <c r="E61" s="1158"/>
      <c r="F61" s="1161" t="s">
        <v>572</v>
      </c>
      <c r="G61" s="1163"/>
      <c r="H61" s="1635"/>
      <c r="I61" s="1636" t="e">
        <f>I59/'Area Calculations'!#REF!</f>
        <v>#REF!</v>
      </c>
      <c r="J61" s="1635"/>
      <c r="K61" s="1636" t="e">
        <f>K59/'Area Calculations'!#REF!</f>
        <v>#REF!</v>
      </c>
      <c r="L61" s="1635"/>
      <c r="M61" s="1636" t="e">
        <f>M59/'Area Calculations'!#REF!</f>
        <v>#REF!</v>
      </c>
      <c r="N61" s="1635"/>
      <c r="O61" s="1636" t="e">
        <f>O59/'Area Calculations'!#REF!</f>
        <v>#REF!</v>
      </c>
      <c r="P61" s="1635"/>
      <c r="Q61" s="1636" t="e">
        <f>Q59/'Area Calculations'!#REF!</f>
        <v>#REF!</v>
      </c>
      <c r="R61" s="1635"/>
      <c r="S61" s="1636" t="e">
        <f>S59/'Area Calculations'!#REF!</f>
        <v>#REF!</v>
      </c>
    </row>
    <row r="62" spans="1:19" ht="15.75" thickBot="1">
      <c r="A62" s="624"/>
      <c r="B62" s="1156"/>
      <c r="C62" s="1157"/>
      <c r="D62" s="1157"/>
      <c r="E62" s="1158"/>
      <c r="F62" s="1159"/>
      <c r="G62" s="1533"/>
      <c r="H62" s="1637"/>
      <c r="I62" s="1638"/>
      <c r="J62" s="1639"/>
      <c r="K62" s="1639"/>
      <c r="L62" s="1639"/>
      <c r="M62" s="1639"/>
      <c r="N62" s="1639"/>
      <c r="O62" s="1639"/>
      <c r="P62" s="1639"/>
      <c r="Q62" s="1639"/>
      <c r="R62" s="1639"/>
      <c r="S62" s="1639"/>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1929"/>
      <c r="B64" s="862"/>
      <c r="C64" s="1930"/>
      <c r="D64" s="1930"/>
      <c r="E64" s="1930"/>
      <c r="F64" s="1930"/>
      <c r="G64" s="1931"/>
      <c r="H64" s="1932"/>
      <c r="I64" s="1932"/>
      <c r="J64" s="1932"/>
      <c r="K64" s="1932"/>
      <c r="L64" s="1932"/>
      <c r="M64" s="1932"/>
      <c r="N64" s="1932"/>
      <c r="O64" s="1932"/>
      <c r="P64" s="1932"/>
      <c r="Q64" s="1932"/>
      <c r="R64" s="1932"/>
      <c r="S64" s="1932"/>
    </row>
    <row r="65" spans="1:19">
      <c r="A65" s="1929"/>
      <c r="B65" s="862"/>
      <c r="C65" s="1930"/>
      <c r="D65" s="1930"/>
      <c r="E65" s="1930"/>
      <c r="F65" s="1930"/>
      <c r="G65" s="1931"/>
      <c r="H65" s="1932"/>
      <c r="I65" s="1932"/>
      <c r="J65" s="1932"/>
      <c r="K65" s="1932"/>
      <c r="L65" s="1932"/>
      <c r="M65" s="1932"/>
      <c r="N65" s="1932"/>
      <c r="O65" s="1932"/>
      <c r="P65" s="1932"/>
      <c r="Q65" s="1932"/>
      <c r="R65" s="1932"/>
      <c r="S65" s="1932"/>
    </row>
    <row r="66" spans="1:19" ht="15.75" thickBot="1">
      <c r="A66" s="1929"/>
      <c r="B66" s="862"/>
      <c r="C66" s="1930"/>
      <c r="D66" s="1930"/>
      <c r="E66" s="1930"/>
      <c r="F66" s="1930"/>
      <c r="G66" s="1931"/>
      <c r="H66" s="1932"/>
      <c r="I66" s="1932"/>
      <c r="J66" s="1932"/>
      <c r="K66" s="1932"/>
      <c r="L66" s="1932"/>
      <c r="M66" s="1932"/>
      <c r="N66" s="1932"/>
      <c r="O66" s="1932"/>
      <c r="P66" s="1932"/>
      <c r="Q66" s="1932"/>
      <c r="R66" s="1932"/>
      <c r="S66" s="1932"/>
    </row>
    <row r="67" spans="1:19" s="2" customFormat="1" ht="16.5" thickTop="1" thickBot="1">
      <c r="A67" s="726" t="s">
        <v>574</v>
      </c>
      <c r="B67" s="727"/>
      <c r="C67" s="12"/>
      <c r="D67" s="12"/>
      <c r="E67" s="12"/>
      <c r="F67" s="12"/>
      <c r="G67" s="13"/>
      <c r="H67" s="21"/>
      <c r="I67" s="21"/>
      <c r="J67" s="21"/>
      <c r="K67" s="21"/>
      <c r="L67" s="21"/>
      <c r="M67" s="21"/>
      <c r="N67" s="21"/>
      <c r="O67" s="21"/>
      <c r="P67" s="21"/>
      <c r="Q67" s="21"/>
      <c r="R67" s="21"/>
      <c r="S67" s="21"/>
    </row>
    <row r="68" spans="1:19" s="2" customFormat="1" ht="15.75" thickTop="1">
      <c r="A68" s="1929"/>
      <c r="B68" s="862"/>
      <c r="C68" s="1930"/>
      <c r="D68" s="1930"/>
      <c r="E68" s="1930"/>
      <c r="F68" s="1930"/>
      <c r="G68" s="1931"/>
      <c r="H68" s="1932"/>
      <c r="I68" s="1932"/>
      <c r="J68" s="1932"/>
      <c r="K68" s="1932"/>
      <c r="L68" s="1932"/>
      <c r="M68" s="1932"/>
      <c r="N68" s="1932"/>
      <c r="O68" s="1932"/>
      <c r="P68" s="1932"/>
      <c r="Q68" s="1932"/>
      <c r="R68" s="1932"/>
      <c r="S68" s="1932"/>
    </row>
    <row r="69" spans="1:19" s="2" customFormat="1">
      <c r="A69" s="1929"/>
      <c r="B69" s="862"/>
      <c r="C69" s="1930"/>
      <c r="D69" s="1930"/>
      <c r="E69" s="1930"/>
      <c r="F69" s="1930"/>
      <c r="G69" s="1931"/>
      <c r="H69" s="1932"/>
      <c r="I69" s="1932"/>
      <c r="J69" s="1932"/>
      <c r="K69" s="1932"/>
      <c r="L69" s="1932"/>
      <c r="M69" s="1932"/>
      <c r="N69" s="1932"/>
      <c r="O69" s="1932"/>
      <c r="P69" s="1932"/>
      <c r="Q69" s="1932"/>
      <c r="R69" s="1932"/>
      <c r="S69" s="1932"/>
    </row>
    <row r="70" spans="1:19" ht="15.75" thickBot="1">
      <c r="A70" s="1929"/>
      <c r="B70" s="862"/>
      <c r="C70" s="1930"/>
      <c r="D70" s="1930"/>
      <c r="E70" s="1930"/>
      <c r="F70" s="1930"/>
      <c r="G70" s="1931"/>
      <c r="H70" s="1932"/>
      <c r="I70" s="1932"/>
      <c r="J70" s="1932"/>
      <c r="K70" s="1932"/>
      <c r="L70" s="1932"/>
      <c r="M70" s="1932"/>
      <c r="N70" s="1932"/>
      <c r="O70" s="1932"/>
      <c r="P70" s="1932"/>
      <c r="Q70" s="1932"/>
      <c r="R70" s="1932"/>
      <c r="S70" s="1932"/>
    </row>
    <row r="71" spans="1:19" s="2" customFormat="1" ht="16.5" thickTop="1" thickBot="1">
      <c r="A71" s="726" t="s">
        <v>575</v>
      </c>
      <c r="B71" s="727"/>
      <c r="C71" s="12"/>
      <c r="D71" s="12"/>
      <c r="E71" s="12"/>
      <c r="F71" s="12"/>
      <c r="G71" s="13"/>
      <c r="H71" s="21"/>
      <c r="I71" s="21"/>
      <c r="J71" s="21"/>
      <c r="K71" s="21"/>
      <c r="L71" s="21"/>
      <c r="M71" s="21"/>
      <c r="N71" s="21"/>
      <c r="O71" s="21"/>
      <c r="P71" s="21"/>
      <c r="Q71" s="21"/>
      <c r="R71" s="21"/>
      <c r="S71" s="21"/>
    </row>
    <row r="72" spans="1:19" s="2" customFormat="1" ht="15.75" thickTop="1">
      <c r="A72" s="1929"/>
      <c r="B72" s="862"/>
      <c r="C72" s="1930"/>
      <c r="D72" s="1930"/>
      <c r="E72" s="1930"/>
      <c r="F72" s="1930"/>
      <c r="G72" s="1931"/>
      <c r="H72" s="1932"/>
      <c r="I72" s="1932"/>
      <c r="J72" s="1932"/>
      <c r="K72" s="1932"/>
      <c r="L72" s="1932"/>
      <c r="M72" s="1932"/>
      <c r="N72" s="1932"/>
      <c r="O72" s="1932"/>
      <c r="P72" s="1932"/>
      <c r="Q72" s="1932"/>
      <c r="R72" s="1932"/>
      <c r="S72" s="1932"/>
    </row>
    <row r="73" spans="1:19" s="2" customFormat="1">
      <c r="A73" s="628"/>
      <c r="B73" s="862"/>
      <c r="C73" s="1124"/>
      <c r="D73" s="1124"/>
      <c r="E73" s="1124"/>
      <c r="F73" s="1124"/>
      <c r="G73" s="1133"/>
      <c r="H73" s="1640"/>
      <c r="I73" s="1640"/>
      <c r="J73" s="1640"/>
      <c r="K73" s="1640"/>
      <c r="L73" s="1640"/>
      <c r="M73" s="1640"/>
      <c r="N73" s="1640"/>
      <c r="O73" s="1640"/>
      <c r="P73" s="1640"/>
      <c r="Q73" s="1640"/>
      <c r="R73" s="1640"/>
      <c r="S73" s="1640"/>
    </row>
    <row r="74" spans="1:19" s="2" customFormat="1" ht="15.75" thickBot="1">
      <c r="A74" s="625"/>
      <c r="B74" s="1171"/>
      <c r="C74" s="1124"/>
      <c r="D74" s="1124"/>
      <c r="E74" s="1124"/>
      <c r="F74" s="1124"/>
      <c r="G74" s="1133"/>
      <c r="H74" s="1642"/>
      <c r="I74" s="1642"/>
      <c r="J74" s="1642"/>
      <c r="K74" s="1642"/>
      <c r="L74" s="1642"/>
      <c r="M74" s="1642"/>
      <c r="N74" s="1642"/>
      <c r="O74" s="1642"/>
      <c r="P74" s="1642"/>
      <c r="Q74" s="1642"/>
      <c r="R74" s="1642"/>
      <c r="S74" s="1642"/>
    </row>
    <row r="75" spans="1:19" s="2" customFormat="1"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1933"/>
      <c r="B76" s="1934"/>
      <c r="C76" s="1930"/>
      <c r="D76" s="1930"/>
      <c r="E76" s="1930"/>
      <c r="F76" s="1930"/>
      <c r="G76" s="1931"/>
      <c r="H76" s="1932"/>
      <c r="I76" s="1932"/>
      <c r="J76" s="1932"/>
      <c r="K76" s="1932"/>
      <c r="L76" s="1932"/>
      <c r="M76" s="1932"/>
      <c r="N76" s="1932"/>
      <c r="O76" s="1932"/>
      <c r="P76" s="1932"/>
      <c r="Q76" s="1932"/>
      <c r="R76" s="1932"/>
      <c r="S76" s="1932"/>
    </row>
    <row r="77" spans="1:19">
      <c r="A77" s="625"/>
      <c r="B77" s="1171"/>
      <c r="C77" s="1124"/>
      <c r="D77" s="1124"/>
      <c r="E77" s="1124"/>
      <c r="F77" s="1124"/>
      <c r="G77" s="1133"/>
      <c r="H77" s="1643"/>
      <c r="I77" s="1643"/>
      <c r="J77" s="1643"/>
      <c r="K77" s="1643"/>
      <c r="L77" s="1643"/>
      <c r="M77" s="1643"/>
      <c r="N77" s="1643"/>
      <c r="O77" s="1643"/>
      <c r="P77" s="1643"/>
      <c r="Q77" s="1643"/>
      <c r="R77" s="1643"/>
      <c r="S77" s="1643"/>
    </row>
    <row r="78" spans="1:19" ht="15.75" thickBot="1">
      <c r="A78" s="625"/>
      <c r="B78" s="1171"/>
      <c r="C78" s="1124"/>
      <c r="D78" s="1124"/>
      <c r="E78" s="1124"/>
      <c r="F78" s="1124"/>
      <c r="G78" s="1133"/>
      <c r="H78" s="1643"/>
      <c r="I78" s="1643"/>
      <c r="J78" s="1643"/>
      <c r="K78" s="1643"/>
      <c r="L78" s="1643"/>
      <c r="M78" s="1643"/>
      <c r="N78" s="1643"/>
      <c r="O78" s="1643"/>
      <c r="P78" s="1643"/>
      <c r="Q78" s="1643"/>
      <c r="R78" s="1643"/>
      <c r="S78" s="1643"/>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628"/>
      <c r="B80" s="862" t="s">
        <v>578</v>
      </c>
      <c r="C80" s="1124"/>
      <c r="D80" s="1124"/>
      <c r="E80" s="1124"/>
      <c r="F80" s="1124"/>
      <c r="G80" s="1133"/>
      <c r="H80" s="1643"/>
      <c r="I80" s="1643"/>
      <c r="J80" s="1643"/>
      <c r="K80" s="1643"/>
      <c r="L80" s="1643"/>
      <c r="M80" s="1643"/>
      <c r="N80" s="1643"/>
      <c r="O80" s="1643"/>
      <c r="P80" s="1643"/>
      <c r="Q80" s="1643"/>
      <c r="R80" s="1643"/>
      <c r="S80" s="1643"/>
    </row>
    <row r="81" spans="1:19">
      <c r="A81" s="628"/>
      <c r="B81" s="862" t="s">
        <v>579</v>
      </c>
      <c r="C81" s="1124"/>
      <c r="D81" s="1124"/>
      <c r="E81" s="1124"/>
      <c r="F81" s="1124"/>
      <c r="G81" s="1133"/>
      <c r="H81" s="1643"/>
      <c r="I81" s="1643"/>
      <c r="J81" s="1643"/>
      <c r="K81" s="1643"/>
      <c r="L81" s="1643"/>
      <c r="M81" s="1643"/>
      <c r="N81" s="1643"/>
      <c r="O81" s="1643"/>
      <c r="P81" s="1643"/>
      <c r="Q81" s="1643"/>
      <c r="R81" s="1643"/>
      <c r="S81" s="1643"/>
    </row>
    <row r="82" spans="1:19">
      <c r="A82" s="628"/>
      <c r="B82" s="862" t="s">
        <v>580</v>
      </c>
      <c r="C82" s="1124"/>
      <c r="D82" s="1124"/>
      <c r="E82" s="1124"/>
      <c r="F82" s="1124"/>
      <c r="G82" s="1133"/>
      <c r="H82" s="1643"/>
      <c r="I82" s="1643"/>
      <c r="J82" s="1643"/>
      <c r="K82" s="1643"/>
      <c r="L82" s="1643"/>
      <c r="M82" s="1643"/>
      <c r="N82" s="1643"/>
      <c r="O82" s="1643"/>
      <c r="P82" s="1643"/>
      <c r="Q82" s="1643"/>
      <c r="R82" s="1643"/>
      <c r="S82" s="1643"/>
    </row>
    <row r="83" spans="1:19">
      <c r="A83" s="628"/>
      <c r="B83" s="862" t="s">
        <v>581</v>
      </c>
      <c r="C83" s="1124"/>
      <c r="D83" s="1124"/>
      <c r="E83" s="1124"/>
      <c r="F83" s="1124"/>
      <c r="G83" s="1133"/>
      <c r="H83" s="1643"/>
      <c r="I83" s="1643"/>
      <c r="J83" s="1643"/>
      <c r="K83" s="1643"/>
      <c r="L83" s="1643"/>
      <c r="M83" s="1643"/>
      <c r="N83" s="1643"/>
      <c r="O83" s="1643"/>
      <c r="P83" s="1643"/>
      <c r="Q83" s="1643"/>
      <c r="R83" s="1643"/>
      <c r="S83" s="1643"/>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1929"/>
      <c r="B86" s="1935" t="s">
        <v>583</v>
      </c>
      <c r="C86" s="1930"/>
      <c r="D86" s="1930"/>
      <c r="E86" s="1930"/>
      <c r="F86" s="1930"/>
      <c r="G86" s="1931"/>
      <c r="H86" s="1936"/>
      <c r="I86" s="1936"/>
      <c r="J86" s="1936"/>
      <c r="K86" s="1936"/>
      <c r="L86" s="1936"/>
      <c r="M86" s="1936"/>
      <c r="N86" s="1936"/>
      <c r="O86" s="1936"/>
      <c r="P86" s="1936"/>
      <c r="Q86" s="1936"/>
      <c r="R86" s="1936"/>
      <c r="S86" s="1936"/>
    </row>
    <row r="87" spans="1:19">
      <c r="A87" s="628"/>
      <c r="B87" s="862" t="s">
        <v>584</v>
      </c>
      <c r="C87" s="1124"/>
      <c r="D87" s="1124"/>
      <c r="E87" s="1124"/>
      <c r="F87" s="1124"/>
      <c r="G87" s="1133"/>
      <c r="H87" s="1644"/>
      <c r="I87" s="1644"/>
      <c r="J87" s="1644"/>
      <c r="K87" s="1644"/>
      <c r="L87" s="1644"/>
      <c r="M87" s="1644"/>
      <c r="N87" s="1644"/>
      <c r="O87" s="1644"/>
      <c r="P87" s="1644"/>
      <c r="Q87" s="1644"/>
      <c r="R87" s="1644"/>
      <c r="S87" s="1644"/>
    </row>
    <row r="88" spans="1:19" ht="15.75" thickBot="1">
      <c r="A88" s="1645"/>
      <c r="B88" s="1646" t="s">
        <v>585</v>
      </c>
      <c r="C88" s="1647"/>
      <c r="D88" s="1647"/>
      <c r="E88" s="1647"/>
      <c r="F88" s="1647"/>
      <c r="G88" s="1648"/>
      <c r="H88" s="1649"/>
      <c r="I88" s="1649"/>
      <c r="J88" s="1649"/>
      <c r="K88" s="1649"/>
      <c r="L88" s="1649"/>
      <c r="M88" s="1649"/>
      <c r="N88" s="1649"/>
      <c r="O88" s="1649"/>
      <c r="P88" s="1649"/>
      <c r="Q88" s="1649"/>
      <c r="R88" s="1649"/>
      <c r="S88" s="1649"/>
    </row>
    <row r="89" spans="1:19" ht="16.5" thickTop="1" thickBot="1"/>
    <row r="90" spans="1:19" ht="16.5" thickTop="1" thickBot="1">
      <c r="A90" s="92" t="s">
        <v>586</v>
      </c>
      <c r="B90" s="94"/>
    </row>
    <row r="91" spans="1:19" ht="16.5" thickTop="1" thickBot="1">
      <c r="A91" s="93" t="s">
        <v>487</v>
      </c>
      <c r="B91" s="94"/>
    </row>
    <row r="92" spans="1:19" ht="15.75" thickTop="1">
      <c r="A92" s="626" t="s">
        <v>491</v>
      </c>
      <c r="B92" s="1650"/>
    </row>
    <row r="93" spans="1:19">
      <c r="A93" s="1651" t="s">
        <v>494</v>
      </c>
      <c r="B93" s="1652"/>
    </row>
    <row r="94" spans="1:19">
      <c r="A94" s="1651" t="s">
        <v>497</v>
      </c>
      <c r="B94" s="1653"/>
    </row>
    <row r="95" spans="1:19" ht="15.75" thickBot="1">
      <c r="A95" s="1654" t="s">
        <v>587</v>
      </c>
      <c r="B95" s="1655">
        <f>H8</f>
        <v>165750</v>
      </c>
    </row>
    <row r="96" spans="1:19" ht="15.75" thickTop="1"/>
    <row r="97" spans="1:2">
      <c r="A97" s="95"/>
      <c r="B97" s="1" t="s">
        <v>588</v>
      </c>
    </row>
    <row r="98" spans="1:2">
      <c r="A98" s="96"/>
      <c r="B98" s="1" t="s">
        <v>589</v>
      </c>
    </row>
  </sheetData>
  <mergeCells count="47">
    <mergeCell ref="L7:M7"/>
    <mergeCell ref="L8:M8"/>
    <mergeCell ref="L2:M2"/>
    <mergeCell ref="L3:M3"/>
    <mergeCell ref="L4:M4"/>
    <mergeCell ref="L5:M5"/>
    <mergeCell ref="L6:M6"/>
    <mergeCell ref="N4:O4"/>
    <mergeCell ref="N5:O5"/>
    <mergeCell ref="N6:O6"/>
    <mergeCell ref="N7:O7"/>
    <mergeCell ref="N8:O8"/>
    <mergeCell ref="R4:S4"/>
    <mergeCell ref="R5:S5"/>
    <mergeCell ref="R6:S6"/>
    <mergeCell ref="R7:S7"/>
    <mergeCell ref="R8:S8"/>
    <mergeCell ref="P4:Q4"/>
    <mergeCell ref="P5:Q5"/>
    <mergeCell ref="P6:Q6"/>
    <mergeCell ref="P7:Q7"/>
    <mergeCell ref="P8:Q8"/>
    <mergeCell ref="H2:I2"/>
    <mergeCell ref="J2:K2"/>
    <mergeCell ref="P2:Q2"/>
    <mergeCell ref="R2:S2"/>
    <mergeCell ref="H3:I3"/>
    <mergeCell ref="J3:K3"/>
    <mergeCell ref="P3:Q3"/>
    <mergeCell ref="R3:S3"/>
    <mergeCell ref="N2:O2"/>
    <mergeCell ref="N3:O3"/>
    <mergeCell ref="H4:I4"/>
    <mergeCell ref="H5:I5"/>
    <mergeCell ref="H6:I6"/>
    <mergeCell ref="H7:I7"/>
    <mergeCell ref="H8:I8"/>
    <mergeCell ref="J4:K4"/>
    <mergeCell ref="J5:K5"/>
    <mergeCell ref="J6:K6"/>
    <mergeCell ref="J7:K7"/>
    <mergeCell ref="J8:K8"/>
    <mergeCell ref="A63:B63"/>
    <mergeCell ref="A67:B67"/>
    <mergeCell ref="A71:B71"/>
    <mergeCell ref="A75:B75"/>
    <mergeCell ref="A79:B79"/>
  </mergeCells>
  <conditionalFormatting sqref="H21:H31 H33:H54 J33:J54 L33:L54 N33:N54 P33:P54 R33:R54">
    <cfRule type="cellIs" dxfId="1163" priority="13" operator="equal">
      <formula>"X"</formula>
    </cfRule>
    <cfRule type="cellIs" dxfId="1162" priority="14" operator="equal">
      <formula>"I"</formula>
    </cfRule>
  </conditionalFormatting>
  <conditionalFormatting sqref="J21:J31">
    <cfRule type="cellIs" dxfId="1161" priority="15" operator="equal">
      <formula>"X"</formula>
    </cfRule>
    <cfRule type="cellIs" dxfId="1160" priority="16" operator="equal">
      <formula>"I"</formula>
    </cfRule>
  </conditionalFormatting>
  <conditionalFormatting sqref="L21:L31">
    <cfRule type="cellIs" dxfId="1159" priority="17" operator="equal">
      <formula>"X"</formula>
    </cfRule>
    <cfRule type="cellIs" dxfId="1158" priority="18" operator="equal">
      <formula>"I"</formula>
    </cfRule>
  </conditionalFormatting>
  <conditionalFormatting sqref="N21:N31">
    <cfRule type="cellIs" dxfId="1157" priority="19" operator="equal">
      <formula>"X"</formula>
    </cfRule>
    <cfRule type="cellIs" dxfId="1156" priority="20" operator="equal">
      <formula>"I"</formula>
    </cfRule>
  </conditionalFormatting>
  <conditionalFormatting sqref="P21:P31">
    <cfRule type="cellIs" dxfId="1155" priority="21" operator="equal">
      <formula>"X"</formula>
    </cfRule>
    <cfRule type="cellIs" dxfId="1154" priority="22" operator="equal">
      <formula>"I"</formula>
    </cfRule>
  </conditionalFormatting>
  <conditionalFormatting sqref="R21:R31">
    <cfRule type="cellIs" dxfId="1153" priority="23" operator="equal">
      <formula>"X"</formula>
    </cfRule>
    <cfRule type="cellIs" dxfId="1152" priority="24" operator="equal">
      <formula>"I"</formula>
    </cfRule>
  </conditionalFormatting>
  <hyperlinks>
    <hyperlink ref="B3" location="'Cost Summary'!A1" display="BACK TO SUMMARY SHEET" xr:uid="{26D088CA-82C6-4765-9CC0-6B1367FE5DC3}"/>
  </hyperlinks>
  <pageMargins left="0.7" right="0.7" top="0.75" bottom="0.75" header="0.3" footer="0.3"/>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B9B4-DA66-415D-AB19-23E806659C15}">
  <dimension ref="A1:S84"/>
  <sheetViews>
    <sheetView zoomScale="70" zoomScaleNormal="70" workbookViewId="0">
      <pane xSplit="2" ySplit="9" topLeftCell="C34" activePane="bottomRight" state="frozen"/>
      <selection pane="bottomRight" activeCell="I46" sqref="I46:I47"/>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c r="G2" s="147" t="s">
        <v>476</v>
      </c>
      <c r="H2" s="732"/>
      <c r="I2" s="732"/>
      <c r="J2" s="732"/>
      <c r="K2" s="732"/>
      <c r="L2" s="732"/>
      <c r="M2" s="732"/>
      <c r="N2" s="732"/>
      <c r="O2" s="732"/>
      <c r="P2" s="732"/>
      <c r="Q2" s="732"/>
      <c r="R2" s="732"/>
      <c r="S2" s="732"/>
    </row>
    <row r="3" spans="1:19" ht="21" thickBot="1">
      <c r="B3" s="161" t="s">
        <v>477</v>
      </c>
      <c r="E3" s="175"/>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934</v>
      </c>
      <c r="C5" s="1124"/>
      <c r="D5" s="1124"/>
      <c r="E5" s="1124"/>
      <c r="F5" s="1124"/>
      <c r="G5" s="1125" t="s">
        <v>491</v>
      </c>
      <c r="H5" s="778"/>
      <c r="I5" s="1126"/>
      <c r="J5" s="778"/>
      <c r="K5" s="1126"/>
      <c r="L5" s="778"/>
      <c r="M5" s="1126"/>
      <c r="N5" s="778"/>
      <c r="O5" s="1126"/>
      <c r="P5" s="778"/>
      <c r="Q5" s="1126"/>
      <c r="R5" s="778"/>
      <c r="S5" s="1126"/>
    </row>
    <row r="6" spans="1:19">
      <c r="A6" s="627" t="s">
        <v>493</v>
      </c>
      <c r="B6" s="1127" t="s">
        <v>935</v>
      </c>
      <c r="C6" s="1124"/>
      <c r="D6" s="1124"/>
      <c r="E6" s="1124"/>
      <c r="F6" s="1124"/>
      <c r="G6" s="1128" t="s">
        <v>494</v>
      </c>
      <c r="H6" s="763"/>
      <c r="I6" s="1129"/>
      <c r="J6" s="776"/>
      <c r="K6" s="1129"/>
      <c r="L6" s="776"/>
      <c r="M6" s="1129"/>
      <c r="N6" s="776"/>
      <c r="O6" s="1129"/>
      <c r="P6" s="763"/>
      <c r="Q6" s="1129"/>
      <c r="R6" s="763"/>
      <c r="S6" s="1129"/>
    </row>
    <row r="7" spans="1:19">
      <c r="A7" s="627" t="s">
        <v>496</v>
      </c>
      <c r="B7" s="1130"/>
      <c r="C7" s="1124"/>
      <c r="D7" s="1124"/>
      <c r="E7" s="1124"/>
      <c r="F7" s="1124"/>
      <c r="G7" s="1128" t="s">
        <v>497</v>
      </c>
      <c r="H7" s="764"/>
      <c r="I7" s="765"/>
      <c r="J7" s="777"/>
      <c r="K7" s="1131"/>
      <c r="L7" s="777"/>
      <c r="M7" s="1131"/>
      <c r="N7" s="777"/>
      <c r="O7" s="1131"/>
      <c r="P7" s="764"/>
      <c r="Q7" s="765"/>
      <c r="R7" s="764"/>
      <c r="S7" s="765"/>
    </row>
    <row r="8" spans="1:19" ht="15.75" thickBot="1">
      <c r="A8" s="414" t="s">
        <v>499</v>
      </c>
      <c r="B8" s="295"/>
      <c r="C8" s="184"/>
      <c r="D8" s="184"/>
      <c r="E8" s="184"/>
      <c r="F8" s="184"/>
      <c r="G8" s="414" t="s">
        <v>499</v>
      </c>
      <c r="H8" s="1724"/>
      <c r="I8" s="1725"/>
      <c r="J8" s="1724"/>
      <c r="K8" s="1725"/>
      <c r="L8" s="1724"/>
      <c r="M8" s="1725"/>
      <c r="N8" s="1724"/>
      <c r="O8" s="1725"/>
      <c r="P8" s="1724"/>
      <c r="Q8" s="1725"/>
      <c r="R8" s="1724"/>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t="15.75" hidden="1" thickTop="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t="15.75" hidden="1" thickTop="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t="15.75" hidden="1" thickTop="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t="15.75" hidden="1" thickTop="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t="15.75" hidden="1" thickTop="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t="15.75" hidden="1" thickTop="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t="15.75" hidden="1" thickTop="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t="15.75" hidden="1" thickTop="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t="15.75" hidden="1" thickTop="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t="15.75" thickTop="1">
      <c r="A20" s="628"/>
      <c r="B20" s="862"/>
      <c r="C20" s="1134"/>
      <c r="D20" s="1124"/>
      <c r="E20" s="1124"/>
      <c r="F20" s="1124"/>
      <c r="G20" s="1133"/>
      <c r="H20" s="1726"/>
      <c r="I20" s="1726"/>
      <c r="J20" s="1726"/>
      <c r="K20" s="1726"/>
      <c r="L20" s="1726"/>
      <c r="M20" s="1726"/>
      <c r="N20" s="1726"/>
      <c r="O20" s="1726"/>
      <c r="P20" s="1726"/>
      <c r="Q20" s="1726"/>
      <c r="R20" s="1726"/>
      <c r="S20" s="1726"/>
    </row>
    <row r="21" spans="1:19" ht="15.75" thickBot="1">
      <c r="A21" s="59"/>
      <c r="B21" s="1136" t="s">
        <v>934</v>
      </c>
      <c r="C21" s="56"/>
      <c r="D21" s="57"/>
      <c r="E21" s="57"/>
      <c r="F21" s="57"/>
      <c r="G21" s="63"/>
      <c r="H21" s="1962"/>
      <c r="I21" s="639"/>
      <c r="J21" s="1962"/>
      <c r="K21" s="639"/>
      <c r="L21" s="1962"/>
      <c r="M21" s="639"/>
      <c r="N21" s="1962"/>
      <c r="O21" s="639"/>
      <c r="P21" s="1962"/>
      <c r="Q21" s="639"/>
      <c r="R21" s="1962"/>
      <c r="S21" s="639"/>
    </row>
    <row r="22" spans="1:19" ht="15.75" thickBot="1">
      <c r="A22" s="640"/>
      <c r="B22" s="589" t="s">
        <v>512</v>
      </c>
      <c r="C22" s="1134"/>
      <c r="D22" s="1124"/>
      <c r="E22" s="1124"/>
      <c r="F22" s="1124"/>
      <c r="G22" s="1133"/>
      <c r="H22" s="1962"/>
      <c r="I22" s="639"/>
      <c r="J22" s="1962"/>
      <c r="K22" s="639"/>
      <c r="L22" s="1962"/>
      <c r="M22" s="639"/>
      <c r="N22" s="1962"/>
      <c r="O22" s="639"/>
      <c r="P22" s="1962"/>
      <c r="Q22" s="639"/>
      <c r="R22" s="1962"/>
      <c r="S22" s="639"/>
    </row>
    <row r="23" spans="1:19">
      <c r="A23" s="640"/>
      <c r="B23" s="1422" t="s">
        <v>513</v>
      </c>
      <c r="C23" s="1133"/>
      <c r="D23" s="1124"/>
      <c r="E23" s="1124"/>
      <c r="F23" s="1124"/>
      <c r="G23" s="1133"/>
      <c r="H23" s="1962"/>
      <c r="I23" s="639"/>
      <c r="J23" s="1962"/>
      <c r="K23" s="639"/>
      <c r="L23" s="1962"/>
      <c r="M23" s="639"/>
      <c r="N23" s="1962"/>
      <c r="O23" s="639"/>
      <c r="P23" s="1962"/>
      <c r="Q23" s="639"/>
      <c r="R23" s="1962"/>
      <c r="S23" s="639"/>
    </row>
    <row r="24" spans="1:19">
      <c r="A24" s="640"/>
      <c r="B24" s="1963" t="s">
        <v>514</v>
      </c>
      <c r="C24" s="1133"/>
      <c r="D24" s="1941"/>
      <c r="E24" s="1124"/>
      <c r="F24" s="1124"/>
      <c r="G24" s="1133"/>
      <c r="H24" s="1962"/>
      <c r="I24" s="639"/>
      <c r="J24" s="1962"/>
      <c r="K24" s="639"/>
      <c r="L24" s="1962"/>
      <c r="M24" s="639"/>
      <c r="N24" s="1962"/>
      <c r="O24" s="639"/>
      <c r="P24" s="1962"/>
      <c r="Q24" s="1964"/>
      <c r="R24" s="1962"/>
      <c r="S24" s="1964"/>
    </row>
    <row r="25" spans="1:19">
      <c r="A25" s="640"/>
      <c r="B25" s="1965" t="s">
        <v>515</v>
      </c>
      <c r="C25" s="1133"/>
      <c r="D25" s="1941"/>
      <c r="E25" s="1124"/>
      <c r="F25" s="1124"/>
      <c r="G25" s="1133"/>
      <c r="H25" s="1962"/>
      <c r="I25" s="639"/>
      <c r="J25" s="1962"/>
      <c r="K25" s="639"/>
      <c r="L25" s="1962"/>
      <c r="M25" s="639"/>
      <c r="N25" s="1962"/>
      <c r="O25" s="639"/>
      <c r="P25" s="1962"/>
      <c r="Q25" s="1964"/>
      <c r="R25" s="1962"/>
      <c r="S25" s="1964"/>
    </row>
    <row r="26" spans="1:19">
      <c r="A26" s="640"/>
      <c r="B26" s="1965" t="s">
        <v>516</v>
      </c>
      <c r="C26" s="1133"/>
      <c r="D26" s="1941"/>
      <c r="E26" s="1124"/>
      <c r="F26" s="1124"/>
      <c r="G26" s="1133"/>
      <c r="H26" s="1962"/>
      <c r="I26" s="639"/>
      <c r="J26" s="1962"/>
      <c r="K26" s="639"/>
      <c r="L26" s="1962"/>
      <c r="M26" s="639"/>
      <c r="N26" s="1962"/>
      <c r="O26" s="639"/>
      <c r="P26" s="1962"/>
      <c r="Q26" s="1964"/>
      <c r="R26" s="1962"/>
      <c r="S26" s="1964"/>
    </row>
    <row r="27" spans="1:19">
      <c r="A27" s="640"/>
      <c r="B27" s="1965" t="s">
        <v>517</v>
      </c>
      <c r="C27" s="1133"/>
      <c r="D27" s="1941"/>
      <c r="E27" s="1124"/>
      <c r="F27" s="1124"/>
      <c r="G27" s="1133"/>
      <c r="H27" s="1962"/>
      <c r="I27" s="639"/>
      <c r="J27" s="1962"/>
      <c r="K27" s="639"/>
      <c r="L27" s="1962"/>
      <c r="M27" s="639"/>
      <c r="N27" s="1962"/>
      <c r="O27" s="639"/>
      <c r="P27" s="1962"/>
      <c r="Q27" s="1964"/>
      <c r="R27" s="1962"/>
      <c r="S27" s="1964"/>
    </row>
    <row r="28" spans="1:19">
      <c r="A28" s="640"/>
      <c r="B28" s="1965" t="s">
        <v>518</v>
      </c>
      <c r="C28" s="1133"/>
      <c r="D28" s="1124"/>
      <c r="E28" s="1124"/>
      <c r="F28" s="1124"/>
      <c r="G28" s="1133"/>
      <c r="H28" s="1962"/>
      <c r="I28" s="639"/>
      <c r="J28" s="1962"/>
      <c r="K28" s="639"/>
      <c r="L28" s="1962"/>
      <c r="M28" s="639"/>
      <c r="N28" s="1962"/>
      <c r="O28" s="639"/>
      <c r="P28" s="1962"/>
      <c r="Q28" s="1964"/>
      <c r="R28" s="1962"/>
      <c r="S28" s="1964"/>
    </row>
    <row r="29" spans="1:19" ht="17.25" customHeight="1">
      <c r="A29" s="640"/>
      <c r="B29" s="1966" t="s">
        <v>519</v>
      </c>
      <c r="C29" s="1133"/>
      <c r="D29" s="1124"/>
      <c r="E29" s="1124"/>
      <c r="F29" s="1124"/>
      <c r="G29" s="1133"/>
      <c r="H29" s="1962"/>
      <c r="I29" s="639"/>
      <c r="J29" s="1962"/>
      <c r="K29" s="639"/>
      <c r="L29" s="1962"/>
      <c r="M29" s="639"/>
      <c r="N29" s="1962"/>
      <c r="O29" s="639"/>
      <c r="P29" s="1962"/>
      <c r="Q29" s="1964"/>
      <c r="R29" s="1962"/>
      <c r="S29" s="1964"/>
    </row>
    <row r="30" spans="1:19" ht="17.25" customHeight="1">
      <c r="A30" s="640"/>
      <c r="B30" s="1967" t="s">
        <v>520</v>
      </c>
      <c r="C30" s="1147"/>
      <c r="D30" s="1145"/>
      <c r="E30" s="1145"/>
      <c r="F30" s="1145"/>
      <c r="G30" s="1147"/>
      <c r="H30" s="1968"/>
      <c r="I30" s="1947"/>
      <c r="J30" s="1968"/>
      <c r="K30" s="1947"/>
      <c r="L30" s="1968"/>
      <c r="M30" s="1947"/>
      <c r="N30" s="1968"/>
      <c r="O30" s="1947"/>
      <c r="P30" s="1968"/>
      <c r="Q30" s="1948"/>
      <c r="R30" s="1968"/>
      <c r="S30" s="1948"/>
    </row>
    <row r="31" spans="1:19" ht="17.25" customHeight="1">
      <c r="A31" s="640"/>
      <c r="B31" s="1969"/>
      <c r="C31" s="1133"/>
      <c r="D31" s="1124"/>
      <c r="E31" s="1124"/>
      <c r="F31" s="1124"/>
      <c r="G31" s="1133"/>
      <c r="H31" s="1962"/>
      <c r="I31" s="639"/>
      <c r="J31" s="1962"/>
      <c r="K31" s="639"/>
      <c r="L31" s="1962"/>
      <c r="M31" s="639"/>
      <c r="N31" s="1962"/>
      <c r="O31" s="639"/>
      <c r="P31" s="1962"/>
      <c r="Q31" s="1964"/>
      <c r="R31" s="1962"/>
      <c r="S31" s="1964"/>
    </row>
    <row r="32" spans="1:19" ht="17.25" customHeight="1">
      <c r="A32" s="640"/>
      <c r="B32" s="1859"/>
      <c r="C32" s="1133"/>
      <c r="D32" s="1124"/>
      <c r="E32" s="1124"/>
      <c r="F32" s="1124"/>
      <c r="G32" s="1133"/>
      <c r="H32" s="1962"/>
      <c r="I32" s="639"/>
      <c r="J32" s="1962"/>
      <c r="K32" s="639"/>
      <c r="L32" s="1962"/>
      <c r="M32" s="639"/>
      <c r="N32" s="1962"/>
      <c r="O32" s="639"/>
      <c r="P32" s="1962"/>
      <c r="Q32" s="1964"/>
      <c r="R32" s="1962"/>
      <c r="S32" s="1964"/>
    </row>
    <row r="33" spans="1:19" ht="17.25" customHeight="1">
      <c r="A33" s="640"/>
      <c r="B33" s="1127"/>
      <c r="C33" s="1133"/>
      <c r="D33" s="1124"/>
      <c r="E33" s="1124"/>
      <c r="F33" s="1124"/>
      <c r="G33" s="1133"/>
      <c r="H33" s="1962"/>
      <c r="I33" s="639"/>
      <c r="J33" s="1962"/>
      <c r="K33" s="639"/>
      <c r="L33" s="1962"/>
      <c r="M33" s="639"/>
      <c r="N33" s="1962"/>
      <c r="O33" s="639"/>
      <c r="P33" s="1962"/>
      <c r="Q33" s="1964"/>
      <c r="R33" s="1962"/>
      <c r="S33" s="1964"/>
    </row>
    <row r="34" spans="1:19" ht="17.25" customHeight="1">
      <c r="A34" s="640"/>
      <c r="B34" s="1127"/>
      <c r="C34" s="1133"/>
      <c r="D34" s="1124"/>
      <c r="E34" s="1124"/>
      <c r="F34" s="1124"/>
      <c r="G34" s="1133"/>
      <c r="H34" s="1962"/>
      <c r="I34" s="639"/>
      <c r="J34" s="1962"/>
      <c r="K34" s="639"/>
      <c r="L34" s="1962"/>
      <c r="M34" s="639"/>
      <c r="N34" s="1962"/>
      <c r="O34" s="639"/>
      <c r="P34" s="1962"/>
      <c r="Q34" s="1964"/>
      <c r="R34" s="1962"/>
      <c r="S34" s="1964"/>
    </row>
    <row r="35" spans="1:19">
      <c r="A35" s="640"/>
      <c r="B35" s="1969"/>
      <c r="C35" s="1133"/>
      <c r="D35" s="1124"/>
      <c r="E35" s="1124"/>
      <c r="F35" s="1124"/>
      <c r="G35" s="1133"/>
      <c r="H35" s="1962"/>
      <c r="I35" s="639"/>
      <c r="J35" s="1962"/>
      <c r="K35" s="639"/>
      <c r="L35" s="1962"/>
      <c r="M35" s="639"/>
      <c r="N35" s="1962"/>
      <c r="O35" s="639"/>
      <c r="P35" s="1962"/>
      <c r="Q35" s="1964"/>
      <c r="R35" s="1962"/>
      <c r="S35" s="1964"/>
    </row>
    <row r="36" spans="1:19">
      <c r="A36" s="640"/>
      <c r="B36" s="1859"/>
      <c r="C36" s="1133"/>
      <c r="D36" s="1124"/>
      <c r="E36" s="1124"/>
      <c r="F36" s="1124"/>
      <c r="G36" s="1133"/>
      <c r="H36" s="1962"/>
      <c r="I36" s="639"/>
      <c r="J36" s="1962"/>
      <c r="K36" s="639"/>
      <c r="L36" s="1962"/>
      <c r="M36" s="639"/>
      <c r="N36" s="1962"/>
      <c r="O36" s="639"/>
      <c r="P36" s="1962"/>
      <c r="Q36" s="1964"/>
      <c r="R36" s="1962"/>
      <c r="S36" s="1964"/>
    </row>
    <row r="37" spans="1:19">
      <c r="A37" s="640"/>
      <c r="B37" s="1859"/>
      <c r="C37" s="1133"/>
      <c r="D37" s="1124"/>
      <c r="E37" s="1124"/>
      <c r="F37" s="1124"/>
      <c r="G37" s="1133"/>
      <c r="H37" s="1962"/>
      <c r="I37" s="639"/>
      <c r="J37" s="1962"/>
      <c r="K37" s="639"/>
      <c r="L37" s="1962"/>
      <c r="M37" s="639"/>
      <c r="N37" s="1962"/>
      <c r="O37" s="639"/>
      <c r="P37" s="1962"/>
      <c r="Q37" s="1964"/>
      <c r="R37" s="1962"/>
      <c r="S37" s="1964"/>
    </row>
    <row r="38" spans="1:19">
      <c r="A38" s="640"/>
      <c r="B38" s="1969"/>
      <c r="C38" s="1134"/>
      <c r="D38" s="1124"/>
      <c r="E38" s="1124"/>
      <c r="F38" s="1124"/>
      <c r="G38" s="1133"/>
      <c r="H38" s="1962"/>
      <c r="I38" s="1970"/>
      <c r="J38" s="1962"/>
      <c r="K38" s="428"/>
      <c r="L38" s="1962"/>
      <c r="M38" s="428"/>
      <c r="N38" s="1962"/>
      <c r="O38" s="772"/>
      <c r="P38" s="1962"/>
      <c r="Q38" s="639"/>
      <c r="R38" s="1962"/>
      <c r="S38" s="639"/>
    </row>
    <row r="39" spans="1:19">
      <c r="A39" s="640"/>
      <c r="B39" s="1859"/>
      <c r="C39" s="1134"/>
      <c r="D39" s="1124"/>
      <c r="E39" s="1124"/>
      <c r="F39" s="1124"/>
      <c r="G39" s="1133"/>
      <c r="H39" s="1962"/>
      <c r="I39" s="1970"/>
      <c r="J39" s="1962"/>
      <c r="K39" s="1971"/>
      <c r="L39" s="1962"/>
      <c r="M39" s="1971"/>
      <c r="N39" s="1962"/>
      <c r="O39" s="1972"/>
      <c r="P39" s="1962"/>
      <c r="Q39" s="1964"/>
      <c r="R39" s="1962"/>
      <c r="S39" s="639"/>
    </row>
    <row r="40" spans="1:19" ht="15.75" thickBot="1">
      <c r="A40" s="640"/>
      <c r="B40" s="1973"/>
      <c r="C40" s="1134"/>
      <c r="D40" s="1124"/>
      <c r="E40" s="1124"/>
      <c r="F40" s="1124"/>
      <c r="G40" s="1133"/>
      <c r="H40" s="1962"/>
      <c r="I40" s="639"/>
      <c r="J40" s="1964"/>
      <c r="K40" s="639"/>
      <c r="L40" s="1964"/>
      <c r="M40" s="639"/>
      <c r="N40" s="1964"/>
      <c r="O40" s="639"/>
      <c r="P40" s="1964"/>
      <c r="Q40" s="1964"/>
      <c r="R40" s="1962"/>
      <c r="S40" s="639"/>
    </row>
    <row r="41" spans="1:19" ht="15.75" thickTop="1">
      <c r="A41" s="14"/>
      <c r="B41" s="15"/>
      <c r="C41" s="16"/>
      <c r="D41" s="16"/>
      <c r="E41" s="17"/>
      <c r="F41" s="18" t="s">
        <v>567</v>
      </c>
      <c r="G41" s="19"/>
      <c r="H41" s="20"/>
      <c r="I41" s="64">
        <f>SUM(I23:I40)</f>
        <v>0</v>
      </c>
      <c r="J41" s="20"/>
      <c r="K41" s="64">
        <f>SUM(K23:K40)</f>
        <v>0</v>
      </c>
      <c r="L41" s="20"/>
      <c r="M41" s="64">
        <f>SUM(M23:M40)</f>
        <v>0</v>
      </c>
      <c r="N41" s="20"/>
      <c r="O41" s="64">
        <f>SUM(O23:O40)</f>
        <v>0</v>
      </c>
      <c r="P41" s="20"/>
      <c r="Q41" s="64">
        <f>SUM(Q23:Q40)</f>
        <v>0</v>
      </c>
      <c r="R41" s="20"/>
      <c r="S41" s="64">
        <f>SUM(S23:S40)</f>
        <v>0</v>
      </c>
    </row>
    <row r="42" spans="1:19">
      <c r="A42" s="624"/>
      <c r="B42" s="1156"/>
      <c r="C42" s="1157"/>
      <c r="D42" s="1157"/>
      <c r="E42" s="1158"/>
      <c r="F42" s="1159" t="s">
        <v>568</v>
      </c>
      <c r="G42" s="1160"/>
      <c r="H42" s="1627">
        <v>0</v>
      </c>
      <c r="I42" s="1959"/>
      <c r="J42" s="1627"/>
      <c r="K42" s="1959"/>
      <c r="L42" s="1627"/>
      <c r="M42" s="1959"/>
      <c r="N42" s="1627"/>
      <c r="O42" s="1959"/>
      <c r="P42" s="1627">
        <v>0</v>
      </c>
      <c r="Q42" s="1959"/>
      <c r="R42" s="1627">
        <v>0</v>
      </c>
      <c r="S42" s="1959"/>
    </row>
    <row r="43" spans="1:19">
      <c r="A43" s="624"/>
      <c r="B43" s="1156"/>
      <c r="C43" s="1157"/>
      <c r="D43" s="1157"/>
      <c r="E43" s="1158"/>
      <c r="F43" s="1159" t="s">
        <v>569</v>
      </c>
      <c r="G43" s="1160"/>
      <c r="H43" s="1629"/>
      <c r="I43" s="1960">
        <f>I41*H42</f>
        <v>0</v>
      </c>
      <c r="J43" s="1629"/>
      <c r="K43" s="1960">
        <f>K41*J42</f>
        <v>0</v>
      </c>
      <c r="L43" s="1629"/>
      <c r="M43" s="1960">
        <f>M41*L42</f>
        <v>0</v>
      </c>
      <c r="N43" s="1629"/>
      <c r="O43" s="1960">
        <f>O41*N42</f>
        <v>0</v>
      </c>
      <c r="P43" s="1629"/>
      <c r="Q43" s="1960">
        <f>Q41*P42</f>
        <v>0</v>
      </c>
      <c r="R43" s="1629"/>
      <c r="S43" s="1960">
        <f>S41*R42</f>
        <v>0</v>
      </c>
    </row>
    <row r="44" spans="1:19">
      <c r="A44" s="624"/>
      <c r="B44" s="1156"/>
      <c r="C44" s="1157"/>
      <c r="D44" s="1157"/>
      <c r="E44" s="1158"/>
      <c r="F44" s="1159"/>
      <c r="G44" s="1160"/>
      <c r="H44" s="1629"/>
      <c r="I44" s="1629"/>
      <c r="J44" s="1629"/>
      <c r="K44" s="1629"/>
      <c r="L44" s="1629"/>
      <c r="M44" s="1629"/>
      <c r="N44" s="1629"/>
      <c r="O44" s="1629"/>
      <c r="P44" s="1629"/>
      <c r="Q44" s="1629"/>
      <c r="R44" s="1629"/>
      <c r="S44" s="1629"/>
    </row>
    <row r="45" spans="1:19">
      <c r="A45" s="624"/>
      <c r="B45" s="1156"/>
      <c r="C45" s="1157"/>
      <c r="D45" s="1157"/>
      <c r="E45" s="1158"/>
      <c r="F45" s="1159" t="s">
        <v>570</v>
      </c>
      <c r="G45" s="1160"/>
      <c r="H45" s="1634"/>
      <c r="I45" s="1961">
        <f>SUM(I41:I43)</f>
        <v>0</v>
      </c>
      <c r="J45" s="1634"/>
      <c r="K45" s="1961">
        <f>SUM(K41:K43)</f>
        <v>0</v>
      </c>
      <c r="L45" s="1634"/>
      <c r="M45" s="1961">
        <f>SUM(M41:M43)</f>
        <v>0</v>
      </c>
      <c r="N45" s="1634"/>
      <c r="O45" s="1961">
        <f>SUM(O41:O43)</f>
        <v>0</v>
      </c>
      <c r="P45" s="1634"/>
      <c r="Q45" s="1961">
        <f>SUM(Q41:Q43)</f>
        <v>0</v>
      </c>
      <c r="R45" s="1634"/>
      <c r="S45" s="1961">
        <f>SUM(S41:S43)</f>
        <v>0</v>
      </c>
    </row>
    <row r="46" spans="1:19">
      <c r="A46" s="624"/>
      <c r="B46" s="1156"/>
      <c r="C46" s="1157"/>
      <c r="D46" s="1157"/>
      <c r="E46" s="1158"/>
      <c r="F46" s="1161" t="s">
        <v>571</v>
      </c>
      <c r="G46" s="1162"/>
      <c r="H46" s="1635"/>
      <c r="I46" s="1636" t="e">
        <f>I45/'Area Calculations'!$J$4</f>
        <v>#DIV/0!</v>
      </c>
      <c r="J46" s="1635"/>
      <c r="K46" s="1636" t="e">
        <f>K45/'Area Calculations'!$J$4</f>
        <v>#DIV/0!</v>
      </c>
      <c r="L46" s="1635"/>
      <c r="M46" s="1636" t="e">
        <f>M45/'Area Calculations'!$J$4</f>
        <v>#DIV/0!</v>
      </c>
      <c r="N46" s="1635"/>
      <c r="O46" s="1636" t="e">
        <f>O45/'Area Calculations'!$J$4</f>
        <v>#DIV/0!</v>
      </c>
      <c r="P46" s="1635"/>
      <c r="Q46" s="1636" t="e">
        <f>Q45/'Area Calculations'!$J$4</f>
        <v>#DIV/0!</v>
      </c>
      <c r="R46" s="1635"/>
      <c r="S46" s="1636" t="e">
        <f>S45/'Area Calculations'!$J$4</f>
        <v>#DIV/0!</v>
      </c>
    </row>
    <row r="47" spans="1:19">
      <c r="A47" s="624"/>
      <c r="B47" s="1156"/>
      <c r="C47" s="1157"/>
      <c r="D47" s="1157"/>
      <c r="E47" s="1158"/>
      <c r="F47" s="1161" t="s">
        <v>572</v>
      </c>
      <c r="G47" s="1163"/>
      <c r="H47" s="1635"/>
      <c r="I47" s="1636" t="e">
        <f>I45/'Area Calculations'!#REF!</f>
        <v>#REF!</v>
      </c>
      <c r="J47" s="1635"/>
      <c r="K47" s="1636" t="e">
        <f>K45/'Area Calculations'!#REF!</f>
        <v>#REF!</v>
      </c>
      <c r="L47" s="1635"/>
      <c r="M47" s="1636" t="e">
        <f>M45/'Area Calculations'!#REF!</f>
        <v>#REF!</v>
      </c>
      <c r="N47" s="1635"/>
      <c r="O47" s="1636" t="e">
        <f>O45/'Area Calculations'!#REF!</f>
        <v>#REF!</v>
      </c>
      <c r="P47" s="1635"/>
      <c r="Q47" s="1636" t="e">
        <f>Q45/'Area Calculations'!#REF!</f>
        <v>#REF!</v>
      </c>
      <c r="R47" s="1635"/>
      <c r="S47" s="1636" t="e">
        <f>S45/'Area Calculations'!#REF!</f>
        <v>#REF!</v>
      </c>
    </row>
    <row r="48" spans="1:19" ht="15.75" thickBot="1">
      <c r="A48" s="624"/>
      <c r="B48" s="1156"/>
      <c r="C48" s="1157"/>
      <c r="D48" s="1157"/>
      <c r="E48" s="1158"/>
      <c r="F48" s="1159"/>
      <c r="G48" s="1533"/>
      <c r="H48" s="1637"/>
      <c r="I48" s="1638"/>
      <c r="J48" s="1639"/>
      <c r="K48" s="1639"/>
      <c r="L48" s="1639"/>
      <c r="M48" s="1639"/>
      <c r="N48" s="1639"/>
      <c r="O48" s="1639"/>
      <c r="P48" s="1639"/>
      <c r="Q48" s="1639"/>
      <c r="R48" s="1639"/>
      <c r="S48" s="1639"/>
    </row>
    <row r="49" spans="1:19" ht="16.5" thickTop="1" thickBot="1">
      <c r="A49" s="726" t="s">
        <v>573</v>
      </c>
      <c r="B49" s="727"/>
      <c r="C49" s="12"/>
      <c r="D49" s="12"/>
      <c r="E49" s="12"/>
      <c r="F49" s="12"/>
      <c r="G49" s="54"/>
      <c r="H49" s="52"/>
      <c r="I49" s="21"/>
      <c r="J49" s="21"/>
      <c r="K49" s="21"/>
      <c r="L49" s="21"/>
      <c r="M49" s="21"/>
      <c r="N49" s="21"/>
      <c r="O49" s="21"/>
      <c r="P49" s="21"/>
      <c r="Q49" s="21"/>
      <c r="R49" s="21"/>
      <c r="S49" s="21"/>
    </row>
    <row r="50" spans="1:19" ht="15.75" thickTop="1">
      <c r="A50" s="1929"/>
      <c r="B50" s="862"/>
      <c r="C50" s="1930"/>
      <c r="D50" s="1930"/>
      <c r="E50" s="1930"/>
      <c r="F50" s="1930"/>
      <c r="G50" s="1974"/>
      <c r="H50" s="1954"/>
      <c r="I50" s="1932"/>
      <c r="J50" s="1932"/>
      <c r="K50" s="1932"/>
      <c r="L50" s="1932"/>
      <c r="M50" s="1932"/>
      <c r="N50" s="1932"/>
      <c r="O50" s="1932"/>
      <c r="P50" s="1932"/>
      <c r="Q50" s="1932"/>
      <c r="R50" s="1932"/>
      <c r="S50" s="1932"/>
    </row>
    <row r="51" spans="1:19">
      <c r="A51" s="1929"/>
      <c r="B51" s="862"/>
      <c r="C51" s="1930"/>
      <c r="D51" s="1930"/>
      <c r="E51" s="1930"/>
      <c r="F51" s="1930"/>
      <c r="G51" s="1974"/>
      <c r="H51" s="1954"/>
      <c r="I51" s="1932"/>
      <c r="J51" s="1932"/>
      <c r="K51" s="1932"/>
      <c r="L51" s="1932"/>
      <c r="M51" s="1932"/>
      <c r="N51" s="1932"/>
      <c r="O51" s="1932"/>
      <c r="P51" s="1932"/>
      <c r="Q51" s="1932"/>
      <c r="R51" s="1932"/>
      <c r="S51" s="1932"/>
    </row>
    <row r="52" spans="1:19" ht="15.75" thickBot="1">
      <c r="A52" s="1929"/>
      <c r="B52" s="862"/>
      <c r="C52" s="1930"/>
      <c r="D52" s="1930"/>
      <c r="E52" s="1930"/>
      <c r="F52" s="1930"/>
      <c r="G52" s="1974"/>
      <c r="H52" s="1954"/>
      <c r="I52" s="1932"/>
      <c r="J52" s="1932"/>
      <c r="K52" s="1932"/>
      <c r="L52" s="1932"/>
      <c r="M52" s="1932"/>
      <c r="N52" s="1932"/>
      <c r="O52" s="1932"/>
      <c r="P52" s="1932"/>
      <c r="Q52" s="1932"/>
      <c r="R52" s="1932"/>
      <c r="S52" s="1932"/>
    </row>
    <row r="53" spans="1:19" s="2" customFormat="1" ht="16.5" thickTop="1" thickBot="1">
      <c r="A53" s="726" t="s">
        <v>574</v>
      </c>
      <c r="B53" s="727"/>
      <c r="C53" s="12"/>
      <c r="D53" s="12"/>
      <c r="E53" s="12"/>
      <c r="F53" s="12"/>
      <c r="G53" s="54"/>
      <c r="H53" s="52"/>
      <c r="I53" s="21"/>
      <c r="J53" s="21"/>
      <c r="K53" s="21"/>
      <c r="L53" s="21"/>
      <c r="M53" s="21"/>
      <c r="N53" s="21"/>
      <c r="O53" s="21"/>
      <c r="P53" s="21"/>
      <c r="Q53" s="21"/>
      <c r="R53" s="21"/>
      <c r="S53" s="21"/>
    </row>
    <row r="54" spans="1:19" s="2" customFormat="1" ht="15.75" thickTop="1">
      <c r="A54" s="1929"/>
      <c r="B54" s="862"/>
      <c r="C54" s="1930"/>
      <c r="D54" s="1930"/>
      <c r="E54" s="1930"/>
      <c r="F54" s="1930"/>
      <c r="G54" s="1974"/>
      <c r="H54" s="1954"/>
      <c r="I54" s="1932"/>
      <c r="J54" s="1932"/>
      <c r="K54" s="1932"/>
      <c r="L54" s="1932"/>
      <c r="M54" s="1932"/>
      <c r="N54" s="1932"/>
      <c r="O54" s="1932"/>
      <c r="P54" s="1932"/>
      <c r="Q54" s="1932"/>
      <c r="R54" s="1932"/>
      <c r="S54" s="1932"/>
    </row>
    <row r="55" spans="1:19" s="2" customFormat="1">
      <c r="A55" s="1929"/>
      <c r="B55" s="862"/>
      <c r="C55" s="1930"/>
      <c r="D55" s="1930"/>
      <c r="E55" s="1930"/>
      <c r="F55" s="1930"/>
      <c r="G55" s="1974"/>
      <c r="H55" s="1954"/>
      <c r="I55" s="1932"/>
      <c r="J55" s="1932"/>
      <c r="K55" s="1932"/>
      <c r="L55" s="1932"/>
      <c r="M55" s="1932"/>
      <c r="N55" s="1932"/>
      <c r="O55" s="1932"/>
      <c r="P55" s="1932"/>
      <c r="Q55" s="1932"/>
      <c r="R55" s="1932"/>
      <c r="S55" s="1932"/>
    </row>
    <row r="56" spans="1:19" ht="15.75" thickBot="1">
      <c r="A56" s="1929"/>
      <c r="B56" s="862"/>
      <c r="C56" s="1930"/>
      <c r="D56" s="1930"/>
      <c r="E56" s="1930"/>
      <c r="F56" s="1930"/>
      <c r="G56" s="1974"/>
      <c r="H56" s="1954"/>
      <c r="I56" s="1932"/>
      <c r="J56" s="1932"/>
      <c r="K56" s="1932"/>
      <c r="L56" s="1932"/>
      <c r="M56" s="1932"/>
      <c r="N56" s="1932"/>
      <c r="O56" s="1932"/>
      <c r="P56" s="1932"/>
      <c r="Q56" s="1932"/>
      <c r="R56" s="1932"/>
      <c r="S56" s="1932"/>
    </row>
    <row r="57" spans="1:19" s="2" customFormat="1" ht="16.5" thickTop="1" thickBot="1">
      <c r="A57" s="726" t="s">
        <v>575</v>
      </c>
      <c r="B57" s="727"/>
      <c r="C57" s="12"/>
      <c r="D57" s="12"/>
      <c r="E57" s="12"/>
      <c r="F57" s="12"/>
      <c r="G57" s="54"/>
      <c r="H57" s="52"/>
      <c r="I57" s="21"/>
      <c r="J57" s="21"/>
      <c r="K57" s="21"/>
      <c r="L57" s="21"/>
      <c r="M57" s="21"/>
      <c r="N57" s="21"/>
      <c r="O57" s="21"/>
      <c r="P57" s="21"/>
      <c r="Q57" s="21"/>
      <c r="R57" s="21"/>
      <c r="S57" s="21"/>
    </row>
    <row r="58" spans="1:19" s="2" customFormat="1" ht="15.75" thickTop="1">
      <c r="A58" s="1929"/>
      <c r="B58" s="862"/>
      <c r="C58" s="1930"/>
      <c r="D58" s="1930"/>
      <c r="E58" s="1930"/>
      <c r="F58" s="1930"/>
      <c r="G58" s="1974"/>
      <c r="H58" s="1954"/>
      <c r="I58" s="1932"/>
      <c r="J58" s="1932"/>
      <c r="K58" s="1932"/>
      <c r="L58" s="1932"/>
      <c r="M58" s="1932"/>
      <c r="N58" s="1932"/>
      <c r="O58" s="1932"/>
      <c r="P58" s="1932"/>
      <c r="Q58" s="1932"/>
      <c r="R58" s="1932"/>
      <c r="S58" s="1932"/>
    </row>
    <row r="59" spans="1:19" s="2" customFormat="1">
      <c r="A59" s="628"/>
      <c r="B59" s="862"/>
      <c r="C59" s="1124"/>
      <c r="D59" s="1124"/>
      <c r="E59" s="1124"/>
      <c r="F59" s="1124"/>
      <c r="G59" s="1169"/>
      <c r="H59" s="1170"/>
      <c r="I59" s="1640"/>
      <c r="J59" s="1640"/>
      <c r="K59" s="1640"/>
      <c r="L59" s="1640"/>
      <c r="M59" s="1640"/>
      <c r="N59" s="1640"/>
      <c r="O59" s="1640"/>
      <c r="P59" s="1640"/>
      <c r="Q59" s="1640"/>
      <c r="R59" s="1640"/>
      <c r="S59" s="1640"/>
    </row>
    <row r="60" spans="1:19" s="2" customFormat="1" ht="15.75" thickBot="1">
      <c r="A60" s="625"/>
      <c r="B60" s="1171"/>
      <c r="C60" s="1124"/>
      <c r="D60" s="1124"/>
      <c r="E60" s="1124"/>
      <c r="F60" s="1124"/>
      <c r="G60" s="1169"/>
      <c r="H60" s="1172"/>
      <c r="I60" s="1642"/>
      <c r="J60" s="1642"/>
      <c r="K60" s="1642"/>
      <c r="L60" s="1642"/>
      <c r="M60" s="1642"/>
      <c r="N60" s="1642"/>
      <c r="O60" s="1642"/>
      <c r="P60" s="1642"/>
      <c r="Q60" s="1642"/>
      <c r="R60" s="1642"/>
      <c r="S60" s="1642"/>
    </row>
    <row r="61" spans="1:19" s="2" customFormat="1" ht="16.5" thickTop="1" thickBot="1">
      <c r="A61" s="726" t="s">
        <v>576</v>
      </c>
      <c r="B61" s="727"/>
      <c r="C61" s="12"/>
      <c r="D61" s="12"/>
      <c r="E61" s="12"/>
      <c r="F61" s="12"/>
      <c r="G61" s="54"/>
      <c r="H61" s="52"/>
      <c r="I61" s="21"/>
      <c r="J61" s="21"/>
      <c r="K61" s="21"/>
      <c r="L61" s="21"/>
      <c r="M61" s="21"/>
      <c r="N61" s="21"/>
      <c r="O61" s="21"/>
      <c r="P61" s="21"/>
      <c r="Q61" s="21"/>
      <c r="R61" s="21"/>
      <c r="S61" s="21"/>
    </row>
    <row r="62" spans="1:19" ht="15.75" thickTop="1">
      <c r="A62" s="1933"/>
      <c r="B62" s="1934"/>
      <c r="C62" s="1930"/>
      <c r="D62" s="1930"/>
      <c r="E62" s="1930"/>
      <c r="F62" s="1930"/>
      <c r="G62" s="1974"/>
      <c r="H62" s="1954"/>
      <c r="I62" s="1932"/>
      <c r="J62" s="1932"/>
      <c r="K62" s="1932"/>
      <c r="L62" s="1932"/>
      <c r="M62" s="1932"/>
      <c r="N62" s="1932"/>
      <c r="O62" s="1932"/>
      <c r="P62" s="1932"/>
      <c r="Q62" s="1932"/>
      <c r="R62" s="1932"/>
      <c r="S62" s="1932"/>
    </row>
    <row r="63" spans="1:19">
      <c r="A63" s="625"/>
      <c r="B63" s="1171"/>
      <c r="C63" s="1124"/>
      <c r="D63" s="1124"/>
      <c r="E63" s="1124"/>
      <c r="F63" s="1124"/>
      <c r="G63" s="1169"/>
      <c r="H63" s="1175"/>
      <c r="I63" s="1643"/>
      <c r="J63" s="1643"/>
      <c r="K63" s="1643"/>
      <c r="L63" s="1643"/>
      <c r="M63" s="1643"/>
      <c r="N63" s="1643"/>
      <c r="O63" s="1643"/>
      <c r="P63" s="1643"/>
      <c r="Q63" s="1643"/>
      <c r="R63" s="1643"/>
      <c r="S63" s="1643"/>
    </row>
    <row r="64" spans="1:19" ht="15.75" thickBot="1">
      <c r="A64" s="625"/>
      <c r="B64" s="1171"/>
      <c r="C64" s="1124"/>
      <c r="D64" s="1124"/>
      <c r="E64" s="1124"/>
      <c r="F64" s="1124"/>
      <c r="G64" s="1169"/>
      <c r="H64" s="1175"/>
      <c r="I64" s="1643"/>
      <c r="J64" s="1643"/>
      <c r="K64" s="1643"/>
      <c r="L64" s="1643"/>
      <c r="M64" s="1643"/>
      <c r="N64" s="1643"/>
      <c r="O64" s="1643"/>
      <c r="P64" s="1643"/>
      <c r="Q64" s="1643"/>
      <c r="R64" s="1643"/>
      <c r="S64" s="1643"/>
    </row>
    <row r="65" spans="1:19" ht="16.5" thickTop="1" thickBot="1">
      <c r="A65" s="726" t="s">
        <v>577</v>
      </c>
      <c r="B65" s="727"/>
      <c r="C65" s="12"/>
      <c r="D65" s="12"/>
      <c r="E65" s="12"/>
      <c r="F65" s="12"/>
      <c r="G65" s="54"/>
      <c r="H65" s="52"/>
      <c r="I65" s="21"/>
      <c r="J65" s="21"/>
      <c r="K65" s="21"/>
      <c r="L65" s="21"/>
      <c r="M65" s="21"/>
      <c r="N65" s="21"/>
      <c r="O65" s="21"/>
      <c r="P65" s="21"/>
      <c r="Q65" s="21"/>
      <c r="R65" s="21"/>
      <c r="S65" s="21"/>
    </row>
    <row r="66" spans="1:19" ht="15.75" thickTop="1">
      <c r="A66" s="628"/>
      <c r="B66" s="862" t="s">
        <v>578</v>
      </c>
      <c r="C66" s="1124"/>
      <c r="D66" s="1124"/>
      <c r="E66" s="1124"/>
      <c r="F66" s="1124"/>
      <c r="G66" s="1169"/>
      <c r="H66" s="1175"/>
      <c r="I66" s="1643"/>
      <c r="J66" s="1643"/>
      <c r="K66" s="1643"/>
      <c r="L66" s="1643"/>
      <c r="M66" s="1643"/>
      <c r="N66" s="1643"/>
      <c r="O66" s="1643"/>
      <c r="P66" s="1643"/>
      <c r="Q66" s="1643"/>
      <c r="R66" s="1643"/>
      <c r="S66" s="1643"/>
    </row>
    <row r="67" spans="1:19">
      <c r="A67" s="628"/>
      <c r="B67" s="862" t="s">
        <v>579</v>
      </c>
      <c r="C67" s="1124"/>
      <c r="D67" s="1124"/>
      <c r="E67" s="1124"/>
      <c r="F67" s="1124"/>
      <c r="G67" s="1169"/>
      <c r="H67" s="1175"/>
      <c r="I67" s="1643"/>
      <c r="J67" s="1643"/>
      <c r="K67" s="1643"/>
      <c r="L67" s="1643"/>
      <c r="M67" s="1643"/>
      <c r="N67" s="1643"/>
      <c r="O67" s="1643"/>
      <c r="P67" s="1643"/>
      <c r="Q67" s="1643"/>
      <c r="R67" s="1643"/>
      <c r="S67" s="1643"/>
    </row>
    <row r="68" spans="1:19">
      <c r="A68" s="628"/>
      <c r="B68" s="862" t="s">
        <v>580</v>
      </c>
      <c r="C68" s="1124"/>
      <c r="D68" s="1124"/>
      <c r="E68" s="1124"/>
      <c r="F68" s="1124"/>
      <c r="G68" s="1169"/>
      <c r="H68" s="1175"/>
      <c r="I68" s="1643"/>
      <c r="J68" s="1643"/>
      <c r="K68" s="1643"/>
      <c r="L68" s="1643"/>
      <c r="M68" s="1643"/>
      <c r="N68" s="1643"/>
      <c r="O68" s="1643"/>
      <c r="P68" s="1643"/>
      <c r="Q68" s="1643"/>
      <c r="R68" s="1643"/>
      <c r="S68" s="1643"/>
    </row>
    <row r="69" spans="1:19">
      <c r="A69" s="628"/>
      <c r="B69" s="862" t="s">
        <v>581</v>
      </c>
      <c r="C69" s="1124"/>
      <c r="D69" s="1124"/>
      <c r="E69" s="1124"/>
      <c r="F69" s="1124"/>
      <c r="G69" s="1169"/>
      <c r="H69" s="1175"/>
      <c r="I69" s="1643"/>
      <c r="J69" s="1643"/>
      <c r="K69" s="1643"/>
      <c r="L69" s="1643"/>
      <c r="M69" s="1643"/>
      <c r="N69" s="1643"/>
      <c r="O69" s="1643"/>
      <c r="P69" s="1643"/>
      <c r="Q69" s="1643"/>
      <c r="R69" s="1643"/>
      <c r="S69" s="1643"/>
    </row>
    <row r="70" spans="1:19" ht="15.75" thickBot="1">
      <c r="A70" s="416"/>
      <c r="B70" s="295"/>
      <c r="C70" s="184"/>
      <c r="D70" s="184"/>
      <c r="E70" s="184"/>
      <c r="F70" s="184"/>
      <c r="G70" s="417"/>
      <c r="H70" s="53"/>
      <c r="I70" s="418"/>
      <c r="J70" s="418"/>
      <c r="K70" s="418"/>
      <c r="L70" s="418"/>
      <c r="M70" s="418"/>
      <c r="N70" s="418"/>
      <c r="O70" s="418"/>
      <c r="P70" s="418"/>
      <c r="Q70" s="418"/>
      <c r="R70" s="418"/>
      <c r="S70" s="418"/>
    </row>
    <row r="71" spans="1:19" ht="16.5" thickTop="1" thickBot="1">
      <c r="A71" s="7" t="s">
        <v>582</v>
      </c>
      <c r="B71" s="8"/>
      <c r="C71" s="12"/>
      <c r="D71" s="12"/>
      <c r="E71" s="12"/>
      <c r="F71" s="12"/>
      <c r="G71" s="54"/>
      <c r="H71" s="52"/>
      <c r="I71" s="21"/>
      <c r="J71" s="21"/>
      <c r="K71" s="21"/>
      <c r="L71" s="21"/>
      <c r="M71" s="21"/>
      <c r="N71" s="21"/>
      <c r="O71" s="21"/>
      <c r="P71" s="21"/>
      <c r="Q71" s="21"/>
      <c r="R71" s="21"/>
      <c r="S71" s="21"/>
    </row>
    <row r="72" spans="1:19" ht="15.75" thickTop="1">
      <c r="A72" s="1929"/>
      <c r="B72" s="1935" t="s">
        <v>583</v>
      </c>
      <c r="C72" s="1930"/>
      <c r="D72" s="1930"/>
      <c r="E72" s="1930"/>
      <c r="F72" s="1930"/>
      <c r="G72" s="1974"/>
      <c r="H72" s="1964"/>
      <c r="I72" s="1936"/>
      <c r="J72" s="1936"/>
      <c r="K72" s="1936"/>
      <c r="L72" s="1936"/>
      <c r="M72" s="1936"/>
      <c r="N72" s="1936"/>
      <c r="O72" s="1936"/>
      <c r="P72" s="1936"/>
      <c r="Q72" s="1936"/>
      <c r="R72" s="1936"/>
      <c r="S72" s="1936"/>
    </row>
    <row r="73" spans="1:19">
      <c r="A73" s="628"/>
      <c r="B73" s="862" t="s">
        <v>584</v>
      </c>
      <c r="C73" s="1124"/>
      <c r="D73" s="1124"/>
      <c r="E73" s="1124"/>
      <c r="F73" s="1124"/>
      <c r="G73" s="1169"/>
      <c r="H73" s="1178"/>
      <c r="I73" s="1644"/>
      <c r="J73" s="1644"/>
      <c r="K73" s="1644"/>
      <c r="L73" s="1644"/>
      <c r="M73" s="1644"/>
      <c r="N73" s="1644"/>
      <c r="O73" s="1644"/>
      <c r="P73" s="1644"/>
      <c r="Q73" s="1644"/>
      <c r="R73" s="1644"/>
      <c r="S73" s="1644"/>
    </row>
    <row r="74" spans="1:19" ht="15.75" thickBot="1">
      <c r="A74" s="1645"/>
      <c r="B74" s="1646" t="s">
        <v>585</v>
      </c>
      <c r="C74" s="1647"/>
      <c r="D74" s="1647"/>
      <c r="E74" s="1647"/>
      <c r="F74" s="1647"/>
      <c r="G74" s="1975"/>
      <c r="H74" s="1723"/>
      <c r="I74" s="1649"/>
      <c r="J74" s="1649"/>
      <c r="K74" s="1649"/>
      <c r="L74" s="1649"/>
      <c r="M74" s="1649"/>
      <c r="N74" s="1649"/>
      <c r="O74" s="1649"/>
      <c r="P74" s="1649"/>
      <c r="Q74" s="1649"/>
      <c r="R74" s="1649"/>
      <c r="S74" s="1649"/>
    </row>
    <row r="75" spans="1:19" ht="16.5" thickTop="1" thickBot="1"/>
    <row r="76" spans="1:19" ht="16.5" thickTop="1" thickBot="1">
      <c r="A76" s="92" t="s">
        <v>586</v>
      </c>
      <c r="B76" s="94"/>
    </row>
    <row r="77" spans="1:19" ht="15.75" thickTop="1">
      <c r="A77" s="93" t="s">
        <v>487</v>
      </c>
      <c r="B77" s="1650"/>
    </row>
    <row r="78" spans="1:19">
      <c r="A78" s="626" t="s">
        <v>491</v>
      </c>
      <c r="B78" s="1650"/>
    </row>
    <row r="79" spans="1:19">
      <c r="A79" s="1651" t="s">
        <v>494</v>
      </c>
      <c r="B79" s="1652"/>
    </row>
    <row r="80" spans="1:19">
      <c r="A80" s="1651" t="s">
        <v>497</v>
      </c>
      <c r="B80" s="1653"/>
    </row>
    <row r="81" spans="1:2" ht="15.75" thickBot="1">
      <c r="A81" s="1654" t="s">
        <v>587</v>
      </c>
      <c r="B81" s="1655"/>
    </row>
    <row r="82" spans="1:2" ht="15.75" thickTop="1"/>
    <row r="83" spans="1:2">
      <c r="A83" s="95"/>
      <c r="B83" s="1" t="s">
        <v>588</v>
      </c>
    </row>
    <row r="84" spans="1:2">
      <c r="A84" s="96"/>
      <c r="B84" s="1" t="s">
        <v>589</v>
      </c>
    </row>
  </sheetData>
  <mergeCells count="48">
    <mergeCell ref="O38:O39"/>
    <mergeCell ref="H8:I8"/>
    <mergeCell ref="J8:K8"/>
    <mergeCell ref="L8:M8"/>
    <mergeCell ref="N8:O8"/>
    <mergeCell ref="P8:Q8"/>
    <mergeCell ref="R8:S8"/>
    <mergeCell ref="H7:I7"/>
    <mergeCell ref="J7:K7"/>
    <mergeCell ref="L7:M7"/>
    <mergeCell ref="N7:O7"/>
    <mergeCell ref="P7:Q7"/>
    <mergeCell ref="R7:S7"/>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 ref="A49:B49"/>
    <mergeCell ref="A53:B53"/>
    <mergeCell ref="A57:B57"/>
    <mergeCell ref="A61:B61"/>
    <mergeCell ref="A65:B65"/>
  </mergeCells>
  <hyperlinks>
    <hyperlink ref="B3" location="'Cost Summary'!A1" display="BACK TO SUMMARY SHEET" xr:uid="{007ADE11-D215-434D-B25D-EB5B521BF660}"/>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947B-41FE-4A85-87C5-E431098CC0C3}">
  <sheetPr>
    <tabColor rgb="FF92D050"/>
  </sheetPr>
  <dimension ref="A1:S82"/>
  <sheetViews>
    <sheetView zoomScale="85" zoomScaleNormal="85" workbookViewId="0">
      <pane xSplit="2" ySplit="9" topLeftCell="C20" activePane="bottomRight" state="frozen"/>
      <selection pane="bottomRight" activeCell="B26" sqref="B26"/>
      <selection pane="bottomLeft" activeCell="A11" sqref="A11"/>
      <selection pane="topRight" activeCell="C1" sqref="C1"/>
    </sheetView>
  </sheetViews>
  <sheetFormatPr defaultRowHeight="15"/>
  <cols>
    <col min="1" max="1" width="11" customWidth="1"/>
    <col min="2" max="2" width="60.85546875" style="1" bestFit="1" customWidth="1"/>
    <col min="3" max="3" width="10.85546875" style="2" bestFit="1" customWidth="1"/>
    <col min="4" max="5" width="7.5703125" style="2" customWidth="1"/>
    <col min="6" max="6" width="10"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D1" s="175"/>
      <c r="E1" s="147"/>
      <c r="F1" s="149"/>
      <c r="G1" s="147" t="s">
        <v>474</v>
      </c>
    </row>
    <row r="2" spans="1:19" ht="15.75" thickBot="1">
      <c r="D2" s="175"/>
      <c r="E2" s="147"/>
      <c r="F2" s="146" t="s">
        <v>475</v>
      </c>
      <c r="G2" s="147" t="s">
        <v>476</v>
      </c>
      <c r="H2" s="732"/>
      <c r="I2" s="732"/>
      <c r="J2" s="732"/>
      <c r="K2" s="732"/>
      <c r="L2" s="732"/>
      <c r="M2" s="732"/>
      <c r="N2" s="732"/>
      <c r="O2" s="732"/>
      <c r="P2" s="732"/>
      <c r="Q2" s="732"/>
      <c r="R2" s="732"/>
      <c r="S2" s="732"/>
    </row>
    <row r="3" spans="1:19" ht="21" thickBot="1">
      <c r="B3" s="161" t="s">
        <v>477</v>
      </c>
      <c r="D3" s="175"/>
      <c r="E3" s="147"/>
      <c r="F3" s="148" t="s">
        <v>478</v>
      </c>
      <c r="G3" s="147" t="s">
        <v>479</v>
      </c>
      <c r="H3" s="730" t="s">
        <v>480</v>
      </c>
      <c r="I3" s="731"/>
      <c r="J3" s="730" t="s">
        <v>481</v>
      </c>
      <c r="K3" s="731"/>
      <c r="L3" s="730" t="s">
        <v>482</v>
      </c>
      <c r="M3" s="731"/>
      <c r="N3" s="730" t="s">
        <v>483</v>
      </c>
      <c r="O3" s="731"/>
      <c r="P3" s="730" t="s">
        <v>484</v>
      </c>
      <c r="Q3" s="731"/>
      <c r="R3" s="730" t="s">
        <v>485</v>
      </c>
      <c r="S3" s="731"/>
    </row>
    <row r="4" spans="1:19" ht="15.75" customHeight="1"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936</v>
      </c>
      <c r="C5" s="1124"/>
      <c r="D5" s="1124"/>
      <c r="E5" s="1124"/>
      <c r="F5" s="1124"/>
      <c r="G5" s="1125" t="s">
        <v>491</v>
      </c>
      <c r="H5" s="778"/>
      <c r="I5" s="1126"/>
      <c r="J5" s="778"/>
      <c r="K5" s="1126"/>
      <c r="L5" s="1976"/>
      <c r="M5" s="1977"/>
      <c r="N5" s="778"/>
      <c r="O5" s="1126"/>
      <c r="P5" s="778"/>
      <c r="Q5" s="1126"/>
      <c r="R5" s="778"/>
      <c r="S5" s="1126"/>
    </row>
    <row r="6" spans="1:19">
      <c r="A6" s="627" t="s">
        <v>493</v>
      </c>
      <c r="B6" s="1127" t="s">
        <v>937</v>
      </c>
      <c r="C6" s="1124"/>
      <c r="D6" s="1124"/>
      <c r="E6" s="1124"/>
      <c r="F6" s="1124"/>
      <c r="G6" s="1125" t="s">
        <v>494</v>
      </c>
      <c r="H6" s="776"/>
      <c r="I6" s="1129"/>
      <c r="J6" s="776"/>
      <c r="K6" s="1129"/>
      <c r="L6" s="1978"/>
      <c r="M6" s="1977"/>
      <c r="N6" s="776"/>
      <c r="O6" s="1129"/>
      <c r="P6" s="776"/>
      <c r="Q6" s="1129"/>
      <c r="R6" s="776"/>
      <c r="S6" s="1129"/>
    </row>
    <row r="7" spans="1:19">
      <c r="A7" s="627" t="s">
        <v>496</v>
      </c>
      <c r="B7" s="1130"/>
      <c r="C7" s="1124"/>
      <c r="D7" s="1124"/>
      <c r="E7" s="1124"/>
      <c r="F7" s="1124"/>
      <c r="G7" s="1125" t="s">
        <v>497</v>
      </c>
      <c r="H7" s="777"/>
      <c r="I7" s="1131"/>
      <c r="J7" s="777"/>
      <c r="K7" s="1131"/>
      <c r="L7" s="1979"/>
      <c r="M7" s="1980"/>
      <c r="N7" s="777"/>
      <c r="O7" s="1131"/>
      <c r="P7" s="777"/>
      <c r="Q7" s="1131"/>
      <c r="R7" s="777"/>
      <c r="S7" s="1131"/>
    </row>
    <row r="8" spans="1:19" ht="15.75" thickBot="1">
      <c r="A8" s="414" t="s">
        <v>499</v>
      </c>
      <c r="B8" s="295"/>
      <c r="C8" s="184"/>
      <c r="D8" s="184"/>
      <c r="E8" s="184"/>
      <c r="F8" s="184"/>
      <c r="G8" s="419" t="s">
        <v>499</v>
      </c>
      <c r="H8" s="1724">
        <f>I43</f>
        <v>0</v>
      </c>
      <c r="I8" s="1725"/>
      <c r="J8" s="1724">
        <f>K43</f>
        <v>0</v>
      </c>
      <c r="K8" s="1725"/>
      <c r="L8" s="1724">
        <f>M43</f>
        <v>0</v>
      </c>
      <c r="M8" s="1725"/>
      <c r="N8" s="1724">
        <f>O43</f>
        <v>0</v>
      </c>
      <c r="O8" s="1725"/>
      <c r="P8" s="1724">
        <f>Q43</f>
        <v>0</v>
      </c>
      <c r="Q8" s="1725"/>
      <c r="R8" s="1724">
        <f>S43</f>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idden="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t="15.75" hidden="1" customHeight="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t="15.75" thickTop="1">
      <c r="A20" s="628"/>
      <c r="B20" s="862"/>
      <c r="C20" s="1134"/>
      <c r="D20" s="1124"/>
      <c r="E20" s="1124"/>
      <c r="F20" s="1124"/>
      <c r="G20" s="1133"/>
      <c r="H20" s="1678"/>
      <c r="I20" s="1726"/>
      <c r="J20" s="1678"/>
      <c r="K20" s="1726"/>
      <c r="L20" s="1678"/>
      <c r="M20" s="1726"/>
      <c r="N20" s="1678"/>
      <c r="O20" s="1726"/>
      <c r="P20" s="1678"/>
      <c r="Q20" s="1726"/>
      <c r="R20" s="1678"/>
      <c r="S20" s="1726"/>
    </row>
    <row r="21" spans="1:19" ht="15.75" thickBot="1">
      <c r="A21" s="59"/>
      <c r="B21" s="1136" t="s">
        <v>936</v>
      </c>
      <c r="C21" s="56"/>
      <c r="D21" s="57"/>
      <c r="E21" s="57"/>
      <c r="F21" s="57"/>
      <c r="G21" s="63"/>
      <c r="H21" s="1678"/>
      <c r="I21" s="1726"/>
      <c r="J21" s="1678"/>
      <c r="K21" s="1726"/>
      <c r="L21" s="1678"/>
      <c r="M21" s="1726"/>
      <c r="N21" s="1678"/>
      <c r="O21" s="1726"/>
      <c r="P21" s="1678"/>
      <c r="Q21" s="1726"/>
      <c r="R21" s="1678"/>
      <c r="S21" s="1726"/>
    </row>
    <row r="22" spans="1:19" ht="15.75" thickBot="1">
      <c r="A22" s="1981"/>
      <c r="B22" s="589" t="s">
        <v>512</v>
      </c>
      <c r="C22" s="1134"/>
      <c r="D22" s="1124"/>
      <c r="E22" s="1124"/>
      <c r="F22" s="1124"/>
      <c r="G22" s="1133"/>
      <c r="H22" s="1678"/>
      <c r="I22" s="1644"/>
      <c r="J22" s="1678"/>
      <c r="K22" s="1178"/>
      <c r="L22" s="1678"/>
      <c r="M22" s="1982"/>
      <c r="N22" s="1678"/>
      <c r="O22" s="1178"/>
      <c r="P22" s="1678"/>
      <c r="Q22" s="1178"/>
      <c r="R22" s="1678"/>
      <c r="S22" s="1178"/>
    </row>
    <row r="23" spans="1:19">
      <c r="A23" s="640"/>
      <c r="B23" s="1422" t="s">
        <v>513</v>
      </c>
      <c r="C23" s="1134"/>
      <c r="D23" s="1124"/>
      <c r="E23" s="1124"/>
      <c r="F23" s="1124"/>
      <c r="G23" s="1133"/>
      <c r="H23" s="1678"/>
      <c r="I23" s="638"/>
      <c r="J23" s="1678"/>
      <c r="K23" s="638"/>
      <c r="L23" s="1678"/>
      <c r="M23" s="638"/>
      <c r="N23" s="1678"/>
      <c r="O23" s="1983"/>
      <c r="P23" s="1678"/>
      <c r="Q23" s="1983"/>
      <c r="R23" s="1678"/>
      <c r="S23" s="1983"/>
    </row>
    <row r="24" spans="1:19">
      <c r="A24" s="640"/>
      <c r="B24" s="1940" t="s">
        <v>514</v>
      </c>
      <c r="C24" s="1134"/>
      <c r="D24" s="1124"/>
      <c r="E24" s="1124"/>
      <c r="F24" s="1124"/>
      <c r="G24" s="1133"/>
      <c r="H24" s="1678"/>
      <c r="I24" s="638"/>
      <c r="J24" s="1678"/>
      <c r="K24" s="638"/>
      <c r="L24" s="1678"/>
      <c r="M24" s="638"/>
      <c r="N24" s="1678"/>
      <c r="O24" s="1983"/>
      <c r="P24" s="1678"/>
      <c r="Q24" s="1983"/>
      <c r="R24" s="1678"/>
      <c r="S24" s="1983"/>
    </row>
    <row r="25" spans="1:19">
      <c r="A25" s="623"/>
      <c r="B25" s="1943" t="s">
        <v>515</v>
      </c>
      <c r="C25" s="1134"/>
      <c r="D25" s="1124"/>
      <c r="E25" s="1124"/>
      <c r="F25" s="1124"/>
      <c r="G25" s="1133"/>
      <c r="H25" s="1678"/>
      <c r="I25" s="638"/>
      <c r="J25" s="1678"/>
      <c r="K25" s="638"/>
      <c r="L25" s="1678"/>
      <c r="M25" s="638"/>
      <c r="N25" s="1678"/>
      <c r="O25" s="1983"/>
      <c r="P25" s="1678"/>
      <c r="Q25" s="1983"/>
      <c r="R25" s="1678"/>
      <c r="S25" s="1983"/>
    </row>
    <row r="26" spans="1:19">
      <c r="A26" s="640"/>
      <c r="B26" s="1943" t="s">
        <v>516</v>
      </c>
      <c r="C26" s="1134"/>
      <c r="D26" s="1124"/>
      <c r="E26" s="1124"/>
      <c r="F26" s="1124"/>
      <c r="G26" s="1133"/>
      <c r="H26" s="1678"/>
      <c r="I26" s="638"/>
      <c r="J26" s="1678"/>
      <c r="K26" s="638"/>
      <c r="L26" s="1678"/>
      <c r="M26" s="638"/>
      <c r="N26" s="1678"/>
      <c r="O26" s="1983"/>
      <c r="P26" s="1678"/>
      <c r="Q26" s="1983"/>
      <c r="R26" s="1678"/>
      <c r="S26" s="1983"/>
    </row>
    <row r="27" spans="1:19">
      <c r="A27" s="623"/>
      <c r="B27" s="1943" t="s">
        <v>517</v>
      </c>
      <c r="C27" s="1134"/>
      <c r="D27" s="1124"/>
      <c r="E27" s="1124"/>
      <c r="F27" s="1124"/>
      <c r="G27" s="1133"/>
      <c r="H27" s="1678"/>
      <c r="I27" s="638"/>
      <c r="J27" s="1678"/>
      <c r="K27" s="638"/>
      <c r="L27" s="1678"/>
      <c r="M27" s="638"/>
      <c r="N27" s="1678"/>
      <c r="O27" s="1983"/>
      <c r="P27" s="1678"/>
      <c r="Q27" s="1983"/>
      <c r="R27" s="1678"/>
      <c r="S27" s="1983"/>
    </row>
    <row r="28" spans="1:19">
      <c r="A28" s="623"/>
      <c r="B28" s="1943" t="s">
        <v>518</v>
      </c>
      <c r="C28" s="1134"/>
      <c r="D28" s="1124"/>
      <c r="E28" s="1124"/>
      <c r="F28" s="1124"/>
      <c r="G28" s="1133"/>
      <c r="H28" s="1678"/>
      <c r="I28" s="638"/>
      <c r="J28" s="1678"/>
      <c r="K28" s="638"/>
      <c r="L28" s="1678"/>
      <c r="M28" s="1984"/>
      <c r="N28" s="1678"/>
      <c r="O28" s="1983"/>
      <c r="P28" s="1678"/>
      <c r="Q28" s="1983"/>
      <c r="R28" s="1678"/>
      <c r="S28" s="1983"/>
    </row>
    <row r="29" spans="1:19">
      <c r="A29" s="640"/>
      <c r="B29" s="1943" t="s">
        <v>693</v>
      </c>
      <c r="C29" s="1134"/>
      <c r="D29" s="1124"/>
      <c r="E29" s="1124"/>
      <c r="F29" s="1124"/>
      <c r="G29" s="1133"/>
      <c r="H29" s="1678"/>
      <c r="I29" s="638"/>
      <c r="J29" s="1678"/>
      <c r="K29" s="638"/>
      <c r="L29" s="1678"/>
      <c r="M29" s="1983"/>
      <c r="N29" s="1678"/>
      <c r="O29" s="1983"/>
      <c r="P29" s="1678"/>
      <c r="Q29" s="1983"/>
      <c r="R29" s="1678"/>
      <c r="S29" s="1983"/>
    </row>
    <row r="30" spans="1:19">
      <c r="A30" s="640"/>
      <c r="B30" s="1944" t="s">
        <v>519</v>
      </c>
      <c r="C30" s="1134"/>
      <c r="D30" s="1124"/>
      <c r="E30" s="1124"/>
      <c r="F30" s="1124"/>
      <c r="G30" s="1133"/>
      <c r="H30" s="1678"/>
      <c r="I30" s="638"/>
      <c r="J30" s="1678"/>
      <c r="K30" s="638"/>
      <c r="L30" s="1678"/>
      <c r="M30" s="638"/>
      <c r="N30" s="1678"/>
      <c r="O30" s="1983"/>
      <c r="P30" s="1678"/>
      <c r="Q30" s="1983"/>
      <c r="R30" s="1678"/>
      <c r="S30" s="1983"/>
    </row>
    <row r="31" spans="1:19">
      <c r="A31" s="623"/>
      <c r="B31" s="1945" t="s">
        <v>520</v>
      </c>
      <c r="C31" s="1144"/>
      <c r="D31" s="1145"/>
      <c r="E31" s="1145"/>
      <c r="F31" s="1146"/>
      <c r="G31" s="1599"/>
      <c r="H31" s="1727"/>
      <c r="I31" s="1985"/>
      <c r="J31" s="1727"/>
      <c r="K31" s="1985"/>
      <c r="L31" s="1727"/>
      <c r="M31" s="1985"/>
      <c r="N31" s="1986"/>
      <c r="O31" s="1986"/>
      <c r="P31" s="1986"/>
      <c r="Q31" s="1986"/>
      <c r="R31" s="1986"/>
      <c r="S31" s="1986"/>
    </row>
    <row r="32" spans="1:19">
      <c r="A32" s="623"/>
      <c r="B32" s="1973" t="s">
        <v>748</v>
      </c>
      <c r="C32" s="1134"/>
      <c r="D32" s="1124"/>
      <c r="E32" s="1124"/>
      <c r="F32" s="1151"/>
      <c r="G32" s="1229"/>
      <c r="H32" s="1678"/>
      <c r="I32" s="638"/>
      <c r="J32" s="1678"/>
      <c r="K32" s="638"/>
      <c r="L32" s="1678"/>
      <c r="M32" s="638"/>
      <c r="N32" s="1678"/>
      <c r="O32" s="1983"/>
      <c r="P32" s="1678"/>
      <c r="Q32" s="1983"/>
      <c r="R32" s="1678"/>
      <c r="S32" s="1983"/>
    </row>
    <row r="33" spans="1:19">
      <c r="A33" s="640"/>
      <c r="B33" s="1973"/>
      <c r="C33" s="1134"/>
      <c r="D33" s="1124"/>
      <c r="E33" s="1124"/>
      <c r="F33" s="1151"/>
      <c r="G33" s="1229"/>
      <c r="H33" s="1678"/>
      <c r="I33" s="638"/>
      <c r="J33" s="1678"/>
      <c r="K33" s="638"/>
      <c r="L33" s="1678"/>
      <c r="M33" s="638"/>
      <c r="N33" s="1678"/>
      <c r="O33" s="1983"/>
      <c r="P33" s="1678"/>
      <c r="Q33" s="1983"/>
      <c r="R33" s="1678"/>
      <c r="S33" s="1983"/>
    </row>
    <row r="34" spans="1:19">
      <c r="A34" s="640"/>
      <c r="B34" s="1973"/>
      <c r="C34" s="1134"/>
      <c r="D34" s="1124"/>
      <c r="E34" s="1124"/>
      <c r="F34" s="1151"/>
      <c r="G34" s="1229"/>
      <c r="H34" s="1678" t="s">
        <v>710</v>
      </c>
      <c r="I34" s="638"/>
      <c r="J34" s="1678"/>
      <c r="K34" s="638"/>
      <c r="L34" s="1678"/>
      <c r="M34" s="638"/>
      <c r="N34" s="1678"/>
      <c r="O34" s="1983"/>
      <c r="P34" s="1678"/>
      <c r="Q34" s="1983"/>
      <c r="R34" s="1678"/>
      <c r="S34" s="1983"/>
    </row>
    <row r="35" spans="1:19">
      <c r="A35" s="640"/>
      <c r="B35" s="1973"/>
      <c r="C35" s="1134"/>
      <c r="D35" s="1124"/>
      <c r="E35" s="1124"/>
      <c r="F35" s="1151"/>
      <c r="G35" s="1229"/>
      <c r="H35" s="1678"/>
      <c r="I35" s="638"/>
      <c r="J35" s="1678"/>
      <c r="K35" s="638"/>
      <c r="L35" s="1678"/>
      <c r="M35" s="638"/>
      <c r="N35" s="1678"/>
      <c r="O35" s="1983"/>
      <c r="P35" s="1678"/>
      <c r="Q35" s="1983"/>
      <c r="R35" s="1678"/>
      <c r="S35" s="1983"/>
    </row>
    <row r="36" spans="1:19">
      <c r="A36" s="640"/>
      <c r="B36" s="1973"/>
      <c r="C36" s="1134"/>
      <c r="D36" s="1124"/>
      <c r="E36" s="1124"/>
      <c r="F36" s="1151"/>
      <c r="G36" s="1229"/>
      <c r="H36" s="1678"/>
      <c r="I36" s="638"/>
      <c r="J36" s="1678"/>
      <c r="K36" s="638"/>
      <c r="L36" s="1678"/>
      <c r="M36" s="638"/>
      <c r="N36" s="1678"/>
      <c r="O36" s="1983"/>
      <c r="P36" s="1678"/>
      <c r="Q36" s="1983"/>
      <c r="R36" s="1678"/>
      <c r="S36" s="1983"/>
    </row>
    <row r="37" spans="1:19">
      <c r="A37" s="623"/>
      <c r="B37" s="1973"/>
      <c r="C37" s="1124"/>
      <c r="D37" s="1124"/>
      <c r="E37" s="1124"/>
      <c r="F37" s="1151"/>
      <c r="G37" s="1229"/>
      <c r="H37" s="1678"/>
      <c r="I37" s="638"/>
      <c r="J37" s="1678"/>
      <c r="K37" s="638"/>
      <c r="L37" s="1678"/>
      <c r="M37" s="638"/>
      <c r="N37" s="1678"/>
      <c r="O37" s="1983"/>
      <c r="P37" s="1678"/>
      <c r="Q37" s="1983"/>
      <c r="R37" s="1678"/>
      <c r="S37" s="1983"/>
    </row>
    <row r="38" spans="1:19" ht="15.75" thickBot="1">
      <c r="A38" s="623"/>
      <c r="B38" s="1987"/>
      <c r="C38" s="1134"/>
      <c r="D38" s="1124"/>
      <c r="E38" s="1124"/>
      <c r="F38" s="1151"/>
      <c r="G38" s="1229"/>
      <c r="H38" s="1678"/>
      <c r="I38" s="638"/>
      <c r="J38" s="1678"/>
      <c r="K38" s="638"/>
      <c r="L38" s="1678"/>
      <c r="M38" s="638"/>
      <c r="N38" s="1678"/>
      <c r="O38" s="1983"/>
      <c r="P38" s="1678"/>
      <c r="Q38" s="1983"/>
      <c r="R38" s="1678"/>
      <c r="S38" s="1983"/>
    </row>
    <row r="39" spans="1:19" ht="15.75" thickTop="1">
      <c r="A39" s="14"/>
      <c r="B39" s="15"/>
      <c r="C39" s="16"/>
      <c r="D39" s="16"/>
      <c r="E39" s="17"/>
      <c r="F39" s="18" t="s">
        <v>567</v>
      </c>
      <c r="G39" s="19"/>
      <c r="H39" s="20"/>
      <c r="I39" s="61">
        <f>SUM(I23:I38)</f>
        <v>0</v>
      </c>
      <c r="J39" s="20"/>
      <c r="K39" s="61">
        <f>SUM(K23:K38)</f>
        <v>0</v>
      </c>
      <c r="L39" s="20"/>
      <c r="M39" s="61">
        <f>SUM(M23:M38)</f>
        <v>0</v>
      </c>
      <c r="N39" s="20"/>
      <c r="O39" s="61">
        <f>SUM(O23:O38)</f>
        <v>0</v>
      </c>
      <c r="P39" s="20"/>
      <c r="Q39" s="61">
        <f>SUM(Q23:Q38)</f>
        <v>0</v>
      </c>
      <c r="R39" s="20"/>
      <c r="S39" s="61">
        <f>SUM(S23:S38)</f>
        <v>0</v>
      </c>
    </row>
    <row r="40" spans="1:19">
      <c r="A40" s="624"/>
      <c r="B40" s="1156"/>
      <c r="C40" s="1157"/>
      <c r="D40" s="1157"/>
      <c r="E40" s="1158"/>
      <c r="F40" s="1159" t="s">
        <v>568</v>
      </c>
      <c r="G40" s="1160"/>
      <c r="H40" s="1988">
        <v>0</v>
      </c>
      <c r="I40" s="1628"/>
      <c r="J40" s="1988">
        <v>0</v>
      </c>
      <c r="K40" s="1628"/>
      <c r="L40" s="1988">
        <v>0</v>
      </c>
      <c r="M40" s="1628"/>
      <c r="N40" s="1988">
        <v>0</v>
      </c>
      <c r="O40" s="1628"/>
      <c r="P40" s="1988">
        <v>0</v>
      </c>
      <c r="Q40" s="1628"/>
      <c r="R40" s="1988">
        <v>0</v>
      </c>
      <c r="S40" s="1628"/>
    </row>
    <row r="41" spans="1:19">
      <c r="A41" s="624"/>
      <c r="B41" s="1156"/>
      <c r="C41" s="1157"/>
      <c r="D41" s="1157"/>
      <c r="E41" s="1158"/>
      <c r="F41" s="1159" t="s">
        <v>569</v>
      </c>
      <c r="G41" s="1160"/>
      <c r="H41" s="1629"/>
      <c r="I41" s="1630">
        <f>H40*I39</f>
        <v>0</v>
      </c>
      <c r="J41" s="1629"/>
      <c r="K41" s="1630">
        <f>J40*K39</f>
        <v>0</v>
      </c>
      <c r="L41" s="1629"/>
      <c r="M41" s="1630">
        <f>L40*M39</f>
        <v>0</v>
      </c>
      <c r="N41" s="1629"/>
      <c r="O41" s="1630">
        <f>N40*O39</f>
        <v>0</v>
      </c>
      <c r="P41" s="1629"/>
      <c r="Q41" s="1630">
        <f>P40*Q39</f>
        <v>0</v>
      </c>
      <c r="R41" s="1629"/>
      <c r="S41" s="1630">
        <f>R40*S39</f>
        <v>0</v>
      </c>
    </row>
    <row r="42" spans="1:19">
      <c r="A42" s="624"/>
      <c r="B42" s="1156"/>
      <c r="C42" s="1157"/>
      <c r="D42" s="1157"/>
      <c r="E42" s="1158"/>
      <c r="F42" s="1159"/>
      <c r="G42" s="1160"/>
      <c r="H42" s="1629"/>
      <c r="I42" s="1633"/>
      <c r="J42" s="1629"/>
      <c r="K42" s="1633"/>
      <c r="L42" s="1629"/>
      <c r="M42" s="1633"/>
      <c r="N42" s="1629"/>
      <c r="O42" s="1633"/>
      <c r="P42" s="1629"/>
      <c r="Q42" s="1633"/>
      <c r="R42" s="1629"/>
      <c r="S42" s="1633"/>
    </row>
    <row r="43" spans="1:19">
      <c r="A43" s="624"/>
      <c r="B43" s="1156"/>
      <c r="C43" s="1157"/>
      <c r="D43" s="1157"/>
      <c r="E43" s="1158"/>
      <c r="F43" s="1159" t="s">
        <v>570</v>
      </c>
      <c r="G43" s="1160"/>
      <c r="H43" s="1634"/>
      <c r="I43" s="1632">
        <f>SUM(I39:I41)</f>
        <v>0</v>
      </c>
      <c r="J43" s="1634"/>
      <c r="K43" s="1632">
        <f>SUM(K39:K41)</f>
        <v>0</v>
      </c>
      <c r="L43" s="1634"/>
      <c r="M43" s="1632">
        <f>SUM(M39:M41)</f>
        <v>0</v>
      </c>
      <c r="N43" s="1634"/>
      <c r="O43" s="1632">
        <f>SUM(O39:O41)</f>
        <v>0</v>
      </c>
      <c r="P43" s="1634"/>
      <c r="Q43" s="1632">
        <f>SUM(Q39:Q41)</f>
        <v>0</v>
      </c>
      <c r="R43" s="1634"/>
      <c r="S43" s="1632">
        <f>SUM(S39:S41)</f>
        <v>0</v>
      </c>
    </row>
    <row r="44" spans="1:19">
      <c r="A44" s="624"/>
      <c r="B44" s="1156"/>
      <c r="C44" s="1157"/>
      <c r="D44" s="1157"/>
      <c r="E44" s="1158"/>
      <c r="F44" s="1161" t="s">
        <v>571</v>
      </c>
      <c r="G44" s="1162"/>
      <c r="H44" s="1635"/>
      <c r="I44" s="1636" t="e">
        <f>I43/'Area Calculations'!$J$4</f>
        <v>#DIV/0!</v>
      </c>
      <c r="J44" s="1635"/>
      <c r="K44" s="1636" t="e">
        <f>K43/'Area Calculations'!$J$4</f>
        <v>#DIV/0!</v>
      </c>
      <c r="L44" s="1635"/>
      <c r="M44" s="1636" t="e">
        <f>M43/'Area Calculations'!$J$4</f>
        <v>#DIV/0!</v>
      </c>
      <c r="N44" s="1635"/>
      <c r="O44" s="1636" t="e">
        <f>O43/'Area Calculations'!$J$4</f>
        <v>#DIV/0!</v>
      </c>
      <c r="P44" s="1635"/>
      <c r="Q44" s="1636" t="e">
        <f>Q43/'Area Calculations'!$J$4</f>
        <v>#DIV/0!</v>
      </c>
      <c r="R44" s="1635"/>
      <c r="S44" s="1636" t="e">
        <f>S43/'Area Calculations'!$J$4</f>
        <v>#DIV/0!</v>
      </c>
    </row>
    <row r="45" spans="1:19">
      <c r="A45" s="624"/>
      <c r="B45" s="1156"/>
      <c r="C45" s="1157"/>
      <c r="D45" s="1157"/>
      <c r="E45" s="1158"/>
      <c r="F45" s="1161" t="s">
        <v>572</v>
      </c>
      <c r="G45" s="1163"/>
      <c r="H45" s="1635"/>
      <c r="I45" s="1636" t="e">
        <f>I43/'Area Calculations'!#REF!</f>
        <v>#REF!</v>
      </c>
      <c r="J45" s="1635"/>
      <c r="K45" s="1636" t="e">
        <f>K43/'Area Calculations'!#REF!</f>
        <v>#REF!</v>
      </c>
      <c r="L45" s="1635"/>
      <c r="M45" s="1636" t="e">
        <f>M43/'Area Calculations'!#REF!</f>
        <v>#REF!</v>
      </c>
      <c r="N45" s="1635"/>
      <c r="O45" s="1636" t="e">
        <f>O43/'Area Calculations'!#REF!</f>
        <v>#REF!</v>
      </c>
      <c r="P45" s="1635"/>
      <c r="Q45" s="1636" t="e">
        <f>Q43/'Area Calculations'!#REF!</f>
        <v>#REF!</v>
      </c>
      <c r="R45" s="1635"/>
      <c r="S45" s="1636" t="e">
        <f>S43/'Area Calculations'!#REF!</f>
        <v>#REF!</v>
      </c>
    </row>
    <row r="46" spans="1:19" ht="15.75" thickBot="1">
      <c r="A46" s="624"/>
      <c r="B46" s="1156"/>
      <c r="C46" s="1157"/>
      <c r="D46" s="1157"/>
      <c r="E46" s="1158"/>
      <c r="F46" s="1159"/>
      <c r="G46" s="1533"/>
      <c r="H46" s="1637"/>
      <c r="I46" s="1638"/>
      <c r="J46" s="1637"/>
      <c r="K46" s="1638"/>
      <c r="L46" s="1637"/>
      <c r="M46" s="1638"/>
      <c r="N46" s="1637"/>
      <c r="O46" s="1638"/>
      <c r="P46" s="1637"/>
      <c r="Q46" s="1638"/>
      <c r="R46" s="1637"/>
      <c r="S46" s="1638"/>
    </row>
    <row r="47" spans="1:19" ht="16.5" thickTop="1" thickBot="1">
      <c r="A47" s="726" t="s">
        <v>573</v>
      </c>
      <c r="B47" s="727"/>
      <c r="C47" s="12"/>
      <c r="D47" s="12"/>
      <c r="E47" s="12"/>
      <c r="F47" s="12"/>
      <c r="G47" s="13"/>
      <c r="H47" s="21"/>
      <c r="I47" s="21"/>
      <c r="J47" s="21"/>
      <c r="K47" s="21"/>
      <c r="L47" s="21"/>
      <c r="M47" s="21"/>
      <c r="N47" s="21"/>
      <c r="O47" s="21"/>
      <c r="P47" s="21"/>
      <c r="Q47" s="21"/>
      <c r="R47" s="21"/>
      <c r="S47" s="21"/>
    </row>
    <row r="48" spans="1:19" ht="15.75" thickTop="1">
      <c r="A48" s="1929"/>
      <c r="B48" s="862"/>
      <c r="C48" s="1930"/>
      <c r="D48" s="1930"/>
      <c r="E48" s="1930"/>
      <c r="F48" s="1930"/>
      <c r="G48" s="1931"/>
      <c r="H48" s="1932"/>
      <c r="I48" s="1932"/>
      <c r="J48" s="1932"/>
      <c r="K48" s="1932"/>
      <c r="L48" s="1932"/>
      <c r="M48" s="1932"/>
      <c r="N48" s="1932"/>
      <c r="O48" s="1932"/>
      <c r="P48" s="1932"/>
      <c r="Q48" s="1932"/>
      <c r="R48" s="1932"/>
      <c r="S48" s="1932"/>
    </row>
    <row r="49" spans="1:19">
      <c r="A49" s="1929"/>
      <c r="B49" s="862"/>
      <c r="C49" s="1930"/>
      <c r="D49" s="1930"/>
      <c r="E49" s="1930"/>
      <c r="F49" s="1930"/>
      <c r="G49" s="1931"/>
      <c r="H49" s="1932"/>
      <c r="I49" s="1932"/>
      <c r="J49" s="1932"/>
      <c r="K49" s="1932"/>
      <c r="L49" s="1932"/>
      <c r="M49" s="1932"/>
      <c r="N49" s="1932"/>
      <c r="O49" s="1932"/>
      <c r="P49" s="1932"/>
      <c r="Q49" s="1932"/>
      <c r="R49" s="1932"/>
      <c r="S49" s="1932"/>
    </row>
    <row r="50" spans="1:19" ht="15.75" thickBot="1">
      <c r="A50" s="1929"/>
      <c r="B50" s="862"/>
      <c r="C50" s="1930"/>
      <c r="D50" s="1930"/>
      <c r="E50" s="1930"/>
      <c r="F50" s="1930"/>
      <c r="G50" s="1931"/>
      <c r="H50" s="1932"/>
      <c r="I50" s="1932"/>
      <c r="J50" s="1932"/>
      <c r="K50" s="1932"/>
      <c r="L50" s="1932"/>
      <c r="M50" s="1932"/>
      <c r="N50" s="1932"/>
      <c r="O50" s="1932"/>
      <c r="P50" s="1932"/>
      <c r="Q50" s="1932"/>
      <c r="R50" s="1932"/>
      <c r="S50" s="1932"/>
    </row>
    <row r="51" spans="1:19" s="2" customFormat="1" ht="16.5" thickTop="1" thickBot="1">
      <c r="A51" s="726" t="s">
        <v>574</v>
      </c>
      <c r="B51" s="727"/>
      <c r="C51" s="12"/>
      <c r="D51" s="12"/>
      <c r="E51" s="12"/>
      <c r="F51" s="12"/>
      <c r="G51" s="13"/>
      <c r="H51" s="21"/>
      <c r="I51" s="21"/>
      <c r="J51" s="21"/>
      <c r="K51" s="21"/>
      <c r="L51" s="21"/>
      <c r="M51" s="21"/>
      <c r="N51" s="21"/>
      <c r="O51" s="21"/>
      <c r="P51" s="21"/>
      <c r="Q51" s="21"/>
      <c r="R51" s="21"/>
      <c r="S51" s="21"/>
    </row>
    <row r="52" spans="1:19" s="2" customFormat="1" ht="15.75" thickTop="1">
      <c r="A52" s="1929"/>
      <c r="B52" s="862"/>
      <c r="C52" s="1930"/>
      <c r="D52" s="1930"/>
      <c r="E52" s="1930"/>
      <c r="F52" s="1930"/>
      <c r="G52" s="1931"/>
      <c r="H52" s="1932"/>
      <c r="I52" s="1932"/>
      <c r="J52" s="1932"/>
      <c r="K52" s="1932"/>
      <c r="L52" s="1932"/>
      <c r="M52" s="1932"/>
      <c r="N52" s="1932"/>
      <c r="O52" s="1932"/>
      <c r="P52" s="1932"/>
      <c r="Q52" s="1932"/>
      <c r="R52" s="1932"/>
      <c r="S52" s="1932"/>
    </row>
    <row r="53" spans="1:19" s="2" customFormat="1">
      <c r="A53" s="1929"/>
      <c r="B53" s="862"/>
      <c r="C53" s="1930"/>
      <c r="D53" s="1930"/>
      <c r="E53" s="1930"/>
      <c r="F53" s="1930"/>
      <c r="G53" s="1931"/>
      <c r="H53" s="1932"/>
      <c r="I53" s="1932"/>
      <c r="J53" s="1932"/>
      <c r="K53" s="1932"/>
      <c r="L53" s="1932"/>
      <c r="M53" s="1932"/>
      <c r="N53" s="1932"/>
      <c r="O53" s="1932"/>
      <c r="P53" s="1932"/>
      <c r="Q53" s="1932"/>
      <c r="R53" s="1932"/>
      <c r="S53" s="1932"/>
    </row>
    <row r="54" spans="1:19" ht="15.75" thickBot="1">
      <c r="A54" s="1929"/>
      <c r="B54" s="862"/>
      <c r="C54" s="1930"/>
      <c r="D54" s="1930"/>
      <c r="E54" s="1930"/>
      <c r="F54" s="1930"/>
      <c r="G54" s="1931"/>
      <c r="H54" s="1932"/>
      <c r="I54" s="1932"/>
      <c r="J54" s="1932"/>
      <c r="K54" s="1932"/>
      <c r="L54" s="1932"/>
      <c r="M54" s="1932"/>
      <c r="N54" s="1932"/>
      <c r="O54" s="1932"/>
      <c r="P54" s="1932"/>
      <c r="Q54" s="1932"/>
      <c r="R54" s="1932"/>
      <c r="S54" s="1932"/>
    </row>
    <row r="55" spans="1:19" s="2" customFormat="1" ht="16.5" thickTop="1" thickBot="1">
      <c r="A55" s="726" t="s">
        <v>575</v>
      </c>
      <c r="B55" s="727"/>
      <c r="C55" s="12"/>
      <c r="D55" s="12"/>
      <c r="E55" s="12"/>
      <c r="F55" s="12"/>
      <c r="G55" s="13"/>
      <c r="H55" s="21"/>
      <c r="I55" s="21"/>
      <c r="J55" s="21"/>
      <c r="K55" s="21"/>
      <c r="L55" s="21"/>
      <c r="M55" s="21"/>
      <c r="N55" s="21"/>
      <c r="O55" s="21"/>
      <c r="P55" s="21"/>
      <c r="Q55" s="21"/>
      <c r="R55" s="21"/>
      <c r="S55" s="21"/>
    </row>
    <row r="56" spans="1:19" s="2" customFormat="1" ht="15.75" thickTop="1">
      <c r="A56" s="1929"/>
      <c r="B56" s="862"/>
      <c r="C56" s="1930"/>
      <c r="D56" s="1930"/>
      <c r="E56" s="1930"/>
      <c r="F56" s="1930"/>
      <c r="G56" s="1931"/>
      <c r="H56" s="1932"/>
      <c r="I56" s="1932"/>
      <c r="J56" s="1932"/>
      <c r="K56" s="1932"/>
      <c r="L56" s="1932"/>
      <c r="M56" s="1932"/>
      <c r="N56" s="1932"/>
      <c r="O56" s="1932"/>
      <c r="P56" s="1932"/>
      <c r="Q56" s="1932"/>
      <c r="R56" s="1932"/>
      <c r="S56" s="1932"/>
    </row>
    <row r="57" spans="1:19" s="2" customFormat="1">
      <c r="A57" s="628"/>
      <c r="B57" s="862"/>
      <c r="C57" s="1124"/>
      <c r="D57" s="1124"/>
      <c r="E57" s="1124"/>
      <c r="F57" s="1124"/>
      <c r="G57" s="1133"/>
      <c r="H57" s="1640"/>
      <c r="I57" s="1640"/>
      <c r="J57" s="1640"/>
      <c r="K57" s="1640"/>
      <c r="L57" s="1640"/>
      <c r="M57" s="1640"/>
      <c r="N57" s="1640"/>
      <c r="O57" s="1640"/>
      <c r="P57" s="1640"/>
      <c r="Q57" s="1640"/>
      <c r="R57" s="1640"/>
      <c r="S57" s="1640"/>
    </row>
    <row r="58" spans="1:19" s="2" customFormat="1" ht="15.75" thickBot="1">
      <c r="A58" s="625"/>
      <c r="B58" s="1171"/>
      <c r="C58" s="1124"/>
      <c r="D58" s="1124"/>
      <c r="E58" s="1124"/>
      <c r="F58" s="1124"/>
      <c r="G58" s="1133"/>
      <c r="H58" s="1642"/>
      <c r="I58" s="1642"/>
      <c r="J58" s="1642"/>
      <c r="K58" s="1642"/>
      <c r="L58" s="1642"/>
      <c r="M58" s="1642"/>
      <c r="N58" s="1642"/>
      <c r="O58" s="1642"/>
      <c r="P58" s="1642"/>
      <c r="Q58" s="1642"/>
      <c r="R58" s="1642"/>
      <c r="S58" s="1642"/>
    </row>
    <row r="59" spans="1:19" s="2" customFormat="1" ht="16.5" thickTop="1" thickBot="1">
      <c r="A59" s="726" t="s">
        <v>576</v>
      </c>
      <c r="B59" s="727"/>
      <c r="C59" s="12"/>
      <c r="D59" s="12"/>
      <c r="E59" s="12"/>
      <c r="F59" s="12"/>
      <c r="G59" s="13"/>
      <c r="H59" s="21"/>
      <c r="I59" s="21"/>
      <c r="J59" s="21"/>
      <c r="K59" s="21"/>
      <c r="L59" s="21"/>
      <c r="M59" s="21"/>
      <c r="N59" s="21"/>
      <c r="O59" s="21"/>
      <c r="P59" s="21"/>
      <c r="Q59" s="21"/>
      <c r="R59" s="21"/>
      <c r="S59" s="21"/>
    </row>
    <row r="60" spans="1:19" ht="15.75" thickTop="1">
      <c r="A60" s="1933"/>
      <c r="B60" s="1934"/>
      <c r="C60" s="1930"/>
      <c r="D60" s="1930"/>
      <c r="E60" s="1930"/>
      <c r="F60" s="1930"/>
      <c r="G60" s="1931"/>
      <c r="H60" s="1932"/>
      <c r="I60" s="1932"/>
      <c r="J60" s="1932"/>
      <c r="K60" s="1932"/>
      <c r="L60" s="1932"/>
      <c r="M60" s="1932"/>
      <c r="N60" s="1932"/>
      <c r="O60" s="1932"/>
      <c r="P60" s="1932"/>
      <c r="Q60" s="1932"/>
      <c r="R60" s="1932"/>
      <c r="S60" s="1932"/>
    </row>
    <row r="61" spans="1:19">
      <c r="A61" s="625"/>
      <c r="B61" s="1171"/>
      <c r="C61" s="1124"/>
      <c r="D61" s="1124"/>
      <c r="E61" s="1124"/>
      <c r="F61" s="1124"/>
      <c r="G61" s="1133"/>
      <c r="H61" s="1643"/>
      <c r="I61" s="1643"/>
      <c r="J61" s="1643"/>
      <c r="K61" s="1643"/>
      <c r="L61" s="1643"/>
      <c r="M61" s="1643"/>
      <c r="N61" s="1643"/>
      <c r="O61" s="1643"/>
      <c r="P61" s="1643"/>
      <c r="Q61" s="1643"/>
      <c r="R61" s="1643"/>
      <c r="S61" s="1643"/>
    </row>
    <row r="62" spans="1:19" ht="15.75" thickBot="1">
      <c r="A62" s="625"/>
      <c r="B62" s="1171"/>
      <c r="C62" s="1124"/>
      <c r="D62" s="1124"/>
      <c r="E62" s="1124"/>
      <c r="F62" s="1124"/>
      <c r="G62" s="1133"/>
      <c r="H62" s="1643"/>
      <c r="I62" s="1643"/>
      <c r="J62" s="1643"/>
      <c r="K62" s="1643"/>
      <c r="L62" s="1643"/>
      <c r="M62" s="1643"/>
      <c r="N62" s="1643"/>
      <c r="O62" s="1643"/>
      <c r="P62" s="1643"/>
      <c r="Q62" s="1643"/>
      <c r="R62" s="1643"/>
      <c r="S62" s="1643"/>
    </row>
    <row r="63" spans="1:19" ht="16.5" thickTop="1" thickBot="1">
      <c r="A63" s="726" t="s">
        <v>577</v>
      </c>
      <c r="B63" s="727"/>
      <c r="C63" s="12"/>
      <c r="D63" s="12"/>
      <c r="E63" s="12"/>
      <c r="F63" s="12"/>
      <c r="G63" s="13"/>
      <c r="H63" s="21"/>
      <c r="I63" s="21"/>
      <c r="J63" s="21"/>
      <c r="K63" s="21"/>
      <c r="L63" s="21"/>
      <c r="M63" s="21"/>
      <c r="N63" s="21"/>
      <c r="O63" s="21"/>
      <c r="P63" s="21"/>
      <c r="Q63" s="21"/>
      <c r="R63" s="21"/>
      <c r="S63" s="21"/>
    </row>
    <row r="64" spans="1:19" ht="15.75" thickTop="1">
      <c r="A64" s="628"/>
      <c r="B64" s="862" t="s">
        <v>578</v>
      </c>
      <c r="C64" s="1124"/>
      <c r="D64" s="1124"/>
      <c r="E64" s="1124"/>
      <c r="F64" s="1124"/>
      <c r="G64" s="1133"/>
      <c r="H64" s="1643"/>
      <c r="I64" s="1643"/>
      <c r="J64" s="1643"/>
      <c r="K64" s="1643"/>
      <c r="L64" s="1643"/>
      <c r="M64" s="1643"/>
      <c r="N64" s="1643"/>
      <c r="O64" s="1643"/>
      <c r="P64" s="1643"/>
      <c r="Q64" s="1643"/>
      <c r="R64" s="1643"/>
      <c r="S64" s="1643"/>
    </row>
    <row r="65" spans="1:19">
      <c r="A65" s="628"/>
      <c r="B65" s="862" t="s">
        <v>579</v>
      </c>
      <c r="C65" s="1124"/>
      <c r="D65" s="1124"/>
      <c r="E65" s="1124"/>
      <c r="F65" s="1124"/>
      <c r="G65" s="1133"/>
      <c r="H65" s="1643"/>
      <c r="I65" s="1643"/>
      <c r="J65" s="1643"/>
      <c r="K65" s="1643"/>
      <c r="L65" s="1643"/>
      <c r="M65" s="1643"/>
      <c r="N65" s="1643"/>
      <c r="O65" s="1643"/>
      <c r="P65" s="1643"/>
      <c r="Q65" s="1643"/>
      <c r="R65" s="1643"/>
      <c r="S65" s="1643"/>
    </row>
    <row r="66" spans="1:19">
      <c r="A66" s="628"/>
      <c r="B66" s="862" t="s">
        <v>580</v>
      </c>
      <c r="C66" s="1124"/>
      <c r="D66" s="1124"/>
      <c r="E66" s="1124"/>
      <c r="F66" s="1124"/>
      <c r="G66" s="1133"/>
      <c r="H66" s="1643"/>
      <c r="I66" s="1643"/>
      <c r="J66" s="1643"/>
      <c r="K66" s="1643"/>
      <c r="L66" s="1643"/>
      <c r="M66" s="1643"/>
      <c r="N66" s="1643"/>
      <c r="O66" s="1643"/>
      <c r="P66" s="1643"/>
      <c r="Q66" s="1643"/>
      <c r="R66" s="1643"/>
      <c r="S66" s="1643"/>
    </row>
    <row r="67" spans="1:19">
      <c r="A67" s="628"/>
      <c r="B67" s="862" t="s">
        <v>581</v>
      </c>
      <c r="C67" s="1124"/>
      <c r="D67" s="1124"/>
      <c r="E67" s="1124"/>
      <c r="F67" s="1124"/>
      <c r="G67" s="1133"/>
      <c r="H67" s="1643"/>
      <c r="I67" s="1643"/>
      <c r="J67" s="1643"/>
      <c r="K67" s="1643"/>
      <c r="L67" s="1643"/>
      <c r="M67" s="1643"/>
      <c r="N67" s="1643"/>
      <c r="O67" s="1643"/>
      <c r="P67" s="1643"/>
      <c r="Q67" s="1643"/>
      <c r="R67" s="1643"/>
      <c r="S67" s="1643"/>
    </row>
    <row r="68" spans="1:19" ht="15.75" thickBot="1">
      <c r="A68" s="416"/>
      <c r="B68" s="295"/>
      <c r="C68" s="184"/>
      <c r="D68" s="184"/>
      <c r="E68" s="184"/>
      <c r="F68" s="184"/>
      <c r="G68" s="296"/>
      <c r="H68" s="418"/>
      <c r="I68" s="418"/>
      <c r="J68" s="418"/>
      <c r="K68" s="418"/>
      <c r="L68" s="418"/>
      <c r="M68" s="418"/>
      <c r="N68" s="418"/>
      <c r="O68" s="418"/>
      <c r="P68" s="418"/>
      <c r="Q68" s="418"/>
      <c r="R68" s="418"/>
      <c r="S68" s="418"/>
    </row>
    <row r="69" spans="1:19" ht="16.5" thickTop="1" thickBot="1">
      <c r="A69" s="7" t="s">
        <v>582</v>
      </c>
      <c r="B69" s="8"/>
      <c r="C69" s="12"/>
      <c r="D69" s="12"/>
      <c r="E69" s="12"/>
      <c r="F69" s="12"/>
      <c r="G69" s="13"/>
      <c r="H69" s="21"/>
      <c r="I69" s="21"/>
      <c r="J69" s="21"/>
      <c r="K69" s="21"/>
      <c r="L69" s="21"/>
      <c r="M69" s="21"/>
      <c r="N69" s="21"/>
      <c r="O69" s="21"/>
      <c r="P69" s="21"/>
      <c r="Q69" s="21"/>
      <c r="R69" s="21"/>
      <c r="S69" s="21"/>
    </row>
    <row r="70" spans="1:19" ht="15.75" thickTop="1">
      <c r="A70" s="1929"/>
      <c r="B70" s="1935" t="s">
        <v>583</v>
      </c>
      <c r="C70" s="1930"/>
      <c r="D70" s="1930"/>
      <c r="E70" s="1930"/>
      <c r="F70" s="1930"/>
      <c r="G70" s="1931"/>
      <c r="H70" s="1936"/>
      <c r="I70" s="1936"/>
      <c r="J70" s="1936"/>
      <c r="K70" s="1936"/>
      <c r="L70" s="1936"/>
      <c r="M70" s="1936"/>
      <c r="N70" s="1936"/>
      <c r="O70" s="1936"/>
      <c r="P70" s="1936"/>
      <c r="Q70" s="1936"/>
      <c r="R70" s="1936"/>
      <c r="S70" s="1936"/>
    </row>
    <row r="71" spans="1:19">
      <c r="A71" s="628"/>
      <c r="B71" s="862" t="s">
        <v>584</v>
      </c>
      <c r="C71" s="1124"/>
      <c r="D71" s="1124"/>
      <c r="E71" s="1124"/>
      <c r="F71" s="1124"/>
      <c r="G71" s="1133"/>
      <c r="H71" s="1644"/>
      <c r="I71" s="1644"/>
      <c r="J71" s="1644"/>
      <c r="K71" s="1644"/>
      <c r="L71" s="1644"/>
      <c r="M71" s="1644"/>
      <c r="N71" s="1644"/>
      <c r="O71" s="1644"/>
      <c r="P71" s="1644"/>
      <c r="Q71" s="1644"/>
      <c r="R71" s="1644"/>
      <c r="S71" s="1644"/>
    </row>
    <row r="72" spans="1:19" ht="15.75" thickBot="1">
      <c r="A72" s="1645"/>
      <c r="B72" s="1646" t="s">
        <v>585</v>
      </c>
      <c r="C72" s="1647"/>
      <c r="D72" s="1647"/>
      <c r="E72" s="1647"/>
      <c r="F72" s="1647"/>
      <c r="G72" s="1648"/>
      <c r="H72" s="1649"/>
      <c r="I72" s="1649"/>
      <c r="J72" s="1649"/>
      <c r="K72" s="1649"/>
      <c r="L72" s="1649"/>
      <c r="M72" s="1649"/>
      <c r="N72" s="1649"/>
      <c r="O72" s="1649"/>
      <c r="P72" s="1649"/>
      <c r="Q72" s="1649"/>
      <c r="R72" s="1649"/>
      <c r="S72" s="1649"/>
    </row>
    <row r="73" spans="1:19" ht="16.5" thickTop="1" thickBot="1"/>
    <row r="74" spans="1:19" ht="16.5" thickTop="1" thickBot="1">
      <c r="A74" s="92" t="s">
        <v>586</v>
      </c>
      <c r="B74" s="94"/>
    </row>
    <row r="75" spans="1:19" ht="16.5" thickTop="1" thickBot="1">
      <c r="A75" s="93" t="s">
        <v>487</v>
      </c>
      <c r="B75" s="94"/>
    </row>
    <row r="76" spans="1:19" ht="15.75" thickTop="1">
      <c r="A76" s="626" t="s">
        <v>491</v>
      </c>
      <c r="B76" s="1650"/>
    </row>
    <row r="77" spans="1:19">
      <c r="A77" s="1651" t="s">
        <v>494</v>
      </c>
      <c r="B77" s="1652"/>
    </row>
    <row r="78" spans="1:19">
      <c r="A78" s="1651" t="s">
        <v>497</v>
      </c>
      <c r="B78" s="1653"/>
    </row>
    <row r="79" spans="1:19" ht="15.75" thickBot="1">
      <c r="A79" s="1654" t="s">
        <v>587</v>
      </c>
      <c r="B79" s="1655"/>
    </row>
    <row r="80" spans="1:19" ht="15.75" thickTop="1"/>
    <row r="81" spans="1:2">
      <c r="A81" s="95"/>
      <c r="B81" s="1" t="s">
        <v>588</v>
      </c>
    </row>
    <row r="82" spans="1:2">
      <c r="A82" s="96"/>
      <c r="B82" s="1" t="s">
        <v>589</v>
      </c>
    </row>
  </sheetData>
  <mergeCells count="47">
    <mergeCell ref="R3:S3"/>
    <mergeCell ref="H2:I2"/>
    <mergeCell ref="J2:K2"/>
    <mergeCell ref="L2:M2"/>
    <mergeCell ref="N2:O2"/>
    <mergeCell ref="P2:Q2"/>
    <mergeCell ref="R2:S2"/>
    <mergeCell ref="H3:I3"/>
    <mergeCell ref="J3:K3"/>
    <mergeCell ref="L3:M3"/>
    <mergeCell ref="N3:O3"/>
    <mergeCell ref="P3:Q3"/>
    <mergeCell ref="J4:K4"/>
    <mergeCell ref="J5:K5"/>
    <mergeCell ref="J6:K6"/>
    <mergeCell ref="J7:K7"/>
    <mergeCell ref="J8:K8"/>
    <mergeCell ref="H4:I4"/>
    <mergeCell ref="H5:I5"/>
    <mergeCell ref="H6:I6"/>
    <mergeCell ref="H7:I7"/>
    <mergeCell ref="H8:I8"/>
    <mergeCell ref="N4:O4"/>
    <mergeCell ref="N5:O5"/>
    <mergeCell ref="N6:O6"/>
    <mergeCell ref="N7:O7"/>
    <mergeCell ref="N8:O8"/>
    <mergeCell ref="L4:M4"/>
    <mergeCell ref="L5:M5"/>
    <mergeCell ref="L6:M6"/>
    <mergeCell ref="L7:M7"/>
    <mergeCell ref="L8:M8"/>
    <mergeCell ref="R4:S4"/>
    <mergeCell ref="R5:S5"/>
    <mergeCell ref="R6:S6"/>
    <mergeCell ref="R7:S7"/>
    <mergeCell ref="R8:S8"/>
    <mergeCell ref="P4:Q4"/>
    <mergeCell ref="P5:Q5"/>
    <mergeCell ref="P6:Q6"/>
    <mergeCell ref="P7:Q7"/>
    <mergeCell ref="P8:Q8"/>
    <mergeCell ref="A47:B47"/>
    <mergeCell ref="A51:B51"/>
    <mergeCell ref="A55:B55"/>
    <mergeCell ref="A59:B59"/>
    <mergeCell ref="A63:B63"/>
  </mergeCells>
  <conditionalFormatting sqref="H20:H30">
    <cfRule type="cellIs" dxfId="1151" priority="3" operator="equal">
      <formula>"X"</formula>
    </cfRule>
    <cfRule type="cellIs" dxfId="1150" priority="4" operator="equal">
      <formula>"I"</formula>
    </cfRule>
  </conditionalFormatting>
  <conditionalFormatting sqref="H32:H38">
    <cfRule type="cellIs" dxfId="1149" priority="1" operator="equal">
      <formula>"X"</formula>
    </cfRule>
    <cfRule type="cellIs" dxfId="1148" priority="2" operator="equal">
      <formula>"I"</formula>
    </cfRule>
  </conditionalFormatting>
  <conditionalFormatting sqref="J20:J30">
    <cfRule type="cellIs" dxfId="1147" priority="7" operator="equal">
      <formula>"X"</formula>
    </cfRule>
    <cfRule type="cellIs" dxfId="1146" priority="8" operator="equal">
      <formula>"I"</formula>
    </cfRule>
  </conditionalFormatting>
  <conditionalFormatting sqref="J32:J38">
    <cfRule type="cellIs" dxfId="1145" priority="5" operator="equal">
      <formula>"X"</formula>
    </cfRule>
    <cfRule type="cellIs" dxfId="1144" priority="6" operator="equal">
      <formula>"I"</formula>
    </cfRule>
  </conditionalFormatting>
  <conditionalFormatting sqref="L20:L30">
    <cfRule type="cellIs" dxfId="1143" priority="11" operator="equal">
      <formula>"X"</formula>
    </cfRule>
    <cfRule type="cellIs" dxfId="1142" priority="12" operator="equal">
      <formula>"I"</formula>
    </cfRule>
  </conditionalFormatting>
  <conditionalFormatting sqref="L32:L38">
    <cfRule type="cellIs" dxfId="1141" priority="9" operator="equal">
      <formula>"X"</formula>
    </cfRule>
    <cfRule type="cellIs" dxfId="1140" priority="10" operator="equal">
      <formula>"I"</formula>
    </cfRule>
  </conditionalFormatting>
  <conditionalFormatting sqref="N20:N30">
    <cfRule type="cellIs" dxfId="1139" priority="15" operator="equal">
      <formula>"X"</formula>
    </cfRule>
    <cfRule type="cellIs" dxfId="1138" priority="16" operator="equal">
      <formula>"I"</formula>
    </cfRule>
  </conditionalFormatting>
  <conditionalFormatting sqref="N32:N38">
    <cfRule type="cellIs" dxfId="1137" priority="13" operator="equal">
      <formula>"X"</formula>
    </cfRule>
    <cfRule type="cellIs" dxfId="1136" priority="14" operator="equal">
      <formula>"I"</formula>
    </cfRule>
  </conditionalFormatting>
  <conditionalFormatting sqref="P20:P30">
    <cfRule type="cellIs" dxfId="1135" priority="19" operator="equal">
      <formula>"X"</formula>
    </cfRule>
    <cfRule type="cellIs" dxfId="1134" priority="20" operator="equal">
      <formula>"I"</formula>
    </cfRule>
  </conditionalFormatting>
  <conditionalFormatting sqref="P32:P38">
    <cfRule type="cellIs" dxfId="1133" priority="17" operator="equal">
      <formula>"X"</formula>
    </cfRule>
    <cfRule type="cellIs" dxfId="1132" priority="18" operator="equal">
      <formula>"I"</formula>
    </cfRule>
  </conditionalFormatting>
  <conditionalFormatting sqref="R20:R30">
    <cfRule type="cellIs" dxfId="1131" priority="23" operator="equal">
      <formula>"X"</formula>
    </cfRule>
    <cfRule type="cellIs" dxfId="1130" priority="24" operator="equal">
      <formula>"I"</formula>
    </cfRule>
  </conditionalFormatting>
  <conditionalFormatting sqref="R32:R38">
    <cfRule type="cellIs" dxfId="1129" priority="21" operator="equal">
      <formula>"X"</formula>
    </cfRule>
    <cfRule type="cellIs" dxfId="1128" priority="22" operator="equal">
      <formula>"I"</formula>
    </cfRule>
  </conditionalFormatting>
  <hyperlinks>
    <hyperlink ref="B3" location="'Cost Summary'!A1" display="BACK TO SUMMARY SHEET" xr:uid="{385CF59B-DB98-47D5-8529-B9BAB29CB031}"/>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FE6-2C5C-4C25-AABF-990EDFBD7E0D}">
  <sheetPr>
    <tabColor rgb="FF92D050"/>
  </sheetPr>
  <dimension ref="A1:S98"/>
  <sheetViews>
    <sheetView zoomScale="86" zoomScaleNormal="86" workbookViewId="0">
      <pane xSplit="2" ySplit="9" topLeftCell="C28" activePane="bottomRight" state="frozen"/>
      <selection pane="bottomRight" activeCell="F48" sqref="F48"/>
      <selection pane="bottomLeft" sqref="A1:B1"/>
      <selection pane="topRight" sqref="A1:B1"/>
    </sheetView>
  </sheetViews>
  <sheetFormatPr defaultRowHeight="15"/>
  <cols>
    <col min="1" max="1" width="11" customWidth="1"/>
    <col min="2" max="2" width="72.140625" style="1" bestFit="1" customWidth="1"/>
    <col min="3" max="3" width="10.85546875" style="2" bestFit="1" customWidth="1"/>
    <col min="4" max="5" width="7.5703125" style="2" customWidth="1"/>
    <col min="6" max="6" width="10.85546875" style="2" customWidth="1"/>
    <col min="7" max="7" width="12.28515625" style="2" customWidth="1"/>
    <col min="8" max="8" width="7.42578125" style="2" bestFit="1" customWidth="1"/>
    <col min="9" max="9" width="14.85546875" style="2" customWidth="1"/>
    <col min="10" max="10" width="8.5703125" style="2" customWidth="1"/>
    <col min="11" max="11" width="13.85546875" style="2" customWidth="1"/>
    <col min="12" max="12" width="8.5703125" style="2" customWidth="1"/>
    <col min="13" max="13" width="13.85546875" style="2" customWidth="1"/>
    <col min="14" max="14" width="7.42578125" style="2" bestFit="1" customWidth="1"/>
    <col min="15" max="15" width="14.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66"/>
      <c r="I2" s="766"/>
      <c r="J2" s="766"/>
      <c r="K2" s="766"/>
      <c r="L2" s="732"/>
      <c r="M2" s="732"/>
      <c r="N2" s="766"/>
      <c r="O2" s="766"/>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47"/>
      <c r="M4" s="748"/>
      <c r="N4" s="728"/>
      <c r="O4" s="729"/>
      <c r="P4" s="728"/>
      <c r="Q4" s="729"/>
      <c r="R4" s="728"/>
      <c r="S4" s="729"/>
    </row>
    <row r="5" spans="1:19">
      <c r="A5" s="627" t="s">
        <v>489</v>
      </c>
      <c r="B5" s="862" t="s">
        <v>161</v>
      </c>
      <c r="C5" s="1124"/>
      <c r="D5" s="1124"/>
      <c r="E5" s="1124"/>
      <c r="F5" s="1124"/>
      <c r="G5" s="1125" t="s">
        <v>491</v>
      </c>
      <c r="H5" s="778"/>
      <c r="I5" s="1126"/>
      <c r="J5" s="778"/>
      <c r="K5" s="1126"/>
      <c r="L5" s="784"/>
      <c r="M5" s="1414"/>
      <c r="N5" s="778"/>
      <c r="O5" s="1126"/>
      <c r="P5" s="778"/>
      <c r="Q5" s="1126"/>
      <c r="R5" s="778"/>
      <c r="S5" s="1126"/>
    </row>
    <row r="6" spans="1:19">
      <c r="A6" s="627" t="s">
        <v>493</v>
      </c>
      <c r="B6" s="1127" t="s">
        <v>160</v>
      </c>
      <c r="C6" s="1124"/>
      <c r="D6" s="1124"/>
      <c r="E6" s="1124"/>
      <c r="F6" s="1124"/>
      <c r="G6" s="1125" t="s">
        <v>494</v>
      </c>
      <c r="H6" s="776"/>
      <c r="I6" s="1129"/>
      <c r="J6" s="776"/>
      <c r="K6" s="1129"/>
      <c r="L6" s="784"/>
      <c r="M6" s="1414"/>
      <c r="N6" s="776"/>
      <c r="O6" s="1129"/>
      <c r="P6" s="776"/>
      <c r="Q6" s="1129"/>
      <c r="R6" s="776"/>
      <c r="S6" s="1129"/>
    </row>
    <row r="7" spans="1:19">
      <c r="A7" s="627" t="s">
        <v>496</v>
      </c>
      <c r="B7" s="1130"/>
      <c r="C7" s="1124"/>
      <c r="D7" s="1124"/>
      <c r="E7" s="1124"/>
      <c r="F7" s="1124"/>
      <c r="G7" s="1125" t="s">
        <v>497</v>
      </c>
      <c r="H7" s="777"/>
      <c r="I7" s="1131"/>
      <c r="J7" s="777"/>
      <c r="K7" s="1131"/>
      <c r="L7" s="1415"/>
      <c r="M7" s="1416"/>
      <c r="N7" s="777"/>
      <c r="O7" s="1131"/>
      <c r="P7" s="777"/>
      <c r="Q7" s="1131"/>
      <c r="R7" s="777"/>
      <c r="S7" s="1131"/>
    </row>
    <row r="8" spans="1:19" ht="15.75" thickBot="1">
      <c r="A8" s="414" t="s">
        <v>499</v>
      </c>
      <c r="B8" s="295"/>
      <c r="C8" s="184"/>
      <c r="D8" s="184"/>
      <c r="E8" s="184"/>
      <c r="F8" s="184"/>
      <c r="G8" s="419" t="s">
        <v>499</v>
      </c>
      <c r="H8" s="1724">
        <f>I59</f>
        <v>509130</v>
      </c>
      <c r="I8" s="1725"/>
      <c r="J8" s="1724">
        <f>K59</f>
        <v>0</v>
      </c>
      <c r="K8" s="1725"/>
      <c r="L8" s="1724">
        <f>M59</f>
        <v>0</v>
      </c>
      <c r="M8" s="1725"/>
      <c r="N8" s="1724">
        <f>O59</f>
        <v>0</v>
      </c>
      <c r="O8" s="1725"/>
      <c r="P8" s="1724">
        <f>Q59</f>
        <v>0</v>
      </c>
      <c r="Q8" s="1725"/>
      <c r="R8" s="1724">
        <f>S59</f>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idden="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idden="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idden="1">
      <c r="A20" s="628"/>
      <c r="B20" s="862"/>
      <c r="C20" s="1134"/>
      <c r="D20" s="1124"/>
      <c r="E20" s="1124"/>
      <c r="F20" s="1124"/>
      <c r="G20" s="1133"/>
      <c r="H20" s="1726"/>
      <c r="I20" s="1726"/>
      <c r="J20" s="1726"/>
      <c r="K20" s="1726"/>
      <c r="L20" s="1726"/>
      <c r="M20" s="1726"/>
      <c r="N20" s="1726"/>
      <c r="O20" s="1726"/>
      <c r="P20" s="1726"/>
      <c r="Q20" s="1726"/>
      <c r="R20" s="1726"/>
      <c r="S20" s="1726"/>
    </row>
    <row r="21" spans="1:19" ht="15.75" hidden="1" customHeight="1">
      <c r="A21" s="628"/>
      <c r="B21" s="862"/>
      <c r="C21" s="1134"/>
      <c r="D21" s="1124"/>
      <c r="E21" s="1124"/>
      <c r="F21" s="1124"/>
      <c r="G21" s="1133"/>
      <c r="H21" s="1678"/>
      <c r="I21" s="1726"/>
      <c r="J21" s="1678"/>
      <c r="K21" s="1726"/>
      <c r="L21" s="1678"/>
      <c r="M21" s="1726"/>
      <c r="N21" s="1678"/>
      <c r="O21" s="1726"/>
      <c r="P21" s="1678"/>
      <c r="Q21" s="1726"/>
      <c r="R21" s="1678"/>
      <c r="S21" s="1726"/>
    </row>
    <row r="22" spans="1:19" ht="16.5" thickTop="1" thickBot="1">
      <c r="A22" s="640"/>
      <c r="B22" s="1136" t="s">
        <v>161</v>
      </c>
      <c r="C22" s="56"/>
      <c r="D22" s="57"/>
      <c r="E22" s="57"/>
      <c r="F22" s="57"/>
      <c r="G22" s="63"/>
      <c r="H22" s="1678"/>
      <c r="I22" s="1726"/>
      <c r="J22" s="1678"/>
      <c r="K22" s="1726"/>
      <c r="L22" s="1678"/>
      <c r="M22" s="1726"/>
      <c r="N22" s="1678"/>
      <c r="O22" s="1726"/>
      <c r="P22" s="1678"/>
      <c r="Q22" s="1726"/>
      <c r="R22" s="1678"/>
      <c r="S22" s="1726"/>
    </row>
    <row r="23" spans="1:19" ht="15.75" thickBot="1">
      <c r="A23" s="640"/>
      <c r="B23" s="374" t="s">
        <v>512</v>
      </c>
      <c r="C23" s="1134"/>
      <c r="D23" s="1124"/>
      <c r="E23" s="1124"/>
      <c r="F23" s="1124"/>
      <c r="G23" s="1133"/>
      <c r="H23" s="1678"/>
      <c r="I23" s="1644"/>
      <c r="J23" s="1678"/>
      <c r="K23" s="1178"/>
      <c r="L23" s="1678"/>
      <c r="M23" s="1178"/>
      <c r="N23" s="1678"/>
      <c r="O23" s="1178"/>
      <c r="P23" s="1678"/>
      <c r="Q23" s="1178"/>
      <c r="R23" s="1678"/>
      <c r="S23" s="1178"/>
    </row>
    <row r="24" spans="1:19">
      <c r="A24" s="640"/>
      <c r="B24" s="1422" t="s">
        <v>513</v>
      </c>
      <c r="C24" s="1154"/>
      <c r="D24" s="1426"/>
      <c r="E24" s="1124"/>
      <c r="F24" s="1124"/>
      <c r="G24" s="1133"/>
      <c r="H24" s="1678"/>
      <c r="I24" s="638"/>
      <c r="J24" s="1678"/>
      <c r="K24" s="1983"/>
      <c r="L24" s="1678"/>
      <c r="M24" s="638"/>
      <c r="N24" s="1678"/>
      <c r="O24" s="638"/>
      <c r="P24" s="1678"/>
      <c r="Q24" s="1983"/>
      <c r="R24" s="1678"/>
      <c r="S24" s="1983"/>
    </row>
    <row r="25" spans="1:19">
      <c r="A25" s="640"/>
      <c r="B25" s="1940" t="s">
        <v>514</v>
      </c>
      <c r="C25" s="1154"/>
      <c r="D25" s="1426"/>
      <c r="E25" s="1124"/>
      <c r="F25" s="1124"/>
      <c r="G25" s="1133"/>
      <c r="H25" s="1678"/>
      <c r="I25" s="638"/>
      <c r="J25" s="1678"/>
      <c r="K25" s="1983"/>
      <c r="L25" s="1678"/>
      <c r="M25" s="1983"/>
      <c r="N25" s="1678"/>
      <c r="O25" s="638"/>
      <c r="P25" s="1678"/>
      <c r="Q25" s="1983"/>
      <c r="R25" s="1678"/>
      <c r="S25" s="1983"/>
    </row>
    <row r="26" spans="1:19">
      <c r="A26" s="640"/>
      <c r="B26" s="1943" t="s">
        <v>515</v>
      </c>
      <c r="C26" s="1133"/>
      <c r="D26" s="1124"/>
      <c r="E26" s="1124"/>
      <c r="F26" s="1124"/>
      <c r="G26" s="1133"/>
      <c r="H26" s="1678"/>
      <c r="I26" s="638"/>
      <c r="J26" s="1678"/>
      <c r="K26" s="1983"/>
      <c r="L26" s="1678"/>
      <c r="M26" s="1983"/>
      <c r="N26" s="1678"/>
      <c r="O26" s="1983"/>
      <c r="P26" s="1678"/>
      <c r="Q26" s="1983"/>
      <c r="R26" s="1678"/>
      <c r="S26" s="1983"/>
    </row>
    <row r="27" spans="1:19">
      <c r="A27" s="640"/>
      <c r="B27" s="1943" t="s">
        <v>516</v>
      </c>
      <c r="C27" s="1133"/>
      <c r="D27" s="1124"/>
      <c r="E27" s="1124"/>
      <c r="F27" s="1124"/>
      <c r="G27" s="1133"/>
      <c r="H27" s="1678"/>
      <c r="I27" s="638"/>
      <c r="J27" s="1678"/>
      <c r="K27" s="638"/>
      <c r="L27" s="1678"/>
      <c r="M27" s="638"/>
      <c r="N27" s="1678"/>
      <c r="O27" s="638"/>
      <c r="P27" s="1678"/>
      <c r="Q27" s="638"/>
      <c r="R27" s="1678"/>
      <c r="S27" s="638"/>
    </row>
    <row r="28" spans="1:19">
      <c r="A28" s="640"/>
      <c r="B28" s="1943" t="s">
        <v>517</v>
      </c>
      <c r="C28" s="1133"/>
      <c r="D28" s="1124"/>
      <c r="E28" s="1124"/>
      <c r="F28" s="1124"/>
      <c r="G28" s="1133"/>
      <c r="H28" s="1678"/>
      <c r="I28" s="638"/>
      <c r="J28" s="1678"/>
      <c r="K28" s="638"/>
      <c r="L28" s="1678"/>
      <c r="M28" s="638"/>
      <c r="N28" s="1678"/>
      <c r="O28" s="638"/>
      <c r="P28" s="1678"/>
      <c r="Q28" s="638"/>
      <c r="R28" s="1678"/>
      <c r="S28" s="638"/>
    </row>
    <row r="29" spans="1:19">
      <c r="A29" s="640"/>
      <c r="B29" s="1943" t="s">
        <v>518</v>
      </c>
      <c r="C29" s="1133"/>
      <c r="D29" s="1124"/>
      <c r="E29" s="1124"/>
      <c r="F29" s="1124"/>
      <c r="G29" s="1133"/>
      <c r="H29" s="1678"/>
      <c r="I29" s="638"/>
      <c r="J29" s="1678"/>
      <c r="K29" s="638"/>
      <c r="L29" s="1678"/>
      <c r="M29" s="638"/>
      <c r="N29" s="1678"/>
      <c r="O29" s="638"/>
      <c r="P29" s="1678"/>
      <c r="Q29" s="638"/>
      <c r="R29" s="1678"/>
      <c r="S29" s="638"/>
    </row>
    <row r="30" spans="1:19">
      <c r="A30" s="640"/>
      <c r="B30" s="1943" t="s">
        <v>693</v>
      </c>
      <c r="C30" s="1133"/>
      <c r="D30" s="1124"/>
      <c r="E30" s="1124"/>
      <c r="F30" s="1124"/>
      <c r="G30" s="1133"/>
      <c r="H30" s="1678"/>
      <c r="I30" s="638"/>
      <c r="J30" s="1678"/>
      <c r="K30" s="638"/>
      <c r="L30" s="1678"/>
      <c r="M30" s="638"/>
      <c r="N30" s="1678"/>
      <c r="O30" s="638"/>
      <c r="P30" s="1678"/>
      <c r="Q30" s="638"/>
      <c r="R30" s="1678"/>
      <c r="S30" s="638"/>
    </row>
    <row r="31" spans="1:19">
      <c r="A31" s="640"/>
      <c r="B31" s="1944" t="s">
        <v>519</v>
      </c>
      <c r="C31" s="1133"/>
      <c r="D31" s="1124"/>
      <c r="E31" s="1124"/>
      <c r="F31" s="1124"/>
      <c r="G31" s="1133"/>
      <c r="H31" s="1678"/>
      <c r="I31" s="638"/>
      <c r="J31" s="1678"/>
      <c r="K31" s="638"/>
      <c r="L31" s="1678"/>
      <c r="M31" s="638"/>
      <c r="N31" s="1678"/>
      <c r="O31" s="638"/>
      <c r="P31" s="1678"/>
      <c r="Q31" s="638"/>
      <c r="R31" s="1678"/>
      <c r="S31" s="638"/>
    </row>
    <row r="32" spans="1:19">
      <c r="A32" s="640"/>
      <c r="B32" s="1989" t="s">
        <v>520</v>
      </c>
      <c r="C32" s="1147"/>
      <c r="D32" s="1145"/>
      <c r="E32" s="1145"/>
      <c r="F32" s="1146"/>
      <c r="G32" s="1599"/>
      <c r="H32" s="1727"/>
      <c r="I32" s="1985"/>
      <c r="J32" s="1727"/>
      <c r="K32" s="1985"/>
      <c r="L32" s="1727"/>
      <c r="M32" s="1985"/>
      <c r="N32" s="1727"/>
      <c r="O32" s="1985"/>
      <c r="P32" s="1727"/>
      <c r="Q32" s="1985"/>
      <c r="R32" s="1727"/>
      <c r="S32" s="1985"/>
    </row>
    <row r="33" spans="1:19">
      <c r="A33" s="640"/>
      <c r="B33" s="1990"/>
      <c r="C33" s="1133"/>
      <c r="D33" s="1124"/>
      <c r="E33" s="1124"/>
      <c r="F33" s="1151"/>
      <c r="G33" s="1229"/>
      <c r="H33" s="1678"/>
      <c r="I33" s="638"/>
      <c r="J33" s="1678"/>
      <c r="K33" s="638"/>
      <c r="L33" s="1678"/>
      <c r="M33" s="638"/>
      <c r="N33" s="1678"/>
      <c r="O33" s="638"/>
      <c r="P33" s="1678"/>
      <c r="Q33" s="638"/>
      <c r="R33" s="1678"/>
      <c r="S33" s="638"/>
    </row>
    <row r="34" spans="1:19">
      <c r="A34" s="640"/>
      <c r="B34" s="1991" t="s">
        <v>694</v>
      </c>
      <c r="C34" s="1218"/>
      <c r="D34" s="1216"/>
      <c r="E34" s="1216"/>
      <c r="F34" s="1217"/>
      <c r="G34" s="1557"/>
      <c r="H34" s="1922"/>
      <c r="I34" s="1992"/>
      <c r="J34" s="1922"/>
      <c r="K34" s="1992"/>
      <c r="L34" s="1922"/>
      <c r="M34" s="1992"/>
      <c r="N34" s="1922"/>
      <c r="O34" s="1992"/>
      <c r="P34" s="1922"/>
      <c r="Q34" s="1992"/>
      <c r="R34" s="1922"/>
      <c r="S34" s="1992"/>
    </row>
    <row r="35" spans="1:19">
      <c r="A35" s="640"/>
      <c r="B35" s="1990"/>
      <c r="C35" s="1133"/>
      <c r="D35" s="1124"/>
      <c r="E35" s="1124"/>
      <c r="F35" s="1151"/>
      <c r="G35" s="1229"/>
      <c r="H35" s="1678"/>
      <c r="I35" s="638"/>
      <c r="J35" s="1678"/>
      <c r="K35" s="638"/>
      <c r="L35" s="1678"/>
      <c r="M35" s="638"/>
      <c r="N35" s="1678"/>
      <c r="O35" s="638"/>
      <c r="P35" s="1678"/>
      <c r="Q35" s="638"/>
      <c r="R35" s="1678"/>
      <c r="S35" s="638"/>
    </row>
    <row r="36" spans="1:19">
      <c r="A36" s="640"/>
      <c r="B36" s="1993" t="s">
        <v>695</v>
      </c>
      <c r="C36" s="1225"/>
      <c r="D36" s="1223"/>
      <c r="E36" s="1223"/>
      <c r="F36" s="1224"/>
      <c r="G36" s="1560"/>
      <c r="H36" s="1925"/>
      <c r="I36" s="1994"/>
      <c r="J36" s="1925"/>
      <c r="K36" s="1994"/>
      <c r="L36" s="1925"/>
      <c r="M36" s="1994"/>
      <c r="N36" s="1925"/>
      <c r="O36" s="1994"/>
      <c r="P36" s="1925"/>
      <c r="Q36" s="1994"/>
      <c r="R36" s="1925"/>
      <c r="S36" s="1994"/>
    </row>
    <row r="37" spans="1:19">
      <c r="A37" s="640"/>
      <c r="B37" s="1990"/>
      <c r="C37" s="1133"/>
      <c r="D37" s="1124"/>
      <c r="E37" s="1124"/>
      <c r="F37" s="1151"/>
      <c r="G37" s="1229"/>
      <c r="H37" s="1678"/>
      <c r="I37" s="638"/>
      <c r="J37" s="1678"/>
      <c r="K37" s="638"/>
      <c r="L37" s="1678"/>
      <c r="M37" s="638"/>
      <c r="N37" s="1678"/>
      <c r="O37" s="638"/>
      <c r="P37" s="1678"/>
      <c r="Q37" s="638"/>
      <c r="R37" s="1678"/>
      <c r="S37" s="638"/>
    </row>
    <row r="38" spans="1:19">
      <c r="A38" s="640"/>
      <c r="B38" s="1991" t="s">
        <v>649</v>
      </c>
      <c r="C38" s="1218"/>
      <c r="D38" s="1216"/>
      <c r="E38" s="1216"/>
      <c r="F38" s="1217"/>
      <c r="G38" s="1557"/>
      <c r="H38" s="1922"/>
      <c r="I38" s="1992"/>
      <c r="J38" s="1922"/>
      <c r="K38" s="1992"/>
      <c r="L38" s="1922"/>
      <c r="M38" s="1992"/>
      <c r="N38" s="1922"/>
      <c r="O38" s="1992"/>
      <c r="P38" s="1922"/>
      <c r="Q38" s="1992"/>
      <c r="R38" s="1922"/>
      <c r="S38" s="1992"/>
    </row>
    <row r="39" spans="1:19">
      <c r="A39" s="640"/>
      <c r="B39" s="1990"/>
      <c r="C39" s="1133"/>
      <c r="D39" s="1124"/>
      <c r="E39" s="1124"/>
      <c r="F39" s="1151"/>
      <c r="G39" s="1229"/>
      <c r="H39" s="1678"/>
      <c r="I39" s="638"/>
      <c r="J39" s="1678"/>
      <c r="K39" s="638"/>
      <c r="L39" s="1678"/>
      <c r="M39" s="638"/>
      <c r="N39" s="1678"/>
      <c r="O39" s="638"/>
      <c r="P39" s="1678"/>
      <c r="Q39" s="638"/>
      <c r="R39" s="1678"/>
      <c r="S39" s="638"/>
    </row>
    <row r="40" spans="1:19">
      <c r="A40" s="640"/>
      <c r="B40" s="1993" t="s">
        <v>700</v>
      </c>
      <c r="C40" s="1225"/>
      <c r="D40" s="1223"/>
      <c r="E40" s="1223"/>
      <c r="F40" s="1224"/>
      <c r="G40" s="1560"/>
      <c r="H40" s="1925"/>
      <c r="I40" s="1994"/>
      <c r="J40" s="1925"/>
      <c r="K40" s="1994"/>
      <c r="L40" s="1925"/>
      <c r="M40" s="1994"/>
      <c r="N40" s="1925"/>
      <c r="O40" s="1994"/>
      <c r="P40" s="1925"/>
      <c r="Q40" s="1994"/>
      <c r="R40" s="1925"/>
      <c r="S40" s="1994"/>
    </row>
    <row r="41" spans="1:19">
      <c r="A41" s="640"/>
      <c r="B41" s="1990" t="s">
        <v>938</v>
      </c>
      <c r="C41" s="1133" t="s">
        <v>837</v>
      </c>
      <c r="D41" s="1124">
        <v>1197</v>
      </c>
      <c r="E41" s="1124" t="s">
        <v>723</v>
      </c>
      <c r="F41" s="1151">
        <v>120</v>
      </c>
      <c r="G41" s="1229">
        <f>D41*F41</f>
        <v>143640</v>
      </c>
      <c r="H41" s="1678"/>
      <c r="I41" s="638">
        <f>G41</f>
        <v>143640</v>
      </c>
      <c r="J41" s="1678"/>
      <c r="K41" s="638"/>
      <c r="L41" s="1678"/>
      <c r="M41" s="638"/>
      <c r="N41" s="1678"/>
      <c r="O41" s="638"/>
      <c r="P41" s="1678"/>
      <c r="Q41" s="638"/>
      <c r="R41" s="1678"/>
      <c r="S41" s="638"/>
    </row>
    <row r="42" spans="1:19">
      <c r="A42" s="640"/>
      <c r="B42" s="1990"/>
      <c r="C42" s="1133"/>
      <c r="D42" s="1124"/>
      <c r="E42" s="1124"/>
      <c r="F42" s="1151"/>
      <c r="G42" s="1229"/>
      <c r="H42" s="1678"/>
      <c r="I42" s="638"/>
      <c r="J42" s="1678"/>
      <c r="K42" s="638"/>
      <c r="L42" s="1678"/>
      <c r="M42" s="638"/>
      <c r="N42" s="1678"/>
      <c r="O42" s="638"/>
      <c r="P42" s="1678"/>
      <c r="Q42" s="638"/>
      <c r="R42" s="1678"/>
      <c r="S42" s="638"/>
    </row>
    <row r="43" spans="1:19">
      <c r="A43" s="640"/>
      <c r="B43" s="1991" t="s">
        <v>703</v>
      </c>
      <c r="C43" s="1218"/>
      <c r="D43" s="1216"/>
      <c r="E43" s="1216"/>
      <c r="F43" s="1217"/>
      <c r="G43" s="1557"/>
      <c r="H43" s="1922"/>
      <c r="I43" s="1992"/>
      <c r="J43" s="1922"/>
      <c r="K43" s="1992"/>
      <c r="L43" s="1922"/>
      <c r="M43" s="1992"/>
      <c r="N43" s="1922"/>
      <c r="O43" s="1992"/>
      <c r="P43" s="1922"/>
      <c r="Q43" s="1992"/>
      <c r="R43" s="1922"/>
      <c r="S43" s="1992"/>
    </row>
    <row r="44" spans="1:19">
      <c r="A44" s="640"/>
      <c r="B44" s="1990"/>
      <c r="C44" s="1133"/>
      <c r="D44" s="1124"/>
      <c r="E44" s="1124"/>
      <c r="F44" s="1151"/>
      <c r="G44" s="1229"/>
      <c r="H44" s="1678"/>
      <c r="I44" s="638"/>
      <c r="J44" s="1678"/>
      <c r="K44" s="638"/>
      <c r="L44" s="1678"/>
      <c r="M44" s="638"/>
      <c r="N44" s="1678"/>
      <c r="O44" s="638"/>
      <c r="P44" s="1678"/>
      <c r="Q44" s="638"/>
      <c r="R44" s="1678"/>
      <c r="S44" s="638"/>
    </row>
    <row r="45" spans="1:19">
      <c r="A45" s="640"/>
      <c r="B45" s="1993" t="s">
        <v>704</v>
      </c>
      <c r="C45" s="1225"/>
      <c r="D45" s="1223"/>
      <c r="E45" s="1223"/>
      <c r="F45" s="1224"/>
      <c r="G45" s="1560"/>
      <c r="H45" s="1925"/>
      <c r="I45" s="1994"/>
      <c r="J45" s="1925"/>
      <c r="K45" s="1994"/>
      <c r="L45" s="1925"/>
      <c r="M45" s="1994"/>
      <c r="N45" s="1925"/>
      <c r="O45" s="1994"/>
      <c r="P45" s="1925"/>
      <c r="Q45" s="1994"/>
      <c r="R45" s="1925"/>
      <c r="S45" s="1994"/>
    </row>
    <row r="46" spans="1:19">
      <c r="A46" s="640"/>
      <c r="B46" s="1990" t="s">
        <v>938</v>
      </c>
      <c r="C46" s="1133" t="s">
        <v>837</v>
      </c>
      <c r="D46" s="1124">
        <v>2016</v>
      </c>
      <c r="E46" s="1124" t="s">
        <v>723</v>
      </c>
      <c r="F46" s="1151">
        <v>120</v>
      </c>
      <c r="G46" s="1229">
        <f>D46*F46</f>
        <v>241920</v>
      </c>
      <c r="H46" s="1678"/>
      <c r="I46" s="638">
        <f>G46</f>
        <v>241920</v>
      </c>
      <c r="J46" s="1678"/>
      <c r="K46" s="638"/>
      <c r="L46" s="1678"/>
      <c r="M46" s="638"/>
      <c r="N46" s="1678"/>
      <c r="O46" s="638"/>
      <c r="P46" s="1678"/>
      <c r="Q46" s="638"/>
      <c r="R46" s="1678"/>
      <c r="S46" s="638"/>
    </row>
    <row r="47" spans="1:19">
      <c r="A47" s="640"/>
      <c r="B47" s="1990" t="s">
        <v>939</v>
      </c>
      <c r="C47" s="1133" t="s">
        <v>837</v>
      </c>
      <c r="D47" s="1124">
        <v>1373</v>
      </c>
      <c r="E47" s="1124" t="s">
        <v>723</v>
      </c>
      <c r="F47" s="1151">
        <v>90</v>
      </c>
      <c r="G47" s="1229">
        <f>D47*F47</f>
        <v>123570</v>
      </c>
      <c r="H47" s="1678"/>
      <c r="I47" s="638">
        <f>G47</f>
        <v>123570</v>
      </c>
      <c r="J47" s="1678"/>
      <c r="K47" s="638"/>
      <c r="L47" s="1678"/>
      <c r="M47" s="638"/>
      <c r="N47" s="1678"/>
      <c r="O47" s="638"/>
      <c r="P47" s="1678"/>
      <c r="Q47" s="638"/>
      <c r="R47" s="1678"/>
      <c r="S47" s="638"/>
    </row>
    <row r="48" spans="1:19">
      <c r="A48" s="640"/>
      <c r="B48" s="1990"/>
      <c r="C48" s="1133"/>
      <c r="D48" s="1124"/>
      <c r="E48" s="1124"/>
      <c r="F48" s="1151"/>
      <c r="G48" s="1229"/>
      <c r="H48" s="1678"/>
      <c r="I48" s="638"/>
      <c r="J48" s="1678"/>
      <c r="K48" s="638"/>
      <c r="L48" s="1678"/>
      <c r="M48" s="638"/>
      <c r="N48" s="1678"/>
      <c r="O48" s="638"/>
      <c r="P48" s="1678"/>
      <c r="Q48" s="638"/>
      <c r="R48" s="1678"/>
      <c r="S48" s="638"/>
    </row>
    <row r="49" spans="1:19">
      <c r="A49" s="640"/>
      <c r="B49" s="1991" t="s">
        <v>705</v>
      </c>
      <c r="C49" s="1218"/>
      <c r="D49" s="1216"/>
      <c r="E49" s="1216"/>
      <c r="F49" s="1217"/>
      <c r="G49" s="1557"/>
      <c r="H49" s="1922"/>
      <c r="I49" s="1992"/>
      <c r="J49" s="1922"/>
      <c r="K49" s="1992"/>
      <c r="L49" s="1922"/>
      <c r="M49" s="1992"/>
      <c r="N49" s="1922"/>
      <c r="O49" s="1992"/>
      <c r="P49" s="1922"/>
      <c r="Q49" s="1992"/>
      <c r="R49" s="1922"/>
      <c r="S49" s="1992"/>
    </row>
    <row r="50" spans="1:19">
      <c r="A50" s="640"/>
      <c r="B50" s="1990"/>
      <c r="C50" s="1133"/>
      <c r="D50" s="1124"/>
      <c r="E50" s="1124"/>
      <c r="F50" s="1151"/>
      <c r="G50" s="1229"/>
      <c r="H50" s="1678"/>
      <c r="I50" s="638"/>
      <c r="J50" s="1678"/>
      <c r="K50" s="638"/>
      <c r="L50" s="1678"/>
      <c r="M50" s="638"/>
      <c r="N50" s="1678"/>
      <c r="O50" s="638"/>
      <c r="P50" s="1678"/>
      <c r="Q50" s="638"/>
      <c r="R50" s="1678"/>
      <c r="S50" s="638"/>
    </row>
    <row r="51" spans="1:19">
      <c r="A51" s="640"/>
      <c r="B51" s="1993" t="s">
        <v>602</v>
      </c>
      <c r="C51" s="1225"/>
      <c r="D51" s="1223"/>
      <c r="E51" s="1223"/>
      <c r="F51" s="1224"/>
      <c r="G51" s="1560"/>
      <c r="H51" s="1925"/>
      <c r="I51" s="1994"/>
      <c r="J51" s="1925"/>
      <c r="K51" s="1994"/>
      <c r="L51" s="1925"/>
      <c r="M51" s="1994"/>
      <c r="N51" s="1925"/>
      <c r="O51" s="1994"/>
      <c r="P51" s="1925"/>
      <c r="Q51" s="1994"/>
      <c r="R51" s="1925"/>
      <c r="S51" s="1994"/>
    </row>
    <row r="52" spans="1:19">
      <c r="A52" s="640"/>
      <c r="B52" s="1990"/>
      <c r="C52" s="1133"/>
      <c r="D52" s="1124"/>
      <c r="E52" s="1124"/>
      <c r="F52" s="1151"/>
      <c r="G52" s="1229"/>
      <c r="H52" s="1678"/>
      <c r="I52" s="638"/>
      <c r="J52" s="1678"/>
      <c r="K52" s="638"/>
      <c r="L52" s="1678"/>
      <c r="M52" s="638"/>
      <c r="N52" s="1678"/>
      <c r="O52" s="638"/>
      <c r="P52" s="1678"/>
      <c r="Q52" s="638"/>
      <c r="R52" s="1678"/>
      <c r="S52" s="638"/>
    </row>
    <row r="53" spans="1:19">
      <c r="A53" s="640"/>
      <c r="B53" s="1990"/>
      <c r="C53" s="1133"/>
      <c r="D53" s="1124"/>
      <c r="E53" s="1124"/>
      <c r="F53" s="1151"/>
      <c r="G53" s="1229"/>
      <c r="H53" s="1678"/>
      <c r="I53" s="638"/>
      <c r="J53" s="1678"/>
      <c r="K53" s="638"/>
      <c r="L53" s="1678"/>
      <c r="M53" s="638"/>
      <c r="N53" s="1678"/>
      <c r="O53" s="638"/>
      <c r="P53" s="1678"/>
      <c r="Q53" s="638"/>
      <c r="R53" s="1678"/>
      <c r="S53" s="638"/>
    </row>
    <row r="54" spans="1:19">
      <c r="A54" s="623"/>
      <c r="B54" s="1995"/>
      <c r="C54" s="1154"/>
      <c r="D54" s="1426"/>
      <c r="E54" s="1124"/>
      <c r="F54" s="1124"/>
      <c r="G54" s="1133"/>
      <c r="H54" s="1678"/>
      <c r="I54" s="1983"/>
      <c r="J54" s="1678"/>
      <c r="K54" s="638"/>
      <c r="L54" s="1678"/>
      <c r="M54" s="638"/>
      <c r="N54" s="1678"/>
      <c r="O54" s="638"/>
      <c r="P54" s="1678"/>
      <c r="Q54" s="638"/>
      <c r="R54" s="1678"/>
      <c r="S54" s="638"/>
    </row>
    <row r="55" spans="1:19" ht="15.75" thickTop="1">
      <c r="A55" s="14"/>
      <c r="B55" s="15"/>
      <c r="C55" s="16"/>
      <c r="D55" s="16"/>
      <c r="E55" s="17"/>
      <c r="F55" s="18" t="s">
        <v>567</v>
      </c>
      <c r="G55" s="19"/>
      <c r="H55" s="20"/>
      <c r="I55" s="61">
        <f>SUM(I24:I54)</f>
        <v>509130</v>
      </c>
      <c r="J55" s="20"/>
      <c r="K55" s="61">
        <f>SUM(K27:K54)</f>
        <v>0</v>
      </c>
      <c r="L55" s="20"/>
      <c r="M55" s="61">
        <f>SUM(M24:M54)</f>
        <v>0</v>
      </c>
      <c r="N55" s="20"/>
      <c r="O55" s="61">
        <f>SUM(O24:O54)</f>
        <v>0</v>
      </c>
      <c r="P55" s="20"/>
      <c r="Q55" s="61">
        <f>SUM(Q27:Q54)</f>
        <v>0</v>
      </c>
      <c r="R55" s="20"/>
      <c r="S55" s="61">
        <f>SUM(S27:S54)</f>
        <v>0</v>
      </c>
    </row>
    <row r="56" spans="1:19">
      <c r="A56" s="624"/>
      <c r="B56" s="1156"/>
      <c r="C56" s="1157"/>
      <c r="D56" s="1157"/>
      <c r="E56" s="1158"/>
      <c r="F56" s="1159" t="s">
        <v>568</v>
      </c>
      <c r="G56" s="1160"/>
      <c r="H56" s="1627">
        <v>0</v>
      </c>
      <c r="I56" s="1628"/>
      <c r="J56" s="1627">
        <v>0</v>
      </c>
      <c r="K56" s="1628"/>
      <c r="L56" s="1988">
        <v>0</v>
      </c>
      <c r="M56" s="1628"/>
      <c r="N56" s="1627">
        <v>0</v>
      </c>
      <c r="O56" s="1628"/>
      <c r="P56" s="1627">
        <v>0</v>
      </c>
      <c r="Q56" s="1628"/>
      <c r="R56" s="1627">
        <v>0</v>
      </c>
      <c r="S56" s="1628"/>
    </row>
    <row r="57" spans="1:19">
      <c r="A57" s="624"/>
      <c r="B57" s="1156"/>
      <c r="C57" s="1157"/>
      <c r="D57" s="1157"/>
      <c r="E57" s="1158"/>
      <c r="F57" s="1159" t="s">
        <v>569</v>
      </c>
      <c r="G57" s="1160"/>
      <c r="H57" s="1629"/>
      <c r="I57" s="1630">
        <f>H56*I55</f>
        <v>0</v>
      </c>
      <c r="J57" s="1629"/>
      <c r="K57" s="1630">
        <f>J56*K55</f>
        <v>0</v>
      </c>
      <c r="L57" s="1629"/>
      <c r="M57" s="1630">
        <f>L56*M55</f>
        <v>0</v>
      </c>
      <c r="N57" s="1629"/>
      <c r="O57" s="1630">
        <f>N56*O55</f>
        <v>0</v>
      </c>
      <c r="P57" s="1629"/>
      <c r="Q57" s="1630">
        <f>P56*Q55</f>
        <v>0</v>
      </c>
      <c r="R57" s="1629"/>
      <c r="S57" s="1630">
        <f>R56*S55</f>
        <v>0</v>
      </c>
    </row>
    <row r="58" spans="1:19">
      <c r="A58" s="624"/>
      <c r="B58" s="1156"/>
      <c r="C58" s="1157"/>
      <c r="D58" s="1157"/>
      <c r="E58" s="1158"/>
      <c r="F58" s="1159"/>
      <c r="G58" s="1160"/>
      <c r="H58" s="1629"/>
      <c r="I58" s="1633"/>
      <c r="J58" s="1629"/>
      <c r="K58" s="1633"/>
      <c r="L58" s="1629"/>
      <c r="M58" s="1633"/>
      <c r="N58" s="1629"/>
      <c r="O58" s="1633"/>
      <c r="P58" s="1629"/>
      <c r="Q58" s="1633"/>
      <c r="R58" s="1629"/>
      <c r="S58" s="1633"/>
    </row>
    <row r="59" spans="1:19">
      <c r="A59" s="624"/>
      <c r="B59" s="1156"/>
      <c r="C59" s="1157"/>
      <c r="D59" s="1157"/>
      <c r="E59" s="1158"/>
      <c r="F59" s="1159" t="s">
        <v>570</v>
      </c>
      <c r="G59" s="1160"/>
      <c r="H59" s="1634"/>
      <c r="I59" s="1632">
        <f>SUM(I55:I57)</f>
        <v>509130</v>
      </c>
      <c r="J59" s="1634"/>
      <c r="K59" s="1632">
        <f>SUM(K55:K57)</f>
        <v>0</v>
      </c>
      <c r="L59" s="1634"/>
      <c r="M59" s="1632">
        <f>SUM(M55:M57)</f>
        <v>0</v>
      </c>
      <c r="N59" s="1634"/>
      <c r="O59" s="1632">
        <f>SUM(O55:O57)</f>
        <v>0</v>
      </c>
      <c r="P59" s="1634"/>
      <c r="Q59" s="1632">
        <f>SUM(Q55:Q57)</f>
        <v>0</v>
      </c>
      <c r="R59" s="1634"/>
      <c r="S59" s="1632">
        <f>SUM(S55:S57)</f>
        <v>0</v>
      </c>
    </row>
    <row r="60" spans="1:19">
      <c r="A60" s="624"/>
      <c r="B60" s="1156"/>
      <c r="C60" s="1157"/>
      <c r="D60" s="1157"/>
      <c r="E60" s="1158"/>
      <c r="F60" s="1161" t="s">
        <v>571</v>
      </c>
      <c r="G60" s="1162"/>
      <c r="H60" s="1635"/>
      <c r="I60" s="1636" t="e">
        <f>I59/'Area Calculations'!$J$4</f>
        <v>#DIV/0!</v>
      </c>
      <c r="J60" s="1635"/>
      <c r="K60" s="1636" t="e">
        <f>K59/'Area Calculations'!$J$4</f>
        <v>#DIV/0!</v>
      </c>
      <c r="L60" s="1635"/>
      <c r="M60" s="1636" t="e">
        <f>M59/'Area Calculations'!$J$4</f>
        <v>#DIV/0!</v>
      </c>
      <c r="N60" s="1635"/>
      <c r="O60" s="1636" t="e">
        <f>O59/'Area Calculations'!$J$4</f>
        <v>#DIV/0!</v>
      </c>
      <c r="P60" s="1635"/>
      <c r="Q60" s="1636" t="e">
        <f>Q59/'Area Calculations'!$J$4</f>
        <v>#DIV/0!</v>
      </c>
      <c r="R60" s="1635"/>
      <c r="S60" s="1636" t="e">
        <f>S59/'Area Calculations'!$J$4</f>
        <v>#DIV/0!</v>
      </c>
    </row>
    <row r="61" spans="1:19">
      <c r="A61" s="624"/>
      <c r="B61" s="1156"/>
      <c r="C61" s="1157"/>
      <c r="D61" s="1157"/>
      <c r="E61" s="1158"/>
      <c r="F61" s="1161" t="s">
        <v>572</v>
      </c>
      <c r="G61" s="1163"/>
      <c r="H61" s="1635"/>
      <c r="I61" s="1636" t="e">
        <f>I59/'Area Calculations'!#REF!</f>
        <v>#REF!</v>
      </c>
      <c r="J61" s="1635"/>
      <c r="K61" s="1636" t="e">
        <f>K59/'Area Calculations'!#REF!</f>
        <v>#REF!</v>
      </c>
      <c r="L61" s="1635"/>
      <c r="M61" s="1636" t="e">
        <f>M59/'Area Calculations'!#REF!</f>
        <v>#REF!</v>
      </c>
      <c r="N61" s="1635"/>
      <c r="O61" s="1636" t="e">
        <f>O59/'Area Calculations'!#REF!</f>
        <v>#REF!</v>
      </c>
      <c r="P61" s="1635"/>
      <c r="Q61" s="1636" t="e">
        <f>Q59/'Area Calculations'!#REF!</f>
        <v>#REF!</v>
      </c>
      <c r="R61" s="1635"/>
      <c r="S61" s="1636" t="e">
        <f>S59/'Area Calculations'!#REF!</f>
        <v>#REF!</v>
      </c>
    </row>
    <row r="62" spans="1:19" ht="15.75" thickBot="1">
      <c r="A62" s="624"/>
      <c r="B62" s="1156"/>
      <c r="C62" s="1157"/>
      <c r="D62" s="1157"/>
      <c r="E62" s="1158"/>
      <c r="F62" s="1159"/>
      <c r="G62" s="1533"/>
      <c r="H62" s="1639"/>
      <c r="I62" s="1639"/>
      <c r="J62" s="1639"/>
      <c r="K62" s="1905"/>
      <c r="L62" s="1637"/>
      <c r="M62" s="1638"/>
      <c r="N62" s="1639"/>
      <c r="O62" s="1639"/>
      <c r="P62" s="1639"/>
      <c r="Q62" s="1905"/>
      <c r="R62" s="1639"/>
      <c r="S62" s="1905"/>
    </row>
    <row r="63" spans="1:19" ht="16.5" thickTop="1" thickBot="1">
      <c r="A63" s="726" t="s">
        <v>573</v>
      </c>
      <c r="B63" s="727"/>
      <c r="C63" s="12"/>
      <c r="D63" s="12"/>
      <c r="E63" s="12"/>
      <c r="F63" s="12"/>
      <c r="G63" s="13"/>
      <c r="H63" s="21"/>
      <c r="I63" s="21"/>
      <c r="J63" s="21"/>
      <c r="K63" s="21"/>
      <c r="L63" s="52"/>
      <c r="M63" s="21"/>
      <c r="N63" s="21"/>
      <c r="O63" s="21"/>
      <c r="P63" s="21"/>
      <c r="Q63" s="21"/>
      <c r="R63" s="21"/>
      <c r="S63" s="21"/>
    </row>
    <row r="64" spans="1:19" ht="15.75" thickTop="1">
      <c r="A64" s="1929"/>
      <c r="B64" s="862"/>
      <c r="C64" s="1930"/>
      <c r="D64" s="1930"/>
      <c r="E64" s="1930"/>
      <c r="F64" s="1930"/>
      <c r="G64" s="1931"/>
      <c r="H64" s="1932"/>
      <c r="I64" s="1932"/>
      <c r="J64" s="1932"/>
      <c r="K64" s="1932"/>
      <c r="L64" s="1996"/>
      <c r="M64" s="1932"/>
      <c r="N64" s="1932"/>
      <c r="O64" s="1932"/>
      <c r="P64" s="1932"/>
      <c r="Q64" s="1932"/>
      <c r="R64" s="1932"/>
      <c r="S64" s="1932"/>
    </row>
    <row r="65" spans="1:19">
      <c r="A65" s="1929"/>
      <c r="B65" s="862"/>
      <c r="C65" s="1930"/>
      <c r="D65" s="1930"/>
      <c r="E65" s="1930"/>
      <c r="F65" s="1930"/>
      <c r="G65" s="1931"/>
      <c r="H65" s="1932"/>
      <c r="I65" s="1932"/>
      <c r="J65" s="1932"/>
      <c r="K65" s="1932"/>
      <c r="L65" s="1996"/>
      <c r="M65" s="1932"/>
      <c r="N65" s="1932"/>
      <c r="O65" s="1932"/>
      <c r="P65" s="1932"/>
      <c r="Q65" s="1932"/>
      <c r="R65" s="1932"/>
      <c r="S65" s="1932"/>
    </row>
    <row r="66" spans="1:19" ht="15.75" thickBot="1">
      <c r="A66" s="1929"/>
      <c r="B66" s="862"/>
      <c r="C66" s="1930"/>
      <c r="D66" s="1930"/>
      <c r="E66" s="1930"/>
      <c r="F66" s="1930"/>
      <c r="G66" s="1931"/>
      <c r="H66" s="1932"/>
      <c r="I66" s="1932"/>
      <c r="J66" s="1932"/>
      <c r="K66" s="1932"/>
      <c r="L66" s="1996"/>
      <c r="M66" s="1932"/>
      <c r="N66" s="1932"/>
      <c r="O66" s="1932"/>
      <c r="P66" s="1932"/>
      <c r="Q66" s="1932"/>
      <c r="R66" s="1932"/>
      <c r="S66" s="1932"/>
    </row>
    <row r="67" spans="1:19" s="2" customFormat="1" ht="16.5" thickTop="1" thickBot="1">
      <c r="A67" s="726" t="s">
        <v>574</v>
      </c>
      <c r="B67" s="727"/>
      <c r="C67" s="12"/>
      <c r="D67" s="12"/>
      <c r="E67" s="12"/>
      <c r="F67" s="12"/>
      <c r="G67" s="13"/>
      <c r="H67" s="21"/>
      <c r="I67" s="21"/>
      <c r="J67" s="21"/>
      <c r="K67" s="21"/>
      <c r="L67" s="52"/>
      <c r="M67" s="21"/>
      <c r="N67" s="21"/>
      <c r="O67" s="21"/>
      <c r="P67" s="21"/>
      <c r="Q67" s="21"/>
      <c r="R67" s="21"/>
      <c r="S67" s="21"/>
    </row>
    <row r="68" spans="1:19" s="2" customFormat="1" ht="15.75" thickTop="1">
      <c r="A68" s="1929"/>
      <c r="B68" s="862"/>
      <c r="C68" s="1930"/>
      <c r="D68" s="1930"/>
      <c r="E68" s="1930"/>
      <c r="F68" s="1930"/>
      <c r="G68" s="1931"/>
      <c r="H68" s="1932"/>
      <c r="I68" s="1932"/>
      <c r="J68" s="1932"/>
      <c r="K68" s="1932"/>
      <c r="L68" s="1996"/>
      <c r="M68" s="1932"/>
      <c r="N68" s="1932"/>
      <c r="O68" s="1932"/>
      <c r="P68" s="1932"/>
      <c r="Q68" s="1932"/>
      <c r="R68" s="1932"/>
      <c r="S68" s="1932"/>
    </row>
    <row r="69" spans="1:19" s="2" customFormat="1">
      <c r="A69" s="1929"/>
      <c r="B69" s="862"/>
      <c r="C69" s="1930"/>
      <c r="D69" s="1930"/>
      <c r="E69" s="1930"/>
      <c r="F69" s="1930"/>
      <c r="G69" s="1931"/>
      <c r="H69" s="1932"/>
      <c r="I69" s="1932"/>
      <c r="J69" s="1932"/>
      <c r="K69" s="1932"/>
      <c r="L69" s="1996"/>
      <c r="M69" s="1932"/>
      <c r="N69" s="1932"/>
      <c r="O69" s="1932"/>
      <c r="P69" s="1932"/>
      <c r="Q69" s="1932"/>
      <c r="R69" s="1932"/>
      <c r="S69" s="1932"/>
    </row>
    <row r="70" spans="1:19" ht="15.75" thickBot="1">
      <c r="A70" s="1929"/>
      <c r="B70" s="862"/>
      <c r="C70" s="1930"/>
      <c r="D70" s="1930"/>
      <c r="E70" s="1930"/>
      <c r="F70" s="1930"/>
      <c r="G70" s="1931"/>
      <c r="H70" s="1932"/>
      <c r="I70" s="1932"/>
      <c r="J70" s="1932"/>
      <c r="K70" s="1932"/>
      <c r="L70" s="1996"/>
      <c r="M70" s="1932"/>
      <c r="N70" s="1932"/>
      <c r="O70" s="1932"/>
      <c r="P70" s="1932"/>
      <c r="Q70" s="1932"/>
      <c r="R70" s="1932"/>
      <c r="S70" s="1932"/>
    </row>
    <row r="71" spans="1:19" s="2" customFormat="1" ht="16.5" thickTop="1" thickBot="1">
      <c r="A71" s="726" t="s">
        <v>575</v>
      </c>
      <c r="B71" s="727"/>
      <c r="C71" s="12"/>
      <c r="D71" s="12"/>
      <c r="E71" s="12"/>
      <c r="F71" s="12"/>
      <c r="G71" s="13"/>
      <c r="H71" s="21"/>
      <c r="I71" s="21"/>
      <c r="J71" s="21"/>
      <c r="K71" s="21"/>
      <c r="L71" s="52"/>
      <c r="M71" s="21"/>
      <c r="N71" s="21"/>
      <c r="O71" s="21"/>
      <c r="P71" s="21"/>
      <c r="Q71" s="21"/>
      <c r="R71" s="21"/>
      <c r="S71" s="21"/>
    </row>
    <row r="72" spans="1:19" s="2" customFormat="1" ht="15.75" thickTop="1">
      <c r="A72" s="1929"/>
      <c r="B72" s="862"/>
      <c r="C72" s="1930"/>
      <c r="D72" s="1930"/>
      <c r="E72" s="1930"/>
      <c r="F72" s="1930"/>
      <c r="G72" s="1931"/>
      <c r="H72" s="1932"/>
      <c r="I72" s="1932"/>
      <c r="J72" s="1932"/>
      <c r="K72" s="1932"/>
      <c r="L72" s="1996"/>
      <c r="M72" s="1932"/>
      <c r="N72" s="1932"/>
      <c r="O72" s="1932"/>
      <c r="P72" s="1932"/>
      <c r="Q72" s="1932"/>
      <c r="R72" s="1932"/>
      <c r="S72" s="1932"/>
    </row>
    <row r="73" spans="1:19" s="2" customFormat="1">
      <c r="A73" s="628"/>
      <c r="B73" s="862"/>
      <c r="C73" s="1124"/>
      <c r="D73" s="1124"/>
      <c r="E73" s="1124"/>
      <c r="F73" s="1124"/>
      <c r="G73" s="1133"/>
      <c r="H73" s="1640"/>
      <c r="I73" s="1640"/>
      <c r="J73" s="1640"/>
      <c r="K73" s="1640"/>
      <c r="L73" s="1170"/>
      <c r="M73" s="1640"/>
      <c r="N73" s="1640"/>
      <c r="O73" s="1640"/>
      <c r="P73" s="1640"/>
      <c r="Q73" s="1640"/>
      <c r="R73" s="1640"/>
      <c r="S73" s="1640"/>
    </row>
    <row r="74" spans="1:19" s="2" customFormat="1" ht="15.75" thickBot="1">
      <c r="A74" s="625"/>
      <c r="B74" s="1171"/>
      <c r="C74" s="1124"/>
      <c r="D74" s="1124"/>
      <c r="E74" s="1124"/>
      <c r="F74" s="1124"/>
      <c r="G74" s="1133"/>
      <c r="H74" s="1642"/>
      <c r="I74" s="1642"/>
      <c r="J74" s="1642"/>
      <c r="K74" s="1642"/>
      <c r="L74" s="1172"/>
      <c r="M74" s="1642"/>
      <c r="N74" s="1642"/>
      <c r="O74" s="1642"/>
      <c r="P74" s="1642"/>
      <c r="Q74" s="1642"/>
      <c r="R74" s="1642"/>
      <c r="S74" s="1642"/>
    </row>
    <row r="75" spans="1:19" s="2" customFormat="1" ht="16.5" thickTop="1" thickBot="1">
      <c r="A75" s="726" t="s">
        <v>576</v>
      </c>
      <c r="B75" s="727"/>
      <c r="C75" s="12"/>
      <c r="D75" s="12"/>
      <c r="E75" s="12"/>
      <c r="F75" s="12"/>
      <c r="G75" s="13"/>
      <c r="H75" s="21"/>
      <c r="I75" s="21"/>
      <c r="J75" s="21"/>
      <c r="K75" s="21"/>
      <c r="L75" s="52"/>
      <c r="M75" s="21"/>
      <c r="N75" s="21"/>
      <c r="O75" s="21"/>
      <c r="P75" s="21"/>
      <c r="Q75" s="21"/>
      <c r="R75" s="21"/>
      <c r="S75" s="21"/>
    </row>
    <row r="76" spans="1:19" ht="15.75" thickTop="1">
      <c r="A76" s="1933"/>
      <c r="B76" s="1934"/>
      <c r="C76" s="1930"/>
      <c r="D76" s="1930"/>
      <c r="E76" s="1930"/>
      <c r="F76" s="1930"/>
      <c r="G76" s="1931"/>
      <c r="H76" s="1932"/>
      <c r="I76" s="1932"/>
      <c r="J76" s="1932"/>
      <c r="K76" s="1932"/>
      <c r="L76" s="1996"/>
      <c r="M76" s="1932"/>
      <c r="N76" s="1932"/>
      <c r="O76" s="1932"/>
      <c r="P76" s="1932"/>
      <c r="Q76" s="1932"/>
      <c r="R76" s="1932"/>
      <c r="S76" s="1932"/>
    </row>
    <row r="77" spans="1:19">
      <c r="A77" s="625"/>
      <c r="B77" s="1171"/>
      <c r="C77" s="1124"/>
      <c r="D77" s="1124"/>
      <c r="E77" s="1124"/>
      <c r="F77" s="1124"/>
      <c r="G77" s="1133"/>
      <c r="H77" s="1643"/>
      <c r="I77" s="1643"/>
      <c r="J77" s="1643"/>
      <c r="K77" s="1643"/>
      <c r="L77" s="1175"/>
      <c r="M77" s="1643"/>
      <c r="N77" s="1643"/>
      <c r="O77" s="1643"/>
      <c r="P77" s="1643"/>
      <c r="Q77" s="1643"/>
      <c r="R77" s="1643"/>
      <c r="S77" s="1643"/>
    </row>
    <row r="78" spans="1:19" ht="15.75" thickBot="1">
      <c r="A78" s="625"/>
      <c r="B78" s="1171"/>
      <c r="C78" s="1124"/>
      <c r="D78" s="1124"/>
      <c r="E78" s="1124"/>
      <c r="F78" s="1124"/>
      <c r="G78" s="1133"/>
      <c r="H78" s="1643"/>
      <c r="I78" s="1643"/>
      <c r="J78" s="1643"/>
      <c r="K78" s="1643"/>
      <c r="L78" s="1175"/>
      <c r="M78" s="1643"/>
      <c r="N78" s="1643"/>
      <c r="O78" s="1643"/>
      <c r="P78" s="1643"/>
      <c r="Q78" s="1643"/>
      <c r="R78" s="1643"/>
      <c r="S78" s="1643"/>
    </row>
    <row r="79" spans="1:19" ht="16.5" thickTop="1" thickBot="1">
      <c r="A79" s="726" t="s">
        <v>577</v>
      </c>
      <c r="B79" s="727"/>
      <c r="C79" s="12"/>
      <c r="D79" s="12"/>
      <c r="E79" s="12"/>
      <c r="F79" s="12"/>
      <c r="G79" s="13"/>
      <c r="H79" s="21"/>
      <c r="I79" s="21"/>
      <c r="J79" s="21"/>
      <c r="K79" s="21"/>
      <c r="L79" s="52"/>
      <c r="M79" s="21"/>
      <c r="N79" s="21"/>
      <c r="O79" s="21"/>
      <c r="P79" s="21"/>
      <c r="Q79" s="21"/>
      <c r="R79" s="21"/>
      <c r="S79" s="21"/>
    </row>
    <row r="80" spans="1:19" ht="15.75" thickTop="1">
      <c r="A80" s="628"/>
      <c r="B80" s="862" t="s">
        <v>578</v>
      </c>
      <c r="C80" s="1124"/>
      <c r="D80" s="1124"/>
      <c r="E80" s="1124"/>
      <c r="F80" s="1124"/>
      <c r="G80" s="1133"/>
      <c r="H80" s="1643"/>
      <c r="I80" s="1643"/>
      <c r="J80" s="1643"/>
      <c r="K80" s="1643"/>
      <c r="L80" s="1175"/>
      <c r="M80" s="1643"/>
      <c r="N80" s="1643"/>
      <c r="O80" s="1643"/>
      <c r="P80" s="1643"/>
      <c r="Q80" s="1643"/>
      <c r="R80" s="1643"/>
      <c r="S80" s="1643"/>
    </row>
    <row r="81" spans="1:19">
      <c r="A81" s="628"/>
      <c r="B81" s="862" t="s">
        <v>579</v>
      </c>
      <c r="C81" s="1124"/>
      <c r="D81" s="1124"/>
      <c r="E81" s="1124"/>
      <c r="F81" s="1124"/>
      <c r="G81" s="1133"/>
      <c r="H81" s="1643"/>
      <c r="I81" s="1643"/>
      <c r="J81" s="1643"/>
      <c r="K81" s="1643"/>
      <c r="L81" s="1175"/>
      <c r="M81" s="1643"/>
      <c r="N81" s="1643"/>
      <c r="O81" s="1643"/>
      <c r="P81" s="1643"/>
      <c r="Q81" s="1643"/>
      <c r="R81" s="1643"/>
      <c r="S81" s="1643"/>
    </row>
    <row r="82" spans="1:19">
      <c r="A82" s="628"/>
      <c r="B82" s="862" t="s">
        <v>580</v>
      </c>
      <c r="C82" s="1124"/>
      <c r="D82" s="1124"/>
      <c r="E82" s="1124"/>
      <c r="F82" s="1124"/>
      <c r="G82" s="1133"/>
      <c r="H82" s="1643"/>
      <c r="I82" s="1643"/>
      <c r="J82" s="1643"/>
      <c r="K82" s="1643"/>
      <c r="L82" s="1175"/>
      <c r="M82" s="1643"/>
      <c r="N82" s="1643"/>
      <c r="O82" s="1643"/>
      <c r="P82" s="1643"/>
      <c r="Q82" s="1643"/>
      <c r="R82" s="1643"/>
      <c r="S82" s="1643"/>
    </row>
    <row r="83" spans="1:19">
      <c r="A83" s="628"/>
      <c r="B83" s="862" t="s">
        <v>581</v>
      </c>
      <c r="C83" s="1124"/>
      <c r="D83" s="1124"/>
      <c r="E83" s="1124"/>
      <c r="F83" s="1124"/>
      <c r="G83" s="1133"/>
      <c r="H83" s="1643"/>
      <c r="I83" s="1643"/>
      <c r="J83" s="1643"/>
      <c r="K83" s="1643"/>
      <c r="L83" s="1175"/>
      <c r="M83" s="1643"/>
      <c r="N83" s="1643"/>
      <c r="O83" s="1643"/>
      <c r="P83" s="1643"/>
      <c r="Q83" s="1643"/>
      <c r="R83" s="1643"/>
      <c r="S83" s="1643"/>
    </row>
    <row r="84" spans="1:19" ht="15.75" thickBot="1">
      <c r="A84" s="416"/>
      <c r="B84" s="295"/>
      <c r="C84" s="184"/>
      <c r="D84" s="184"/>
      <c r="E84" s="184"/>
      <c r="F84" s="184"/>
      <c r="G84" s="296"/>
      <c r="H84" s="418"/>
      <c r="I84" s="418"/>
      <c r="J84" s="418"/>
      <c r="K84" s="418"/>
      <c r="L84" s="53"/>
      <c r="M84" s="418"/>
      <c r="N84" s="418"/>
      <c r="O84" s="418"/>
      <c r="P84" s="418"/>
      <c r="Q84" s="418"/>
      <c r="R84" s="418"/>
      <c r="S84" s="418"/>
    </row>
    <row r="85" spans="1:19" ht="16.5" thickTop="1" thickBot="1">
      <c r="A85" s="7" t="s">
        <v>582</v>
      </c>
      <c r="B85" s="8"/>
      <c r="C85" s="12"/>
      <c r="D85" s="12"/>
      <c r="E85" s="12"/>
      <c r="F85" s="12"/>
      <c r="G85" s="13"/>
      <c r="H85" s="21"/>
      <c r="I85" s="21"/>
      <c r="J85" s="21"/>
      <c r="K85" s="21"/>
      <c r="L85" s="52"/>
      <c r="M85" s="21"/>
      <c r="N85" s="21"/>
      <c r="O85" s="21"/>
      <c r="P85" s="21"/>
      <c r="Q85" s="21"/>
      <c r="R85" s="21"/>
      <c r="S85" s="21"/>
    </row>
    <row r="86" spans="1:19" ht="15.75" thickTop="1">
      <c r="A86" s="1929"/>
      <c r="B86" s="1935" t="s">
        <v>583</v>
      </c>
      <c r="C86" s="1930"/>
      <c r="D86" s="1930"/>
      <c r="E86" s="1930"/>
      <c r="F86" s="1930"/>
      <c r="G86" s="1931"/>
      <c r="H86" s="1936"/>
      <c r="I86" s="1936"/>
      <c r="J86" s="1936"/>
      <c r="K86" s="1936"/>
      <c r="L86" s="1983"/>
      <c r="M86" s="1936"/>
      <c r="N86" s="1936"/>
      <c r="O86" s="1936"/>
      <c r="P86" s="1936"/>
      <c r="Q86" s="1936"/>
      <c r="R86" s="1936"/>
      <c r="S86" s="1936"/>
    </row>
    <row r="87" spans="1:19">
      <c r="A87" s="628"/>
      <c r="B87" s="862" t="s">
        <v>584</v>
      </c>
      <c r="C87" s="1124"/>
      <c r="D87" s="1124"/>
      <c r="E87" s="1124"/>
      <c r="F87" s="1124"/>
      <c r="G87" s="1133"/>
      <c r="H87" s="1644"/>
      <c r="I87" s="1644"/>
      <c r="J87" s="1644"/>
      <c r="K87" s="1644"/>
      <c r="L87" s="1178"/>
      <c r="M87" s="1644"/>
      <c r="N87" s="1644"/>
      <c r="O87" s="1644"/>
      <c r="P87" s="1644"/>
      <c r="Q87" s="1644"/>
      <c r="R87" s="1644"/>
      <c r="S87" s="1644"/>
    </row>
    <row r="88" spans="1:19" ht="15.75" thickBot="1">
      <c r="A88" s="1645"/>
      <c r="B88" s="1646" t="s">
        <v>585</v>
      </c>
      <c r="C88" s="1647"/>
      <c r="D88" s="1647"/>
      <c r="E88" s="1647"/>
      <c r="F88" s="1647"/>
      <c r="G88" s="1648"/>
      <c r="H88" s="1649"/>
      <c r="I88" s="1649"/>
      <c r="J88" s="1649"/>
      <c r="K88" s="1649"/>
      <c r="L88" s="1723"/>
      <c r="M88" s="1649"/>
      <c r="N88" s="1649"/>
      <c r="O88" s="1649"/>
      <c r="P88" s="1649"/>
      <c r="Q88" s="1649"/>
      <c r="R88" s="1649"/>
      <c r="S88" s="1649"/>
    </row>
    <row r="89" spans="1:19" ht="16.5" thickTop="1" thickBot="1"/>
    <row r="90" spans="1:19" ht="16.5" thickTop="1" thickBot="1">
      <c r="A90" s="92" t="s">
        <v>586</v>
      </c>
      <c r="B90" s="94"/>
    </row>
    <row r="91" spans="1:19" ht="15.75" thickTop="1">
      <c r="A91" s="93" t="s">
        <v>487</v>
      </c>
      <c r="B91" s="1650"/>
    </row>
    <row r="92" spans="1:19">
      <c r="A92" s="626" t="s">
        <v>491</v>
      </c>
      <c r="B92" s="1650"/>
    </row>
    <row r="93" spans="1:19">
      <c r="A93" s="1651" t="s">
        <v>494</v>
      </c>
      <c r="B93" s="1652"/>
    </row>
    <row r="94" spans="1:19">
      <c r="A94" s="1651" t="s">
        <v>497</v>
      </c>
      <c r="B94" s="1653"/>
    </row>
    <row r="95" spans="1:19" ht="15.75" thickBot="1">
      <c r="A95" s="1654" t="s">
        <v>587</v>
      </c>
      <c r="B95" s="1655">
        <f>H8</f>
        <v>509130</v>
      </c>
    </row>
    <row r="96" spans="1:19" ht="15.75" thickTop="1"/>
    <row r="97" spans="1:2">
      <c r="A97" s="95"/>
      <c r="B97" s="1" t="s">
        <v>588</v>
      </c>
    </row>
    <row r="98" spans="1:2">
      <c r="A98" s="96"/>
      <c r="B98" s="1" t="s">
        <v>589</v>
      </c>
    </row>
  </sheetData>
  <mergeCells count="47">
    <mergeCell ref="R7:S7"/>
    <mergeCell ref="R8:S8"/>
    <mergeCell ref="R2:S2"/>
    <mergeCell ref="R3:S3"/>
    <mergeCell ref="R4:S4"/>
    <mergeCell ref="R5:S5"/>
    <mergeCell ref="R6:S6"/>
    <mergeCell ref="H3:I3"/>
    <mergeCell ref="L2:M2"/>
    <mergeCell ref="N2:O2"/>
    <mergeCell ref="H2:I2"/>
    <mergeCell ref="J2:K2"/>
    <mergeCell ref="J3:K3"/>
    <mergeCell ref="P2:Q2"/>
    <mergeCell ref="P3:Q3"/>
    <mergeCell ref="L8:M8"/>
    <mergeCell ref="N4:O4"/>
    <mergeCell ref="N5:O5"/>
    <mergeCell ref="N6:O6"/>
    <mergeCell ref="N7:O7"/>
    <mergeCell ref="N8:O8"/>
    <mergeCell ref="L4:M4"/>
    <mergeCell ref="L5:M5"/>
    <mergeCell ref="L6:M6"/>
    <mergeCell ref="L7:M7"/>
    <mergeCell ref="L3:M3"/>
    <mergeCell ref="N3:O3"/>
    <mergeCell ref="H8:I8"/>
    <mergeCell ref="H4:I4"/>
    <mergeCell ref="J8:K8"/>
    <mergeCell ref="P4:Q4"/>
    <mergeCell ref="H5:I5"/>
    <mergeCell ref="H6:I6"/>
    <mergeCell ref="H7:I7"/>
    <mergeCell ref="J4:K4"/>
    <mergeCell ref="J5:K5"/>
    <mergeCell ref="J6:K6"/>
    <mergeCell ref="J7:K7"/>
    <mergeCell ref="P5:Q5"/>
    <mergeCell ref="P6:Q6"/>
    <mergeCell ref="P7:Q7"/>
    <mergeCell ref="P8:Q8"/>
    <mergeCell ref="A63:B63"/>
    <mergeCell ref="A67:B67"/>
    <mergeCell ref="A71:B71"/>
    <mergeCell ref="A75:B75"/>
    <mergeCell ref="A79:B79"/>
  </mergeCells>
  <conditionalFormatting sqref="H21:H31 H33:H54 J33:J54 L33:L54 N33:N54 P33:P54 R33:R54">
    <cfRule type="cellIs" dxfId="1127" priority="13" operator="equal">
      <formula>"X"</formula>
    </cfRule>
    <cfRule type="cellIs" dxfId="1126" priority="14" operator="equal">
      <formula>"I"</formula>
    </cfRule>
  </conditionalFormatting>
  <conditionalFormatting sqref="J21:J31">
    <cfRule type="cellIs" dxfId="1125" priority="15" operator="equal">
      <formula>"X"</formula>
    </cfRule>
    <cfRule type="cellIs" dxfId="1124" priority="16" operator="equal">
      <formula>"I"</formula>
    </cfRule>
  </conditionalFormatting>
  <conditionalFormatting sqref="L21:L31">
    <cfRule type="cellIs" dxfId="1123" priority="17" operator="equal">
      <formula>"X"</formula>
    </cfRule>
    <cfRule type="cellIs" dxfId="1122" priority="18" operator="equal">
      <formula>"I"</formula>
    </cfRule>
  </conditionalFormatting>
  <conditionalFormatting sqref="N21:N31">
    <cfRule type="cellIs" dxfId="1121" priority="19" operator="equal">
      <formula>"X"</formula>
    </cfRule>
    <cfRule type="cellIs" dxfId="1120" priority="20" operator="equal">
      <formula>"I"</formula>
    </cfRule>
  </conditionalFormatting>
  <conditionalFormatting sqref="P21:P31">
    <cfRule type="cellIs" dxfId="1119" priority="21" operator="equal">
      <formula>"X"</formula>
    </cfRule>
    <cfRule type="cellIs" dxfId="1118" priority="22" operator="equal">
      <formula>"I"</formula>
    </cfRule>
  </conditionalFormatting>
  <conditionalFormatting sqref="R21:R31">
    <cfRule type="cellIs" dxfId="1117" priority="23" operator="equal">
      <formula>"X"</formula>
    </cfRule>
    <cfRule type="cellIs" dxfId="1116" priority="24" operator="equal">
      <formula>"I"</formula>
    </cfRule>
  </conditionalFormatting>
  <hyperlinks>
    <hyperlink ref="B3" location="'Cost Summary'!A1" display="BACK TO SUMMARY SHEET" xr:uid="{545AC3D9-4AF1-45E0-A6E5-8244F1AA43B6}"/>
  </hyperlinks>
  <pageMargins left="0.7" right="0.7" top="0.75" bottom="0.75" header="0.3" footer="0.3"/>
  <pageSetup scale="71" orientation="portrait"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1A23-B2BE-4C42-801B-B54F3D59A569}">
  <sheetPr>
    <tabColor rgb="FF92D050"/>
  </sheetPr>
  <dimension ref="A1:S87"/>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c r="E2" s="175"/>
      <c r="F2" s="146" t="s">
        <v>475</v>
      </c>
      <c r="G2" s="147" t="s">
        <v>476</v>
      </c>
      <c r="H2" s="732"/>
      <c r="I2" s="732"/>
      <c r="J2" s="766"/>
      <c r="K2" s="766"/>
      <c r="L2" s="766"/>
      <c r="M2" s="766"/>
      <c r="N2" s="766"/>
      <c r="O2" s="766"/>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940</v>
      </c>
      <c r="C5" s="1124"/>
      <c r="D5" s="1124"/>
      <c r="E5" s="1124"/>
      <c r="F5" s="1124"/>
      <c r="G5" s="1125" t="s">
        <v>491</v>
      </c>
      <c r="H5" s="778"/>
      <c r="I5" s="1126"/>
      <c r="J5" s="778"/>
      <c r="K5" s="1126"/>
      <c r="L5" s="778"/>
      <c r="M5" s="1126"/>
      <c r="N5" s="778"/>
      <c r="O5" s="1126"/>
      <c r="P5" s="778"/>
      <c r="Q5" s="1126"/>
      <c r="R5" s="778"/>
      <c r="S5" s="1126"/>
    </row>
    <row r="6" spans="1:19">
      <c r="A6" s="627" t="s">
        <v>493</v>
      </c>
      <c r="B6" s="1127" t="s">
        <v>941</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c r="A8" s="414" t="s">
        <v>499</v>
      </c>
      <c r="B8" s="295"/>
      <c r="C8" s="184"/>
      <c r="D8" s="184"/>
      <c r="E8" s="184"/>
      <c r="F8" s="184"/>
      <c r="G8" s="419" t="s">
        <v>499</v>
      </c>
      <c r="H8" s="1724">
        <f>I48</f>
        <v>0</v>
      </c>
      <c r="I8" s="1725"/>
      <c r="J8" s="1724">
        <f>K48</f>
        <v>0</v>
      </c>
      <c r="K8" s="1725"/>
      <c r="L8" s="1724">
        <f>M48</f>
        <v>0</v>
      </c>
      <c r="M8" s="1725"/>
      <c r="N8" s="1724">
        <f>O48</f>
        <v>0</v>
      </c>
      <c r="O8" s="1725"/>
      <c r="P8" s="1724">
        <f>Q48</f>
        <v>0</v>
      </c>
      <c r="Q8" s="1725"/>
      <c r="R8" s="1724">
        <f>S46</f>
        <v>0</v>
      </c>
      <c r="S8" s="1725"/>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idden="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idden="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c r="A20" s="628"/>
      <c r="B20" s="862"/>
      <c r="C20" s="1134"/>
      <c r="D20" s="1124"/>
      <c r="E20" s="1124"/>
      <c r="F20" s="1124"/>
      <c r="G20" s="1133"/>
      <c r="H20" s="1678"/>
      <c r="I20" s="1726"/>
      <c r="J20" s="1678"/>
      <c r="K20" s="1726"/>
      <c r="L20" s="1678"/>
      <c r="M20" s="1726"/>
      <c r="N20" s="1678"/>
      <c r="O20" s="1726"/>
      <c r="P20" s="1678"/>
      <c r="Q20" s="1726"/>
      <c r="R20" s="1678"/>
      <c r="S20" s="1726"/>
    </row>
    <row r="21" spans="1:19">
      <c r="A21" s="59"/>
      <c r="B21" s="1136" t="s">
        <v>940</v>
      </c>
      <c r="C21" s="56"/>
      <c r="D21" s="57"/>
      <c r="E21" s="57"/>
      <c r="F21" s="57"/>
      <c r="G21" s="63"/>
      <c r="H21" s="1678"/>
      <c r="I21" s="1726"/>
      <c r="J21" s="1678"/>
      <c r="K21" s="1726"/>
      <c r="L21" s="1678"/>
      <c r="M21" s="1726"/>
      <c r="N21" s="1678"/>
      <c r="O21" s="1726"/>
      <c r="P21" s="1678"/>
      <c r="Q21" s="1726"/>
      <c r="R21" s="1678"/>
      <c r="S21" s="1726"/>
    </row>
    <row r="22" spans="1:19">
      <c r="A22" s="640"/>
      <c r="B22" s="374" t="s">
        <v>512</v>
      </c>
      <c r="C22" s="1134"/>
      <c r="D22" s="1124"/>
      <c r="E22" s="1124"/>
      <c r="F22" s="1124"/>
      <c r="G22" s="1133"/>
      <c r="H22" s="1678"/>
      <c r="I22" s="1644"/>
      <c r="J22" s="1678"/>
      <c r="K22" s="1178"/>
      <c r="L22" s="1678"/>
      <c r="M22" s="1178"/>
      <c r="N22" s="1678"/>
      <c r="O22" s="1178"/>
      <c r="P22" s="1678"/>
      <c r="Q22" s="1178"/>
      <c r="R22" s="1678"/>
      <c r="S22" s="1178"/>
    </row>
    <row r="23" spans="1:19">
      <c r="A23" s="640"/>
      <c r="B23" s="1422" t="s">
        <v>513</v>
      </c>
      <c r="C23" s="1154"/>
      <c r="D23" s="1426"/>
      <c r="E23" s="1124"/>
      <c r="F23" s="1124"/>
      <c r="G23" s="1133"/>
      <c r="H23" s="1678"/>
      <c r="I23" s="638"/>
      <c r="J23" s="1678"/>
      <c r="K23" s="638"/>
      <c r="L23" s="1678"/>
      <c r="M23" s="638"/>
      <c r="N23" s="1678"/>
      <c r="O23" s="1983"/>
      <c r="P23" s="1678"/>
      <c r="Q23" s="1983"/>
      <c r="R23" s="1678"/>
      <c r="S23" s="1983"/>
    </row>
    <row r="24" spans="1:19">
      <c r="A24" s="640"/>
      <c r="B24" s="1940" t="s">
        <v>514</v>
      </c>
      <c r="C24" s="1154"/>
      <c r="D24" s="1426"/>
      <c r="E24" s="1124"/>
      <c r="F24" s="1124"/>
      <c r="G24" s="1133"/>
      <c r="H24" s="1678"/>
      <c r="I24" s="1983"/>
      <c r="J24" s="1678"/>
      <c r="K24" s="638"/>
      <c r="L24" s="1678"/>
      <c r="M24" s="638"/>
      <c r="N24" s="1678"/>
      <c r="O24" s="1983"/>
      <c r="P24" s="1678"/>
      <c r="Q24" s="1983"/>
      <c r="R24" s="1678"/>
      <c r="S24" s="1983"/>
    </row>
    <row r="25" spans="1:19">
      <c r="A25" s="640"/>
      <c r="B25" s="1943" t="s">
        <v>515</v>
      </c>
      <c r="C25" s="1133"/>
      <c r="D25" s="1124"/>
      <c r="E25" s="1124"/>
      <c r="F25" s="1124"/>
      <c r="G25" s="1133"/>
      <c r="H25" s="1678"/>
      <c r="I25" s="1983"/>
      <c r="J25" s="1678"/>
      <c r="K25" s="1983"/>
      <c r="L25" s="1678"/>
      <c r="M25" s="638"/>
      <c r="N25" s="1678"/>
      <c r="O25" s="1983"/>
      <c r="P25" s="1678"/>
      <c r="Q25" s="1983"/>
      <c r="R25" s="1678"/>
      <c r="S25" s="1983"/>
    </row>
    <row r="26" spans="1:19">
      <c r="A26" s="640"/>
      <c r="B26" s="1943" t="s">
        <v>516</v>
      </c>
      <c r="C26" s="1133"/>
      <c r="D26" s="1124"/>
      <c r="E26" s="1124"/>
      <c r="F26" s="1124"/>
      <c r="G26" s="1133"/>
      <c r="H26" s="1678"/>
      <c r="I26" s="638"/>
      <c r="J26" s="1678"/>
      <c r="K26" s="638"/>
      <c r="L26" s="1678"/>
      <c r="M26" s="638"/>
      <c r="N26" s="1678"/>
      <c r="O26" s="638"/>
      <c r="P26" s="1678"/>
      <c r="Q26" s="638"/>
      <c r="R26" s="1678"/>
      <c r="S26" s="638"/>
    </row>
    <row r="27" spans="1:19" hidden="1">
      <c r="A27" s="640"/>
      <c r="B27" s="1943" t="s">
        <v>517</v>
      </c>
      <c r="C27" s="1133"/>
      <c r="D27" s="1124"/>
      <c r="E27" s="1124"/>
      <c r="F27" s="1124"/>
      <c r="G27" s="1133"/>
      <c r="H27" s="1678"/>
      <c r="I27" s="638"/>
      <c r="J27" s="1678"/>
      <c r="K27" s="638"/>
      <c r="L27" s="1678"/>
      <c r="M27" s="638"/>
      <c r="N27" s="1678"/>
      <c r="O27" s="638"/>
      <c r="P27" s="1678"/>
      <c r="Q27" s="638"/>
      <c r="R27" s="1678"/>
      <c r="S27" s="638"/>
    </row>
    <row r="28" spans="1:19">
      <c r="A28" s="640"/>
      <c r="B28" s="1943" t="s">
        <v>518</v>
      </c>
      <c r="C28" s="1133"/>
      <c r="D28" s="1124"/>
      <c r="E28" s="1124"/>
      <c r="F28" s="1124"/>
      <c r="G28" s="1133"/>
      <c r="H28" s="1678"/>
      <c r="I28" s="638"/>
      <c r="J28" s="1678"/>
      <c r="K28" s="638"/>
      <c r="L28" s="1678"/>
      <c r="M28" s="638"/>
      <c r="N28" s="1678"/>
      <c r="O28" s="638"/>
      <c r="P28" s="1678"/>
      <c r="Q28" s="638"/>
      <c r="R28" s="1678"/>
      <c r="S28" s="638"/>
    </row>
    <row r="29" spans="1:19">
      <c r="A29" s="640"/>
      <c r="B29" s="1943" t="s">
        <v>693</v>
      </c>
      <c r="C29" s="1133"/>
      <c r="D29" s="1124"/>
      <c r="E29" s="1124"/>
      <c r="F29" s="1124"/>
      <c r="G29" s="1133"/>
      <c r="H29" s="1678"/>
      <c r="I29" s="638"/>
      <c r="J29" s="1678"/>
      <c r="K29" s="638"/>
      <c r="L29" s="1678"/>
      <c r="M29" s="638"/>
      <c r="N29" s="1678"/>
      <c r="O29" s="638"/>
      <c r="P29" s="1678"/>
      <c r="Q29" s="638"/>
      <c r="R29" s="1678"/>
      <c r="S29" s="638"/>
    </row>
    <row r="30" spans="1:19">
      <c r="A30" s="640"/>
      <c r="B30" s="1944" t="s">
        <v>519</v>
      </c>
      <c r="C30" s="1133"/>
      <c r="D30" s="1124"/>
      <c r="E30" s="1124"/>
      <c r="F30" s="1124"/>
      <c r="G30" s="1133"/>
      <c r="H30" s="1678"/>
      <c r="I30" s="638"/>
      <c r="J30" s="1678"/>
      <c r="K30" s="638"/>
      <c r="L30" s="1678"/>
      <c r="M30" s="638"/>
      <c r="N30" s="1678"/>
      <c r="O30" s="638"/>
      <c r="P30" s="1678"/>
      <c r="Q30" s="638"/>
      <c r="R30" s="1678"/>
      <c r="S30" s="638"/>
    </row>
    <row r="31" spans="1:19">
      <c r="A31" s="640"/>
      <c r="B31" s="1989" t="s">
        <v>520</v>
      </c>
      <c r="C31" s="1147"/>
      <c r="D31" s="1145"/>
      <c r="E31" s="1145"/>
      <c r="F31" s="1146"/>
      <c r="G31" s="1599"/>
      <c r="H31" s="1727"/>
      <c r="I31" s="1985"/>
      <c r="J31" s="1727"/>
      <c r="K31" s="1985"/>
      <c r="L31" s="1727"/>
      <c r="M31" s="1985"/>
      <c r="N31" s="1727"/>
      <c r="O31" s="1985"/>
      <c r="P31" s="1727"/>
      <c r="Q31" s="1985"/>
      <c r="R31" s="1727"/>
      <c r="S31" s="1985"/>
    </row>
    <row r="32" spans="1:19">
      <c r="A32" s="640"/>
      <c r="B32" s="1997" t="s">
        <v>748</v>
      </c>
      <c r="C32" s="1133"/>
      <c r="D32" s="1124"/>
      <c r="E32" s="1124"/>
      <c r="F32" s="1151"/>
      <c r="G32" s="1229"/>
      <c r="H32" s="1678"/>
      <c r="I32" s="638"/>
      <c r="J32" s="1678"/>
      <c r="K32" s="638"/>
      <c r="L32" s="1678"/>
      <c r="M32" s="638"/>
      <c r="N32" s="1678"/>
      <c r="O32" s="638"/>
      <c r="P32" s="1678"/>
      <c r="Q32" s="638"/>
      <c r="R32" s="1678"/>
      <c r="S32" s="638"/>
    </row>
    <row r="33" spans="1:19">
      <c r="A33" s="640"/>
      <c r="B33" s="1830" t="s">
        <v>288</v>
      </c>
      <c r="C33" s="1133"/>
      <c r="D33" s="1124"/>
      <c r="E33" s="1124"/>
      <c r="F33" s="1151"/>
      <c r="G33" s="1229"/>
      <c r="H33" s="1678"/>
      <c r="I33" s="638"/>
      <c r="J33" s="1678"/>
      <c r="K33" s="638"/>
      <c r="L33" s="1678"/>
      <c r="M33" s="638"/>
      <c r="N33" s="1678"/>
      <c r="O33" s="638"/>
      <c r="P33" s="1678"/>
      <c r="Q33" s="638"/>
      <c r="R33" s="1678"/>
      <c r="S33" s="638"/>
    </row>
    <row r="34" spans="1:19">
      <c r="A34" s="640"/>
      <c r="B34" s="1998"/>
      <c r="C34" s="1133"/>
      <c r="D34" s="1124"/>
      <c r="E34" s="1124"/>
      <c r="F34" s="1151"/>
      <c r="G34" s="1229"/>
      <c r="H34" s="1678"/>
      <c r="I34" s="638"/>
      <c r="J34" s="1678"/>
      <c r="K34" s="638"/>
      <c r="L34" s="1678"/>
      <c r="M34" s="638"/>
      <c r="N34" s="1678"/>
      <c r="O34" s="638"/>
      <c r="P34" s="1678"/>
      <c r="Q34" s="638"/>
      <c r="R34" s="1678"/>
      <c r="S34" s="638"/>
    </row>
    <row r="35" spans="1:19">
      <c r="A35" s="640"/>
      <c r="B35" s="1999"/>
      <c r="C35" s="1133"/>
      <c r="D35" s="1124"/>
      <c r="E35" s="1124"/>
      <c r="F35" s="1151"/>
      <c r="G35" s="1229"/>
      <c r="H35" s="1678"/>
      <c r="I35" s="638"/>
      <c r="J35" s="1678"/>
      <c r="K35" s="638"/>
      <c r="L35" s="1678"/>
      <c r="M35" s="638"/>
      <c r="N35" s="1678"/>
      <c r="O35" s="638"/>
      <c r="P35" s="1678"/>
      <c r="Q35" s="638"/>
      <c r="R35" s="1678"/>
      <c r="S35" s="638"/>
    </row>
    <row r="36" spans="1:19">
      <c r="A36" s="640"/>
      <c r="B36" s="2000"/>
      <c r="C36" s="1133"/>
      <c r="D36" s="1124"/>
      <c r="E36" s="1124"/>
      <c r="F36" s="1151"/>
      <c r="G36" s="1229"/>
      <c r="H36" s="1678" t="s">
        <v>710</v>
      </c>
      <c r="I36" s="638"/>
      <c r="J36" s="1678"/>
      <c r="K36" s="638"/>
      <c r="L36" s="1678"/>
      <c r="M36" s="638"/>
      <c r="N36" s="1678"/>
      <c r="O36" s="638"/>
      <c r="P36" s="1678"/>
      <c r="Q36" s="638"/>
      <c r="R36" s="1678"/>
      <c r="S36" s="638"/>
    </row>
    <row r="37" spans="1:19">
      <c r="A37" s="640"/>
      <c r="B37" s="1995"/>
      <c r="C37" s="1133"/>
      <c r="D37" s="1124"/>
      <c r="E37" s="1124"/>
      <c r="F37" s="1151"/>
      <c r="G37" s="1229"/>
      <c r="H37" s="1678"/>
      <c r="I37" s="638"/>
      <c r="J37" s="1678"/>
      <c r="K37" s="638"/>
      <c r="L37" s="1678"/>
      <c r="M37" s="638"/>
      <c r="N37" s="1678"/>
      <c r="O37" s="638"/>
      <c r="P37" s="1678"/>
      <c r="Q37" s="638"/>
      <c r="R37" s="1678"/>
      <c r="S37" s="638"/>
    </row>
    <row r="38" spans="1:19">
      <c r="A38" s="640"/>
      <c r="B38" s="2000"/>
      <c r="C38" s="1133"/>
      <c r="D38" s="1124"/>
      <c r="E38" s="1124"/>
      <c r="F38" s="1151"/>
      <c r="G38" s="1229"/>
      <c r="H38" s="1678"/>
      <c r="I38" s="638"/>
      <c r="J38" s="1678"/>
      <c r="K38" s="638"/>
      <c r="L38" s="1678"/>
      <c r="M38" s="638"/>
      <c r="N38" s="1678"/>
      <c r="O38" s="638"/>
      <c r="P38" s="1678"/>
      <c r="Q38" s="638"/>
      <c r="R38" s="1678"/>
      <c r="S38" s="638"/>
    </row>
    <row r="39" spans="1:19">
      <c r="A39" s="640"/>
      <c r="B39" s="2000"/>
      <c r="C39" s="1133"/>
      <c r="D39" s="1124"/>
      <c r="E39" s="1124"/>
      <c r="F39" s="1151"/>
      <c r="G39" s="1229"/>
      <c r="H39" s="1678"/>
      <c r="I39" s="638"/>
      <c r="J39" s="1678"/>
      <c r="K39" s="638"/>
      <c r="L39" s="1678"/>
      <c r="M39" s="638"/>
      <c r="N39" s="1678"/>
      <c r="O39" s="638"/>
      <c r="P39" s="1678"/>
      <c r="Q39" s="638"/>
      <c r="R39" s="1678"/>
      <c r="S39" s="638"/>
    </row>
    <row r="40" spans="1:19">
      <c r="A40" s="640"/>
      <c r="B40" s="1995"/>
      <c r="C40" s="1133"/>
      <c r="D40" s="1124"/>
      <c r="E40" s="1124"/>
      <c r="F40" s="1151"/>
      <c r="G40" s="1229"/>
      <c r="H40" s="1678"/>
      <c r="I40" s="638"/>
      <c r="J40" s="1678"/>
      <c r="K40" s="638"/>
      <c r="L40" s="1678"/>
      <c r="M40" s="638"/>
      <c r="N40" s="1678"/>
      <c r="O40" s="638"/>
      <c r="P40" s="1678"/>
      <c r="Q40" s="638"/>
      <c r="R40" s="1678"/>
      <c r="S40" s="638"/>
    </row>
    <row r="41" spans="1:19">
      <c r="A41" s="640"/>
      <c r="B41" s="1830" t="s">
        <v>288</v>
      </c>
      <c r="C41" s="1133"/>
      <c r="D41" s="1124"/>
      <c r="E41" s="1124"/>
      <c r="F41" s="1151"/>
      <c r="G41" s="1229"/>
      <c r="H41" s="1678"/>
      <c r="I41" s="638"/>
      <c r="J41" s="1678"/>
      <c r="K41" s="638"/>
      <c r="L41" s="1678"/>
      <c r="M41" s="638"/>
      <c r="N41" s="1678"/>
      <c r="O41" s="638"/>
      <c r="P41" s="1678"/>
      <c r="Q41" s="638"/>
      <c r="R41" s="1678"/>
      <c r="S41" s="638"/>
    </row>
    <row r="42" spans="1:19">
      <c r="A42" s="640"/>
      <c r="B42" s="1828" t="s">
        <v>288</v>
      </c>
      <c r="C42" s="1133"/>
      <c r="D42" s="1124"/>
      <c r="E42" s="1124"/>
      <c r="F42" s="1151"/>
      <c r="G42" s="1229"/>
      <c r="H42" s="1678"/>
      <c r="I42" s="638"/>
      <c r="J42" s="1678"/>
      <c r="K42" s="638"/>
      <c r="L42" s="1678"/>
      <c r="M42" s="638"/>
      <c r="N42" s="1678"/>
      <c r="O42" s="638"/>
      <c r="P42" s="1678"/>
      <c r="Q42" s="638"/>
      <c r="R42" s="1678"/>
      <c r="S42" s="638"/>
    </row>
    <row r="43" spans="1:19">
      <c r="A43" s="640"/>
      <c r="B43" s="1828" t="s">
        <v>288</v>
      </c>
      <c r="C43" s="1133"/>
      <c r="D43" s="1124"/>
      <c r="E43" s="1124"/>
      <c r="F43" s="1151"/>
      <c r="G43" s="1229"/>
      <c r="H43" s="1678"/>
      <c r="I43" s="638"/>
      <c r="J43" s="1678"/>
      <c r="K43" s="638"/>
      <c r="L43" s="1678"/>
      <c r="M43" s="638"/>
      <c r="N43" s="1678"/>
      <c r="O43" s="638"/>
      <c r="P43" s="1678"/>
      <c r="Q43" s="638"/>
      <c r="R43" s="1678"/>
      <c r="S43" s="638"/>
    </row>
    <row r="44" spans="1:19">
      <c r="A44" s="14"/>
      <c r="B44" s="15"/>
      <c r="C44" s="16"/>
      <c r="D44" s="16"/>
      <c r="E44" s="17"/>
      <c r="F44" s="18" t="s">
        <v>567</v>
      </c>
      <c r="G44" s="19"/>
      <c r="H44" s="20"/>
      <c r="I44" s="61">
        <f>SUM(I23:I43)</f>
        <v>0</v>
      </c>
      <c r="J44" s="20"/>
      <c r="K44" s="61">
        <f>SUM(K23:K43)</f>
        <v>0</v>
      </c>
      <c r="L44" s="20"/>
      <c r="M44" s="61">
        <f>SUM(M23:M43)</f>
        <v>0</v>
      </c>
      <c r="N44" s="20"/>
      <c r="O44" s="61">
        <f>SUM(O26:O43)</f>
        <v>0</v>
      </c>
      <c r="P44" s="20"/>
      <c r="Q44" s="61">
        <f>SUM(Q26:Q43)</f>
        <v>0</v>
      </c>
      <c r="R44" s="20"/>
      <c r="S44" s="61">
        <f>SUM(S26:S43)</f>
        <v>0</v>
      </c>
    </row>
    <row r="45" spans="1:19">
      <c r="A45" s="624"/>
      <c r="B45" s="1156"/>
      <c r="C45" s="1157"/>
      <c r="D45" s="1157"/>
      <c r="E45" s="1158"/>
      <c r="F45" s="1159" t="s">
        <v>568</v>
      </c>
      <c r="G45" s="1160"/>
      <c r="H45" s="1988">
        <v>0</v>
      </c>
      <c r="I45" s="1628"/>
      <c r="J45" s="1627">
        <v>0</v>
      </c>
      <c r="K45" s="1628"/>
      <c r="L45" s="1627">
        <v>0</v>
      </c>
      <c r="M45" s="1628"/>
      <c r="N45" s="1988">
        <v>0</v>
      </c>
      <c r="O45" s="1628"/>
      <c r="P45" s="1988">
        <v>0</v>
      </c>
      <c r="Q45" s="1628"/>
      <c r="R45" s="1988">
        <v>0</v>
      </c>
      <c r="S45" s="1628"/>
    </row>
    <row r="46" spans="1:19">
      <c r="A46" s="624"/>
      <c r="B46" s="1156"/>
      <c r="C46" s="1157"/>
      <c r="D46" s="1157"/>
      <c r="E46" s="1158"/>
      <c r="F46" s="1159" t="s">
        <v>569</v>
      </c>
      <c r="G46" s="1160"/>
      <c r="H46" s="1629"/>
      <c r="I46" s="1630">
        <f>H45*I44</f>
        <v>0</v>
      </c>
      <c r="J46" s="1629"/>
      <c r="K46" s="1630">
        <f>J45*K44</f>
        <v>0</v>
      </c>
      <c r="L46" s="1629"/>
      <c r="M46" s="1630">
        <f>L45*M44</f>
        <v>0</v>
      </c>
      <c r="N46" s="1629"/>
      <c r="O46" s="1630">
        <f>N45*O44</f>
        <v>0</v>
      </c>
      <c r="P46" s="1629"/>
      <c r="Q46" s="1630">
        <f>P45*Q44</f>
        <v>0</v>
      </c>
      <c r="R46" s="1629"/>
      <c r="S46" s="1630">
        <f>R45*S44</f>
        <v>0</v>
      </c>
    </row>
    <row r="47" spans="1:19">
      <c r="A47" s="624"/>
      <c r="B47" s="1156"/>
      <c r="C47" s="1157"/>
      <c r="D47" s="1157"/>
      <c r="E47" s="1158"/>
      <c r="F47" s="1159"/>
      <c r="G47" s="1160"/>
      <c r="H47" s="1629"/>
      <c r="I47" s="1633"/>
      <c r="J47" s="1629"/>
      <c r="K47" s="1633"/>
      <c r="L47" s="1629"/>
      <c r="M47" s="1633"/>
      <c r="N47" s="1629"/>
      <c r="O47" s="1633"/>
      <c r="P47" s="1629"/>
      <c r="Q47" s="1633"/>
      <c r="R47" s="1629"/>
      <c r="S47" s="1633"/>
    </row>
    <row r="48" spans="1:19">
      <c r="A48" s="624"/>
      <c r="B48" s="1156"/>
      <c r="C48" s="1157"/>
      <c r="D48" s="1157"/>
      <c r="E48" s="1158"/>
      <c r="F48" s="1159" t="s">
        <v>570</v>
      </c>
      <c r="G48" s="1160"/>
      <c r="H48" s="1634"/>
      <c r="I48" s="1632">
        <f>SUM(I44:I46)</f>
        <v>0</v>
      </c>
      <c r="J48" s="1634"/>
      <c r="K48" s="1632">
        <f>SUM(K44:K46)</f>
        <v>0</v>
      </c>
      <c r="L48" s="1634"/>
      <c r="M48" s="1632">
        <f>SUM(M44:M46)</f>
        <v>0</v>
      </c>
      <c r="N48" s="1634"/>
      <c r="O48" s="1632">
        <f>SUM(O44:O46)</f>
        <v>0</v>
      </c>
      <c r="P48" s="1634"/>
      <c r="Q48" s="1632">
        <f>SUM(Q44:Q46)</f>
        <v>0</v>
      </c>
      <c r="R48" s="1634"/>
      <c r="S48" s="1632">
        <f>SUM(S44:S46)</f>
        <v>0</v>
      </c>
    </row>
    <row r="49" spans="1:19">
      <c r="A49" s="624"/>
      <c r="B49" s="1156"/>
      <c r="C49" s="1157"/>
      <c r="D49" s="1157"/>
      <c r="E49" s="1158"/>
      <c r="F49" s="1161" t="s">
        <v>571</v>
      </c>
      <c r="G49" s="1162"/>
      <c r="H49" s="1635"/>
      <c r="I49" s="1636" t="e">
        <f>I48/'Area Calculations'!$J$4</f>
        <v>#DIV/0!</v>
      </c>
      <c r="J49" s="1635"/>
      <c r="K49" s="1636" t="e">
        <f>K48/'Area Calculations'!$J$4</f>
        <v>#DIV/0!</v>
      </c>
      <c r="L49" s="1635"/>
      <c r="M49" s="1636" t="e">
        <f>M48/'Area Calculations'!$J$4</f>
        <v>#DIV/0!</v>
      </c>
      <c r="N49" s="1635"/>
      <c r="O49" s="1636" t="e">
        <f>O48/'Area Calculations'!$J$4</f>
        <v>#DIV/0!</v>
      </c>
      <c r="P49" s="1635"/>
      <c r="Q49" s="1636" t="e">
        <f>Q48/'Area Calculations'!$J$4</f>
        <v>#DIV/0!</v>
      </c>
      <c r="R49" s="1635"/>
      <c r="S49" s="1636" t="e">
        <f>S48/'Area Calculations'!$J$4</f>
        <v>#DIV/0!</v>
      </c>
    </row>
    <row r="50" spans="1:19">
      <c r="A50" s="624"/>
      <c r="B50" s="1156"/>
      <c r="C50" s="1157"/>
      <c r="D50" s="1157"/>
      <c r="E50" s="1158"/>
      <c r="F50" s="1161" t="s">
        <v>572</v>
      </c>
      <c r="G50" s="1163"/>
      <c r="H50" s="1635"/>
      <c r="I50" s="1636" t="e">
        <f>I48/'Area Calculations'!#REF!</f>
        <v>#REF!</v>
      </c>
      <c r="J50" s="1635"/>
      <c r="K50" s="1636" t="e">
        <f>K48/'Area Calculations'!#REF!</f>
        <v>#REF!</v>
      </c>
      <c r="L50" s="1635"/>
      <c r="M50" s="1636" t="e">
        <f>M48/'Area Calculations'!#REF!</f>
        <v>#REF!</v>
      </c>
      <c r="N50" s="1635"/>
      <c r="O50" s="1636" t="e">
        <f>O48/'Area Calculations'!#REF!</f>
        <v>#REF!</v>
      </c>
      <c r="P50" s="1635"/>
      <c r="Q50" s="1636" t="e">
        <f>Q48/'Area Calculations'!#REF!</f>
        <v>#REF!</v>
      </c>
      <c r="R50" s="1635"/>
      <c r="S50" s="1636" t="e">
        <f>S48/'Area Calculations'!#REF!</f>
        <v>#REF!</v>
      </c>
    </row>
    <row r="51" spans="1:19">
      <c r="A51" s="624"/>
      <c r="B51" s="1156"/>
      <c r="C51" s="1157"/>
      <c r="D51" s="1157"/>
      <c r="E51" s="1158"/>
      <c r="F51" s="1159"/>
      <c r="G51" s="1533"/>
      <c r="H51" s="1637"/>
      <c r="I51" s="1638"/>
      <c r="J51" s="1639"/>
      <c r="K51" s="1639"/>
      <c r="L51" s="1639"/>
      <c r="M51" s="1639"/>
      <c r="N51" s="1639"/>
      <c r="O51" s="1905"/>
      <c r="P51" s="1639"/>
      <c r="Q51" s="1905"/>
      <c r="R51" s="1639"/>
      <c r="S51" s="1905"/>
    </row>
    <row r="52" spans="1:19">
      <c r="A52" s="726" t="s">
        <v>573</v>
      </c>
      <c r="B52" s="727"/>
      <c r="C52" s="12"/>
      <c r="D52" s="12"/>
      <c r="E52" s="12"/>
      <c r="F52" s="12"/>
      <c r="G52" s="13"/>
      <c r="H52" s="21"/>
      <c r="I52" s="21"/>
      <c r="J52" s="21"/>
      <c r="K52" s="21"/>
      <c r="L52" s="21"/>
      <c r="M52" s="21"/>
      <c r="N52" s="21"/>
      <c r="O52" s="21"/>
      <c r="P52" s="21"/>
      <c r="Q52" s="21"/>
      <c r="R52" s="21"/>
      <c r="S52" s="21"/>
    </row>
    <row r="53" spans="1:19">
      <c r="A53" s="1929"/>
      <c r="B53" s="862"/>
      <c r="C53" s="1930"/>
      <c r="D53" s="1930"/>
      <c r="E53" s="1930"/>
      <c r="F53" s="1930"/>
      <c r="G53" s="1931"/>
      <c r="H53" s="1932"/>
      <c r="I53" s="1932"/>
      <c r="J53" s="1932"/>
      <c r="K53" s="1932"/>
      <c r="L53" s="1932"/>
      <c r="M53" s="1932"/>
      <c r="N53" s="1932"/>
      <c r="O53" s="1932"/>
      <c r="P53" s="1932"/>
      <c r="Q53" s="1932"/>
      <c r="R53" s="1932"/>
      <c r="S53" s="1932"/>
    </row>
    <row r="54" spans="1:19">
      <c r="A54" s="1929"/>
      <c r="B54" s="862"/>
      <c r="C54" s="1930"/>
      <c r="D54" s="1930"/>
      <c r="E54" s="1930"/>
      <c r="F54" s="1930"/>
      <c r="G54" s="1931"/>
      <c r="H54" s="1932"/>
      <c r="I54" s="1932"/>
      <c r="J54" s="1932"/>
      <c r="K54" s="1932"/>
      <c r="L54" s="1932"/>
      <c r="M54" s="1932"/>
      <c r="N54" s="1932"/>
      <c r="O54" s="1932"/>
      <c r="P54" s="1932"/>
      <c r="Q54" s="1932"/>
      <c r="R54" s="1932"/>
      <c r="S54" s="1932"/>
    </row>
    <row r="55" spans="1:19">
      <c r="A55" s="1929"/>
      <c r="B55" s="862"/>
      <c r="C55" s="1930"/>
      <c r="D55" s="1930"/>
      <c r="E55" s="1930"/>
      <c r="F55" s="1930"/>
      <c r="G55" s="1931"/>
      <c r="H55" s="1932"/>
      <c r="I55" s="1932"/>
      <c r="J55" s="1932"/>
      <c r="K55" s="1932"/>
      <c r="L55" s="1932"/>
      <c r="M55" s="1932"/>
      <c r="N55" s="1932"/>
      <c r="O55" s="1932"/>
      <c r="P55" s="1932"/>
      <c r="Q55" s="1932"/>
      <c r="R55" s="1932"/>
      <c r="S55" s="1932"/>
    </row>
    <row r="56" spans="1:19" s="2" customFormat="1">
      <c r="A56" s="726" t="s">
        <v>574</v>
      </c>
      <c r="B56" s="727"/>
      <c r="C56" s="12"/>
      <c r="D56" s="12"/>
      <c r="E56" s="12"/>
      <c r="F56" s="12"/>
      <c r="G56" s="13"/>
      <c r="H56" s="21"/>
      <c r="I56" s="21"/>
      <c r="J56" s="21"/>
      <c r="K56" s="21"/>
      <c r="L56" s="21"/>
      <c r="M56" s="21"/>
      <c r="N56" s="21"/>
      <c r="O56" s="21"/>
      <c r="P56" s="21"/>
      <c r="Q56" s="21"/>
      <c r="R56" s="21"/>
      <c r="S56" s="21"/>
    </row>
    <row r="57" spans="1:19" s="2" customFormat="1">
      <c r="A57" s="1929"/>
      <c r="B57" s="862"/>
      <c r="C57" s="1930"/>
      <c r="D57" s="1930"/>
      <c r="E57" s="1930"/>
      <c r="F57" s="1930"/>
      <c r="G57" s="1931"/>
      <c r="H57" s="1932"/>
      <c r="I57" s="1932"/>
      <c r="J57" s="1932"/>
      <c r="K57" s="1932"/>
      <c r="L57" s="1932"/>
      <c r="M57" s="1932"/>
      <c r="N57" s="1932"/>
      <c r="O57" s="1932"/>
      <c r="P57" s="1932"/>
      <c r="Q57" s="1932"/>
      <c r="R57" s="1932"/>
      <c r="S57" s="1932"/>
    </row>
    <row r="58" spans="1:19" s="2" customFormat="1">
      <c r="A58" s="1929"/>
      <c r="B58" s="862"/>
      <c r="C58" s="1930"/>
      <c r="D58" s="1930"/>
      <c r="E58" s="1930"/>
      <c r="F58" s="1930"/>
      <c r="G58" s="1931"/>
      <c r="H58" s="1932"/>
      <c r="I58" s="1932"/>
      <c r="J58" s="1932"/>
      <c r="K58" s="1932"/>
      <c r="L58" s="1932"/>
      <c r="M58" s="1932"/>
      <c r="N58" s="1932"/>
      <c r="O58" s="1932"/>
      <c r="P58" s="1932"/>
      <c r="Q58" s="1932"/>
      <c r="R58" s="1932"/>
      <c r="S58" s="1932"/>
    </row>
    <row r="59" spans="1:19">
      <c r="A59" s="1929"/>
      <c r="B59" s="862"/>
      <c r="C59" s="1930"/>
      <c r="D59" s="1930"/>
      <c r="E59" s="1930"/>
      <c r="F59" s="1930"/>
      <c r="G59" s="1931"/>
      <c r="H59" s="1932"/>
      <c r="I59" s="1932"/>
      <c r="J59" s="1932"/>
      <c r="K59" s="1932"/>
      <c r="L59" s="1932"/>
      <c r="M59" s="1932"/>
      <c r="N59" s="1932"/>
      <c r="O59" s="1932"/>
      <c r="P59" s="1932"/>
      <c r="Q59" s="1932"/>
      <c r="R59" s="1932"/>
      <c r="S59" s="1932"/>
    </row>
    <row r="60" spans="1:19" s="2" customFormat="1">
      <c r="A60" s="726" t="s">
        <v>575</v>
      </c>
      <c r="B60" s="727"/>
      <c r="C60" s="12"/>
      <c r="D60" s="12"/>
      <c r="E60" s="12"/>
      <c r="F60" s="12"/>
      <c r="G60" s="13"/>
      <c r="H60" s="21"/>
      <c r="I60" s="21"/>
      <c r="J60" s="21"/>
      <c r="K60" s="21"/>
      <c r="L60" s="21"/>
      <c r="M60" s="21"/>
      <c r="N60" s="21"/>
      <c r="O60" s="21"/>
      <c r="P60" s="21"/>
      <c r="Q60" s="21"/>
      <c r="R60" s="21"/>
      <c r="S60" s="21"/>
    </row>
    <row r="61" spans="1:19" s="2" customFormat="1">
      <c r="A61" s="1929"/>
      <c r="B61" s="862"/>
      <c r="C61" s="1930"/>
      <c r="D61" s="1930"/>
      <c r="E61" s="1930"/>
      <c r="F61" s="1930"/>
      <c r="G61" s="1931"/>
      <c r="H61" s="1932"/>
      <c r="I61" s="1932"/>
      <c r="J61" s="1932"/>
      <c r="K61" s="1932"/>
      <c r="L61" s="1932"/>
      <c r="M61" s="1932"/>
      <c r="N61" s="1932"/>
      <c r="O61" s="1932"/>
      <c r="P61" s="1932"/>
      <c r="Q61" s="1932"/>
      <c r="R61" s="1932"/>
      <c r="S61" s="1932"/>
    </row>
    <row r="62" spans="1:19" s="2" customFormat="1">
      <c r="A62" s="628"/>
      <c r="B62" s="862"/>
      <c r="C62" s="1124"/>
      <c r="D62" s="1124"/>
      <c r="E62" s="1124"/>
      <c r="F62" s="1124"/>
      <c r="G62" s="1133"/>
      <c r="H62" s="1640"/>
      <c r="I62" s="1640"/>
      <c r="J62" s="1640"/>
      <c r="K62" s="1640"/>
      <c r="L62" s="1640"/>
      <c r="M62" s="1640"/>
      <c r="N62" s="1640"/>
      <c r="O62" s="1640"/>
      <c r="P62" s="1640"/>
      <c r="Q62" s="1640"/>
      <c r="R62" s="1640"/>
      <c r="S62" s="1640"/>
    </row>
    <row r="63" spans="1:19" s="2" customFormat="1">
      <c r="A63" s="625"/>
      <c r="B63" s="1171"/>
      <c r="C63" s="1124"/>
      <c r="D63" s="1124"/>
      <c r="E63" s="1124"/>
      <c r="F63" s="1124"/>
      <c r="G63" s="1133"/>
      <c r="H63" s="1642"/>
      <c r="I63" s="1642"/>
      <c r="J63" s="1642"/>
      <c r="K63" s="1642"/>
      <c r="L63" s="1642"/>
      <c r="M63" s="1642"/>
      <c r="N63" s="1642"/>
      <c r="O63" s="1642"/>
      <c r="P63" s="1642"/>
      <c r="Q63" s="1642"/>
      <c r="R63" s="1642"/>
      <c r="S63" s="1642"/>
    </row>
    <row r="64" spans="1:19" s="2" customFormat="1">
      <c r="A64" s="726" t="s">
        <v>576</v>
      </c>
      <c r="B64" s="727"/>
      <c r="C64" s="12"/>
      <c r="D64" s="12"/>
      <c r="E64" s="12"/>
      <c r="F64" s="12"/>
      <c r="G64" s="13"/>
      <c r="H64" s="21"/>
      <c r="I64" s="21"/>
      <c r="J64" s="21"/>
      <c r="K64" s="21"/>
      <c r="L64" s="21"/>
      <c r="M64" s="21"/>
      <c r="N64" s="21"/>
      <c r="O64" s="21"/>
      <c r="P64" s="21"/>
      <c r="Q64" s="21"/>
      <c r="R64" s="21"/>
      <c r="S64" s="21"/>
    </row>
    <row r="65" spans="1:19">
      <c r="A65" s="1933"/>
      <c r="B65" s="1934"/>
      <c r="C65" s="1930"/>
      <c r="D65" s="1930"/>
      <c r="E65" s="1930"/>
      <c r="F65" s="1930"/>
      <c r="G65" s="1931"/>
      <c r="H65" s="1932"/>
      <c r="I65" s="1932"/>
      <c r="J65" s="1932"/>
      <c r="K65" s="1932"/>
      <c r="L65" s="1932"/>
      <c r="M65" s="1932"/>
      <c r="N65" s="1932"/>
      <c r="O65" s="1932"/>
      <c r="P65" s="1932"/>
      <c r="Q65" s="1932"/>
      <c r="R65" s="1932"/>
      <c r="S65" s="1932"/>
    </row>
    <row r="66" spans="1:19">
      <c r="A66" s="625"/>
      <c r="B66" s="1171"/>
      <c r="C66" s="1124"/>
      <c r="D66" s="1124"/>
      <c r="E66" s="1124"/>
      <c r="F66" s="1124"/>
      <c r="G66" s="1133"/>
      <c r="H66" s="1643"/>
      <c r="I66" s="1643"/>
      <c r="J66" s="1643"/>
      <c r="K66" s="1643"/>
      <c r="L66" s="1643"/>
      <c r="M66" s="1643"/>
      <c r="N66" s="1643"/>
      <c r="O66" s="1643"/>
      <c r="P66" s="1643"/>
      <c r="Q66" s="1643"/>
      <c r="R66" s="1643"/>
      <c r="S66" s="1643"/>
    </row>
    <row r="67" spans="1:19">
      <c r="A67" s="625"/>
      <c r="B67" s="1171"/>
      <c r="C67" s="1124"/>
      <c r="D67" s="1124"/>
      <c r="E67" s="1124"/>
      <c r="F67" s="1124"/>
      <c r="G67" s="1133"/>
      <c r="H67" s="1643"/>
      <c r="I67" s="1643"/>
      <c r="J67" s="1643"/>
      <c r="K67" s="1643"/>
      <c r="L67" s="1643"/>
      <c r="M67" s="1643"/>
      <c r="N67" s="1643"/>
      <c r="O67" s="1643"/>
      <c r="P67" s="1643"/>
      <c r="Q67" s="1643"/>
      <c r="R67" s="1643"/>
      <c r="S67" s="1643"/>
    </row>
    <row r="68" spans="1:19">
      <c r="A68" s="726" t="s">
        <v>577</v>
      </c>
      <c r="B68" s="727"/>
      <c r="C68" s="12"/>
      <c r="D68" s="12"/>
      <c r="E68" s="12"/>
      <c r="F68" s="12"/>
      <c r="G68" s="13"/>
      <c r="H68" s="21"/>
      <c r="I68" s="21"/>
      <c r="J68" s="21"/>
      <c r="K68" s="21"/>
      <c r="L68" s="21"/>
      <c r="M68" s="21"/>
      <c r="N68" s="21"/>
      <c r="O68" s="21"/>
      <c r="P68" s="21"/>
      <c r="Q68" s="21"/>
      <c r="R68" s="21"/>
      <c r="S68" s="21"/>
    </row>
    <row r="69" spans="1:19">
      <c r="A69" s="628"/>
      <c r="B69" s="862" t="s">
        <v>578</v>
      </c>
      <c r="C69" s="1124"/>
      <c r="D69" s="1124"/>
      <c r="E69" s="1124"/>
      <c r="F69" s="1124"/>
      <c r="G69" s="1133"/>
      <c r="H69" s="1643"/>
      <c r="I69" s="1643"/>
      <c r="J69" s="1643"/>
      <c r="K69" s="1643"/>
      <c r="L69" s="1643"/>
      <c r="M69" s="1643"/>
      <c r="N69" s="1643"/>
      <c r="O69" s="1643"/>
      <c r="P69" s="1643"/>
      <c r="Q69" s="1643"/>
      <c r="R69" s="1643"/>
      <c r="S69" s="1643"/>
    </row>
    <row r="70" spans="1:19">
      <c r="A70" s="628"/>
      <c r="B70" s="862" t="s">
        <v>579</v>
      </c>
      <c r="C70" s="1124"/>
      <c r="D70" s="1124"/>
      <c r="E70" s="1124"/>
      <c r="F70" s="1124"/>
      <c r="G70" s="1133"/>
      <c r="H70" s="1643"/>
      <c r="I70" s="1643"/>
      <c r="J70" s="1643"/>
      <c r="K70" s="1643"/>
      <c r="L70" s="1643"/>
      <c r="M70" s="1643"/>
      <c r="N70" s="1643"/>
      <c r="O70" s="1643"/>
      <c r="P70" s="1643"/>
      <c r="Q70" s="1643"/>
      <c r="R70" s="1643"/>
      <c r="S70" s="1643"/>
    </row>
    <row r="71" spans="1:19">
      <c r="A71" s="628"/>
      <c r="B71" s="862" t="s">
        <v>580</v>
      </c>
      <c r="C71" s="1124"/>
      <c r="D71" s="1124"/>
      <c r="E71" s="1124"/>
      <c r="F71" s="1124"/>
      <c r="G71" s="1133"/>
      <c r="H71" s="1643"/>
      <c r="I71" s="1643"/>
      <c r="J71" s="1643"/>
      <c r="K71" s="1643"/>
      <c r="L71" s="1643"/>
      <c r="M71" s="1643"/>
      <c r="N71" s="1643"/>
      <c r="O71" s="1643"/>
      <c r="P71" s="1643"/>
      <c r="Q71" s="1643"/>
      <c r="R71" s="1643"/>
      <c r="S71" s="1643"/>
    </row>
    <row r="72" spans="1:19">
      <c r="A72" s="628"/>
      <c r="B72" s="862" t="s">
        <v>581</v>
      </c>
      <c r="C72" s="1124"/>
      <c r="D72" s="1124"/>
      <c r="E72" s="1124"/>
      <c r="F72" s="1124"/>
      <c r="G72" s="1133"/>
      <c r="H72" s="1643"/>
      <c r="I72" s="1643"/>
      <c r="J72" s="1643"/>
      <c r="K72" s="1643"/>
      <c r="L72" s="1643"/>
      <c r="M72" s="1643"/>
      <c r="N72" s="1643"/>
      <c r="O72" s="1643"/>
      <c r="P72" s="1643"/>
      <c r="Q72" s="1643"/>
      <c r="R72" s="1643"/>
      <c r="S72" s="1643"/>
    </row>
    <row r="73" spans="1:19">
      <c r="A73" s="416"/>
      <c r="B73" s="295"/>
      <c r="C73" s="184"/>
      <c r="D73" s="184"/>
      <c r="E73" s="184"/>
      <c r="F73" s="184"/>
      <c r="G73" s="296"/>
      <c r="H73" s="418"/>
      <c r="I73" s="418"/>
      <c r="J73" s="418"/>
      <c r="K73" s="418"/>
      <c r="L73" s="418"/>
      <c r="M73" s="418"/>
      <c r="N73" s="418"/>
      <c r="O73" s="418"/>
      <c r="P73" s="418"/>
      <c r="Q73" s="418"/>
      <c r="R73" s="418"/>
      <c r="S73" s="418"/>
    </row>
    <row r="74" spans="1:19">
      <c r="A74" s="7" t="s">
        <v>582</v>
      </c>
      <c r="B74" s="8"/>
      <c r="C74" s="12"/>
      <c r="D74" s="12"/>
      <c r="E74" s="12"/>
      <c r="F74" s="12"/>
      <c r="G74" s="13"/>
      <c r="H74" s="21"/>
      <c r="I74" s="21"/>
      <c r="J74" s="21"/>
      <c r="K74" s="21"/>
      <c r="L74" s="21"/>
      <c r="M74" s="21"/>
      <c r="N74" s="21"/>
      <c r="O74" s="21"/>
      <c r="P74" s="21"/>
      <c r="Q74" s="21"/>
      <c r="R74" s="21"/>
      <c r="S74" s="21"/>
    </row>
    <row r="75" spans="1:19">
      <c r="A75" s="1929"/>
      <c r="B75" s="1935" t="s">
        <v>583</v>
      </c>
      <c r="C75" s="1930"/>
      <c r="D75" s="1930"/>
      <c r="E75" s="1930"/>
      <c r="F75" s="1930"/>
      <c r="G75" s="1931"/>
      <c r="H75" s="1936"/>
      <c r="I75" s="1936"/>
      <c r="J75" s="1936"/>
      <c r="K75" s="1936"/>
      <c r="L75" s="1936"/>
      <c r="M75" s="1936"/>
      <c r="N75" s="1936"/>
      <c r="O75" s="1936"/>
      <c r="P75" s="1936"/>
      <c r="Q75" s="1936"/>
      <c r="R75" s="1936"/>
      <c r="S75" s="1936"/>
    </row>
    <row r="76" spans="1:19">
      <c r="A76" s="628"/>
      <c r="B76" s="862" t="s">
        <v>584</v>
      </c>
      <c r="C76" s="1124"/>
      <c r="D76" s="1124"/>
      <c r="E76" s="1124"/>
      <c r="F76" s="1124"/>
      <c r="G76" s="1133"/>
      <c r="H76" s="1644"/>
      <c r="I76" s="1644"/>
      <c r="J76" s="1644"/>
      <c r="K76" s="1644"/>
      <c r="L76" s="1644"/>
      <c r="M76" s="1644"/>
      <c r="N76" s="1644"/>
      <c r="O76" s="1644"/>
      <c r="P76" s="1644"/>
      <c r="Q76" s="1644"/>
      <c r="R76" s="1644"/>
      <c r="S76" s="1644"/>
    </row>
    <row r="77" spans="1:19">
      <c r="A77" s="1645"/>
      <c r="B77" s="1646" t="s">
        <v>585</v>
      </c>
      <c r="C77" s="1647"/>
      <c r="D77" s="1647"/>
      <c r="E77" s="1647"/>
      <c r="F77" s="1647"/>
      <c r="G77" s="1648"/>
      <c r="H77" s="1649"/>
      <c r="I77" s="1649"/>
      <c r="J77" s="1649"/>
      <c r="K77" s="1649"/>
      <c r="L77" s="1649"/>
      <c r="M77" s="1649"/>
      <c r="N77" s="1649"/>
      <c r="O77" s="1649"/>
      <c r="P77" s="1649"/>
      <c r="Q77" s="1649"/>
      <c r="R77" s="1649"/>
      <c r="S77" s="1649"/>
    </row>
    <row r="79" spans="1:19">
      <c r="A79" s="92" t="s">
        <v>586</v>
      </c>
      <c r="B79" s="94"/>
    </row>
    <row r="80" spans="1:19">
      <c r="A80" s="93" t="s">
        <v>487</v>
      </c>
      <c r="B80" s="94"/>
    </row>
    <row r="81" spans="1:2">
      <c r="A81" s="626" t="s">
        <v>491</v>
      </c>
      <c r="B81" s="1650"/>
    </row>
    <row r="82" spans="1:2">
      <c r="A82" s="1651" t="s">
        <v>494</v>
      </c>
      <c r="B82" s="1652"/>
    </row>
    <row r="83" spans="1:2">
      <c r="A83" s="1651" t="s">
        <v>497</v>
      </c>
      <c r="B83" s="1653"/>
    </row>
    <row r="84" spans="1:2">
      <c r="A84" s="1654" t="s">
        <v>587</v>
      </c>
      <c r="B84" s="1655"/>
    </row>
    <row r="86" spans="1:2">
      <c r="A86" s="95"/>
      <c r="B86" s="1" t="s">
        <v>588</v>
      </c>
    </row>
    <row r="87" spans="1:2">
      <c r="A87" s="96"/>
      <c r="B8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2:B52"/>
    <mergeCell ref="A56:B56"/>
    <mergeCell ref="A60:B60"/>
    <mergeCell ref="A64:B64"/>
    <mergeCell ref="A68:B68"/>
  </mergeCells>
  <conditionalFormatting sqref="H20:H30">
    <cfRule type="cellIs" dxfId="1115" priority="3" operator="equal">
      <formula>"X"</formula>
    </cfRule>
    <cfRule type="cellIs" dxfId="1114" priority="4" operator="equal">
      <formula>"I"</formula>
    </cfRule>
  </conditionalFormatting>
  <conditionalFormatting sqref="H32:H43">
    <cfRule type="cellIs" dxfId="1113" priority="1" operator="equal">
      <formula>"X"</formula>
    </cfRule>
    <cfRule type="cellIs" dxfId="1112" priority="2" operator="equal">
      <formula>"I"</formula>
    </cfRule>
  </conditionalFormatting>
  <conditionalFormatting sqref="J20:J30">
    <cfRule type="cellIs" dxfId="1111" priority="7" operator="equal">
      <formula>"X"</formula>
    </cfRule>
    <cfRule type="cellIs" dxfId="1110" priority="8" operator="equal">
      <formula>"I"</formula>
    </cfRule>
  </conditionalFormatting>
  <conditionalFormatting sqref="J32:J43">
    <cfRule type="cellIs" dxfId="1109" priority="5" operator="equal">
      <formula>"X"</formula>
    </cfRule>
    <cfRule type="cellIs" dxfId="1108" priority="6" operator="equal">
      <formula>"I"</formula>
    </cfRule>
  </conditionalFormatting>
  <conditionalFormatting sqref="L20:L30">
    <cfRule type="cellIs" dxfId="1107" priority="11" operator="equal">
      <formula>"X"</formula>
    </cfRule>
    <cfRule type="cellIs" dxfId="1106" priority="12" operator="equal">
      <formula>"I"</formula>
    </cfRule>
  </conditionalFormatting>
  <conditionalFormatting sqref="L32:L43">
    <cfRule type="cellIs" dxfId="1105" priority="9" operator="equal">
      <formula>"X"</formula>
    </cfRule>
    <cfRule type="cellIs" dxfId="1104" priority="10" operator="equal">
      <formula>"I"</formula>
    </cfRule>
  </conditionalFormatting>
  <conditionalFormatting sqref="N20:N30">
    <cfRule type="cellIs" dxfId="1103" priority="15" operator="equal">
      <formula>"X"</formula>
    </cfRule>
    <cfRule type="cellIs" dxfId="1102" priority="16" operator="equal">
      <formula>"I"</formula>
    </cfRule>
  </conditionalFormatting>
  <conditionalFormatting sqref="N32:N43">
    <cfRule type="cellIs" dxfId="1101" priority="13" operator="equal">
      <formula>"X"</formula>
    </cfRule>
    <cfRule type="cellIs" dxfId="1100" priority="14" operator="equal">
      <formula>"I"</formula>
    </cfRule>
  </conditionalFormatting>
  <conditionalFormatting sqref="P20:P30">
    <cfRule type="cellIs" dxfId="1099" priority="19" operator="equal">
      <formula>"X"</formula>
    </cfRule>
    <cfRule type="cellIs" dxfId="1098" priority="20" operator="equal">
      <formula>"I"</formula>
    </cfRule>
  </conditionalFormatting>
  <conditionalFormatting sqref="P32:P43">
    <cfRule type="cellIs" dxfId="1097" priority="17" operator="equal">
      <formula>"X"</formula>
    </cfRule>
    <cfRule type="cellIs" dxfId="1096" priority="18" operator="equal">
      <formula>"I"</formula>
    </cfRule>
  </conditionalFormatting>
  <conditionalFormatting sqref="R20:R30">
    <cfRule type="cellIs" dxfId="1095" priority="23" operator="equal">
      <formula>"X"</formula>
    </cfRule>
    <cfRule type="cellIs" dxfId="1094" priority="24" operator="equal">
      <formula>"I"</formula>
    </cfRule>
  </conditionalFormatting>
  <conditionalFormatting sqref="R32:R43">
    <cfRule type="cellIs" dxfId="1093" priority="21" operator="equal">
      <formula>"X"</formula>
    </cfRule>
    <cfRule type="cellIs" dxfId="1092" priority="22" operator="equal">
      <formula>"I"</formula>
    </cfRule>
  </conditionalFormatting>
  <hyperlinks>
    <hyperlink ref="B3" location="'Cost Summary'!A1" display="BACK TO SUMMARY SHEET" xr:uid="{21B3B895-A42F-47AF-B70D-C0309CF7E5D9}"/>
  </hyperlink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F009-3979-4E06-A7EA-C7D0DDF848F1}">
  <sheetPr>
    <tabColor rgb="FF92D050"/>
  </sheetPr>
  <dimension ref="A1:S87"/>
  <sheetViews>
    <sheetView zoomScale="85" zoomScaleNormal="8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32"/>
      <c r="I2" s="732"/>
      <c r="J2" s="766"/>
      <c r="K2" s="766"/>
      <c r="L2" s="766"/>
      <c r="M2" s="766"/>
      <c r="N2" s="766"/>
      <c r="O2" s="766"/>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942</v>
      </c>
      <c r="C5" s="1124"/>
      <c r="D5" s="1124"/>
      <c r="E5" s="1124"/>
      <c r="F5" s="1124"/>
      <c r="G5" s="1125" t="s">
        <v>491</v>
      </c>
      <c r="H5" s="778"/>
      <c r="I5" s="1126"/>
      <c r="J5" s="778"/>
      <c r="K5" s="1126"/>
      <c r="L5" s="778"/>
      <c r="M5" s="1126"/>
      <c r="N5" s="778"/>
      <c r="O5" s="1126"/>
      <c r="P5" s="778"/>
      <c r="Q5" s="1126"/>
      <c r="R5" s="778"/>
      <c r="S5" s="1126"/>
    </row>
    <row r="6" spans="1:19">
      <c r="A6" s="627" t="s">
        <v>493</v>
      </c>
      <c r="B6" s="1127" t="s">
        <v>943</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1724">
        <f>I48</f>
        <v>0</v>
      </c>
      <c r="I8" s="1725"/>
      <c r="J8" s="1724">
        <f>K48</f>
        <v>0</v>
      </c>
      <c r="K8" s="1725"/>
      <c r="L8" s="1724">
        <f>M48</f>
        <v>0</v>
      </c>
      <c r="M8" s="1725"/>
      <c r="N8" s="1724">
        <f>O48</f>
        <v>0</v>
      </c>
      <c r="O8" s="1725"/>
      <c r="P8" s="1724">
        <f>Q48</f>
        <v>0</v>
      </c>
      <c r="Q8" s="1725"/>
      <c r="R8" s="1724">
        <f>S46</f>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t="15.75" hidden="1" thickTop="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t="15.75" hidden="1" thickTop="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t="15.75" hidden="1" thickTop="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t="15.75" hidden="1" thickTop="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t="15.75" hidden="1" thickTop="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t="15.75" hidden="1" thickTop="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t="15.75" hidden="1" thickTop="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t="15.75" hidden="1" thickTop="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t="15.75" hidden="1" thickTop="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t="15.75" thickTop="1">
      <c r="A20" s="628"/>
      <c r="B20" s="862"/>
      <c r="C20" s="1134"/>
      <c r="D20" s="1124"/>
      <c r="E20" s="1124"/>
      <c r="F20" s="1124"/>
      <c r="G20" s="1133"/>
      <c r="H20" s="1678"/>
      <c r="I20" s="1726"/>
      <c r="J20" s="1678"/>
      <c r="K20" s="1726"/>
      <c r="L20" s="1678"/>
      <c r="M20" s="1726"/>
      <c r="N20" s="1678"/>
      <c r="O20" s="1726"/>
      <c r="P20" s="1678"/>
      <c r="Q20" s="1726"/>
      <c r="R20" s="1678"/>
      <c r="S20" s="1726"/>
    </row>
    <row r="21" spans="1:19" ht="15.75" thickBot="1">
      <c r="A21" s="59"/>
      <c r="B21" s="1136" t="s">
        <v>942</v>
      </c>
      <c r="C21" s="56"/>
      <c r="D21" s="57"/>
      <c r="E21" s="57"/>
      <c r="F21" s="57"/>
      <c r="G21" s="63"/>
      <c r="H21" s="1678"/>
      <c r="I21" s="1726"/>
      <c r="J21" s="1678"/>
      <c r="K21" s="1726"/>
      <c r="L21" s="1678"/>
      <c r="M21" s="1726"/>
      <c r="N21" s="1678"/>
      <c r="O21" s="1726"/>
      <c r="P21" s="1678"/>
      <c r="Q21" s="1726"/>
      <c r="R21" s="1678"/>
      <c r="S21" s="1726"/>
    </row>
    <row r="22" spans="1:19" ht="15.75" thickBot="1">
      <c r="A22" s="640"/>
      <c r="B22" s="374" t="s">
        <v>512</v>
      </c>
      <c r="C22" s="1134"/>
      <c r="D22" s="1124"/>
      <c r="E22" s="1124"/>
      <c r="F22" s="1124"/>
      <c r="G22" s="1133"/>
      <c r="H22" s="1678"/>
      <c r="I22" s="1644"/>
      <c r="J22" s="1678"/>
      <c r="K22" s="1178"/>
      <c r="L22" s="1678"/>
      <c r="M22" s="1178"/>
      <c r="N22" s="1678"/>
      <c r="O22" s="1178"/>
      <c r="P22" s="1678"/>
      <c r="Q22" s="1178"/>
      <c r="R22" s="1678"/>
      <c r="S22" s="1178"/>
    </row>
    <row r="23" spans="1:19">
      <c r="A23" s="640"/>
      <c r="B23" s="1422" t="s">
        <v>513</v>
      </c>
      <c r="C23" s="1154"/>
      <c r="D23" s="1426"/>
      <c r="E23" s="1124"/>
      <c r="F23" s="1124"/>
      <c r="G23" s="1133"/>
      <c r="H23" s="1678"/>
      <c r="I23" s="638"/>
      <c r="J23" s="1678"/>
      <c r="K23" s="638"/>
      <c r="L23" s="1678"/>
      <c r="M23" s="638"/>
      <c r="N23" s="1678"/>
      <c r="O23" s="1983"/>
      <c r="P23" s="1678"/>
      <c r="Q23" s="1983"/>
      <c r="R23" s="1678"/>
      <c r="S23" s="1983"/>
    </row>
    <row r="24" spans="1:19">
      <c r="A24" s="640"/>
      <c r="B24" s="1940" t="s">
        <v>514</v>
      </c>
      <c r="C24" s="1154"/>
      <c r="D24" s="1426"/>
      <c r="E24" s="1124"/>
      <c r="F24" s="1124"/>
      <c r="G24" s="1133"/>
      <c r="H24" s="1678"/>
      <c r="I24" s="1983"/>
      <c r="J24" s="1678"/>
      <c r="K24" s="638"/>
      <c r="L24" s="1678"/>
      <c r="M24" s="638"/>
      <c r="N24" s="1678"/>
      <c r="O24" s="1983"/>
      <c r="P24" s="1678"/>
      <c r="Q24" s="1983"/>
      <c r="R24" s="1678"/>
      <c r="S24" s="1983"/>
    </row>
    <row r="25" spans="1:19">
      <c r="A25" s="640"/>
      <c r="B25" s="1943" t="s">
        <v>515</v>
      </c>
      <c r="C25" s="1133"/>
      <c r="D25" s="1124"/>
      <c r="E25" s="1124"/>
      <c r="F25" s="1124"/>
      <c r="G25" s="1133"/>
      <c r="H25" s="1678"/>
      <c r="I25" s="1983"/>
      <c r="J25" s="1678"/>
      <c r="K25" s="1983"/>
      <c r="L25" s="1678"/>
      <c r="M25" s="638"/>
      <c r="N25" s="1678"/>
      <c r="O25" s="1983"/>
      <c r="P25" s="1678"/>
      <c r="Q25" s="1983"/>
      <c r="R25" s="1678"/>
      <c r="S25" s="1983"/>
    </row>
    <row r="26" spans="1:19">
      <c r="A26" s="640"/>
      <c r="B26" s="1943" t="s">
        <v>516</v>
      </c>
      <c r="C26" s="1133"/>
      <c r="D26" s="1124"/>
      <c r="E26" s="1124"/>
      <c r="F26" s="1124"/>
      <c r="G26" s="1133"/>
      <c r="H26" s="1678"/>
      <c r="I26" s="638"/>
      <c r="J26" s="1678"/>
      <c r="K26" s="638"/>
      <c r="L26" s="1678"/>
      <c r="M26" s="638"/>
      <c r="N26" s="1678"/>
      <c r="O26" s="638"/>
      <c r="P26" s="1678"/>
      <c r="Q26" s="638"/>
      <c r="R26" s="1678"/>
      <c r="S26" s="638"/>
    </row>
    <row r="27" spans="1:19" hidden="1">
      <c r="A27" s="640"/>
      <c r="B27" s="1943" t="s">
        <v>517</v>
      </c>
      <c r="C27" s="1133"/>
      <c r="D27" s="1124"/>
      <c r="E27" s="1124"/>
      <c r="F27" s="1124"/>
      <c r="G27" s="1133"/>
      <c r="H27" s="1678"/>
      <c r="I27" s="638"/>
      <c r="J27" s="1678"/>
      <c r="K27" s="638"/>
      <c r="L27" s="1678"/>
      <c r="M27" s="638"/>
      <c r="N27" s="1678"/>
      <c r="O27" s="638"/>
      <c r="P27" s="1678"/>
      <c r="Q27" s="638"/>
      <c r="R27" s="1678"/>
      <c r="S27" s="638"/>
    </row>
    <row r="28" spans="1:19">
      <c r="A28" s="640"/>
      <c r="B28" s="1943" t="s">
        <v>518</v>
      </c>
      <c r="C28" s="1133"/>
      <c r="D28" s="1124"/>
      <c r="E28" s="1124"/>
      <c r="F28" s="1124"/>
      <c r="G28" s="1133"/>
      <c r="H28" s="1678"/>
      <c r="I28" s="638"/>
      <c r="J28" s="1678"/>
      <c r="K28" s="638"/>
      <c r="L28" s="1678"/>
      <c r="M28" s="638"/>
      <c r="N28" s="1678"/>
      <c r="O28" s="638"/>
      <c r="P28" s="1678"/>
      <c r="Q28" s="638"/>
      <c r="R28" s="1678"/>
      <c r="S28" s="638"/>
    </row>
    <row r="29" spans="1:19">
      <c r="A29" s="637"/>
      <c r="B29" s="1943" t="s">
        <v>693</v>
      </c>
      <c r="C29" s="1133"/>
      <c r="D29" s="1124"/>
      <c r="E29" s="1124"/>
      <c r="F29" s="1124"/>
      <c r="G29" s="1133"/>
      <c r="H29" s="1678"/>
      <c r="I29" s="638"/>
      <c r="J29" s="1678"/>
      <c r="K29" s="638"/>
      <c r="L29" s="1678"/>
      <c r="M29" s="638"/>
      <c r="N29" s="1678"/>
      <c r="O29" s="638"/>
      <c r="P29" s="1678"/>
      <c r="Q29" s="638"/>
      <c r="R29" s="1678"/>
      <c r="S29" s="638"/>
    </row>
    <row r="30" spans="1:19">
      <c r="A30" s="640"/>
      <c r="B30" s="1944" t="s">
        <v>519</v>
      </c>
      <c r="C30" s="1133"/>
      <c r="D30" s="1124"/>
      <c r="E30" s="1124"/>
      <c r="F30" s="1124"/>
      <c r="G30" s="1133"/>
      <c r="H30" s="1678"/>
      <c r="I30" s="638"/>
      <c r="J30" s="1678"/>
      <c r="K30" s="638"/>
      <c r="L30" s="1678"/>
      <c r="M30" s="638"/>
      <c r="N30" s="1678"/>
      <c r="O30" s="638"/>
      <c r="P30" s="1678"/>
      <c r="Q30" s="638"/>
      <c r="R30" s="1678"/>
      <c r="S30" s="638"/>
    </row>
    <row r="31" spans="1:19">
      <c r="A31" s="640"/>
      <c r="B31" s="1989" t="s">
        <v>520</v>
      </c>
      <c r="C31" s="1147"/>
      <c r="D31" s="1145"/>
      <c r="E31" s="1145"/>
      <c r="F31" s="1146"/>
      <c r="G31" s="1599"/>
      <c r="H31" s="1727"/>
      <c r="I31" s="1985"/>
      <c r="J31" s="1727"/>
      <c r="K31" s="1985"/>
      <c r="L31" s="1727"/>
      <c r="M31" s="1985"/>
      <c r="N31" s="1727"/>
      <c r="O31" s="1985"/>
      <c r="P31" s="1727"/>
      <c r="Q31" s="1985"/>
      <c r="R31" s="1727"/>
      <c r="S31" s="1985"/>
    </row>
    <row r="32" spans="1:19">
      <c r="A32" s="640"/>
      <c r="B32" s="1997" t="s">
        <v>748</v>
      </c>
      <c r="C32" s="1133"/>
      <c r="D32" s="1124"/>
      <c r="E32" s="1124"/>
      <c r="F32" s="1151"/>
      <c r="G32" s="1229"/>
      <c r="H32" s="1678"/>
      <c r="I32" s="638"/>
      <c r="J32" s="1678"/>
      <c r="K32" s="638"/>
      <c r="L32" s="1678"/>
      <c r="M32" s="638"/>
      <c r="N32" s="1678"/>
      <c r="O32" s="638"/>
      <c r="P32" s="1678"/>
      <c r="Q32" s="638"/>
      <c r="R32" s="1678"/>
      <c r="S32" s="638"/>
    </row>
    <row r="33" spans="1:19">
      <c r="A33" s="640"/>
      <c r="B33" s="1830" t="s">
        <v>288</v>
      </c>
      <c r="C33" s="1133"/>
      <c r="D33" s="1124"/>
      <c r="E33" s="1124"/>
      <c r="F33" s="1151"/>
      <c r="G33" s="1229"/>
      <c r="H33" s="1678"/>
      <c r="I33" s="638"/>
      <c r="J33" s="1678"/>
      <c r="K33" s="638"/>
      <c r="L33" s="1678"/>
      <c r="M33" s="638"/>
      <c r="N33" s="1678"/>
      <c r="O33" s="638"/>
      <c r="P33" s="1678"/>
      <c r="Q33" s="638"/>
      <c r="R33" s="1678"/>
      <c r="S33" s="638"/>
    </row>
    <row r="34" spans="1:19">
      <c r="A34" s="640"/>
      <c r="B34" s="1998"/>
      <c r="C34" s="1133"/>
      <c r="D34" s="1124"/>
      <c r="E34" s="1124"/>
      <c r="F34" s="1151"/>
      <c r="G34" s="1229"/>
      <c r="H34" s="1678"/>
      <c r="I34" s="638"/>
      <c r="J34" s="1678"/>
      <c r="K34" s="638"/>
      <c r="L34" s="1678"/>
      <c r="M34" s="638"/>
      <c r="N34" s="1678"/>
      <c r="O34" s="638"/>
      <c r="P34" s="1678"/>
      <c r="Q34" s="638"/>
      <c r="R34" s="1678"/>
      <c r="S34" s="638"/>
    </row>
    <row r="35" spans="1:19">
      <c r="A35" s="640"/>
      <c r="B35" s="1999"/>
      <c r="C35" s="1133"/>
      <c r="D35" s="1124"/>
      <c r="E35" s="1124"/>
      <c r="F35" s="1151"/>
      <c r="G35" s="1229"/>
      <c r="H35" s="1678"/>
      <c r="I35" s="638"/>
      <c r="J35" s="1678"/>
      <c r="K35" s="638"/>
      <c r="L35" s="1678"/>
      <c r="M35" s="638"/>
      <c r="N35" s="1678"/>
      <c r="O35" s="638"/>
      <c r="P35" s="1678"/>
      <c r="Q35" s="638"/>
      <c r="R35" s="1678"/>
      <c r="S35" s="638"/>
    </row>
    <row r="36" spans="1:19">
      <c r="A36" s="640"/>
      <c r="B36" s="2000"/>
      <c r="C36" s="1133"/>
      <c r="D36" s="1124"/>
      <c r="E36" s="1124"/>
      <c r="F36" s="1151"/>
      <c r="G36" s="1229"/>
      <c r="H36" s="1678" t="s">
        <v>710</v>
      </c>
      <c r="I36" s="638"/>
      <c r="J36" s="1678"/>
      <c r="K36" s="638"/>
      <c r="L36" s="1678"/>
      <c r="M36" s="638"/>
      <c r="N36" s="1678"/>
      <c r="O36" s="638"/>
      <c r="P36" s="1678"/>
      <c r="Q36" s="638"/>
      <c r="R36" s="1678"/>
      <c r="S36" s="638"/>
    </row>
    <row r="37" spans="1:19">
      <c r="A37" s="640"/>
      <c r="B37" s="1995"/>
      <c r="C37" s="1133"/>
      <c r="D37" s="1124"/>
      <c r="E37" s="1124"/>
      <c r="F37" s="1151"/>
      <c r="G37" s="1229"/>
      <c r="H37" s="1678"/>
      <c r="I37" s="638"/>
      <c r="J37" s="1678"/>
      <c r="K37" s="638"/>
      <c r="L37" s="1678"/>
      <c r="M37" s="638"/>
      <c r="N37" s="1678"/>
      <c r="O37" s="638"/>
      <c r="P37" s="1678"/>
      <c r="Q37" s="638"/>
      <c r="R37" s="1678"/>
      <c r="S37" s="638"/>
    </row>
    <row r="38" spans="1:19">
      <c r="A38" s="640"/>
      <c r="B38" s="2000"/>
      <c r="C38" s="1133"/>
      <c r="D38" s="1124"/>
      <c r="E38" s="1124"/>
      <c r="F38" s="1151"/>
      <c r="G38" s="1229"/>
      <c r="H38" s="1678"/>
      <c r="I38" s="638"/>
      <c r="J38" s="1678"/>
      <c r="K38" s="638"/>
      <c r="L38" s="1678"/>
      <c r="M38" s="638"/>
      <c r="N38" s="1678"/>
      <c r="O38" s="638"/>
      <c r="P38" s="1678"/>
      <c r="Q38" s="638"/>
      <c r="R38" s="1678"/>
      <c r="S38" s="638"/>
    </row>
    <row r="39" spans="1:19">
      <c r="A39" s="640"/>
      <c r="B39" s="2000"/>
      <c r="C39" s="1133"/>
      <c r="D39" s="1124"/>
      <c r="E39" s="1124"/>
      <c r="F39" s="1151"/>
      <c r="G39" s="1229"/>
      <c r="H39" s="1678"/>
      <c r="I39" s="638"/>
      <c r="J39" s="1678"/>
      <c r="K39" s="638"/>
      <c r="L39" s="1678"/>
      <c r="M39" s="638"/>
      <c r="N39" s="1678"/>
      <c r="O39" s="638"/>
      <c r="P39" s="1678"/>
      <c r="Q39" s="638"/>
      <c r="R39" s="1678"/>
      <c r="S39" s="638"/>
    </row>
    <row r="40" spans="1:19">
      <c r="A40" s="640"/>
      <c r="B40" s="1995"/>
      <c r="C40" s="1133"/>
      <c r="D40" s="1124"/>
      <c r="E40" s="1124"/>
      <c r="F40" s="1151"/>
      <c r="G40" s="1229"/>
      <c r="H40" s="1678"/>
      <c r="I40" s="638"/>
      <c r="J40" s="1678"/>
      <c r="K40" s="638"/>
      <c r="L40" s="1678"/>
      <c r="M40" s="638"/>
      <c r="N40" s="1678"/>
      <c r="O40" s="638"/>
      <c r="P40" s="1678"/>
      <c r="Q40" s="638"/>
      <c r="R40" s="1678"/>
      <c r="S40" s="638"/>
    </row>
    <row r="41" spans="1:19">
      <c r="A41" s="640"/>
      <c r="B41" s="1830" t="s">
        <v>288</v>
      </c>
      <c r="C41" s="1133"/>
      <c r="D41" s="1124"/>
      <c r="E41" s="1124"/>
      <c r="F41" s="1151"/>
      <c r="G41" s="1229"/>
      <c r="H41" s="1678"/>
      <c r="I41" s="638"/>
      <c r="J41" s="1678"/>
      <c r="K41" s="638"/>
      <c r="L41" s="1678"/>
      <c r="M41" s="638"/>
      <c r="N41" s="1678"/>
      <c r="O41" s="638"/>
      <c r="P41" s="1678"/>
      <c r="Q41" s="638"/>
      <c r="R41" s="1678"/>
      <c r="S41" s="638"/>
    </row>
    <row r="42" spans="1:19">
      <c r="A42" s="640"/>
      <c r="B42" s="1828" t="s">
        <v>288</v>
      </c>
      <c r="C42" s="1133"/>
      <c r="D42" s="1124"/>
      <c r="E42" s="1124"/>
      <c r="F42" s="1151"/>
      <c r="G42" s="1229"/>
      <c r="H42" s="1678"/>
      <c r="I42" s="638"/>
      <c r="J42" s="1678"/>
      <c r="K42" s="638"/>
      <c r="L42" s="1678"/>
      <c r="M42" s="638"/>
      <c r="N42" s="1678"/>
      <c r="O42" s="638"/>
      <c r="P42" s="1678"/>
      <c r="Q42" s="638"/>
      <c r="R42" s="1678"/>
      <c r="S42" s="638"/>
    </row>
    <row r="43" spans="1:19" ht="15.75" thickBot="1">
      <c r="A43" s="640"/>
      <c r="B43" s="1828" t="s">
        <v>288</v>
      </c>
      <c r="C43" s="1133"/>
      <c r="D43" s="1124"/>
      <c r="E43" s="1124"/>
      <c r="F43" s="1151"/>
      <c r="G43" s="1229"/>
      <c r="H43" s="1678"/>
      <c r="I43" s="638"/>
      <c r="J43" s="1678"/>
      <c r="K43" s="638"/>
      <c r="L43" s="1678"/>
      <c r="M43" s="638"/>
      <c r="N43" s="1678"/>
      <c r="O43" s="638"/>
      <c r="P43" s="1678"/>
      <c r="Q43" s="638"/>
      <c r="R43" s="1678"/>
      <c r="S43" s="638"/>
    </row>
    <row r="44" spans="1:19" ht="15.75" thickTop="1">
      <c r="A44" s="14"/>
      <c r="B44" s="15"/>
      <c r="C44" s="16"/>
      <c r="D44" s="16"/>
      <c r="E44" s="17"/>
      <c r="F44" s="18" t="s">
        <v>567</v>
      </c>
      <c r="G44" s="19"/>
      <c r="H44" s="20"/>
      <c r="I44" s="61">
        <f>SUM(I23:I43)</f>
        <v>0</v>
      </c>
      <c r="J44" s="20"/>
      <c r="K44" s="61">
        <f>SUM(K23:K43)</f>
        <v>0</v>
      </c>
      <c r="L44" s="20"/>
      <c r="M44" s="61">
        <f>SUM(M23:M43)</f>
        <v>0</v>
      </c>
      <c r="N44" s="20"/>
      <c r="O44" s="61">
        <f>SUM(O26:O43)</f>
        <v>0</v>
      </c>
      <c r="P44" s="20"/>
      <c r="Q44" s="61">
        <f>SUM(Q26:Q43)</f>
        <v>0</v>
      </c>
      <c r="R44" s="20"/>
      <c r="S44" s="61">
        <f>SUM(S26:S43)</f>
        <v>0</v>
      </c>
    </row>
    <row r="45" spans="1:19">
      <c r="A45" s="624"/>
      <c r="B45" s="1156"/>
      <c r="C45" s="1157"/>
      <c r="D45" s="1157"/>
      <c r="E45" s="1158"/>
      <c r="F45" s="1159" t="s">
        <v>568</v>
      </c>
      <c r="G45" s="1160"/>
      <c r="H45" s="1988">
        <v>0</v>
      </c>
      <c r="I45" s="1628"/>
      <c r="J45" s="1627">
        <v>0</v>
      </c>
      <c r="K45" s="1628"/>
      <c r="L45" s="1627">
        <v>0</v>
      </c>
      <c r="M45" s="1628"/>
      <c r="N45" s="1988">
        <v>0</v>
      </c>
      <c r="O45" s="1628"/>
      <c r="P45" s="1988">
        <v>0</v>
      </c>
      <c r="Q45" s="1628"/>
      <c r="R45" s="1988">
        <v>0</v>
      </c>
      <c r="S45" s="1628"/>
    </row>
    <row r="46" spans="1:19">
      <c r="A46" s="624"/>
      <c r="B46" s="1156"/>
      <c r="C46" s="1157"/>
      <c r="D46" s="1157"/>
      <c r="E46" s="1158"/>
      <c r="F46" s="1159" t="s">
        <v>569</v>
      </c>
      <c r="G46" s="1160"/>
      <c r="H46" s="1629"/>
      <c r="I46" s="1630">
        <f>H45*I44</f>
        <v>0</v>
      </c>
      <c r="J46" s="1629"/>
      <c r="K46" s="1630">
        <f>J45*K44</f>
        <v>0</v>
      </c>
      <c r="L46" s="1629"/>
      <c r="M46" s="1630">
        <f>L45*M44</f>
        <v>0</v>
      </c>
      <c r="N46" s="1629"/>
      <c r="O46" s="1630">
        <f>N45*O44</f>
        <v>0</v>
      </c>
      <c r="P46" s="1629"/>
      <c r="Q46" s="1630">
        <f>P45*Q44</f>
        <v>0</v>
      </c>
      <c r="R46" s="1629"/>
      <c r="S46" s="1630">
        <f>R45*S44</f>
        <v>0</v>
      </c>
    </row>
    <row r="47" spans="1:19">
      <c r="A47" s="624"/>
      <c r="B47" s="1156"/>
      <c r="C47" s="1157"/>
      <c r="D47" s="1157"/>
      <c r="E47" s="1158"/>
      <c r="F47" s="1159"/>
      <c r="G47" s="1160"/>
      <c r="H47" s="1629"/>
      <c r="I47" s="1633"/>
      <c r="J47" s="1629"/>
      <c r="K47" s="1633"/>
      <c r="L47" s="1629"/>
      <c r="M47" s="1633"/>
      <c r="N47" s="1629"/>
      <c r="O47" s="1633"/>
      <c r="P47" s="1629"/>
      <c r="Q47" s="1633"/>
      <c r="R47" s="1629"/>
      <c r="S47" s="1633"/>
    </row>
    <row r="48" spans="1:19">
      <c r="A48" s="624"/>
      <c r="B48" s="1156"/>
      <c r="C48" s="1157"/>
      <c r="D48" s="1157"/>
      <c r="E48" s="1158"/>
      <c r="F48" s="1159" t="s">
        <v>570</v>
      </c>
      <c r="G48" s="1160"/>
      <c r="H48" s="1634"/>
      <c r="I48" s="1632">
        <f>SUM(I44:I46)</f>
        <v>0</v>
      </c>
      <c r="J48" s="1634"/>
      <c r="K48" s="1632">
        <f>SUM(K44:K46)</f>
        <v>0</v>
      </c>
      <c r="L48" s="1634"/>
      <c r="M48" s="1632">
        <f>SUM(M44:M46)</f>
        <v>0</v>
      </c>
      <c r="N48" s="1634"/>
      <c r="O48" s="1632">
        <f>SUM(O44:O46)</f>
        <v>0</v>
      </c>
      <c r="P48" s="1634"/>
      <c r="Q48" s="1632">
        <f>SUM(Q44:Q46)</f>
        <v>0</v>
      </c>
      <c r="R48" s="1634"/>
      <c r="S48" s="1632">
        <f>SUM(S44:S46)</f>
        <v>0</v>
      </c>
    </row>
    <row r="49" spans="1:19">
      <c r="A49" s="624"/>
      <c r="B49" s="1156"/>
      <c r="C49" s="1157"/>
      <c r="D49" s="1157"/>
      <c r="E49" s="1158"/>
      <c r="F49" s="1161" t="s">
        <v>571</v>
      </c>
      <c r="G49" s="1162"/>
      <c r="H49" s="1635"/>
      <c r="I49" s="1636" t="e">
        <f>I48/'Area Calculations'!$J$4</f>
        <v>#DIV/0!</v>
      </c>
      <c r="J49" s="1635"/>
      <c r="K49" s="1636" t="e">
        <f>K48/'Area Calculations'!$J$4</f>
        <v>#DIV/0!</v>
      </c>
      <c r="L49" s="1635"/>
      <c r="M49" s="1636" t="e">
        <f>M48/'Area Calculations'!$J$4</f>
        <v>#DIV/0!</v>
      </c>
      <c r="N49" s="1635"/>
      <c r="O49" s="1636" t="e">
        <f>O48/'Area Calculations'!$J$4</f>
        <v>#DIV/0!</v>
      </c>
      <c r="P49" s="1635"/>
      <c r="Q49" s="1636" t="e">
        <f>Q48/'Area Calculations'!$J$4</f>
        <v>#DIV/0!</v>
      </c>
      <c r="R49" s="1635"/>
      <c r="S49" s="1636" t="e">
        <f>S48/'Area Calculations'!$J$4</f>
        <v>#DIV/0!</v>
      </c>
    </row>
    <row r="50" spans="1:19">
      <c r="A50" s="624"/>
      <c r="B50" s="1156"/>
      <c r="C50" s="1157"/>
      <c r="D50" s="1157"/>
      <c r="E50" s="1158"/>
      <c r="F50" s="1161" t="s">
        <v>572</v>
      </c>
      <c r="G50" s="1163"/>
      <c r="H50" s="1635"/>
      <c r="I50" s="1636" t="e">
        <f>I48/'Area Calculations'!#REF!</f>
        <v>#REF!</v>
      </c>
      <c r="J50" s="1635"/>
      <c r="K50" s="1636" t="e">
        <f>K48/'Area Calculations'!#REF!</f>
        <v>#REF!</v>
      </c>
      <c r="L50" s="1635"/>
      <c r="M50" s="1636" t="e">
        <f>M48/'Area Calculations'!#REF!</f>
        <v>#REF!</v>
      </c>
      <c r="N50" s="1635"/>
      <c r="O50" s="1636" t="e">
        <f>O48/'Area Calculations'!#REF!</f>
        <v>#REF!</v>
      </c>
      <c r="P50" s="1635"/>
      <c r="Q50" s="1636" t="e">
        <f>Q48/'Area Calculations'!#REF!</f>
        <v>#REF!</v>
      </c>
      <c r="R50" s="1635"/>
      <c r="S50" s="1636" t="e">
        <f>S48/'Area Calculations'!#REF!</f>
        <v>#REF!</v>
      </c>
    </row>
    <row r="51" spans="1:19" ht="15.75" thickBot="1">
      <c r="A51" s="624"/>
      <c r="B51" s="1156"/>
      <c r="C51" s="1157"/>
      <c r="D51" s="1157"/>
      <c r="E51" s="1158"/>
      <c r="F51" s="1159"/>
      <c r="G51" s="1533"/>
      <c r="H51" s="1637"/>
      <c r="I51" s="1638"/>
      <c r="J51" s="1639"/>
      <c r="K51" s="1639"/>
      <c r="L51" s="1639"/>
      <c r="M51" s="1639"/>
      <c r="N51" s="1639"/>
      <c r="O51" s="1905"/>
      <c r="P51" s="1639"/>
      <c r="Q51" s="1905"/>
      <c r="R51" s="1639"/>
      <c r="S51" s="1905"/>
    </row>
    <row r="52" spans="1:19" ht="16.5" thickTop="1" thickBot="1">
      <c r="A52" s="726" t="s">
        <v>573</v>
      </c>
      <c r="B52" s="727"/>
      <c r="C52" s="12"/>
      <c r="D52" s="12"/>
      <c r="E52" s="12"/>
      <c r="F52" s="12"/>
      <c r="G52" s="13"/>
      <c r="H52" s="21"/>
      <c r="I52" s="21"/>
      <c r="J52" s="21"/>
      <c r="K52" s="21"/>
      <c r="L52" s="21"/>
      <c r="M52" s="21"/>
      <c r="N52" s="21"/>
      <c r="O52" s="21"/>
      <c r="P52" s="21"/>
      <c r="Q52" s="21"/>
      <c r="R52" s="21"/>
      <c r="S52" s="21"/>
    </row>
    <row r="53" spans="1:19" ht="15.75" thickTop="1">
      <c r="A53" s="1929"/>
      <c r="B53" s="862"/>
      <c r="C53" s="1930"/>
      <c r="D53" s="1930"/>
      <c r="E53" s="1930"/>
      <c r="F53" s="1930"/>
      <c r="G53" s="1931"/>
      <c r="H53" s="1932"/>
      <c r="I53" s="1932"/>
      <c r="J53" s="1932"/>
      <c r="K53" s="1932"/>
      <c r="L53" s="1932"/>
      <c r="M53" s="1932"/>
      <c r="N53" s="1932"/>
      <c r="O53" s="1932"/>
      <c r="P53" s="1932"/>
      <c r="Q53" s="1932"/>
      <c r="R53" s="1932"/>
      <c r="S53" s="1932"/>
    </row>
    <row r="54" spans="1:19">
      <c r="A54" s="1929"/>
      <c r="B54" s="862"/>
      <c r="C54" s="1930"/>
      <c r="D54" s="1930"/>
      <c r="E54" s="1930"/>
      <c r="F54" s="1930"/>
      <c r="G54" s="1931"/>
      <c r="H54" s="1932"/>
      <c r="I54" s="1932"/>
      <c r="J54" s="1932"/>
      <c r="K54" s="1932"/>
      <c r="L54" s="1932"/>
      <c r="M54" s="1932"/>
      <c r="N54" s="1932"/>
      <c r="O54" s="1932"/>
      <c r="P54" s="1932"/>
      <c r="Q54" s="1932"/>
      <c r="R54" s="1932"/>
      <c r="S54" s="1932"/>
    </row>
    <row r="55" spans="1:19" ht="15.75" thickBot="1">
      <c r="A55" s="1929"/>
      <c r="B55" s="862"/>
      <c r="C55" s="1930"/>
      <c r="D55" s="1930"/>
      <c r="E55" s="1930"/>
      <c r="F55" s="1930"/>
      <c r="G55" s="1931"/>
      <c r="H55" s="1932"/>
      <c r="I55" s="1932"/>
      <c r="J55" s="1932"/>
      <c r="K55" s="1932"/>
      <c r="L55" s="1932"/>
      <c r="M55" s="1932"/>
      <c r="N55" s="1932"/>
      <c r="O55" s="1932"/>
      <c r="P55" s="1932"/>
      <c r="Q55" s="1932"/>
      <c r="R55" s="1932"/>
      <c r="S55" s="1932"/>
    </row>
    <row r="56" spans="1:19" s="2" customFormat="1" ht="16.5" thickTop="1" thickBot="1">
      <c r="A56" s="726" t="s">
        <v>574</v>
      </c>
      <c r="B56" s="727"/>
      <c r="C56" s="12"/>
      <c r="D56" s="12"/>
      <c r="E56" s="12"/>
      <c r="F56" s="12"/>
      <c r="G56" s="13"/>
      <c r="H56" s="21"/>
      <c r="I56" s="21"/>
      <c r="J56" s="21"/>
      <c r="K56" s="21"/>
      <c r="L56" s="21"/>
      <c r="M56" s="21"/>
      <c r="N56" s="21"/>
      <c r="O56" s="21"/>
      <c r="P56" s="21"/>
      <c r="Q56" s="21"/>
      <c r="R56" s="21"/>
      <c r="S56" s="21"/>
    </row>
    <row r="57" spans="1:19" s="2" customFormat="1" ht="15.75" thickTop="1">
      <c r="A57" s="1929"/>
      <c r="B57" s="862"/>
      <c r="C57" s="1930"/>
      <c r="D57" s="1930"/>
      <c r="E57" s="1930"/>
      <c r="F57" s="1930"/>
      <c r="G57" s="1931"/>
      <c r="H57" s="1932"/>
      <c r="I57" s="1932"/>
      <c r="J57" s="1932"/>
      <c r="K57" s="1932"/>
      <c r="L57" s="1932"/>
      <c r="M57" s="1932"/>
      <c r="N57" s="1932"/>
      <c r="O57" s="1932"/>
      <c r="P57" s="1932"/>
      <c r="Q57" s="1932"/>
      <c r="R57" s="1932"/>
      <c r="S57" s="1932"/>
    </row>
    <row r="58" spans="1:19" s="2" customFormat="1">
      <c r="A58" s="1929"/>
      <c r="B58" s="862"/>
      <c r="C58" s="1930"/>
      <c r="D58" s="1930"/>
      <c r="E58" s="1930"/>
      <c r="F58" s="1930"/>
      <c r="G58" s="1931"/>
      <c r="H58" s="1932"/>
      <c r="I58" s="1932"/>
      <c r="J58" s="1932"/>
      <c r="K58" s="1932"/>
      <c r="L58" s="1932"/>
      <c r="M58" s="1932"/>
      <c r="N58" s="1932"/>
      <c r="O58" s="1932"/>
      <c r="P58" s="1932"/>
      <c r="Q58" s="1932"/>
      <c r="R58" s="1932"/>
      <c r="S58" s="1932"/>
    </row>
    <row r="59" spans="1:19" ht="15.75" thickBot="1">
      <c r="A59" s="1929"/>
      <c r="B59" s="862"/>
      <c r="C59" s="1930"/>
      <c r="D59" s="1930"/>
      <c r="E59" s="1930"/>
      <c r="F59" s="1930"/>
      <c r="G59" s="1931"/>
      <c r="H59" s="1932"/>
      <c r="I59" s="1932"/>
      <c r="J59" s="1932"/>
      <c r="K59" s="1932"/>
      <c r="L59" s="1932"/>
      <c r="M59" s="1932"/>
      <c r="N59" s="1932"/>
      <c r="O59" s="1932"/>
      <c r="P59" s="1932"/>
      <c r="Q59" s="1932"/>
      <c r="R59" s="1932"/>
      <c r="S59" s="1932"/>
    </row>
    <row r="60" spans="1:19" s="2" customFormat="1" ht="16.5" thickTop="1" thickBot="1">
      <c r="A60" s="726" t="s">
        <v>575</v>
      </c>
      <c r="B60" s="727"/>
      <c r="C60" s="12"/>
      <c r="D60" s="12"/>
      <c r="E60" s="12"/>
      <c r="F60" s="12"/>
      <c r="G60" s="13"/>
      <c r="H60" s="21"/>
      <c r="I60" s="21"/>
      <c r="J60" s="21"/>
      <c r="K60" s="21"/>
      <c r="L60" s="21"/>
      <c r="M60" s="21"/>
      <c r="N60" s="21"/>
      <c r="O60" s="21"/>
      <c r="P60" s="21"/>
      <c r="Q60" s="21"/>
      <c r="R60" s="21"/>
      <c r="S60" s="21"/>
    </row>
    <row r="61" spans="1:19" s="2" customFormat="1" ht="15.75" thickTop="1">
      <c r="A61" s="1929"/>
      <c r="B61" s="862"/>
      <c r="C61" s="1930"/>
      <c r="D61" s="1930"/>
      <c r="E61" s="1930"/>
      <c r="F61" s="1930"/>
      <c r="G61" s="1931"/>
      <c r="H61" s="1932"/>
      <c r="I61" s="1932"/>
      <c r="J61" s="1932"/>
      <c r="K61" s="1932"/>
      <c r="L61" s="1932"/>
      <c r="M61" s="1932"/>
      <c r="N61" s="1932"/>
      <c r="O61" s="1932"/>
      <c r="P61" s="1932"/>
      <c r="Q61" s="1932"/>
      <c r="R61" s="1932"/>
      <c r="S61" s="1932"/>
    </row>
    <row r="62" spans="1:19" s="2" customFormat="1">
      <c r="A62" s="628"/>
      <c r="B62" s="862"/>
      <c r="C62" s="1124"/>
      <c r="D62" s="1124"/>
      <c r="E62" s="1124"/>
      <c r="F62" s="1124"/>
      <c r="G62" s="1133"/>
      <c r="H62" s="1640"/>
      <c r="I62" s="1640"/>
      <c r="J62" s="1640"/>
      <c r="K62" s="1640"/>
      <c r="L62" s="1640"/>
      <c r="M62" s="1640"/>
      <c r="N62" s="1640"/>
      <c r="O62" s="1640"/>
      <c r="P62" s="1640"/>
      <c r="Q62" s="1640"/>
      <c r="R62" s="1640"/>
      <c r="S62" s="1640"/>
    </row>
    <row r="63" spans="1:19" s="2" customFormat="1" ht="15.75" thickBot="1">
      <c r="A63" s="625"/>
      <c r="B63" s="1171"/>
      <c r="C63" s="1124"/>
      <c r="D63" s="1124"/>
      <c r="E63" s="1124"/>
      <c r="F63" s="1124"/>
      <c r="G63" s="1133"/>
      <c r="H63" s="1642"/>
      <c r="I63" s="1642"/>
      <c r="J63" s="1642"/>
      <c r="K63" s="1642"/>
      <c r="L63" s="1642"/>
      <c r="M63" s="1642"/>
      <c r="N63" s="1642"/>
      <c r="O63" s="1642"/>
      <c r="P63" s="1642"/>
      <c r="Q63" s="1642"/>
      <c r="R63" s="1642"/>
      <c r="S63" s="1642"/>
    </row>
    <row r="64" spans="1:19" s="2" customFormat="1" ht="16.5" thickTop="1" thickBot="1">
      <c r="A64" s="726" t="s">
        <v>576</v>
      </c>
      <c r="B64" s="727"/>
      <c r="C64" s="12"/>
      <c r="D64" s="12"/>
      <c r="E64" s="12"/>
      <c r="F64" s="12"/>
      <c r="G64" s="13"/>
      <c r="H64" s="21"/>
      <c r="I64" s="21"/>
      <c r="J64" s="21"/>
      <c r="K64" s="21"/>
      <c r="L64" s="21"/>
      <c r="M64" s="21"/>
      <c r="N64" s="21"/>
      <c r="O64" s="21"/>
      <c r="P64" s="21"/>
      <c r="Q64" s="21"/>
      <c r="R64" s="21"/>
      <c r="S64" s="21"/>
    </row>
    <row r="65" spans="1:19" ht="15.75" thickTop="1">
      <c r="A65" s="1933"/>
      <c r="B65" s="1934"/>
      <c r="C65" s="1930"/>
      <c r="D65" s="1930"/>
      <c r="E65" s="1930"/>
      <c r="F65" s="1930"/>
      <c r="G65" s="1931"/>
      <c r="H65" s="1932"/>
      <c r="I65" s="1932"/>
      <c r="J65" s="1932"/>
      <c r="K65" s="1932"/>
      <c r="L65" s="1932"/>
      <c r="M65" s="1932"/>
      <c r="N65" s="1932"/>
      <c r="O65" s="1932"/>
      <c r="P65" s="1932"/>
      <c r="Q65" s="1932"/>
      <c r="R65" s="1932"/>
      <c r="S65" s="1932"/>
    </row>
    <row r="66" spans="1:19">
      <c r="A66" s="625"/>
      <c r="B66" s="1171"/>
      <c r="C66" s="1124"/>
      <c r="D66" s="1124"/>
      <c r="E66" s="1124"/>
      <c r="F66" s="1124"/>
      <c r="G66" s="1133"/>
      <c r="H66" s="1643"/>
      <c r="I66" s="1643"/>
      <c r="J66" s="1643"/>
      <c r="K66" s="1643"/>
      <c r="L66" s="1643"/>
      <c r="M66" s="1643"/>
      <c r="N66" s="1643"/>
      <c r="O66" s="1643"/>
      <c r="P66" s="1643"/>
      <c r="Q66" s="1643"/>
      <c r="R66" s="1643"/>
      <c r="S66" s="1643"/>
    </row>
    <row r="67" spans="1:19" ht="15.75" thickBot="1">
      <c r="A67" s="625"/>
      <c r="B67" s="1171"/>
      <c r="C67" s="1124"/>
      <c r="D67" s="1124"/>
      <c r="E67" s="1124"/>
      <c r="F67" s="1124"/>
      <c r="G67" s="1133"/>
      <c r="H67" s="1643"/>
      <c r="I67" s="1643"/>
      <c r="J67" s="1643"/>
      <c r="K67" s="1643"/>
      <c r="L67" s="1643"/>
      <c r="M67" s="1643"/>
      <c r="N67" s="1643"/>
      <c r="O67" s="1643"/>
      <c r="P67" s="1643"/>
      <c r="Q67" s="1643"/>
      <c r="R67" s="1643"/>
      <c r="S67" s="1643"/>
    </row>
    <row r="68" spans="1:19" ht="16.5" thickTop="1" thickBot="1">
      <c r="A68" s="726" t="s">
        <v>577</v>
      </c>
      <c r="B68" s="727"/>
      <c r="C68" s="12"/>
      <c r="D68" s="12"/>
      <c r="E68" s="12"/>
      <c r="F68" s="12"/>
      <c r="G68" s="13"/>
      <c r="H68" s="21"/>
      <c r="I68" s="21"/>
      <c r="J68" s="21"/>
      <c r="K68" s="21"/>
      <c r="L68" s="21"/>
      <c r="M68" s="21"/>
      <c r="N68" s="21"/>
      <c r="O68" s="21"/>
      <c r="P68" s="21"/>
      <c r="Q68" s="21"/>
      <c r="R68" s="21"/>
      <c r="S68" s="21"/>
    </row>
    <row r="69" spans="1:19" ht="15.75" thickTop="1">
      <c r="A69" s="628"/>
      <c r="B69" s="862" t="s">
        <v>578</v>
      </c>
      <c r="C69" s="1124"/>
      <c r="D69" s="1124"/>
      <c r="E69" s="1124"/>
      <c r="F69" s="1124"/>
      <c r="G69" s="1133"/>
      <c r="H69" s="1643"/>
      <c r="I69" s="1643"/>
      <c r="J69" s="1643"/>
      <c r="K69" s="1643"/>
      <c r="L69" s="1643"/>
      <c r="M69" s="1643"/>
      <c r="N69" s="1643"/>
      <c r="O69" s="1643"/>
      <c r="P69" s="1643"/>
      <c r="Q69" s="1643"/>
      <c r="R69" s="1643"/>
      <c r="S69" s="1643"/>
    </row>
    <row r="70" spans="1:19">
      <c r="A70" s="628"/>
      <c r="B70" s="862" t="s">
        <v>579</v>
      </c>
      <c r="C70" s="1124"/>
      <c r="D70" s="1124"/>
      <c r="E70" s="1124"/>
      <c r="F70" s="1124"/>
      <c r="G70" s="1133"/>
      <c r="H70" s="1643"/>
      <c r="I70" s="1643"/>
      <c r="J70" s="1643"/>
      <c r="K70" s="1643"/>
      <c r="L70" s="1643"/>
      <c r="M70" s="1643"/>
      <c r="N70" s="1643"/>
      <c r="O70" s="1643"/>
      <c r="P70" s="1643"/>
      <c r="Q70" s="1643"/>
      <c r="R70" s="1643"/>
      <c r="S70" s="1643"/>
    </row>
    <row r="71" spans="1:19">
      <c r="A71" s="628"/>
      <c r="B71" s="862" t="s">
        <v>580</v>
      </c>
      <c r="C71" s="1124"/>
      <c r="D71" s="1124"/>
      <c r="E71" s="1124"/>
      <c r="F71" s="1124"/>
      <c r="G71" s="1133"/>
      <c r="H71" s="1643"/>
      <c r="I71" s="1643"/>
      <c r="J71" s="1643"/>
      <c r="K71" s="1643"/>
      <c r="L71" s="1643"/>
      <c r="M71" s="1643"/>
      <c r="N71" s="1643"/>
      <c r="O71" s="1643"/>
      <c r="P71" s="1643"/>
      <c r="Q71" s="1643"/>
      <c r="R71" s="1643"/>
      <c r="S71" s="1643"/>
    </row>
    <row r="72" spans="1:19">
      <c r="A72" s="628"/>
      <c r="B72" s="862" t="s">
        <v>581</v>
      </c>
      <c r="C72" s="1124"/>
      <c r="D72" s="1124"/>
      <c r="E72" s="1124"/>
      <c r="F72" s="1124"/>
      <c r="G72" s="1133"/>
      <c r="H72" s="1643"/>
      <c r="I72" s="1643"/>
      <c r="J72" s="1643"/>
      <c r="K72" s="1643"/>
      <c r="L72" s="1643"/>
      <c r="M72" s="1643"/>
      <c r="N72" s="1643"/>
      <c r="O72" s="1643"/>
      <c r="P72" s="1643"/>
      <c r="Q72" s="1643"/>
      <c r="R72" s="1643"/>
      <c r="S72" s="1643"/>
    </row>
    <row r="73" spans="1:19" ht="15.75" thickBot="1">
      <c r="A73" s="416"/>
      <c r="B73" s="295"/>
      <c r="C73" s="184"/>
      <c r="D73" s="184"/>
      <c r="E73" s="184"/>
      <c r="F73" s="184"/>
      <c r="G73" s="296"/>
      <c r="H73" s="418"/>
      <c r="I73" s="418"/>
      <c r="J73" s="418"/>
      <c r="K73" s="418"/>
      <c r="L73" s="418"/>
      <c r="M73" s="418"/>
      <c r="N73" s="418"/>
      <c r="O73" s="418"/>
      <c r="P73" s="418"/>
      <c r="Q73" s="418"/>
      <c r="R73" s="418"/>
      <c r="S73" s="418"/>
    </row>
    <row r="74" spans="1:19" ht="16.5" thickTop="1" thickBot="1">
      <c r="A74" s="7" t="s">
        <v>582</v>
      </c>
      <c r="B74" s="8"/>
      <c r="C74" s="12"/>
      <c r="D74" s="12"/>
      <c r="E74" s="12"/>
      <c r="F74" s="12"/>
      <c r="G74" s="13"/>
      <c r="H74" s="21"/>
      <c r="I74" s="21"/>
      <c r="J74" s="21"/>
      <c r="K74" s="21"/>
      <c r="L74" s="21"/>
      <c r="M74" s="21"/>
      <c r="N74" s="21"/>
      <c r="O74" s="21"/>
      <c r="P74" s="21"/>
      <c r="Q74" s="21"/>
      <c r="R74" s="21"/>
      <c r="S74" s="21"/>
    </row>
    <row r="75" spans="1:19" ht="15.75" thickTop="1">
      <c r="A75" s="1929"/>
      <c r="B75" s="1935" t="s">
        <v>583</v>
      </c>
      <c r="C75" s="1930"/>
      <c r="D75" s="1930"/>
      <c r="E75" s="1930"/>
      <c r="F75" s="1930"/>
      <c r="G75" s="1931"/>
      <c r="H75" s="1936"/>
      <c r="I75" s="1936"/>
      <c r="J75" s="1936"/>
      <c r="K75" s="1936"/>
      <c r="L75" s="1936"/>
      <c r="M75" s="1936"/>
      <c r="N75" s="1936"/>
      <c r="O75" s="1936"/>
      <c r="P75" s="1936"/>
      <c r="Q75" s="1936"/>
      <c r="R75" s="1936"/>
      <c r="S75" s="1936"/>
    </row>
    <row r="76" spans="1:19">
      <c r="A76" s="628"/>
      <c r="B76" s="862" t="s">
        <v>584</v>
      </c>
      <c r="C76" s="1124"/>
      <c r="D76" s="1124"/>
      <c r="E76" s="1124"/>
      <c r="F76" s="1124"/>
      <c r="G76" s="1133"/>
      <c r="H76" s="1644"/>
      <c r="I76" s="1644"/>
      <c r="J76" s="1644"/>
      <c r="K76" s="1644"/>
      <c r="L76" s="1644"/>
      <c r="M76" s="1644"/>
      <c r="N76" s="1644"/>
      <c r="O76" s="1644"/>
      <c r="P76" s="1644"/>
      <c r="Q76" s="1644"/>
      <c r="R76" s="1644"/>
      <c r="S76" s="1644"/>
    </row>
    <row r="77" spans="1:19" ht="15.75" thickBot="1">
      <c r="A77" s="1645"/>
      <c r="B77" s="1646" t="s">
        <v>585</v>
      </c>
      <c r="C77" s="1647"/>
      <c r="D77" s="1647"/>
      <c r="E77" s="1647"/>
      <c r="F77" s="1647"/>
      <c r="G77" s="1648"/>
      <c r="H77" s="1649"/>
      <c r="I77" s="1649"/>
      <c r="J77" s="1649"/>
      <c r="K77" s="1649"/>
      <c r="L77" s="1649"/>
      <c r="M77" s="1649"/>
      <c r="N77" s="1649"/>
      <c r="O77" s="1649"/>
      <c r="P77" s="1649"/>
      <c r="Q77" s="1649"/>
      <c r="R77" s="1649"/>
      <c r="S77" s="1649"/>
    </row>
    <row r="78" spans="1:19" ht="16.5" thickTop="1" thickBot="1"/>
    <row r="79" spans="1:19" ht="16.5" thickTop="1" thickBot="1">
      <c r="A79" s="92" t="s">
        <v>586</v>
      </c>
      <c r="B79" s="94"/>
    </row>
    <row r="80" spans="1:19" ht="16.5" thickTop="1" thickBot="1">
      <c r="A80" s="93" t="s">
        <v>487</v>
      </c>
      <c r="B80" s="94"/>
    </row>
    <row r="81" spans="1:2" ht="15.75" thickTop="1">
      <c r="A81" s="626" t="s">
        <v>491</v>
      </c>
      <c r="B81" s="1650"/>
    </row>
    <row r="82" spans="1:2">
      <c r="A82" s="1651" t="s">
        <v>494</v>
      </c>
      <c r="B82" s="1652"/>
    </row>
    <row r="83" spans="1:2">
      <c r="A83" s="1651" t="s">
        <v>497</v>
      </c>
      <c r="B83" s="1653"/>
    </row>
    <row r="84" spans="1:2" ht="15.75" thickBot="1">
      <c r="A84" s="1654" t="s">
        <v>587</v>
      </c>
      <c r="B84" s="1655"/>
    </row>
    <row r="85" spans="1:2" ht="15.75" thickTop="1"/>
    <row r="86" spans="1:2">
      <c r="A86" s="95"/>
      <c r="B86" s="1" t="s">
        <v>588</v>
      </c>
    </row>
    <row r="87" spans="1:2">
      <c r="A87" s="96"/>
      <c r="B87" s="1" t="s">
        <v>589</v>
      </c>
    </row>
  </sheetData>
  <mergeCells count="47">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 ref="H5:I5"/>
    <mergeCell ref="J5:K5"/>
    <mergeCell ref="L5:M5"/>
    <mergeCell ref="N5:O5"/>
    <mergeCell ref="P5:Q5"/>
    <mergeCell ref="H4:I4"/>
    <mergeCell ref="J4:K4"/>
    <mergeCell ref="L4:M4"/>
    <mergeCell ref="N4:O4"/>
    <mergeCell ref="P4:Q4"/>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A52:B52"/>
    <mergeCell ref="A56:B56"/>
    <mergeCell ref="A60:B60"/>
    <mergeCell ref="A64:B64"/>
    <mergeCell ref="A68:B68"/>
  </mergeCells>
  <conditionalFormatting sqref="H20:H30">
    <cfRule type="cellIs" dxfId="1091" priority="3" operator="equal">
      <formula>"X"</formula>
    </cfRule>
    <cfRule type="cellIs" dxfId="1090" priority="4" operator="equal">
      <formula>"I"</formula>
    </cfRule>
  </conditionalFormatting>
  <conditionalFormatting sqref="H32:H43">
    <cfRule type="cellIs" dxfId="1089" priority="1" operator="equal">
      <formula>"X"</formula>
    </cfRule>
    <cfRule type="cellIs" dxfId="1088" priority="2" operator="equal">
      <formula>"I"</formula>
    </cfRule>
  </conditionalFormatting>
  <conditionalFormatting sqref="J20:J30">
    <cfRule type="cellIs" dxfId="1087" priority="7" operator="equal">
      <formula>"X"</formula>
    </cfRule>
    <cfRule type="cellIs" dxfId="1086" priority="8" operator="equal">
      <formula>"I"</formula>
    </cfRule>
  </conditionalFormatting>
  <conditionalFormatting sqref="J32:J43">
    <cfRule type="cellIs" dxfId="1085" priority="5" operator="equal">
      <formula>"X"</formula>
    </cfRule>
    <cfRule type="cellIs" dxfId="1084" priority="6" operator="equal">
      <formula>"I"</formula>
    </cfRule>
  </conditionalFormatting>
  <conditionalFormatting sqref="L20:L30">
    <cfRule type="cellIs" dxfId="1083" priority="11" operator="equal">
      <formula>"X"</formula>
    </cfRule>
    <cfRule type="cellIs" dxfId="1082" priority="12" operator="equal">
      <formula>"I"</formula>
    </cfRule>
  </conditionalFormatting>
  <conditionalFormatting sqref="L32:L43">
    <cfRule type="cellIs" dxfId="1081" priority="9" operator="equal">
      <formula>"X"</formula>
    </cfRule>
    <cfRule type="cellIs" dxfId="1080" priority="10" operator="equal">
      <formula>"I"</formula>
    </cfRule>
  </conditionalFormatting>
  <conditionalFormatting sqref="N20:N30">
    <cfRule type="cellIs" dxfId="1079" priority="15" operator="equal">
      <formula>"X"</formula>
    </cfRule>
    <cfRule type="cellIs" dxfId="1078" priority="16" operator="equal">
      <formula>"I"</formula>
    </cfRule>
  </conditionalFormatting>
  <conditionalFormatting sqref="N32:N43">
    <cfRule type="cellIs" dxfId="1077" priority="13" operator="equal">
      <formula>"X"</formula>
    </cfRule>
    <cfRule type="cellIs" dxfId="1076" priority="14" operator="equal">
      <formula>"I"</formula>
    </cfRule>
  </conditionalFormatting>
  <conditionalFormatting sqref="P20:P30">
    <cfRule type="cellIs" dxfId="1075" priority="19" operator="equal">
      <formula>"X"</formula>
    </cfRule>
    <cfRule type="cellIs" dxfId="1074" priority="20" operator="equal">
      <formula>"I"</formula>
    </cfRule>
  </conditionalFormatting>
  <conditionalFormatting sqref="P32:P43">
    <cfRule type="cellIs" dxfId="1073" priority="17" operator="equal">
      <formula>"X"</formula>
    </cfRule>
    <cfRule type="cellIs" dxfId="1072" priority="18" operator="equal">
      <formula>"I"</formula>
    </cfRule>
  </conditionalFormatting>
  <conditionalFormatting sqref="R20:R30">
    <cfRule type="cellIs" dxfId="1071" priority="23" operator="equal">
      <formula>"X"</formula>
    </cfRule>
    <cfRule type="cellIs" dxfId="1070" priority="24" operator="equal">
      <formula>"I"</formula>
    </cfRule>
  </conditionalFormatting>
  <conditionalFormatting sqref="R32:R43">
    <cfRule type="cellIs" dxfId="1069" priority="21" operator="equal">
      <formula>"X"</formula>
    </cfRule>
    <cfRule type="cellIs" dxfId="1068" priority="22" operator="equal">
      <formula>"I"</formula>
    </cfRule>
  </conditionalFormatting>
  <hyperlinks>
    <hyperlink ref="B3" location="'Cost Summary'!A1" display="BACK TO SUMMARY SHEET" xr:uid="{9D388C71-1BC1-42F7-9305-2FFD982FB7A2}"/>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52F2-65D6-4CAC-B510-7F76D3DC4B4F}">
  <sheetPr>
    <tabColor rgb="FF92D050"/>
  </sheetPr>
  <dimension ref="A1:S100"/>
  <sheetViews>
    <sheetView zoomScale="86" zoomScaleNormal="86" workbookViewId="0">
      <pane xSplit="2" ySplit="9" topLeftCell="C33" activePane="bottomRight" state="frozen"/>
      <selection pane="bottomRight" activeCell="F50" sqref="F50"/>
      <selection pane="bottomLeft" sqref="A1:B1"/>
      <selection pane="topRight" sqref="A1:B1"/>
    </sheetView>
  </sheetViews>
  <sheetFormatPr defaultRowHeight="15"/>
  <cols>
    <col min="1" max="1" width="11" customWidth="1"/>
    <col min="2" max="2" width="72.140625" style="1" bestFit="1" customWidth="1"/>
    <col min="3" max="3" width="12.85546875" style="2" customWidth="1"/>
    <col min="4" max="4" width="10.140625" style="2" customWidth="1"/>
    <col min="5" max="5" width="7.5703125" style="2" customWidth="1"/>
    <col min="6" max="6" width="9.140625" style="2" customWidth="1"/>
    <col min="7" max="7" width="12.28515625" style="2" customWidth="1"/>
    <col min="8" max="8" width="7.42578125" style="2" bestFit="1" customWidth="1"/>
    <col min="9" max="9" width="14.85546875" style="2" customWidth="1"/>
    <col min="10" max="10" width="8.5703125" style="2" customWidth="1"/>
    <col min="11" max="11" width="13.85546875" style="2" customWidth="1"/>
    <col min="12" max="12" width="8.5703125" style="2" customWidth="1"/>
    <col min="13" max="13" width="13.85546875" style="2" customWidth="1"/>
    <col min="14" max="14" width="7.42578125" style="2" bestFit="1" customWidth="1"/>
    <col min="15" max="15" width="14.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66"/>
      <c r="I2" s="766"/>
      <c r="J2" s="732"/>
      <c r="K2" s="732"/>
      <c r="L2" s="766"/>
      <c r="M2" s="766"/>
      <c r="N2" s="766"/>
      <c r="O2" s="766"/>
      <c r="P2" s="732"/>
      <c r="Q2" s="732"/>
      <c r="R2" s="732"/>
      <c r="S2" s="732"/>
    </row>
    <row r="3" spans="1:19" ht="21" thickBot="1">
      <c r="B3" s="161" t="s">
        <v>477</v>
      </c>
      <c r="E3" s="175"/>
      <c r="F3" s="148" t="s">
        <v>478</v>
      </c>
      <c r="G3" s="147" t="s">
        <v>479</v>
      </c>
      <c r="H3" s="730" t="s">
        <v>480</v>
      </c>
      <c r="I3" s="731"/>
      <c r="J3" s="730" t="s">
        <v>481</v>
      </c>
      <c r="K3" s="731"/>
      <c r="L3" s="730" t="s">
        <v>483</v>
      </c>
      <c r="M3" s="731"/>
      <c r="N3" s="730" t="s">
        <v>482</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166</v>
      </c>
      <c r="C5" s="1124"/>
      <c r="D5" s="1124"/>
      <c r="E5" s="1124"/>
      <c r="F5" s="1124"/>
      <c r="G5" s="1125" t="s">
        <v>491</v>
      </c>
      <c r="H5" s="778"/>
      <c r="I5" s="1126"/>
      <c r="J5" s="778"/>
      <c r="K5" s="1126"/>
      <c r="L5" s="778"/>
      <c r="M5" s="1126"/>
      <c r="N5" s="778"/>
      <c r="O5" s="1126"/>
      <c r="P5" s="778"/>
      <c r="Q5" s="1126"/>
      <c r="R5" s="778"/>
      <c r="S5" s="1126"/>
    </row>
    <row r="6" spans="1:19">
      <c r="A6" s="627" t="s">
        <v>493</v>
      </c>
      <c r="B6" s="1127" t="s">
        <v>165</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1724">
        <f>I61</f>
        <v>123408</v>
      </c>
      <c r="I8" s="1725"/>
      <c r="J8" s="1724">
        <f>K61</f>
        <v>0</v>
      </c>
      <c r="K8" s="1725"/>
      <c r="L8" s="1724">
        <f>M61</f>
        <v>0</v>
      </c>
      <c r="M8" s="1725"/>
      <c r="N8" s="1724">
        <f>O61</f>
        <v>0</v>
      </c>
      <c r="O8" s="1725"/>
      <c r="P8" s="1724">
        <f>Q61</f>
        <v>0</v>
      </c>
      <c r="Q8" s="1725"/>
      <c r="R8" s="1724">
        <f>S61</f>
        <v>0</v>
      </c>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1938"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idden="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idden="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idden="1">
      <c r="A20" s="628"/>
      <c r="B20" s="862"/>
      <c r="C20" s="1134"/>
      <c r="D20" s="1124"/>
      <c r="E20" s="1124"/>
      <c r="F20" s="1124"/>
      <c r="G20" s="1133"/>
      <c r="H20" s="1726"/>
      <c r="I20" s="2001"/>
      <c r="J20" s="1726"/>
      <c r="K20" s="2001"/>
      <c r="L20" s="1726"/>
      <c r="M20" s="2001"/>
      <c r="N20" s="1726"/>
      <c r="O20" s="2001"/>
      <c r="P20" s="1726"/>
      <c r="Q20" s="2001"/>
      <c r="R20" s="1726"/>
      <c r="S20" s="2001"/>
    </row>
    <row r="21" spans="1:19" hidden="1">
      <c r="A21" s="628"/>
      <c r="B21" s="862"/>
      <c r="C21" s="1134"/>
      <c r="D21" s="1124"/>
      <c r="E21" s="1124"/>
      <c r="F21" s="1124"/>
      <c r="G21" s="1133"/>
      <c r="H21" s="1678"/>
      <c r="I21" s="1983"/>
      <c r="J21" s="1678"/>
      <c r="K21" s="1983"/>
      <c r="L21" s="1678"/>
      <c r="M21" s="1983"/>
      <c r="N21" s="1678"/>
      <c r="O21" s="638"/>
      <c r="P21" s="1678"/>
      <c r="Q21" s="1983"/>
      <c r="R21" s="1678"/>
      <c r="S21" s="1983"/>
    </row>
    <row r="22" spans="1:19" ht="16.5" thickTop="1" thickBot="1">
      <c r="A22" s="628"/>
      <c r="B22" s="1136" t="s">
        <v>166</v>
      </c>
      <c r="C22" s="1134"/>
      <c r="D22" s="1124"/>
      <c r="E22" s="1124"/>
      <c r="F22" s="1124"/>
      <c r="G22" s="1133"/>
      <c r="H22" s="1678"/>
      <c r="I22" s="638"/>
      <c r="J22" s="1678"/>
      <c r="K22" s="638"/>
      <c r="L22" s="1678"/>
      <c r="M22" s="638"/>
      <c r="N22" s="1678"/>
      <c r="O22" s="638"/>
      <c r="P22" s="1678"/>
      <c r="Q22" s="638"/>
      <c r="R22" s="1678"/>
      <c r="S22" s="638"/>
    </row>
    <row r="23" spans="1:19" ht="15.75" thickBot="1">
      <c r="A23" s="640"/>
      <c r="B23" s="374" t="s">
        <v>512</v>
      </c>
      <c r="C23" s="1134"/>
      <c r="D23" s="1124"/>
      <c r="E23" s="1124"/>
      <c r="F23" s="1124"/>
      <c r="G23" s="1133"/>
      <c r="H23" s="1678"/>
      <c r="I23" s="638"/>
      <c r="J23" s="1678"/>
      <c r="K23" s="638"/>
      <c r="L23" s="1678"/>
      <c r="M23" s="638"/>
      <c r="N23" s="1678"/>
      <c r="O23" s="638"/>
      <c r="P23" s="1678"/>
      <c r="Q23" s="638"/>
      <c r="R23" s="1678"/>
      <c r="S23" s="638"/>
    </row>
    <row r="24" spans="1:19">
      <c r="A24" s="640"/>
      <c r="B24" s="1422" t="s">
        <v>513</v>
      </c>
      <c r="C24" s="1154"/>
      <c r="D24" s="1426"/>
      <c r="E24" s="1124"/>
      <c r="F24" s="1124"/>
      <c r="G24" s="1133"/>
      <c r="H24" s="1678"/>
      <c r="I24" s="638"/>
      <c r="J24" s="1678"/>
      <c r="K24" s="638"/>
      <c r="L24" s="1678"/>
      <c r="M24" s="638"/>
      <c r="N24" s="1678"/>
      <c r="O24" s="638"/>
      <c r="P24" s="1678"/>
      <c r="Q24" s="638"/>
      <c r="R24" s="1678"/>
      <c r="S24" s="638"/>
    </row>
    <row r="25" spans="1:19">
      <c r="A25" s="640"/>
      <c r="B25" s="1963" t="s">
        <v>514</v>
      </c>
      <c r="C25" s="1154"/>
      <c r="D25" s="1426"/>
      <c r="E25" s="1124"/>
      <c r="F25" s="1124"/>
      <c r="G25" s="1133"/>
      <c r="H25" s="1678"/>
      <c r="I25" s="638"/>
      <c r="J25" s="1678"/>
      <c r="K25" s="638"/>
      <c r="L25" s="1678"/>
      <c r="M25" s="638"/>
      <c r="N25" s="1678"/>
      <c r="O25" s="638"/>
      <c r="P25" s="1678"/>
      <c r="Q25" s="638"/>
      <c r="R25" s="1678"/>
      <c r="S25" s="638"/>
    </row>
    <row r="26" spans="1:19">
      <c r="A26" s="640"/>
      <c r="B26" s="1965" t="s">
        <v>515</v>
      </c>
      <c r="C26" s="1133"/>
      <c r="D26" s="1124"/>
      <c r="E26" s="1124"/>
      <c r="F26" s="1124"/>
      <c r="G26" s="1133"/>
      <c r="H26" s="1678"/>
      <c r="I26" s="638"/>
      <c r="J26" s="1678"/>
      <c r="K26" s="638"/>
      <c r="L26" s="1678"/>
      <c r="M26" s="638"/>
      <c r="N26" s="1678"/>
      <c r="O26" s="638"/>
      <c r="P26" s="1678"/>
      <c r="Q26" s="638"/>
      <c r="R26" s="1678"/>
      <c r="S26" s="638"/>
    </row>
    <row r="27" spans="1:19">
      <c r="A27" s="640"/>
      <c r="B27" s="1965" t="s">
        <v>516</v>
      </c>
      <c r="C27" s="1133"/>
      <c r="D27" s="1124"/>
      <c r="E27" s="1124"/>
      <c r="F27" s="1124"/>
      <c r="G27" s="1133"/>
      <c r="H27" s="1678"/>
      <c r="I27" s="638"/>
      <c r="J27" s="1678"/>
      <c r="K27" s="638"/>
      <c r="L27" s="1678"/>
      <c r="M27" s="638"/>
      <c r="N27" s="1678"/>
      <c r="O27" s="638"/>
      <c r="P27" s="1678"/>
      <c r="Q27" s="638"/>
      <c r="R27" s="1678"/>
      <c r="S27" s="638"/>
    </row>
    <row r="28" spans="1:19" ht="15" customHeight="1">
      <c r="A28" s="640"/>
      <c r="B28" s="1965" t="s">
        <v>517</v>
      </c>
      <c r="C28" s="1133"/>
      <c r="D28" s="1124"/>
      <c r="E28" s="1124"/>
      <c r="F28" s="1124"/>
      <c r="G28" s="1133"/>
      <c r="H28" s="1678"/>
      <c r="I28" s="638"/>
      <c r="J28" s="1678"/>
      <c r="K28" s="638"/>
      <c r="L28" s="1678"/>
      <c r="M28" s="638"/>
      <c r="N28" s="1678"/>
      <c r="O28" s="638"/>
      <c r="P28" s="1678"/>
      <c r="Q28" s="638"/>
      <c r="R28" s="1678"/>
      <c r="S28" s="638"/>
    </row>
    <row r="29" spans="1:19">
      <c r="A29" s="640"/>
      <c r="B29" s="1965" t="s">
        <v>518</v>
      </c>
      <c r="C29" s="1133"/>
      <c r="D29" s="1124"/>
      <c r="E29" s="1124"/>
      <c r="F29" s="1124"/>
      <c r="G29" s="1133"/>
      <c r="H29" s="1678"/>
      <c r="I29" s="638"/>
      <c r="J29" s="1678"/>
      <c r="K29" s="638"/>
      <c r="L29" s="1678"/>
      <c r="M29" s="638"/>
      <c r="N29" s="1678"/>
      <c r="O29" s="638"/>
      <c r="P29" s="1678"/>
      <c r="Q29" s="638"/>
      <c r="R29" s="1678"/>
      <c r="S29" s="638"/>
    </row>
    <row r="30" spans="1:19">
      <c r="A30" s="640"/>
      <c r="B30" s="1965" t="s">
        <v>693</v>
      </c>
      <c r="C30" s="1133"/>
      <c r="D30" s="1124"/>
      <c r="E30" s="1124"/>
      <c r="F30" s="1124"/>
      <c r="G30" s="1133"/>
      <c r="H30" s="1678"/>
      <c r="I30" s="2002"/>
      <c r="J30" s="1678"/>
      <c r="K30" s="2002"/>
      <c r="L30" s="1678"/>
      <c r="M30" s="2002"/>
      <c r="N30" s="1678"/>
      <c r="O30" s="2002"/>
      <c r="P30" s="1678"/>
      <c r="Q30" s="2002"/>
      <c r="R30" s="1678"/>
      <c r="S30" s="2002"/>
    </row>
    <row r="31" spans="1:19">
      <c r="A31" s="640"/>
      <c r="B31" s="1966" t="s">
        <v>519</v>
      </c>
      <c r="C31" s="1133"/>
      <c r="D31" s="1124"/>
      <c r="E31" s="1124"/>
      <c r="F31" s="1124"/>
      <c r="G31" s="1133"/>
      <c r="H31" s="1678"/>
      <c r="I31" s="638"/>
      <c r="J31" s="1678"/>
      <c r="K31" s="638"/>
      <c r="L31" s="1678"/>
      <c r="M31" s="638"/>
      <c r="N31" s="1678"/>
      <c r="O31" s="638"/>
      <c r="P31" s="1678"/>
      <c r="Q31" s="638"/>
      <c r="R31" s="1678"/>
      <c r="S31" s="638"/>
    </row>
    <row r="32" spans="1:19">
      <c r="A32" s="640"/>
      <c r="B32" s="1989" t="s">
        <v>520</v>
      </c>
      <c r="C32" s="1147"/>
      <c r="D32" s="1145"/>
      <c r="E32" s="1145"/>
      <c r="F32" s="1146"/>
      <c r="G32" s="1599"/>
      <c r="H32" s="1727"/>
      <c r="I32" s="2003"/>
      <c r="J32" s="1727"/>
      <c r="K32" s="2003"/>
      <c r="L32" s="1727"/>
      <c r="M32" s="2003"/>
      <c r="N32" s="1727"/>
      <c r="O32" s="2003"/>
      <c r="P32" s="1727"/>
      <c r="Q32" s="2003"/>
      <c r="R32" s="1727"/>
      <c r="S32" s="2003"/>
    </row>
    <row r="33" spans="1:19">
      <c r="A33" s="640"/>
      <c r="B33" s="2004" t="s">
        <v>288</v>
      </c>
      <c r="C33" s="1133"/>
      <c r="D33" s="1124"/>
      <c r="E33" s="1124"/>
      <c r="F33" s="1151"/>
      <c r="G33" s="1229"/>
      <c r="H33" s="1678"/>
      <c r="I33" s="638"/>
      <c r="J33" s="1678"/>
      <c r="K33" s="638"/>
      <c r="L33" s="1678"/>
      <c r="M33" s="638"/>
      <c r="N33" s="1678"/>
      <c r="O33" s="638"/>
      <c r="P33" s="1678"/>
      <c r="Q33" s="638"/>
      <c r="R33" s="1678"/>
      <c r="S33" s="638"/>
    </row>
    <row r="34" spans="1:19">
      <c r="A34" s="2005"/>
      <c r="B34" s="2006" t="s">
        <v>694</v>
      </c>
      <c r="C34" s="1218"/>
      <c r="D34" s="1216"/>
      <c r="E34" s="1216"/>
      <c r="F34" s="1217"/>
      <c r="G34" s="1557"/>
      <c r="H34" s="1922"/>
      <c r="I34" s="2007"/>
      <c r="J34" s="1922"/>
      <c r="K34" s="2007"/>
      <c r="L34" s="1922"/>
      <c r="M34" s="2007"/>
      <c r="N34" s="1922"/>
      <c r="O34" s="2007"/>
      <c r="P34" s="1922"/>
      <c r="Q34" s="2007"/>
      <c r="R34" s="1922"/>
      <c r="S34" s="2007"/>
    </row>
    <row r="35" spans="1:19">
      <c r="A35" s="2005"/>
      <c r="B35" s="2004"/>
      <c r="C35" s="1133"/>
      <c r="D35" s="1124"/>
      <c r="E35" s="1124"/>
      <c r="F35" s="1151"/>
      <c r="G35" s="1229"/>
      <c r="H35" s="1678"/>
      <c r="I35" s="2002"/>
      <c r="J35" s="1678"/>
      <c r="K35" s="2002"/>
      <c r="L35" s="1678"/>
      <c r="M35" s="2002"/>
      <c r="N35" s="1678"/>
      <c r="O35" s="2002"/>
      <c r="P35" s="1678"/>
      <c r="Q35" s="2002"/>
      <c r="R35" s="1678"/>
      <c r="S35" s="2002"/>
    </row>
    <row r="36" spans="1:19">
      <c r="A36" s="2005"/>
      <c r="B36" s="2008" t="s">
        <v>695</v>
      </c>
      <c r="C36" s="1225"/>
      <c r="D36" s="1223"/>
      <c r="E36" s="1223"/>
      <c r="F36" s="1224"/>
      <c r="G36" s="1560"/>
      <c r="H36" s="1925"/>
      <c r="I36" s="2009"/>
      <c r="J36" s="1925"/>
      <c r="K36" s="2009"/>
      <c r="L36" s="1925"/>
      <c r="M36" s="2009"/>
      <c r="N36" s="1925"/>
      <c r="O36" s="2009"/>
      <c r="P36" s="1925"/>
      <c r="Q36" s="2009"/>
      <c r="R36" s="1925"/>
      <c r="S36" s="2009"/>
    </row>
    <row r="37" spans="1:19">
      <c r="A37" s="2005"/>
      <c r="B37" s="1828" t="s">
        <v>701</v>
      </c>
      <c r="C37" s="1133" t="s">
        <v>697</v>
      </c>
      <c r="D37" s="1124">
        <v>1276</v>
      </c>
      <c r="E37" s="1124" t="s">
        <v>723</v>
      </c>
      <c r="F37" s="1151">
        <v>7.5</v>
      </c>
      <c r="G37" s="1229">
        <f>D37*F37</f>
        <v>9570</v>
      </c>
      <c r="H37" s="1678"/>
      <c r="I37" s="2002">
        <f>G37</f>
        <v>9570</v>
      </c>
      <c r="J37" s="1678"/>
      <c r="K37" s="2002"/>
      <c r="L37" s="1678"/>
      <c r="M37" s="2002"/>
      <c r="N37" s="1678"/>
      <c r="O37" s="2002"/>
      <c r="P37" s="1678"/>
      <c r="Q37" s="2002"/>
      <c r="R37" s="1678"/>
      <c r="S37" s="2002"/>
    </row>
    <row r="38" spans="1:19">
      <c r="A38" s="2005"/>
      <c r="B38" s="2004"/>
      <c r="C38" s="1133"/>
      <c r="D38" s="1124"/>
      <c r="E38" s="1124"/>
      <c r="F38" s="1151"/>
      <c r="G38" s="1229"/>
      <c r="H38" s="1678"/>
      <c r="I38" s="2002"/>
      <c r="J38" s="1678"/>
      <c r="K38" s="2002"/>
      <c r="L38" s="1678"/>
      <c r="M38" s="2002"/>
      <c r="N38" s="1678"/>
      <c r="O38" s="2002"/>
      <c r="P38" s="1678"/>
      <c r="Q38" s="2002"/>
      <c r="R38" s="1678"/>
      <c r="S38" s="2002"/>
    </row>
    <row r="39" spans="1:19">
      <c r="A39" s="2005"/>
      <c r="B39" s="2006" t="s">
        <v>649</v>
      </c>
      <c r="C39" s="1218"/>
      <c r="D39" s="1216"/>
      <c r="E39" s="1216"/>
      <c r="F39" s="1217"/>
      <c r="G39" s="1557"/>
      <c r="H39" s="1922"/>
      <c r="I39" s="2007"/>
      <c r="J39" s="1922"/>
      <c r="K39" s="2007"/>
      <c r="L39" s="1922"/>
      <c r="M39" s="2007"/>
      <c r="N39" s="1922"/>
      <c r="O39" s="2007"/>
      <c r="P39" s="1922"/>
      <c r="Q39" s="2007"/>
      <c r="R39" s="1922"/>
      <c r="S39" s="2007"/>
    </row>
    <row r="40" spans="1:19">
      <c r="A40" s="2005"/>
      <c r="B40" s="2004"/>
      <c r="C40" s="1133"/>
      <c r="D40" s="1124"/>
      <c r="E40" s="1124"/>
      <c r="F40" s="1151"/>
      <c r="G40" s="1229"/>
      <c r="H40" s="1678"/>
      <c r="I40" s="2002"/>
      <c r="J40" s="1678"/>
      <c r="K40" s="2002"/>
      <c r="L40" s="1678"/>
      <c r="M40" s="2002"/>
      <c r="N40" s="1678"/>
      <c r="O40" s="2002"/>
      <c r="P40" s="1678"/>
      <c r="Q40" s="2002"/>
      <c r="R40" s="1678"/>
      <c r="S40" s="2002"/>
    </row>
    <row r="41" spans="1:19">
      <c r="A41" s="2005"/>
      <c r="B41" s="2008" t="s">
        <v>700</v>
      </c>
      <c r="C41" s="1225"/>
      <c r="D41" s="1223"/>
      <c r="E41" s="1223"/>
      <c r="F41" s="1224"/>
      <c r="G41" s="1560"/>
      <c r="H41" s="1925"/>
      <c r="I41" s="2009"/>
      <c r="J41" s="1925"/>
      <c r="K41" s="2009"/>
      <c r="L41" s="1925"/>
      <c r="M41" s="2009"/>
      <c r="N41" s="1925"/>
      <c r="O41" s="2009"/>
      <c r="P41" s="1925"/>
      <c r="Q41" s="2009"/>
      <c r="R41" s="1925"/>
      <c r="S41" s="2009"/>
    </row>
    <row r="42" spans="1:19">
      <c r="A42" s="2005"/>
      <c r="B42" s="2004" t="s">
        <v>701</v>
      </c>
      <c r="C42" s="1133" t="s">
        <v>837</v>
      </c>
      <c r="D42" s="1124">
        <f>8178-'08C Glass and Glazing'!$D$41</f>
        <v>6981</v>
      </c>
      <c r="E42" s="1124" t="s">
        <v>723</v>
      </c>
      <c r="F42" s="1151">
        <v>8</v>
      </c>
      <c r="G42" s="1229">
        <f>D42*F42</f>
        <v>55848</v>
      </c>
      <c r="H42" s="1678"/>
      <c r="I42" s="2002">
        <f>G42</f>
        <v>55848</v>
      </c>
      <c r="J42" s="1678"/>
      <c r="K42" s="2002"/>
      <c r="L42" s="1678"/>
      <c r="M42" s="2002"/>
      <c r="N42" s="1678"/>
      <c r="O42" s="2002"/>
      <c r="P42" s="1678"/>
      <c r="Q42" s="2002"/>
      <c r="R42" s="1678"/>
      <c r="S42" s="2002"/>
    </row>
    <row r="43" spans="1:19">
      <c r="A43" s="2005"/>
      <c r="B43" s="2004"/>
      <c r="C43" s="1133"/>
      <c r="D43" s="1124"/>
      <c r="E43" s="1124"/>
      <c r="F43" s="1151"/>
      <c r="G43" s="1229"/>
      <c r="H43" s="1678"/>
      <c r="I43" s="2002"/>
      <c r="J43" s="1678"/>
      <c r="K43" s="2002"/>
      <c r="L43" s="1678"/>
      <c r="M43" s="2002"/>
      <c r="N43" s="1678"/>
      <c r="O43" s="2002"/>
      <c r="P43" s="1678"/>
      <c r="Q43" s="2002"/>
      <c r="R43" s="1678"/>
      <c r="S43" s="2002"/>
    </row>
    <row r="44" spans="1:19">
      <c r="A44" s="2005"/>
      <c r="B44" s="2006" t="s">
        <v>703</v>
      </c>
      <c r="C44" s="1218"/>
      <c r="D44" s="1216"/>
      <c r="E44" s="1216"/>
      <c r="F44" s="1217"/>
      <c r="G44" s="1557"/>
      <c r="H44" s="1922"/>
      <c r="I44" s="2007"/>
      <c r="J44" s="1922"/>
      <c r="K44" s="2007"/>
      <c r="L44" s="1922"/>
      <c r="M44" s="2007"/>
      <c r="N44" s="1922"/>
      <c r="O44" s="2007"/>
      <c r="P44" s="1922"/>
      <c r="Q44" s="2007"/>
      <c r="R44" s="1922"/>
      <c r="S44" s="2007"/>
    </row>
    <row r="45" spans="1:19">
      <c r="A45" s="2005"/>
      <c r="B45" s="2004"/>
      <c r="C45" s="1133"/>
      <c r="D45" s="1124"/>
      <c r="E45" s="1124"/>
      <c r="F45" s="1151"/>
      <c r="G45" s="1229"/>
      <c r="H45" s="1678"/>
      <c r="I45" s="2002"/>
      <c r="J45" s="1678"/>
      <c r="K45" s="2002"/>
      <c r="L45" s="1678"/>
      <c r="M45" s="2002"/>
      <c r="N45" s="1678"/>
      <c r="O45" s="2002"/>
      <c r="P45" s="1678"/>
      <c r="Q45" s="2002"/>
      <c r="R45" s="1678"/>
      <c r="S45" s="2002"/>
    </row>
    <row r="46" spans="1:19">
      <c r="A46" s="2005"/>
      <c r="B46" s="2008" t="s">
        <v>704</v>
      </c>
      <c r="C46" s="1225"/>
      <c r="D46" s="1223"/>
      <c r="E46" s="1223"/>
      <c r="F46" s="1224"/>
      <c r="G46" s="1560"/>
      <c r="H46" s="1925"/>
      <c r="I46" s="2009"/>
      <c r="J46" s="1925"/>
      <c r="K46" s="2009"/>
      <c r="L46" s="1925"/>
      <c r="M46" s="2009"/>
      <c r="N46" s="1925"/>
      <c r="O46" s="2009"/>
      <c r="P46" s="1925"/>
      <c r="Q46" s="2009"/>
      <c r="R46" s="1925"/>
      <c r="S46" s="2009"/>
    </row>
    <row r="47" spans="1:19">
      <c r="A47" s="2005"/>
      <c r="B47" s="1828" t="s">
        <v>944</v>
      </c>
      <c r="C47" s="1133" t="s">
        <v>945</v>
      </c>
      <c r="D47" s="1124">
        <f>7463-'08C Glass and Glazing'!$D$47</f>
        <v>6090</v>
      </c>
      <c r="E47" s="1124" t="s">
        <v>723</v>
      </c>
      <c r="F47" s="1151">
        <v>7.5</v>
      </c>
      <c r="G47" s="1229">
        <f t="shared" ref="G47:G48" si="0">D47*F47</f>
        <v>45675</v>
      </c>
      <c r="H47" s="1678"/>
      <c r="I47" s="2002">
        <f t="shared" ref="I47:I48" si="1">G47</f>
        <v>45675</v>
      </c>
      <c r="J47" s="1678"/>
      <c r="K47" s="2002"/>
      <c r="L47" s="1678"/>
      <c r="M47" s="2002"/>
      <c r="N47" s="1678"/>
      <c r="O47" s="2002"/>
      <c r="P47" s="1678"/>
      <c r="Q47" s="2002"/>
      <c r="R47" s="1678"/>
      <c r="S47" s="2002"/>
    </row>
    <row r="48" spans="1:19">
      <c r="A48" s="2005"/>
      <c r="B48" s="1828" t="s">
        <v>946</v>
      </c>
      <c r="C48" s="1133" t="s">
        <v>945</v>
      </c>
      <c r="D48" s="1124">
        <v>442</v>
      </c>
      <c r="E48" s="1124" t="s">
        <v>723</v>
      </c>
      <c r="F48" s="1151">
        <f>F47</f>
        <v>7.5</v>
      </c>
      <c r="G48" s="1229">
        <f t="shared" si="0"/>
        <v>3315</v>
      </c>
      <c r="H48" s="1678"/>
      <c r="I48" s="2002">
        <f t="shared" si="1"/>
        <v>3315</v>
      </c>
      <c r="J48" s="1678"/>
      <c r="K48" s="2002"/>
      <c r="L48" s="1678"/>
      <c r="M48" s="2002"/>
      <c r="N48" s="1678"/>
      <c r="O48" s="2002"/>
      <c r="P48" s="1678"/>
      <c r="Q48" s="2002"/>
      <c r="R48" s="1678"/>
      <c r="S48" s="2002"/>
    </row>
    <row r="49" spans="1:19">
      <c r="A49" s="2005"/>
      <c r="B49" s="1828" t="s">
        <v>947</v>
      </c>
      <c r="C49" s="1133" t="s">
        <v>945</v>
      </c>
      <c r="D49" s="1124">
        <v>30</v>
      </c>
      <c r="E49" s="1124" t="s">
        <v>714</v>
      </c>
      <c r="F49" s="1151">
        <v>300</v>
      </c>
      <c r="G49" s="1229">
        <f t="shared" ref="G49" si="2">D49*F49</f>
        <v>9000</v>
      </c>
      <c r="H49" s="1678"/>
      <c r="I49" s="2002">
        <f t="shared" ref="I49" si="3">G49</f>
        <v>9000</v>
      </c>
      <c r="J49" s="1678"/>
      <c r="K49" s="2002"/>
      <c r="L49" s="1678"/>
      <c r="M49" s="2002"/>
      <c r="N49" s="1678"/>
      <c r="O49" s="2002"/>
      <c r="P49" s="1678"/>
      <c r="Q49" s="2002"/>
      <c r="R49" s="1678"/>
      <c r="S49" s="2002"/>
    </row>
    <row r="50" spans="1:19">
      <c r="A50" s="2005"/>
      <c r="B50" s="2004"/>
      <c r="C50" s="1133"/>
      <c r="D50" s="1124"/>
      <c r="E50" s="1124"/>
      <c r="F50" s="1151"/>
      <c r="G50" s="1229"/>
      <c r="H50" s="1678"/>
      <c r="I50" s="2002"/>
      <c r="J50" s="1678"/>
      <c r="K50" s="2002"/>
      <c r="L50" s="1678"/>
      <c r="M50" s="2002"/>
      <c r="N50" s="1678"/>
      <c r="O50" s="2002"/>
      <c r="P50" s="1678"/>
      <c r="Q50" s="2002"/>
      <c r="R50" s="1678"/>
      <c r="S50" s="2002"/>
    </row>
    <row r="51" spans="1:19">
      <c r="A51" s="2005"/>
      <c r="B51" s="2006" t="s">
        <v>705</v>
      </c>
      <c r="C51" s="1218"/>
      <c r="D51" s="1216"/>
      <c r="E51" s="1216"/>
      <c r="F51" s="1217"/>
      <c r="G51" s="1557"/>
      <c r="H51" s="1922"/>
      <c r="I51" s="2007"/>
      <c r="J51" s="1922"/>
      <c r="K51" s="2007"/>
      <c r="L51" s="1922"/>
      <c r="M51" s="2007"/>
      <c r="N51" s="1922"/>
      <c r="O51" s="2007"/>
      <c r="P51" s="1922"/>
      <c r="Q51" s="2007"/>
      <c r="R51" s="1922"/>
      <c r="S51" s="2007"/>
    </row>
    <row r="52" spans="1:19">
      <c r="A52" s="2005"/>
      <c r="B52" s="2004"/>
      <c r="C52" s="1133"/>
      <c r="D52" s="1124"/>
      <c r="E52" s="1124"/>
      <c r="F52" s="1151"/>
      <c r="G52" s="1229"/>
      <c r="H52" s="1678"/>
      <c r="I52" s="2002"/>
      <c r="J52" s="1678"/>
      <c r="K52" s="2002"/>
      <c r="L52" s="1678"/>
      <c r="M52" s="2002"/>
      <c r="N52" s="1678"/>
      <c r="O52" s="2002"/>
      <c r="P52" s="1678"/>
      <c r="Q52" s="2002"/>
      <c r="R52" s="1678"/>
      <c r="S52" s="2002"/>
    </row>
    <row r="53" spans="1:19">
      <c r="A53" s="2005"/>
      <c r="B53" s="2008" t="s">
        <v>602</v>
      </c>
      <c r="C53" s="1225"/>
      <c r="D53" s="1223"/>
      <c r="E53" s="1223"/>
      <c r="F53" s="1224"/>
      <c r="G53" s="1560"/>
      <c r="H53" s="1925"/>
      <c r="I53" s="2009"/>
      <c r="J53" s="1925"/>
      <c r="K53" s="2009"/>
      <c r="L53" s="1925"/>
      <c r="M53" s="2009"/>
      <c r="N53" s="1925"/>
      <c r="O53" s="2009"/>
      <c r="P53" s="1925"/>
      <c r="Q53" s="2009"/>
      <c r="R53" s="1925"/>
      <c r="S53" s="2009"/>
    </row>
    <row r="54" spans="1:19">
      <c r="A54" s="2005"/>
      <c r="B54" s="2004"/>
      <c r="C54" s="1133"/>
      <c r="D54" s="1124"/>
      <c r="E54" s="1124"/>
      <c r="F54" s="1151"/>
      <c r="G54" s="1229"/>
      <c r="H54" s="1678"/>
      <c r="I54" s="2002"/>
      <c r="J54" s="1678"/>
      <c r="K54" s="2002"/>
      <c r="L54" s="1678"/>
      <c r="M54" s="2002"/>
      <c r="N54" s="1678"/>
      <c r="O54" s="2002"/>
      <c r="P54" s="1678"/>
      <c r="Q54" s="2002"/>
      <c r="R54" s="1678"/>
      <c r="S54" s="2002"/>
    </row>
    <row r="55" spans="1:19">
      <c r="A55" s="2005"/>
      <c r="B55" s="2004"/>
      <c r="C55" s="1133"/>
      <c r="D55" s="1124"/>
      <c r="E55" s="1124"/>
      <c r="F55" s="1151"/>
      <c r="G55" s="1229"/>
      <c r="H55" s="1678"/>
      <c r="I55" s="2002"/>
      <c r="J55" s="1678"/>
      <c r="K55" s="2002"/>
      <c r="L55" s="1678"/>
      <c r="M55" s="2002"/>
      <c r="N55" s="1678"/>
      <c r="O55" s="2002"/>
      <c r="P55" s="1678"/>
      <c r="Q55" s="2002"/>
      <c r="R55" s="1678"/>
      <c r="S55" s="2002"/>
    </row>
    <row r="56" spans="1:19" ht="15.75" thickBot="1">
      <c r="A56" s="640"/>
      <c r="B56" s="1995"/>
      <c r="C56" s="1124"/>
      <c r="D56" s="1124"/>
      <c r="E56" s="1124"/>
      <c r="F56" s="1151"/>
      <c r="G56" s="1229"/>
      <c r="H56" s="1678"/>
      <c r="I56" s="1983"/>
      <c r="J56" s="1678"/>
      <c r="K56" s="2010"/>
      <c r="L56" s="1678"/>
      <c r="M56" s="2010"/>
      <c r="N56" s="1678"/>
      <c r="O56" s="1983"/>
      <c r="P56" s="1678"/>
      <c r="Q56" s="2010"/>
      <c r="R56" s="1678"/>
      <c r="S56" s="2010"/>
    </row>
    <row r="57" spans="1:19" ht="15.75" thickTop="1">
      <c r="A57" s="14"/>
      <c r="B57" s="15"/>
      <c r="C57" s="16"/>
      <c r="D57" s="16"/>
      <c r="E57" s="17"/>
      <c r="F57" s="18" t="s">
        <v>567</v>
      </c>
      <c r="G57" s="19"/>
      <c r="H57" s="20"/>
      <c r="I57" s="61">
        <f>SUM(I24:I56)</f>
        <v>123408</v>
      </c>
      <c r="J57" s="20"/>
      <c r="K57" s="61">
        <f>SUM(K24:K56)</f>
        <v>0</v>
      </c>
      <c r="L57" s="20"/>
      <c r="M57" s="61">
        <f>SUM(M27:M56)</f>
        <v>0</v>
      </c>
      <c r="N57" s="20"/>
      <c r="O57" s="61">
        <f>SUM(O24:O56)</f>
        <v>0</v>
      </c>
      <c r="P57" s="20"/>
      <c r="Q57" s="61">
        <f>SUM(Q27:Q56)</f>
        <v>0</v>
      </c>
      <c r="R57" s="20"/>
      <c r="S57" s="61">
        <f>SUM(S27:S56)</f>
        <v>0</v>
      </c>
    </row>
    <row r="58" spans="1:19">
      <c r="A58" s="624"/>
      <c r="B58" s="1156"/>
      <c r="C58" s="1157"/>
      <c r="D58" s="1157"/>
      <c r="E58" s="1158"/>
      <c r="F58" s="1159" t="s">
        <v>568</v>
      </c>
      <c r="G58" s="1160"/>
      <c r="H58" s="1627">
        <v>0</v>
      </c>
      <c r="I58" s="1628"/>
      <c r="J58" s="1627">
        <v>0</v>
      </c>
      <c r="K58" s="1628"/>
      <c r="L58" s="1627">
        <v>0</v>
      </c>
      <c r="M58" s="1628"/>
      <c r="N58" s="1627">
        <v>0</v>
      </c>
      <c r="O58" s="1628"/>
      <c r="P58" s="1627">
        <v>0</v>
      </c>
      <c r="Q58" s="1628"/>
      <c r="R58" s="1627">
        <v>0</v>
      </c>
      <c r="S58" s="1628"/>
    </row>
    <row r="59" spans="1:19">
      <c r="A59" s="624"/>
      <c r="B59" s="1156"/>
      <c r="C59" s="1157"/>
      <c r="D59" s="1157"/>
      <c r="E59" s="1158"/>
      <c r="F59" s="1159" t="s">
        <v>569</v>
      </c>
      <c r="G59" s="1160"/>
      <c r="H59" s="1629"/>
      <c r="I59" s="1630">
        <f>H58*I57</f>
        <v>0</v>
      </c>
      <c r="J59" s="1629"/>
      <c r="K59" s="1630">
        <f>J58*K57</f>
        <v>0</v>
      </c>
      <c r="L59" s="1629"/>
      <c r="M59" s="1630">
        <f>L58*M57</f>
        <v>0</v>
      </c>
      <c r="N59" s="1629"/>
      <c r="O59" s="1630">
        <f>N58*O57</f>
        <v>0</v>
      </c>
      <c r="P59" s="1629"/>
      <c r="Q59" s="1630">
        <f>P58*Q57</f>
        <v>0</v>
      </c>
      <c r="R59" s="1629"/>
      <c r="S59" s="1630">
        <f>R58*S57</f>
        <v>0</v>
      </c>
    </row>
    <row r="60" spans="1:19">
      <c r="A60" s="624"/>
      <c r="B60" s="1156"/>
      <c r="C60" s="1157"/>
      <c r="D60" s="1157"/>
      <c r="E60" s="1158"/>
      <c r="F60" s="1159"/>
      <c r="G60" s="1160"/>
      <c r="H60" s="1629"/>
      <c r="I60" s="1633"/>
      <c r="J60" s="1629"/>
      <c r="K60" s="1633"/>
      <c r="L60" s="1629"/>
      <c r="M60" s="1633"/>
      <c r="N60" s="1629"/>
      <c r="O60" s="1633"/>
      <c r="P60" s="1629"/>
      <c r="Q60" s="1633"/>
      <c r="R60" s="1629"/>
      <c r="S60" s="1633"/>
    </row>
    <row r="61" spans="1:19">
      <c r="A61" s="624"/>
      <c r="B61" s="1156"/>
      <c r="C61" s="1157"/>
      <c r="D61" s="1157"/>
      <c r="E61" s="1158"/>
      <c r="F61" s="1159" t="s">
        <v>570</v>
      </c>
      <c r="G61" s="1160"/>
      <c r="H61" s="1634"/>
      <c r="I61" s="1632">
        <f>SUM(I57:I59)</f>
        <v>123408</v>
      </c>
      <c r="J61" s="1634"/>
      <c r="K61" s="1632">
        <f>SUM(K57:K59)</f>
        <v>0</v>
      </c>
      <c r="L61" s="1634"/>
      <c r="M61" s="1632">
        <f>SUM(M57:M59)</f>
        <v>0</v>
      </c>
      <c r="N61" s="1634"/>
      <c r="O61" s="1632">
        <f>SUM(O57:O59)</f>
        <v>0</v>
      </c>
      <c r="P61" s="1634"/>
      <c r="Q61" s="1632">
        <f>SUM(Q57:Q59)</f>
        <v>0</v>
      </c>
      <c r="R61" s="1634"/>
      <c r="S61" s="1632">
        <f>SUM(S57:S59)</f>
        <v>0</v>
      </c>
    </row>
    <row r="62" spans="1:19">
      <c r="A62" s="624"/>
      <c r="B62" s="1156"/>
      <c r="C62" s="1157"/>
      <c r="D62" s="1157"/>
      <c r="E62" s="1158"/>
      <c r="F62" s="1161" t="s">
        <v>571</v>
      </c>
      <c r="G62" s="1162"/>
      <c r="H62" s="1635"/>
      <c r="I62" s="1636" t="e">
        <f>I61/'Area Calculations'!$J$4</f>
        <v>#DIV/0!</v>
      </c>
      <c r="J62" s="1635"/>
      <c r="K62" s="1636" t="e">
        <f>K61/'Area Calculations'!$J$4</f>
        <v>#DIV/0!</v>
      </c>
      <c r="L62" s="1635"/>
      <c r="M62" s="1636" t="e">
        <f>M61/'Area Calculations'!$J$4</f>
        <v>#DIV/0!</v>
      </c>
      <c r="N62" s="1635"/>
      <c r="O62" s="1636" t="e">
        <f>O61/'Area Calculations'!$J$4</f>
        <v>#DIV/0!</v>
      </c>
      <c r="P62" s="1635"/>
      <c r="Q62" s="1636" t="e">
        <f>Q61/'Area Calculations'!$J$4</f>
        <v>#DIV/0!</v>
      </c>
      <c r="R62" s="1635"/>
      <c r="S62" s="1636" t="e">
        <f>S61/'Area Calculations'!$J$4</f>
        <v>#DIV/0!</v>
      </c>
    </row>
    <row r="63" spans="1:19">
      <c r="A63" s="624"/>
      <c r="B63" s="1156"/>
      <c r="C63" s="1157"/>
      <c r="D63" s="1157"/>
      <c r="E63" s="1158"/>
      <c r="F63" s="1161" t="s">
        <v>572</v>
      </c>
      <c r="G63" s="1163"/>
      <c r="H63" s="1635"/>
      <c r="I63" s="1636" t="e">
        <f>I61/'Area Calculations'!#REF!</f>
        <v>#REF!</v>
      </c>
      <c r="J63" s="1635"/>
      <c r="K63" s="1636" t="e">
        <f>K61/'Area Calculations'!#REF!</f>
        <v>#REF!</v>
      </c>
      <c r="L63" s="1635"/>
      <c r="M63" s="1636" t="e">
        <f>M61/'Area Calculations'!#REF!</f>
        <v>#REF!</v>
      </c>
      <c r="N63" s="1635"/>
      <c r="O63" s="1636" t="e">
        <f>O61/'Area Calculations'!#REF!</f>
        <v>#REF!</v>
      </c>
      <c r="P63" s="1635"/>
      <c r="Q63" s="1636" t="e">
        <f>Q61/'Area Calculations'!#REF!</f>
        <v>#REF!</v>
      </c>
      <c r="R63" s="1635"/>
      <c r="S63" s="1636" t="e">
        <f>S61/'Area Calculations'!#REF!</f>
        <v>#REF!</v>
      </c>
    </row>
    <row r="64" spans="1:19" ht="15.75" thickBot="1">
      <c r="A64" s="624"/>
      <c r="B64" s="1156"/>
      <c r="C64" s="1157"/>
      <c r="D64" s="1157"/>
      <c r="E64" s="1158"/>
      <c r="F64" s="1159"/>
      <c r="G64" s="1533"/>
      <c r="H64" s="1639"/>
      <c r="I64" s="1639"/>
      <c r="J64" s="1637"/>
      <c r="K64" s="1638"/>
      <c r="L64" s="1639"/>
      <c r="M64" s="1905"/>
      <c r="N64" s="1639"/>
      <c r="O64" s="1639"/>
      <c r="P64" s="1639"/>
      <c r="Q64" s="1905"/>
      <c r="R64" s="1639"/>
      <c r="S64" s="1905"/>
    </row>
    <row r="65" spans="1:19" ht="16.5" thickTop="1" thickBot="1">
      <c r="A65" s="726" t="s">
        <v>573</v>
      </c>
      <c r="B65" s="727"/>
      <c r="C65" s="12"/>
      <c r="D65" s="12"/>
      <c r="E65" s="12"/>
      <c r="F65" s="12"/>
      <c r="G65" s="13"/>
      <c r="H65" s="21"/>
      <c r="I65" s="21"/>
      <c r="J65" s="52"/>
      <c r="K65" s="21"/>
      <c r="L65" s="21"/>
      <c r="M65" s="21"/>
      <c r="N65" s="21"/>
      <c r="O65" s="21"/>
      <c r="P65" s="21"/>
      <c r="Q65" s="21"/>
      <c r="R65" s="21"/>
      <c r="S65" s="21"/>
    </row>
    <row r="66" spans="1:19" ht="15.75" thickTop="1">
      <c r="A66" s="2011"/>
      <c r="B66" s="862"/>
      <c r="C66" s="2012"/>
      <c r="D66" s="2012"/>
      <c r="E66" s="2012"/>
      <c r="F66" s="2012"/>
      <c r="G66" s="2013"/>
      <c r="H66" s="2014"/>
      <c r="I66" s="2014"/>
      <c r="J66" s="2015"/>
      <c r="K66" s="2014"/>
      <c r="L66" s="2014"/>
      <c r="M66" s="2014"/>
      <c r="N66" s="2014"/>
      <c r="O66" s="2014"/>
      <c r="P66" s="2014"/>
      <c r="Q66" s="2014"/>
      <c r="R66" s="2014"/>
      <c r="S66" s="2014"/>
    </row>
    <row r="67" spans="1:19">
      <c r="A67" s="2011"/>
      <c r="B67" s="862"/>
      <c r="C67" s="2012"/>
      <c r="D67" s="2012"/>
      <c r="E67" s="2012"/>
      <c r="F67" s="2012"/>
      <c r="G67" s="2013"/>
      <c r="H67" s="2014"/>
      <c r="I67" s="2014"/>
      <c r="J67" s="2015"/>
      <c r="K67" s="2014"/>
      <c r="L67" s="2014"/>
      <c r="M67" s="2014"/>
      <c r="N67" s="2014"/>
      <c r="O67" s="2014"/>
      <c r="P67" s="2014"/>
      <c r="Q67" s="2014"/>
      <c r="R67" s="2014"/>
      <c r="S67" s="2014"/>
    </row>
    <row r="68" spans="1:19" ht="15.75" thickBot="1">
      <c r="A68" s="2011"/>
      <c r="B68" s="862"/>
      <c r="C68" s="2012"/>
      <c r="D68" s="2012"/>
      <c r="E68" s="2012"/>
      <c r="F68" s="2012"/>
      <c r="G68" s="2013"/>
      <c r="H68" s="2014"/>
      <c r="I68" s="2014"/>
      <c r="J68" s="2015"/>
      <c r="K68" s="2014"/>
      <c r="L68" s="2014"/>
      <c r="M68" s="2014"/>
      <c r="N68" s="2014"/>
      <c r="O68" s="2014"/>
      <c r="P68" s="2014"/>
      <c r="Q68" s="2014"/>
      <c r="R68" s="2014"/>
      <c r="S68" s="2014"/>
    </row>
    <row r="69" spans="1:19" s="2" customFormat="1" ht="16.5" thickTop="1" thickBot="1">
      <c r="A69" s="726" t="s">
        <v>574</v>
      </c>
      <c r="B69" s="727"/>
      <c r="C69" s="12"/>
      <c r="D69" s="12"/>
      <c r="E69" s="12"/>
      <c r="F69" s="12"/>
      <c r="G69" s="13"/>
      <c r="H69" s="21"/>
      <c r="I69" s="21"/>
      <c r="J69" s="52"/>
      <c r="K69" s="21"/>
      <c r="L69" s="21"/>
      <c r="M69" s="21"/>
      <c r="N69" s="21"/>
      <c r="O69" s="21"/>
      <c r="P69" s="21"/>
      <c r="Q69" s="21"/>
      <c r="R69" s="21"/>
      <c r="S69" s="21"/>
    </row>
    <row r="70" spans="1:19" s="2" customFormat="1" ht="15.75" thickTop="1">
      <c r="A70" s="2011"/>
      <c r="B70" s="862"/>
      <c r="C70" s="2012"/>
      <c r="D70" s="2012"/>
      <c r="E70" s="2012"/>
      <c r="F70" s="2012"/>
      <c r="G70" s="2013"/>
      <c r="H70" s="2014"/>
      <c r="I70" s="2014"/>
      <c r="J70" s="2015"/>
      <c r="K70" s="2014"/>
      <c r="L70" s="2014"/>
      <c r="M70" s="2014"/>
      <c r="N70" s="2014"/>
      <c r="O70" s="2014"/>
      <c r="P70" s="2014"/>
      <c r="Q70" s="2014"/>
      <c r="R70" s="2014"/>
      <c r="S70" s="2014"/>
    </row>
    <row r="71" spans="1:19" s="2" customFormat="1">
      <c r="A71" s="2011"/>
      <c r="B71" s="862"/>
      <c r="C71" s="2012"/>
      <c r="D71" s="2012"/>
      <c r="E71" s="2012"/>
      <c r="F71" s="2012"/>
      <c r="G71" s="2013"/>
      <c r="H71" s="2014"/>
      <c r="I71" s="2014"/>
      <c r="J71" s="2015"/>
      <c r="K71" s="2014"/>
      <c r="L71" s="2014"/>
      <c r="M71" s="2014"/>
      <c r="N71" s="2014"/>
      <c r="O71" s="2014"/>
      <c r="P71" s="2014"/>
      <c r="Q71" s="2014"/>
      <c r="R71" s="2014"/>
      <c r="S71" s="2014"/>
    </row>
    <row r="72" spans="1:19" ht="15.75" thickBot="1">
      <c r="A72" s="2011"/>
      <c r="B72" s="862"/>
      <c r="C72" s="2012"/>
      <c r="D72" s="2012"/>
      <c r="E72" s="2012"/>
      <c r="F72" s="2012"/>
      <c r="G72" s="2013"/>
      <c r="H72" s="2014"/>
      <c r="I72" s="2014"/>
      <c r="J72" s="2015"/>
      <c r="K72" s="2014"/>
      <c r="L72" s="2014"/>
      <c r="M72" s="2014"/>
      <c r="N72" s="2014"/>
      <c r="O72" s="2014"/>
      <c r="P72" s="2014"/>
      <c r="Q72" s="2014"/>
      <c r="R72" s="2014"/>
      <c r="S72" s="2014"/>
    </row>
    <row r="73" spans="1:19" s="2" customFormat="1" ht="16.5" thickTop="1" thickBot="1">
      <c r="A73" s="726" t="s">
        <v>575</v>
      </c>
      <c r="B73" s="727"/>
      <c r="C73" s="12"/>
      <c r="D73" s="12"/>
      <c r="E73" s="12"/>
      <c r="F73" s="12"/>
      <c r="G73" s="13"/>
      <c r="H73" s="21"/>
      <c r="I73" s="21"/>
      <c r="J73" s="52"/>
      <c r="K73" s="21"/>
      <c r="L73" s="21"/>
      <c r="M73" s="21"/>
      <c r="N73" s="21"/>
      <c r="O73" s="21"/>
      <c r="P73" s="21"/>
      <c r="Q73" s="21"/>
      <c r="R73" s="21"/>
      <c r="S73" s="21"/>
    </row>
    <row r="74" spans="1:19" s="2" customFormat="1" ht="15.75" thickTop="1">
      <c r="A74" s="2011"/>
      <c r="B74" s="862"/>
      <c r="C74" s="2012"/>
      <c r="D74" s="2012"/>
      <c r="E74" s="2012"/>
      <c r="F74" s="2012"/>
      <c r="G74" s="2013"/>
      <c r="H74" s="2014"/>
      <c r="I74" s="2014"/>
      <c r="J74" s="2015"/>
      <c r="K74" s="2014"/>
      <c r="L74" s="2014"/>
      <c r="M74" s="2014"/>
      <c r="N74" s="2014"/>
      <c r="O74" s="2014"/>
      <c r="P74" s="2014"/>
      <c r="Q74" s="2014"/>
      <c r="R74" s="2014"/>
      <c r="S74" s="2014"/>
    </row>
    <row r="75" spans="1:19" s="2" customFormat="1">
      <c r="A75" s="628"/>
      <c r="B75" s="862"/>
      <c r="C75" s="1124"/>
      <c r="D75" s="1124"/>
      <c r="E75" s="1124"/>
      <c r="F75" s="1124"/>
      <c r="G75" s="1133"/>
      <c r="H75" s="1640"/>
      <c r="I75" s="1640"/>
      <c r="J75" s="1170"/>
      <c r="K75" s="1640"/>
      <c r="L75" s="1640"/>
      <c r="M75" s="1640"/>
      <c r="N75" s="1640"/>
      <c r="O75" s="1640"/>
      <c r="P75" s="1640"/>
      <c r="Q75" s="1640"/>
      <c r="R75" s="1640"/>
      <c r="S75" s="1640"/>
    </row>
    <row r="76" spans="1:19" s="2" customFormat="1" ht="15.75" thickBot="1">
      <c r="A76" s="625"/>
      <c r="B76" s="1171"/>
      <c r="C76" s="1124"/>
      <c r="D76" s="1124"/>
      <c r="E76" s="1124"/>
      <c r="F76" s="1124"/>
      <c r="G76" s="1133"/>
      <c r="H76" s="1642"/>
      <c r="I76" s="1642"/>
      <c r="J76" s="1172"/>
      <c r="K76" s="1642"/>
      <c r="L76" s="1642"/>
      <c r="M76" s="1642"/>
      <c r="N76" s="1642"/>
      <c r="O76" s="1642"/>
      <c r="P76" s="1642"/>
      <c r="Q76" s="1642"/>
      <c r="R76" s="1642"/>
      <c r="S76" s="1642"/>
    </row>
    <row r="77" spans="1:19" s="2" customFormat="1" ht="16.5" thickTop="1" thickBot="1">
      <c r="A77" s="726" t="s">
        <v>576</v>
      </c>
      <c r="B77" s="727"/>
      <c r="C77" s="12"/>
      <c r="D77" s="12"/>
      <c r="E77" s="12"/>
      <c r="F77" s="12"/>
      <c r="G77" s="13"/>
      <c r="H77" s="21"/>
      <c r="I77" s="21"/>
      <c r="J77" s="52"/>
      <c r="K77" s="21"/>
      <c r="L77" s="21"/>
      <c r="M77" s="21"/>
      <c r="N77" s="21"/>
      <c r="O77" s="21"/>
      <c r="P77" s="21"/>
      <c r="Q77" s="21"/>
      <c r="R77" s="21"/>
      <c r="S77" s="21"/>
    </row>
    <row r="78" spans="1:19" ht="15.75" thickTop="1">
      <c r="A78" s="2016"/>
      <c r="B78" s="2017"/>
      <c r="C78" s="2012"/>
      <c r="D78" s="2012"/>
      <c r="E78" s="2012"/>
      <c r="F78" s="2012"/>
      <c r="G78" s="2013"/>
      <c r="H78" s="2014"/>
      <c r="I78" s="2014"/>
      <c r="J78" s="2015"/>
      <c r="K78" s="2014"/>
      <c r="L78" s="2014"/>
      <c r="M78" s="2014"/>
      <c r="N78" s="2014"/>
      <c r="O78" s="2014"/>
      <c r="P78" s="2014"/>
      <c r="Q78" s="2014"/>
      <c r="R78" s="2014"/>
      <c r="S78" s="2014"/>
    </row>
    <row r="79" spans="1:19">
      <c r="A79" s="625"/>
      <c r="B79" s="1171"/>
      <c r="C79" s="1124"/>
      <c r="D79" s="1124"/>
      <c r="E79" s="1124"/>
      <c r="F79" s="1124"/>
      <c r="G79" s="1133"/>
      <c r="H79" s="1643"/>
      <c r="I79" s="1643"/>
      <c r="J79" s="1175"/>
      <c r="K79" s="1643"/>
      <c r="L79" s="1643"/>
      <c r="M79" s="1643"/>
      <c r="N79" s="1643"/>
      <c r="O79" s="1643"/>
      <c r="P79" s="1643"/>
      <c r="Q79" s="1643"/>
      <c r="R79" s="1643"/>
      <c r="S79" s="1643"/>
    </row>
    <row r="80" spans="1:19" ht="15.75" thickBot="1">
      <c r="A80" s="625"/>
      <c r="B80" s="1171"/>
      <c r="C80" s="1124"/>
      <c r="D80" s="1124"/>
      <c r="E80" s="1124"/>
      <c r="F80" s="1124"/>
      <c r="G80" s="1133"/>
      <c r="H80" s="1643"/>
      <c r="I80" s="1643"/>
      <c r="J80" s="1175"/>
      <c r="K80" s="1643"/>
      <c r="L80" s="1643"/>
      <c r="M80" s="1643"/>
      <c r="N80" s="1643"/>
      <c r="O80" s="1643"/>
      <c r="P80" s="1643"/>
      <c r="Q80" s="1643"/>
      <c r="R80" s="1643"/>
      <c r="S80" s="1643"/>
    </row>
    <row r="81" spans="1:19" ht="16.5" thickTop="1" thickBot="1">
      <c r="A81" s="726" t="s">
        <v>577</v>
      </c>
      <c r="B81" s="727"/>
      <c r="C81" s="12"/>
      <c r="D81" s="12"/>
      <c r="E81" s="12"/>
      <c r="F81" s="12"/>
      <c r="G81" s="13"/>
      <c r="H81" s="21"/>
      <c r="I81" s="21"/>
      <c r="J81" s="52"/>
      <c r="K81" s="21"/>
      <c r="L81" s="21"/>
      <c r="M81" s="21"/>
      <c r="N81" s="21"/>
      <c r="O81" s="21"/>
      <c r="P81" s="21"/>
      <c r="Q81" s="21"/>
      <c r="R81" s="21"/>
      <c r="S81" s="21"/>
    </row>
    <row r="82" spans="1:19" ht="15.75" thickTop="1">
      <c r="A82" s="628"/>
      <c r="B82" s="862" t="s">
        <v>578</v>
      </c>
      <c r="C82" s="1124"/>
      <c r="D82" s="1124"/>
      <c r="E82" s="1124"/>
      <c r="F82" s="1124"/>
      <c r="G82" s="1133"/>
      <c r="H82" s="1643"/>
      <c r="I82" s="1643"/>
      <c r="J82" s="1175"/>
      <c r="K82" s="1643"/>
      <c r="L82" s="1643"/>
      <c r="M82" s="1643"/>
      <c r="N82" s="1643"/>
      <c r="O82" s="1643"/>
      <c r="P82" s="1643"/>
      <c r="Q82" s="1643"/>
      <c r="R82" s="1643"/>
      <c r="S82" s="1643"/>
    </row>
    <row r="83" spans="1:19">
      <c r="A83" s="628"/>
      <c r="B83" s="862" t="s">
        <v>579</v>
      </c>
      <c r="C83" s="1124"/>
      <c r="D83" s="1124"/>
      <c r="E83" s="1124"/>
      <c r="F83" s="1124"/>
      <c r="G83" s="1133"/>
      <c r="H83" s="1643"/>
      <c r="I83" s="1643"/>
      <c r="J83" s="1175"/>
      <c r="K83" s="1643"/>
      <c r="L83" s="1643"/>
      <c r="M83" s="1643"/>
      <c r="N83" s="1643"/>
      <c r="O83" s="1643"/>
      <c r="P83" s="1643"/>
      <c r="Q83" s="1643"/>
      <c r="R83" s="1643"/>
      <c r="S83" s="1643"/>
    </row>
    <row r="84" spans="1:19">
      <c r="A84" s="628"/>
      <c r="B84" s="862" t="s">
        <v>580</v>
      </c>
      <c r="C84" s="1124"/>
      <c r="D84" s="1124"/>
      <c r="E84" s="1124"/>
      <c r="F84" s="1124"/>
      <c r="G84" s="1133"/>
      <c r="H84" s="1643"/>
      <c r="I84" s="1643"/>
      <c r="J84" s="1175"/>
      <c r="K84" s="1643"/>
      <c r="L84" s="1643"/>
      <c r="M84" s="1643"/>
      <c r="N84" s="1643"/>
      <c r="O84" s="1643"/>
      <c r="P84" s="1643"/>
      <c r="Q84" s="1643"/>
      <c r="R84" s="1643"/>
      <c r="S84" s="1643"/>
    </row>
    <row r="85" spans="1:19">
      <c r="A85" s="628"/>
      <c r="B85" s="862" t="s">
        <v>581</v>
      </c>
      <c r="C85" s="1124"/>
      <c r="D85" s="1124"/>
      <c r="E85" s="1124"/>
      <c r="F85" s="1124"/>
      <c r="G85" s="1133"/>
      <c r="H85" s="1643"/>
      <c r="I85" s="1643"/>
      <c r="J85" s="1175"/>
      <c r="K85" s="1643"/>
      <c r="L85" s="1643"/>
      <c r="M85" s="1643"/>
      <c r="N85" s="1643"/>
      <c r="O85" s="1643"/>
      <c r="P85" s="1643"/>
      <c r="Q85" s="1643"/>
      <c r="R85" s="1643"/>
      <c r="S85" s="1643"/>
    </row>
    <row r="86" spans="1:19" ht="15.75" thickBot="1">
      <c r="A86" s="416"/>
      <c r="B86" s="295"/>
      <c r="C86" s="184"/>
      <c r="D86" s="184"/>
      <c r="E86" s="184"/>
      <c r="F86" s="184"/>
      <c r="G86" s="296"/>
      <c r="H86" s="418"/>
      <c r="I86" s="418"/>
      <c r="J86" s="53"/>
      <c r="K86" s="418"/>
      <c r="L86" s="418"/>
      <c r="M86" s="418"/>
      <c r="N86" s="418"/>
      <c r="O86" s="418"/>
      <c r="P86" s="418"/>
      <c r="Q86" s="418"/>
      <c r="R86" s="418"/>
      <c r="S86" s="418"/>
    </row>
    <row r="87" spans="1:19" ht="16.5" thickTop="1" thickBot="1">
      <c r="A87" s="7" t="s">
        <v>582</v>
      </c>
      <c r="B87" s="8"/>
      <c r="C87" s="12"/>
      <c r="D87" s="12"/>
      <c r="E87" s="12"/>
      <c r="F87" s="12"/>
      <c r="G87" s="13"/>
      <c r="H87" s="21"/>
      <c r="I87" s="21"/>
      <c r="J87" s="52"/>
      <c r="K87" s="21"/>
      <c r="L87" s="21"/>
      <c r="M87" s="21"/>
      <c r="N87" s="21"/>
      <c r="O87" s="21"/>
      <c r="P87" s="21"/>
      <c r="Q87" s="21"/>
      <c r="R87" s="21"/>
      <c r="S87" s="21"/>
    </row>
    <row r="88" spans="1:19" ht="15.75" thickTop="1">
      <c r="A88" s="2011"/>
      <c r="B88" s="2018" t="s">
        <v>583</v>
      </c>
      <c r="C88" s="2012"/>
      <c r="D88" s="2012"/>
      <c r="E88" s="2012"/>
      <c r="F88" s="2012"/>
      <c r="G88" s="2013"/>
      <c r="H88" s="2019"/>
      <c r="I88" s="2019"/>
      <c r="J88" s="1983"/>
      <c r="K88" s="2019"/>
      <c r="L88" s="2019"/>
      <c r="M88" s="2019"/>
      <c r="N88" s="2019"/>
      <c r="O88" s="2019"/>
      <c r="P88" s="2019"/>
      <c r="Q88" s="2019"/>
      <c r="R88" s="2019"/>
      <c r="S88" s="2019"/>
    </row>
    <row r="89" spans="1:19">
      <c r="A89" s="628"/>
      <c r="B89" s="862" t="s">
        <v>584</v>
      </c>
      <c r="C89" s="1124"/>
      <c r="D89" s="1124"/>
      <c r="E89" s="1124"/>
      <c r="F89" s="1124"/>
      <c r="G89" s="1133"/>
      <c r="H89" s="1644"/>
      <c r="I89" s="1644"/>
      <c r="J89" s="1178"/>
      <c r="K89" s="1644"/>
      <c r="L89" s="1644"/>
      <c r="M89" s="1644"/>
      <c r="N89" s="1644"/>
      <c r="O89" s="1644"/>
      <c r="P89" s="1644"/>
      <c r="Q89" s="1644"/>
      <c r="R89" s="1644"/>
      <c r="S89" s="1644"/>
    </row>
    <row r="90" spans="1:19" ht="15.75" thickBot="1">
      <c r="A90" s="1645"/>
      <c r="B90" s="1646" t="s">
        <v>585</v>
      </c>
      <c r="C90" s="1647"/>
      <c r="D90" s="1647"/>
      <c r="E90" s="1647"/>
      <c r="F90" s="1647"/>
      <c r="G90" s="1648"/>
      <c r="H90" s="1649"/>
      <c r="I90" s="1649"/>
      <c r="J90" s="1723"/>
      <c r="K90" s="1649"/>
      <c r="L90" s="1649"/>
      <c r="M90" s="1649"/>
      <c r="N90" s="1649"/>
      <c r="O90" s="1649"/>
      <c r="P90" s="1649"/>
      <c r="Q90" s="1649"/>
      <c r="R90" s="1649"/>
      <c r="S90" s="1649"/>
    </row>
    <row r="91" spans="1:19" ht="16.5" thickTop="1" thickBot="1"/>
    <row r="92" spans="1:19" ht="16.5" thickTop="1" thickBot="1">
      <c r="A92" s="92" t="s">
        <v>586</v>
      </c>
      <c r="B92" s="94"/>
    </row>
    <row r="93" spans="1:19" ht="15.75" thickTop="1">
      <c r="A93" s="93" t="s">
        <v>487</v>
      </c>
      <c r="B93" s="1650"/>
    </row>
    <row r="94" spans="1:19">
      <c r="A94" s="626" t="s">
        <v>491</v>
      </c>
      <c r="B94" s="1650"/>
    </row>
    <row r="95" spans="1:19">
      <c r="A95" s="1651" t="s">
        <v>494</v>
      </c>
      <c r="B95" s="1652"/>
    </row>
    <row r="96" spans="1:19">
      <c r="A96" s="1651" t="s">
        <v>497</v>
      </c>
      <c r="B96" s="1653"/>
    </row>
    <row r="97" spans="1:2" ht="15.75" thickBot="1">
      <c r="A97" s="1654" t="s">
        <v>587</v>
      </c>
      <c r="B97" s="1655">
        <f>H8</f>
        <v>123408</v>
      </c>
    </row>
    <row r="98" spans="1:2" ht="15.75" thickTop="1"/>
    <row r="99" spans="1:2">
      <c r="A99" s="95"/>
      <c r="B99" s="1" t="s">
        <v>588</v>
      </c>
    </row>
    <row r="100" spans="1:2">
      <c r="A100" s="96"/>
      <c r="B100" s="1" t="s">
        <v>589</v>
      </c>
    </row>
  </sheetData>
  <mergeCells count="47">
    <mergeCell ref="R6:S6"/>
    <mergeCell ref="J6:K6"/>
    <mergeCell ref="R3:S3"/>
    <mergeCell ref="J2:K2"/>
    <mergeCell ref="H2:I2"/>
    <mergeCell ref="N2:O2"/>
    <mergeCell ref="L2:M2"/>
    <mergeCell ref="P2:Q2"/>
    <mergeCell ref="R2:S2"/>
    <mergeCell ref="J3:K3"/>
    <mergeCell ref="H3:I3"/>
    <mergeCell ref="N3:O3"/>
    <mergeCell ref="L3:M3"/>
    <mergeCell ref="P3:Q3"/>
    <mergeCell ref="R5:S5"/>
    <mergeCell ref="R4:S4"/>
    <mergeCell ref="J5:K5"/>
    <mergeCell ref="H5:I5"/>
    <mergeCell ref="N5:O5"/>
    <mergeCell ref="L5:M5"/>
    <mergeCell ref="P5:Q5"/>
    <mergeCell ref="J4:K4"/>
    <mergeCell ref="H4:I4"/>
    <mergeCell ref="N4:O4"/>
    <mergeCell ref="L4:M4"/>
    <mergeCell ref="P4:Q4"/>
    <mergeCell ref="H6:I6"/>
    <mergeCell ref="N6:O6"/>
    <mergeCell ref="R7:S7"/>
    <mergeCell ref="R8:S8"/>
    <mergeCell ref="J7:K7"/>
    <mergeCell ref="H7:I7"/>
    <mergeCell ref="N7:O7"/>
    <mergeCell ref="L7:M7"/>
    <mergeCell ref="P7:Q7"/>
    <mergeCell ref="J8:K8"/>
    <mergeCell ref="H8:I8"/>
    <mergeCell ref="N8:O8"/>
    <mergeCell ref="L8:M8"/>
    <mergeCell ref="P8:Q8"/>
    <mergeCell ref="L6:M6"/>
    <mergeCell ref="P6:Q6"/>
    <mergeCell ref="A65:B65"/>
    <mergeCell ref="A69:B69"/>
    <mergeCell ref="A73:B73"/>
    <mergeCell ref="A77:B77"/>
    <mergeCell ref="A81:B81"/>
  </mergeCells>
  <conditionalFormatting sqref="H21:H31 H33:H56 J33:J56 L33:L56 N33:N56 P33:P56 R33:R56">
    <cfRule type="cellIs" dxfId="1067" priority="15" operator="equal">
      <formula>"X"</formula>
    </cfRule>
    <cfRule type="cellIs" dxfId="1066" priority="16" operator="equal">
      <formula>"I"</formula>
    </cfRule>
  </conditionalFormatting>
  <conditionalFormatting sqref="J21:J31">
    <cfRule type="cellIs" dxfId="1065" priority="17" operator="equal">
      <formula>"X"</formula>
    </cfRule>
    <cfRule type="cellIs" dxfId="1064" priority="18" operator="equal">
      <formula>"I"</formula>
    </cfRule>
  </conditionalFormatting>
  <conditionalFormatting sqref="L21:L31">
    <cfRule type="cellIs" dxfId="1063" priority="19" operator="equal">
      <formula>"X"</formula>
    </cfRule>
    <cfRule type="cellIs" dxfId="1062" priority="20" operator="equal">
      <formula>"I"</formula>
    </cfRule>
  </conditionalFormatting>
  <conditionalFormatting sqref="N21:N31">
    <cfRule type="cellIs" dxfId="1061" priority="21" operator="equal">
      <formula>"X"</formula>
    </cfRule>
    <cfRule type="cellIs" dxfId="1060" priority="22" operator="equal">
      <formula>"I"</formula>
    </cfRule>
  </conditionalFormatting>
  <conditionalFormatting sqref="P21:P31">
    <cfRule type="cellIs" dxfId="1059" priority="23" operator="equal">
      <formula>"X"</formula>
    </cfRule>
    <cfRule type="cellIs" dxfId="1058" priority="24" operator="equal">
      <formula>"I"</formula>
    </cfRule>
  </conditionalFormatting>
  <conditionalFormatting sqref="R21:R31">
    <cfRule type="cellIs" dxfId="1057" priority="25" operator="equal">
      <formula>"X"</formula>
    </cfRule>
    <cfRule type="cellIs" dxfId="1056" priority="26" operator="equal">
      <formula>"I"</formula>
    </cfRule>
  </conditionalFormatting>
  <hyperlinks>
    <hyperlink ref="B3" location="'Cost Summary'!A1" display="BACK TO SUMMARY SHEET" xr:uid="{02A0D66C-847C-4530-A1DF-8DECDCBDE47B}"/>
  </hyperlinks>
  <pageMargins left="0.7" right="0.7" top="0.75" bottom="0.75" header="0.3" footer="0.3"/>
  <pageSetup paperSize="256" orientation="portrait" horizontalDpi="1200" verticalDpi="1200" r:id="rId1"/>
  <legacy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F9C2-0396-4F38-825D-79D85131EE63}">
  <sheetPr>
    <tabColor rgb="FF92D050"/>
  </sheetPr>
  <dimension ref="A1:S98"/>
  <sheetViews>
    <sheetView zoomScale="85" zoomScaleNormal="85" workbookViewId="0">
      <pane xSplit="2" ySplit="9" topLeftCell="C28" activePane="bottomRight" state="frozen"/>
      <selection pane="bottomRight" activeCell="F38" sqref="F38"/>
      <selection pane="bottomLeft" sqref="A1:B1"/>
      <selection pane="topRight" sqref="A1:B1"/>
    </sheetView>
  </sheetViews>
  <sheetFormatPr defaultRowHeight="15"/>
  <cols>
    <col min="1" max="1" width="11" customWidth="1"/>
    <col min="2" max="2" width="70.7109375" style="1" customWidth="1"/>
    <col min="3" max="3" width="11.85546875" style="2" bestFit="1" customWidth="1"/>
    <col min="4" max="4" width="9.140625" style="2" customWidth="1"/>
    <col min="5" max="5" width="7.5703125" style="2" customWidth="1"/>
    <col min="6" max="6" width="7.7109375" style="2" customWidth="1"/>
    <col min="7" max="7" width="15.42578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50"/>
      <c r="M2" s="750"/>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948</v>
      </c>
      <c r="C5" s="1124"/>
      <c r="D5" s="1124"/>
      <c r="E5" s="1124"/>
      <c r="F5" s="1124"/>
      <c r="G5" s="1125" t="s">
        <v>491</v>
      </c>
      <c r="H5" s="778"/>
      <c r="I5" s="1126"/>
      <c r="J5" s="778"/>
      <c r="K5" s="1126"/>
      <c r="L5" s="778"/>
      <c r="M5" s="1126"/>
      <c r="N5" s="778"/>
      <c r="O5" s="1126"/>
      <c r="P5" s="778"/>
      <c r="Q5" s="1126"/>
      <c r="R5" s="778"/>
      <c r="S5" s="1126"/>
    </row>
    <row r="6" spans="1:19">
      <c r="A6" s="627" t="s">
        <v>493</v>
      </c>
      <c r="B6" s="1127" t="s">
        <v>170</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1724">
        <f>I59</f>
        <v>819230</v>
      </c>
      <c r="I8" s="1725"/>
      <c r="J8" s="1724">
        <f>K59</f>
        <v>0</v>
      </c>
      <c r="K8" s="1725"/>
      <c r="L8" s="1724">
        <f>M59</f>
        <v>0</v>
      </c>
      <c r="M8" s="1725"/>
      <c r="N8" s="1724"/>
      <c r="O8" s="1725"/>
      <c r="P8" s="1724"/>
      <c r="Q8" s="1725"/>
      <c r="R8" s="1724"/>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2020"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t="15" hidden="1" customHeight="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idden="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c r="C19" s="1134"/>
      <c r="D19" s="1124"/>
      <c r="E19" s="1124"/>
      <c r="F19" s="1124"/>
      <c r="G19" s="1133"/>
      <c r="H19" s="1726"/>
      <c r="I19" s="1726"/>
      <c r="J19" s="1726"/>
      <c r="K19" s="1726"/>
      <c r="L19" s="1726"/>
      <c r="M19" s="1726"/>
      <c r="N19" s="1726"/>
      <c r="O19" s="1726"/>
      <c r="P19" s="1726"/>
      <c r="Q19" s="1726"/>
      <c r="R19" s="1726"/>
      <c r="S19" s="1726"/>
    </row>
    <row r="20" spans="1:19" hidden="1">
      <c r="A20" s="628"/>
      <c r="B20" s="862"/>
      <c r="C20" s="1134"/>
      <c r="D20" s="1124"/>
      <c r="E20" s="1124"/>
      <c r="F20" s="1124"/>
      <c r="G20" s="1133"/>
      <c r="H20" s="1726"/>
      <c r="I20" s="1726"/>
      <c r="J20" s="1726"/>
      <c r="K20" s="1726"/>
      <c r="L20" s="1726"/>
      <c r="M20" s="1726"/>
      <c r="N20" s="1726"/>
      <c r="O20" s="1726"/>
      <c r="P20" s="1726"/>
      <c r="Q20" s="1726"/>
      <c r="R20" s="1726"/>
      <c r="S20" s="1726"/>
    </row>
    <row r="21" spans="1:19" hidden="1">
      <c r="A21" s="628"/>
      <c r="B21" s="862"/>
      <c r="C21" s="1134"/>
      <c r="D21" s="1124"/>
      <c r="E21" s="1124"/>
      <c r="F21" s="1124"/>
      <c r="G21" s="1133"/>
      <c r="H21" s="1678"/>
      <c r="I21" s="1726"/>
      <c r="J21" s="1678"/>
      <c r="K21" s="1726"/>
      <c r="L21" s="1678"/>
      <c r="M21" s="1726"/>
      <c r="N21" s="1678"/>
      <c r="O21" s="1726"/>
      <c r="P21" s="1678"/>
      <c r="Q21" s="1726"/>
      <c r="R21" s="1678"/>
      <c r="S21" s="1726"/>
    </row>
    <row r="22" spans="1:19" ht="16.5" thickTop="1" thickBot="1">
      <c r="A22" s="2005"/>
      <c r="B22" s="1136" t="s">
        <v>948</v>
      </c>
      <c r="C22" s="1134"/>
      <c r="D22" s="1124"/>
      <c r="E22" s="1124"/>
      <c r="F22" s="1124"/>
      <c r="G22" s="1133"/>
      <c r="H22" s="1678"/>
      <c r="I22" s="1964"/>
      <c r="J22" s="1678"/>
      <c r="K22" s="1964"/>
      <c r="L22" s="1678"/>
      <c r="M22" s="1964"/>
      <c r="N22" s="1678"/>
      <c r="O22" s="1964"/>
      <c r="P22" s="1678"/>
      <c r="Q22" s="1964"/>
      <c r="R22" s="1678"/>
      <c r="S22" s="1964"/>
    </row>
    <row r="23" spans="1:19" ht="15.75" thickBot="1">
      <c r="A23" s="2005"/>
      <c r="B23" s="2021" t="s">
        <v>512</v>
      </c>
      <c r="C23" s="1134"/>
      <c r="D23" s="1124"/>
      <c r="E23" s="1124"/>
      <c r="F23" s="1124"/>
      <c r="G23" s="1133"/>
      <c r="H23" s="1678"/>
      <c r="I23" s="1964"/>
      <c r="J23" s="1678"/>
      <c r="K23" s="1964"/>
      <c r="L23" s="1678"/>
      <c r="M23" s="1964"/>
      <c r="N23" s="1678"/>
      <c r="O23" s="1964"/>
      <c r="P23" s="1678"/>
      <c r="Q23" s="1964"/>
      <c r="R23" s="1678"/>
      <c r="S23" s="1964"/>
    </row>
    <row r="24" spans="1:19">
      <c r="A24" s="2005"/>
      <c r="B24" s="1963" t="s">
        <v>513</v>
      </c>
      <c r="C24" s="1124"/>
      <c r="D24" s="1124"/>
      <c r="E24" s="1124"/>
      <c r="F24" s="1124"/>
      <c r="G24" s="1133"/>
      <c r="H24" s="1678"/>
      <c r="I24" s="2002"/>
      <c r="J24" s="1678"/>
      <c r="K24" s="2002"/>
      <c r="L24" s="1678"/>
      <c r="M24" s="2002"/>
      <c r="N24" s="1678"/>
      <c r="O24" s="2002"/>
      <c r="P24" s="1678"/>
      <c r="Q24" s="2002"/>
      <c r="R24" s="1678"/>
      <c r="S24" s="2002"/>
    </row>
    <row r="25" spans="1:19">
      <c r="A25" s="623"/>
      <c r="B25" s="1963" t="s">
        <v>514</v>
      </c>
      <c r="C25" s="1124"/>
      <c r="D25" s="1124"/>
      <c r="E25" s="1124"/>
      <c r="F25" s="1124"/>
      <c r="G25" s="1133"/>
      <c r="H25" s="1678"/>
      <c r="I25" s="2002"/>
      <c r="J25" s="1678"/>
      <c r="K25" s="1964"/>
      <c r="L25" s="1678"/>
      <c r="M25" s="1964"/>
      <c r="N25" s="1678"/>
      <c r="O25" s="1964"/>
      <c r="P25" s="1678"/>
      <c r="Q25" s="2002"/>
      <c r="R25" s="1678"/>
      <c r="S25" s="2002"/>
    </row>
    <row r="26" spans="1:19">
      <c r="A26" s="2005"/>
      <c r="B26" s="1965" t="s">
        <v>515</v>
      </c>
      <c r="C26" s="1124"/>
      <c r="D26" s="1124"/>
      <c r="E26" s="1124"/>
      <c r="F26" s="1124"/>
      <c r="G26" s="1133"/>
      <c r="H26" s="1678"/>
      <c r="I26" s="2002"/>
      <c r="J26" s="1678"/>
      <c r="K26" s="2002"/>
      <c r="L26" s="1678"/>
      <c r="M26" s="1964"/>
      <c r="N26" s="1678"/>
      <c r="O26" s="1964"/>
      <c r="P26" s="1678"/>
      <c r="Q26" s="2002"/>
      <c r="R26" s="1678"/>
      <c r="S26" s="2002"/>
    </row>
    <row r="27" spans="1:19">
      <c r="A27" s="2005"/>
      <c r="B27" s="1965" t="s">
        <v>516</v>
      </c>
      <c r="C27" s="1124"/>
      <c r="D27" s="1124"/>
      <c r="E27" s="1124"/>
      <c r="F27" s="1124"/>
      <c r="G27" s="1133"/>
      <c r="H27" s="1678"/>
      <c r="I27" s="2002"/>
      <c r="J27" s="1678"/>
      <c r="K27" s="2002"/>
      <c r="L27" s="1678"/>
      <c r="M27" s="1964"/>
      <c r="N27" s="1678"/>
      <c r="O27" s="1964"/>
      <c r="P27" s="1678"/>
      <c r="Q27" s="2002"/>
      <c r="R27" s="1678"/>
      <c r="S27" s="2002"/>
    </row>
    <row r="28" spans="1:19">
      <c r="A28" s="2005"/>
      <c r="B28" s="1965" t="s">
        <v>517</v>
      </c>
      <c r="C28" s="1124"/>
      <c r="D28" s="1124"/>
      <c r="E28" s="1124"/>
      <c r="F28" s="1124"/>
      <c r="G28" s="1133"/>
      <c r="H28" s="1678"/>
      <c r="I28" s="2002"/>
      <c r="J28" s="1678"/>
      <c r="K28" s="2002"/>
      <c r="L28" s="1678"/>
      <c r="M28" s="1964"/>
      <c r="N28" s="1678"/>
      <c r="O28" s="1964"/>
      <c r="P28" s="1678"/>
      <c r="Q28" s="2002"/>
      <c r="R28" s="1678"/>
      <c r="S28" s="2002"/>
    </row>
    <row r="29" spans="1:19">
      <c r="A29" s="2005"/>
      <c r="B29" s="1965" t="s">
        <v>518</v>
      </c>
      <c r="C29" s="1124"/>
      <c r="D29" s="1124"/>
      <c r="E29" s="1124"/>
      <c r="F29" s="1124"/>
      <c r="G29" s="1133"/>
      <c r="H29" s="1678"/>
      <c r="I29" s="2002"/>
      <c r="J29" s="1678"/>
      <c r="K29" s="2002"/>
      <c r="L29" s="1678"/>
      <c r="M29" s="1964"/>
      <c r="N29" s="1678"/>
      <c r="O29" s="1964"/>
      <c r="P29" s="1678"/>
      <c r="Q29" s="2002"/>
      <c r="R29" s="1678"/>
      <c r="S29" s="2002"/>
    </row>
    <row r="30" spans="1:19">
      <c r="A30" s="2005"/>
      <c r="B30" s="1965" t="s">
        <v>693</v>
      </c>
      <c r="C30" s="1124"/>
      <c r="D30" s="1124"/>
      <c r="E30" s="1124"/>
      <c r="F30" s="1124"/>
      <c r="G30" s="1133"/>
      <c r="H30" s="1678"/>
      <c r="I30" s="2002"/>
      <c r="J30" s="1678"/>
      <c r="K30" s="2002"/>
      <c r="L30" s="1678"/>
      <c r="M30" s="1964"/>
      <c r="N30" s="1678"/>
      <c r="O30" s="1964"/>
      <c r="P30" s="1678"/>
      <c r="Q30" s="2002"/>
      <c r="R30" s="1678"/>
      <c r="S30" s="2002"/>
    </row>
    <row r="31" spans="1:19" ht="13.5" customHeight="1">
      <c r="A31" s="2005"/>
      <c r="B31" s="1966" t="s">
        <v>519</v>
      </c>
      <c r="C31" s="1124"/>
      <c r="D31" s="1124"/>
      <c r="E31" s="1124"/>
      <c r="F31" s="1124"/>
      <c r="G31" s="1133"/>
      <c r="H31" s="1678"/>
      <c r="I31" s="2002"/>
      <c r="J31" s="1678"/>
      <c r="K31" s="2002"/>
      <c r="L31" s="1678"/>
      <c r="M31" s="1964"/>
      <c r="N31" s="1678"/>
      <c r="O31" s="1964"/>
      <c r="P31" s="1678"/>
      <c r="Q31" s="2002"/>
      <c r="R31" s="1678"/>
      <c r="S31" s="2002"/>
    </row>
    <row r="32" spans="1:19">
      <c r="A32" s="623"/>
      <c r="B32" s="1967" t="s">
        <v>520</v>
      </c>
      <c r="C32" s="1145"/>
      <c r="D32" s="1145"/>
      <c r="E32" s="1145"/>
      <c r="F32" s="1145"/>
      <c r="G32" s="1898"/>
      <c r="H32" s="1727"/>
      <c r="I32" s="2003"/>
      <c r="J32" s="1727"/>
      <c r="K32" s="2003"/>
      <c r="L32" s="1727"/>
      <c r="M32" s="2003"/>
      <c r="N32" s="1727"/>
      <c r="O32" s="2022"/>
      <c r="P32" s="1727"/>
      <c r="Q32" s="2003"/>
      <c r="R32" s="1727"/>
      <c r="S32" s="2003"/>
    </row>
    <row r="33" spans="1:19" s="109" customFormat="1">
      <c r="A33" s="623"/>
      <c r="B33" s="1828" t="s">
        <v>288</v>
      </c>
      <c r="C33" s="1124"/>
      <c r="D33" s="1124"/>
      <c r="E33" s="1124"/>
      <c r="F33" s="1124"/>
      <c r="G33" s="1133"/>
      <c r="H33" s="1678"/>
      <c r="I33" s="2002"/>
      <c r="J33" s="1678"/>
      <c r="K33" s="2002"/>
      <c r="L33" s="1678"/>
      <c r="M33" s="1964"/>
      <c r="N33" s="1678"/>
      <c r="O33" s="1964"/>
      <c r="P33" s="1678"/>
      <c r="Q33" s="2002"/>
      <c r="R33" s="1678"/>
      <c r="S33" s="2002"/>
    </row>
    <row r="34" spans="1:19">
      <c r="A34" s="2005"/>
      <c r="B34" s="2023" t="s">
        <v>694</v>
      </c>
      <c r="C34" s="1216"/>
      <c r="D34" s="1216"/>
      <c r="E34" s="1216"/>
      <c r="F34" s="1216"/>
      <c r="G34" s="1218"/>
      <c r="H34" s="1922"/>
      <c r="I34" s="2007"/>
      <c r="J34" s="1922"/>
      <c r="K34" s="2007"/>
      <c r="L34" s="1922"/>
      <c r="M34" s="2024"/>
      <c r="N34" s="1922"/>
      <c r="O34" s="2024"/>
      <c r="P34" s="1922"/>
      <c r="Q34" s="2007"/>
      <c r="R34" s="1922"/>
      <c r="S34" s="2007"/>
    </row>
    <row r="35" spans="1:19">
      <c r="A35" s="2005"/>
      <c r="B35" s="1828"/>
      <c r="C35" s="1124"/>
      <c r="D35" s="1124"/>
      <c r="E35" s="1124"/>
      <c r="F35" s="1124"/>
      <c r="G35" s="1133"/>
      <c r="H35" s="1678"/>
      <c r="I35" s="2002"/>
      <c r="J35" s="1678"/>
      <c r="K35" s="2002"/>
      <c r="L35" s="1678"/>
      <c r="M35" s="1964"/>
      <c r="N35" s="1678"/>
      <c r="O35" s="1964"/>
      <c r="P35" s="1678"/>
      <c r="Q35" s="2002"/>
      <c r="R35" s="1678"/>
      <c r="S35" s="2002"/>
    </row>
    <row r="36" spans="1:19">
      <c r="A36" s="2005"/>
      <c r="B36" s="2025" t="s">
        <v>695</v>
      </c>
      <c r="C36" s="1223"/>
      <c r="D36" s="1223"/>
      <c r="E36" s="1223"/>
      <c r="F36" s="1223"/>
      <c r="G36" s="1225"/>
      <c r="H36" s="1925"/>
      <c r="I36" s="2009"/>
      <c r="J36" s="1925"/>
      <c r="K36" s="2009"/>
      <c r="L36" s="1925"/>
      <c r="M36" s="2026"/>
      <c r="N36" s="1925"/>
      <c r="O36" s="2026"/>
      <c r="P36" s="1925"/>
      <c r="Q36" s="2009"/>
      <c r="R36" s="1925"/>
      <c r="S36" s="2009"/>
    </row>
    <row r="37" spans="1:19">
      <c r="A37" s="2005"/>
      <c r="B37" s="1828" t="s">
        <v>701</v>
      </c>
      <c r="C37" s="1124" t="s">
        <v>697</v>
      </c>
      <c r="D37" s="1124">
        <f>'Cost Summary'!$J$7</f>
        <v>663</v>
      </c>
      <c r="E37" s="1124" t="s">
        <v>723</v>
      </c>
      <c r="F37" s="1124">
        <v>30</v>
      </c>
      <c r="G37" s="1133">
        <f>D37*F37</f>
        <v>19890</v>
      </c>
      <c r="H37" s="1678"/>
      <c r="I37" s="2002">
        <f>G37</f>
        <v>19890</v>
      </c>
      <c r="J37" s="1678"/>
      <c r="K37" s="2002"/>
      <c r="L37" s="1678"/>
      <c r="M37" s="1964"/>
      <c r="N37" s="1678"/>
      <c r="O37" s="1964"/>
      <c r="P37" s="1678"/>
      <c r="Q37" s="2002"/>
      <c r="R37" s="1678"/>
      <c r="S37" s="2002"/>
    </row>
    <row r="38" spans="1:19">
      <c r="A38" s="2005"/>
      <c r="B38" s="1828"/>
      <c r="C38" s="1124"/>
      <c r="D38" s="1124"/>
      <c r="E38" s="1124"/>
      <c r="F38" s="1124"/>
      <c r="G38" s="1133"/>
      <c r="H38" s="1678"/>
      <c r="I38" s="2002"/>
      <c r="J38" s="1678"/>
      <c r="K38" s="2002"/>
      <c r="L38" s="1678"/>
      <c r="M38" s="1964"/>
      <c r="N38" s="1678"/>
      <c r="O38" s="1964"/>
      <c r="P38" s="1678"/>
      <c r="Q38" s="2002"/>
      <c r="R38" s="1678"/>
      <c r="S38" s="2002"/>
    </row>
    <row r="39" spans="1:19">
      <c r="A39" s="2005"/>
      <c r="B39" s="2023" t="s">
        <v>649</v>
      </c>
      <c r="C39" s="1216"/>
      <c r="D39" s="1216"/>
      <c r="E39" s="1216"/>
      <c r="F39" s="1216"/>
      <c r="G39" s="1218"/>
      <c r="H39" s="1922"/>
      <c r="I39" s="2007"/>
      <c r="J39" s="1922"/>
      <c r="K39" s="2007"/>
      <c r="L39" s="1922"/>
      <c r="M39" s="2024"/>
      <c r="N39" s="1922"/>
      <c r="O39" s="2024"/>
      <c r="P39" s="1922"/>
      <c r="Q39" s="2007"/>
      <c r="R39" s="1922"/>
      <c r="S39" s="2007"/>
    </row>
    <row r="40" spans="1:19">
      <c r="A40" s="2005"/>
      <c r="B40" s="1828"/>
      <c r="C40" s="1124"/>
      <c r="D40" s="1124"/>
      <c r="E40" s="1124"/>
      <c r="F40" s="1124"/>
      <c r="G40" s="1133"/>
      <c r="H40" s="1678"/>
      <c r="I40" s="2002"/>
      <c r="J40" s="1678"/>
      <c r="K40" s="2002"/>
      <c r="L40" s="1678"/>
      <c r="M40" s="1964"/>
      <c r="N40" s="1678"/>
      <c r="O40" s="1964"/>
      <c r="P40" s="1678"/>
      <c r="Q40" s="2002"/>
      <c r="R40" s="1678"/>
      <c r="S40" s="2002"/>
    </row>
    <row r="41" spans="1:19">
      <c r="A41" s="2005"/>
      <c r="B41" s="2025" t="s">
        <v>700</v>
      </c>
      <c r="C41" s="1223"/>
      <c r="D41" s="1223"/>
      <c r="E41" s="1223"/>
      <c r="F41" s="1223"/>
      <c r="G41" s="1225"/>
      <c r="H41" s="1925"/>
      <c r="I41" s="2009"/>
      <c r="J41" s="1925"/>
      <c r="K41" s="2009"/>
      <c r="L41" s="1925"/>
      <c r="M41" s="2026"/>
      <c r="N41" s="1925"/>
      <c r="O41" s="2026"/>
      <c r="P41" s="1925"/>
      <c r="Q41" s="2009"/>
      <c r="R41" s="1925"/>
      <c r="S41" s="2009"/>
    </row>
    <row r="42" spans="1:19">
      <c r="A42" s="2005"/>
      <c r="B42" s="1828" t="s">
        <v>701</v>
      </c>
      <c r="C42" s="1124" t="s">
        <v>702</v>
      </c>
      <c r="D42" s="1124">
        <f>'Cost Summary'!$N$7</f>
        <v>11678</v>
      </c>
      <c r="E42" s="1124" t="s">
        <v>723</v>
      </c>
      <c r="F42" s="1124">
        <v>30</v>
      </c>
      <c r="G42" s="1133">
        <f>D42*F42</f>
        <v>350340</v>
      </c>
      <c r="H42" s="1678"/>
      <c r="I42" s="2002">
        <f>G42</f>
        <v>350340</v>
      </c>
      <c r="J42" s="1678"/>
      <c r="K42" s="2002"/>
      <c r="L42" s="1678"/>
      <c r="M42" s="1964"/>
      <c r="N42" s="1678"/>
      <c r="O42" s="1964"/>
      <c r="P42" s="1678"/>
      <c r="Q42" s="2002"/>
      <c r="R42" s="1678"/>
      <c r="S42" s="2002"/>
    </row>
    <row r="43" spans="1:19">
      <c r="A43" s="2005"/>
      <c r="B43" s="1828"/>
      <c r="C43" s="1124"/>
      <c r="D43" s="1124"/>
      <c r="E43" s="1124"/>
      <c r="F43" s="1124"/>
      <c r="G43" s="1133"/>
      <c r="H43" s="1678"/>
      <c r="I43" s="2002"/>
      <c r="J43" s="1678"/>
      <c r="K43" s="2002"/>
      <c r="L43" s="1678"/>
      <c r="M43" s="1964"/>
      <c r="N43" s="1678"/>
      <c r="O43" s="1964"/>
      <c r="P43" s="1678"/>
      <c r="Q43" s="2002"/>
      <c r="R43" s="1678"/>
      <c r="S43" s="2002"/>
    </row>
    <row r="44" spans="1:19">
      <c r="A44" s="2005"/>
      <c r="B44" s="2023" t="s">
        <v>703</v>
      </c>
      <c r="C44" s="1216"/>
      <c r="D44" s="1216"/>
      <c r="E44" s="1216"/>
      <c r="F44" s="1216"/>
      <c r="G44" s="1218"/>
      <c r="H44" s="1922"/>
      <c r="I44" s="2007"/>
      <c r="J44" s="1922"/>
      <c r="K44" s="2007"/>
      <c r="L44" s="1922"/>
      <c r="M44" s="2024"/>
      <c r="N44" s="1922"/>
      <c r="O44" s="2024"/>
      <c r="P44" s="1922"/>
      <c r="Q44" s="2007"/>
      <c r="R44" s="1922"/>
      <c r="S44" s="2007"/>
    </row>
    <row r="45" spans="1:19">
      <c r="A45" s="2005"/>
      <c r="B45" s="1828"/>
      <c r="C45" s="1124"/>
      <c r="D45" s="1124"/>
      <c r="E45" s="1124"/>
      <c r="F45" s="1124"/>
      <c r="G45" s="1133"/>
      <c r="H45" s="1678"/>
      <c r="I45" s="2002"/>
      <c r="J45" s="1678"/>
      <c r="K45" s="2002"/>
      <c r="L45" s="1678"/>
      <c r="M45" s="1964"/>
      <c r="N45" s="1678"/>
      <c r="O45" s="1964"/>
      <c r="P45" s="1678"/>
      <c r="Q45" s="2002"/>
      <c r="R45" s="1678"/>
      <c r="S45" s="2002"/>
    </row>
    <row r="46" spans="1:19">
      <c r="A46" s="2005"/>
      <c r="B46" s="2025" t="s">
        <v>704</v>
      </c>
      <c r="C46" s="1223"/>
      <c r="D46" s="1223"/>
      <c r="E46" s="1223"/>
      <c r="F46" s="1223"/>
      <c r="G46" s="1225"/>
      <c r="H46" s="1925"/>
      <c r="I46" s="2009"/>
      <c r="J46" s="1925"/>
      <c r="K46" s="2009"/>
      <c r="L46" s="1925"/>
      <c r="M46" s="2026"/>
      <c r="N46" s="1925"/>
      <c r="O46" s="2026"/>
      <c r="P46" s="1925"/>
      <c r="Q46" s="2009"/>
      <c r="R46" s="1925"/>
      <c r="S46" s="2009"/>
    </row>
    <row r="47" spans="1:19">
      <c r="A47" s="2005"/>
      <c r="B47" s="1828" t="s">
        <v>701</v>
      </c>
      <c r="C47" s="1124" t="s">
        <v>702</v>
      </c>
      <c r="D47" s="1124">
        <f>'Cost Summary'!$R$7</f>
        <v>11225</v>
      </c>
      <c r="E47" s="1124" t="s">
        <v>723</v>
      </c>
      <c r="F47" s="1124">
        <v>40</v>
      </c>
      <c r="G47" s="1133">
        <f>D47*F47</f>
        <v>449000</v>
      </c>
      <c r="H47" s="1678"/>
      <c r="I47" s="2002">
        <f>G47</f>
        <v>449000</v>
      </c>
      <c r="J47" s="1678"/>
      <c r="K47" s="2002"/>
      <c r="L47" s="1678"/>
      <c r="M47" s="1964"/>
      <c r="N47" s="1678"/>
      <c r="O47" s="1964"/>
      <c r="P47" s="1678"/>
      <c r="Q47" s="2002"/>
      <c r="R47" s="1678"/>
      <c r="S47" s="2002"/>
    </row>
    <row r="48" spans="1:19">
      <c r="A48" s="2005"/>
      <c r="B48" s="1828"/>
      <c r="C48" s="1124"/>
      <c r="D48" s="1124"/>
      <c r="E48" s="1124"/>
      <c r="F48" s="1124"/>
      <c r="G48" s="1133"/>
      <c r="H48" s="1678"/>
      <c r="I48" s="2002"/>
      <c r="J48" s="1678"/>
      <c r="K48" s="2002"/>
      <c r="L48" s="1678"/>
      <c r="M48" s="1964"/>
      <c r="N48" s="1678"/>
      <c r="O48" s="1964"/>
      <c r="P48" s="1678"/>
      <c r="Q48" s="2002"/>
      <c r="R48" s="1678"/>
      <c r="S48" s="2002"/>
    </row>
    <row r="49" spans="1:19">
      <c r="A49" s="2005"/>
      <c r="B49" s="2023" t="s">
        <v>705</v>
      </c>
      <c r="C49" s="1216"/>
      <c r="D49" s="1216"/>
      <c r="E49" s="1216"/>
      <c r="F49" s="1216"/>
      <c r="G49" s="1218"/>
      <c r="H49" s="1922"/>
      <c r="I49" s="2007"/>
      <c r="J49" s="1922"/>
      <c r="K49" s="2007"/>
      <c r="L49" s="1922"/>
      <c r="M49" s="2024"/>
      <c r="N49" s="1922"/>
      <c r="O49" s="2024"/>
      <c r="P49" s="1922"/>
      <c r="Q49" s="2007"/>
      <c r="R49" s="1922"/>
      <c r="S49" s="2007"/>
    </row>
    <row r="50" spans="1:19">
      <c r="A50" s="2005"/>
      <c r="B50" s="1828"/>
      <c r="C50" s="1124"/>
      <c r="D50" s="1124"/>
      <c r="E50" s="1124"/>
      <c r="F50" s="1124"/>
      <c r="G50" s="1133"/>
      <c r="H50" s="1678"/>
      <c r="I50" s="2002"/>
      <c r="J50" s="1678"/>
      <c r="K50" s="2002"/>
      <c r="L50" s="1678"/>
      <c r="M50" s="1964"/>
      <c r="N50" s="1678"/>
      <c r="O50" s="1964"/>
      <c r="P50" s="1678"/>
      <c r="Q50" s="2002"/>
      <c r="R50" s="1678"/>
      <c r="S50" s="2002"/>
    </row>
    <row r="51" spans="1:19">
      <c r="A51" s="2005"/>
      <c r="B51" s="2025" t="s">
        <v>602</v>
      </c>
      <c r="C51" s="1223"/>
      <c r="D51" s="1223"/>
      <c r="E51" s="1223"/>
      <c r="F51" s="1223"/>
      <c r="G51" s="1225"/>
      <c r="H51" s="1925"/>
      <c r="I51" s="2009"/>
      <c r="J51" s="1925"/>
      <c r="K51" s="2009"/>
      <c r="L51" s="1925"/>
      <c r="M51" s="2026"/>
      <c r="N51" s="1925"/>
      <c r="O51" s="2026"/>
      <c r="P51" s="1925"/>
      <c r="Q51" s="2009"/>
      <c r="R51" s="1925"/>
      <c r="S51" s="2009"/>
    </row>
    <row r="52" spans="1:19">
      <c r="A52" s="2005"/>
      <c r="B52" s="1828"/>
      <c r="C52" s="1124"/>
      <c r="D52" s="1124"/>
      <c r="E52" s="1124"/>
      <c r="F52" s="1124"/>
      <c r="G52" s="1133"/>
      <c r="H52" s="1678"/>
      <c r="I52" s="2002"/>
      <c r="J52" s="1678"/>
      <c r="K52" s="2002"/>
      <c r="L52" s="1678"/>
      <c r="M52" s="1964"/>
      <c r="N52" s="1678"/>
      <c r="O52" s="1964"/>
      <c r="P52" s="1678"/>
      <c r="Q52" s="2002"/>
      <c r="R52" s="1678"/>
      <c r="S52" s="2002"/>
    </row>
    <row r="53" spans="1:19">
      <c r="A53" s="2005"/>
      <c r="B53" s="1828"/>
      <c r="C53" s="1124"/>
      <c r="D53" s="1124"/>
      <c r="E53" s="1124"/>
      <c r="F53" s="1124"/>
      <c r="G53" s="1133"/>
      <c r="H53" s="1678"/>
      <c r="I53" s="2002"/>
      <c r="J53" s="1678"/>
      <c r="K53" s="2002"/>
      <c r="L53" s="1678"/>
      <c r="M53" s="1964"/>
      <c r="N53" s="1678"/>
      <c r="O53" s="1964"/>
      <c r="P53" s="1678"/>
      <c r="Q53" s="2002"/>
      <c r="R53" s="1678"/>
      <c r="S53" s="2002"/>
    </row>
    <row r="54" spans="1:19" ht="15.75" thickBot="1">
      <c r="A54" s="2005"/>
      <c r="B54" s="632"/>
      <c r="C54" s="1124"/>
      <c r="D54" s="1124"/>
      <c r="E54" s="1124"/>
      <c r="F54" s="1621"/>
      <c r="G54" s="1616"/>
      <c r="H54" s="1678"/>
      <c r="I54" s="1964"/>
      <c r="J54" s="1678"/>
      <c r="K54" s="2002"/>
      <c r="L54" s="1678"/>
      <c r="M54" s="1964"/>
      <c r="N54" s="1678"/>
      <c r="O54" s="1964"/>
      <c r="P54" s="1678"/>
      <c r="Q54" s="2002"/>
      <c r="R54" s="1678"/>
      <c r="S54" s="2002"/>
    </row>
    <row r="55" spans="1:19" ht="15.75" thickTop="1">
      <c r="A55" s="14"/>
      <c r="B55" s="15"/>
      <c r="C55" s="16"/>
      <c r="D55" s="16"/>
      <c r="E55" s="17"/>
      <c r="F55" s="18" t="s">
        <v>567</v>
      </c>
      <c r="G55" s="19"/>
      <c r="H55" s="20"/>
      <c r="I55" s="61">
        <f>SUM(I24:I54)</f>
        <v>819230</v>
      </c>
      <c r="J55" s="20"/>
      <c r="K55" s="61">
        <f>SUM(K24:K54)</f>
        <v>0</v>
      </c>
      <c r="L55" s="20"/>
      <c r="M55" s="61">
        <f>SUM(M24:M54)</f>
        <v>0</v>
      </c>
      <c r="N55" s="20"/>
      <c r="O55" s="61">
        <f>SUM(O24:O54)</f>
        <v>0</v>
      </c>
      <c r="P55" s="20"/>
      <c r="Q55" s="61">
        <f>SUM(Q24:Q54)</f>
        <v>0</v>
      </c>
      <c r="R55" s="20"/>
      <c r="S55" s="61">
        <f>SUM(S24:S54)</f>
        <v>0</v>
      </c>
    </row>
    <row r="56" spans="1:19">
      <c r="A56" s="624"/>
      <c r="B56" s="1156"/>
      <c r="C56" s="1157"/>
      <c r="D56" s="1157"/>
      <c r="E56" s="1158"/>
      <c r="F56" s="1159" t="s">
        <v>568</v>
      </c>
      <c r="G56" s="1160"/>
      <c r="H56" s="1627">
        <v>0</v>
      </c>
      <c r="I56" s="427"/>
      <c r="J56" s="1627">
        <v>0</v>
      </c>
      <c r="K56" s="427"/>
      <c r="L56" s="1627">
        <v>0</v>
      </c>
      <c r="M56" s="427"/>
      <c r="N56" s="1627">
        <v>0</v>
      </c>
      <c r="O56" s="427"/>
      <c r="P56" s="1627">
        <v>0</v>
      </c>
      <c r="Q56" s="427"/>
      <c r="R56" s="1627">
        <v>0</v>
      </c>
      <c r="S56" s="427"/>
    </row>
    <row r="57" spans="1:19">
      <c r="A57" s="624"/>
      <c r="B57" s="1156"/>
      <c r="C57" s="1157"/>
      <c r="D57" s="1157"/>
      <c r="E57" s="1158"/>
      <c r="F57" s="1159" t="s">
        <v>569</v>
      </c>
      <c r="G57" s="1160"/>
      <c r="H57" s="1629"/>
      <c r="I57" s="1632">
        <f>I55*H56</f>
        <v>0</v>
      </c>
      <c r="J57" s="1629"/>
      <c r="K57" s="1632">
        <f>K55*J56</f>
        <v>0</v>
      </c>
      <c r="L57" s="1629"/>
      <c r="M57" s="1632">
        <f>M55*L56</f>
        <v>0</v>
      </c>
      <c r="N57" s="1629"/>
      <c r="O57" s="1632">
        <f>O55*N56</f>
        <v>0</v>
      </c>
      <c r="P57" s="1629"/>
      <c r="Q57" s="1632">
        <f>Q55*P56</f>
        <v>0</v>
      </c>
      <c r="R57" s="1629"/>
      <c r="S57" s="1632">
        <f>S55*R56</f>
        <v>0</v>
      </c>
    </row>
    <row r="58" spans="1:19">
      <c r="A58" s="624"/>
      <c r="B58" s="1156"/>
      <c r="C58" s="1157"/>
      <c r="D58" s="1157"/>
      <c r="E58" s="1158"/>
      <c r="F58" s="1159"/>
      <c r="G58" s="1160"/>
      <c r="H58" s="1629"/>
      <c r="I58" s="1629"/>
      <c r="J58" s="1629"/>
      <c r="K58" s="1629"/>
      <c r="L58" s="1629"/>
      <c r="M58" s="1629"/>
      <c r="N58" s="1629"/>
      <c r="O58" s="1629"/>
      <c r="P58" s="1629"/>
      <c r="Q58" s="1629"/>
      <c r="R58" s="1629"/>
      <c r="S58" s="1629"/>
    </row>
    <row r="59" spans="1:19">
      <c r="A59" s="624"/>
      <c r="B59" s="1156"/>
      <c r="C59" s="1157"/>
      <c r="D59" s="1157"/>
      <c r="E59" s="1158"/>
      <c r="F59" s="1159" t="s">
        <v>570</v>
      </c>
      <c r="G59" s="1160"/>
      <c r="H59" s="1634"/>
      <c r="I59" s="1632">
        <f>SUM(I55:I57)</f>
        <v>819230</v>
      </c>
      <c r="J59" s="1634"/>
      <c r="K59" s="1632">
        <f>SUM(K55:K57)</f>
        <v>0</v>
      </c>
      <c r="L59" s="1634"/>
      <c r="M59" s="1632">
        <f>SUM(M55:M57)</f>
        <v>0</v>
      </c>
      <c r="N59" s="1634"/>
      <c r="O59" s="1632">
        <f>SUM(O55:O57)</f>
        <v>0</v>
      </c>
      <c r="P59" s="1634"/>
      <c r="Q59" s="1632">
        <f>SUM(Q55:Q57)</f>
        <v>0</v>
      </c>
      <c r="R59" s="1634"/>
      <c r="S59" s="1632">
        <f>SUM(S55:S57)</f>
        <v>0</v>
      </c>
    </row>
    <row r="60" spans="1:19">
      <c r="A60" s="624"/>
      <c r="B60" s="1156"/>
      <c r="C60" s="1157"/>
      <c r="D60" s="1157"/>
      <c r="E60" s="1158"/>
      <c r="F60" s="1161" t="s">
        <v>571</v>
      </c>
      <c r="G60" s="1162"/>
      <c r="H60" s="1635"/>
      <c r="I60" s="1636" t="e">
        <f>I59/'Area Calculations'!$J$4</f>
        <v>#DIV/0!</v>
      </c>
      <c r="J60" s="1635"/>
      <c r="K60" s="1636" t="e">
        <f>K59/'Area Calculations'!$J$4</f>
        <v>#DIV/0!</v>
      </c>
      <c r="L60" s="1635"/>
      <c r="M60" s="1636" t="e">
        <f>M59/'Area Calculations'!$J$4</f>
        <v>#DIV/0!</v>
      </c>
      <c r="N60" s="1635"/>
      <c r="O60" s="1636" t="e">
        <f>O59/'Area Calculations'!$J$4</f>
        <v>#DIV/0!</v>
      </c>
      <c r="P60" s="1635"/>
      <c r="Q60" s="1636" t="e">
        <f>Q59/'Area Calculations'!$J$4</f>
        <v>#DIV/0!</v>
      </c>
      <c r="R60" s="1635"/>
      <c r="S60" s="1636" t="e">
        <f>S59/'Area Calculations'!$J$4</f>
        <v>#DIV/0!</v>
      </c>
    </row>
    <row r="61" spans="1:19">
      <c r="A61" s="624"/>
      <c r="B61" s="1156"/>
      <c r="C61" s="1157"/>
      <c r="D61" s="1157"/>
      <c r="E61" s="1158"/>
      <c r="F61" s="1161" t="s">
        <v>572</v>
      </c>
      <c r="G61" s="1163"/>
      <c r="H61" s="1635"/>
      <c r="I61" s="1636" t="e">
        <f>I59/'Area Calculations'!#REF!</f>
        <v>#REF!</v>
      </c>
      <c r="J61" s="1635"/>
      <c r="K61" s="1636" t="e">
        <f>K59/'Area Calculations'!#REF!</f>
        <v>#REF!</v>
      </c>
      <c r="L61" s="1635"/>
      <c r="M61" s="1636" t="e">
        <f>M59/'Area Calculations'!#REF!</f>
        <v>#REF!</v>
      </c>
      <c r="N61" s="1635"/>
      <c r="O61" s="1636" t="e">
        <f>O59/'Area Calculations'!#REF!</f>
        <v>#REF!</v>
      </c>
      <c r="P61" s="1635"/>
      <c r="Q61" s="1636" t="e">
        <f>Q59/'Area Calculations'!#REF!</f>
        <v>#REF!</v>
      </c>
      <c r="R61" s="1635"/>
      <c r="S61" s="1636" t="e">
        <f>S59/'Area Calculations'!#REF!</f>
        <v>#REF!</v>
      </c>
    </row>
    <row r="62" spans="1:19" ht="15.75" thickBot="1">
      <c r="A62" s="624"/>
      <c r="B62" s="1156"/>
      <c r="C62" s="1157"/>
      <c r="D62" s="1157"/>
      <c r="E62" s="1158"/>
      <c r="F62" s="1159"/>
      <c r="G62" s="1533"/>
      <c r="H62" s="1637"/>
      <c r="I62" s="1638"/>
      <c r="J62" s="1639"/>
      <c r="K62" s="1639"/>
      <c r="L62" s="1639"/>
      <c r="M62" s="1639"/>
      <c r="N62" s="1639"/>
      <c r="O62" s="1639"/>
      <c r="P62" s="1639"/>
      <c r="Q62" s="1639"/>
      <c r="R62" s="1639"/>
      <c r="S62" s="1639"/>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2011"/>
      <c r="B64" s="862"/>
      <c r="C64" s="2012"/>
      <c r="D64" s="2012"/>
      <c r="E64" s="2012"/>
      <c r="F64" s="2012"/>
      <c r="G64" s="2013"/>
      <c r="H64" s="2014"/>
      <c r="I64" s="2014"/>
      <c r="J64" s="2014"/>
      <c r="K64" s="2014"/>
      <c r="L64" s="2014"/>
      <c r="M64" s="2014"/>
      <c r="N64" s="2014"/>
      <c r="O64" s="2014"/>
      <c r="P64" s="2014"/>
      <c r="Q64" s="2014"/>
      <c r="R64" s="2014"/>
      <c r="S64" s="2014"/>
    </row>
    <row r="65" spans="1:19">
      <c r="A65" s="2011"/>
      <c r="B65" s="862"/>
      <c r="C65" s="2012"/>
      <c r="D65" s="2012"/>
      <c r="E65" s="2012"/>
      <c r="F65" s="2012"/>
      <c r="G65" s="2013"/>
      <c r="H65" s="2014"/>
      <c r="I65" s="2014"/>
      <c r="J65" s="2014"/>
      <c r="K65" s="2014"/>
      <c r="L65" s="2014"/>
      <c r="M65" s="2014"/>
      <c r="N65" s="2014"/>
      <c r="O65" s="2014"/>
      <c r="P65" s="2014"/>
      <c r="Q65" s="2014"/>
      <c r="R65" s="2014"/>
      <c r="S65" s="2014"/>
    </row>
    <row r="66" spans="1:19" ht="15.75" thickBot="1">
      <c r="A66" s="2011"/>
      <c r="B66" s="862"/>
      <c r="C66" s="2012"/>
      <c r="D66" s="2012"/>
      <c r="E66" s="2012"/>
      <c r="F66" s="2012"/>
      <c r="G66" s="2013"/>
      <c r="H66" s="2014"/>
      <c r="I66" s="2014"/>
      <c r="J66" s="2014"/>
      <c r="K66" s="2014"/>
      <c r="L66" s="2014"/>
      <c r="M66" s="2014"/>
      <c r="N66" s="2014"/>
      <c r="O66" s="2014"/>
      <c r="P66" s="2014"/>
      <c r="Q66" s="2014"/>
      <c r="R66" s="2014"/>
      <c r="S66" s="2014"/>
    </row>
    <row r="67" spans="1:19" s="2" customFormat="1" ht="16.5" thickTop="1" thickBot="1">
      <c r="A67" s="726" t="s">
        <v>574</v>
      </c>
      <c r="B67" s="727"/>
      <c r="C67" s="12"/>
      <c r="D67" s="12"/>
      <c r="E67" s="12"/>
      <c r="F67" s="12"/>
      <c r="G67" s="13"/>
      <c r="H67" s="21"/>
      <c r="I67" s="21"/>
      <c r="J67" s="21"/>
      <c r="K67" s="21"/>
      <c r="L67" s="21"/>
      <c r="M67" s="21"/>
      <c r="N67" s="21"/>
      <c r="O67" s="21"/>
      <c r="P67" s="21"/>
      <c r="Q67" s="21"/>
      <c r="R67" s="21"/>
      <c r="S67" s="21"/>
    </row>
    <row r="68" spans="1:19" s="2" customFormat="1" ht="15.75" thickTop="1">
      <c r="A68" s="2011"/>
      <c r="B68" s="862"/>
      <c r="C68" s="2012"/>
      <c r="D68" s="2012"/>
      <c r="E68" s="2012"/>
      <c r="F68" s="2012"/>
      <c r="G68" s="2013"/>
      <c r="H68" s="2014"/>
      <c r="I68" s="2014"/>
      <c r="J68" s="2014"/>
      <c r="K68" s="2014"/>
      <c r="L68" s="2014"/>
      <c r="M68" s="2014"/>
      <c r="N68" s="2014"/>
      <c r="O68" s="2014"/>
      <c r="P68" s="2014"/>
      <c r="Q68" s="2014"/>
      <c r="R68" s="2014"/>
      <c r="S68" s="2014"/>
    </row>
    <row r="69" spans="1:19" s="2" customFormat="1">
      <c r="A69" s="2011"/>
      <c r="B69" s="862"/>
      <c r="C69" s="2012"/>
      <c r="D69" s="2012"/>
      <c r="E69" s="2012"/>
      <c r="F69" s="2012"/>
      <c r="G69" s="2013"/>
      <c r="H69" s="2014"/>
      <c r="I69" s="2014"/>
      <c r="J69" s="2014"/>
      <c r="K69" s="2014"/>
      <c r="L69" s="2014"/>
      <c r="M69" s="2014"/>
      <c r="N69" s="2014"/>
      <c r="O69" s="2014"/>
      <c r="P69" s="2014"/>
      <c r="Q69" s="2014"/>
      <c r="R69" s="2014"/>
      <c r="S69" s="2014"/>
    </row>
    <row r="70" spans="1:19" ht="15.75" thickBot="1">
      <c r="A70" s="2011"/>
      <c r="B70" s="862"/>
      <c r="C70" s="2012"/>
      <c r="D70" s="2012"/>
      <c r="E70" s="2012"/>
      <c r="F70" s="2012"/>
      <c r="G70" s="2013"/>
      <c r="H70" s="2014"/>
      <c r="I70" s="2014"/>
      <c r="J70" s="2014"/>
      <c r="K70" s="2014"/>
      <c r="L70" s="2014"/>
      <c r="M70" s="2014"/>
      <c r="N70" s="2014"/>
      <c r="O70" s="2014"/>
      <c r="P70" s="2014"/>
      <c r="Q70" s="2014"/>
      <c r="R70" s="2014"/>
      <c r="S70" s="2014"/>
    </row>
    <row r="71" spans="1:19" s="2" customFormat="1" ht="16.5" thickTop="1" thickBot="1">
      <c r="A71" s="726" t="s">
        <v>575</v>
      </c>
      <c r="B71" s="727"/>
      <c r="C71" s="12"/>
      <c r="D71" s="12"/>
      <c r="E71" s="12"/>
      <c r="F71" s="12"/>
      <c r="G71" s="13"/>
      <c r="H71" s="21"/>
      <c r="I71" s="21"/>
      <c r="J71" s="21"/>
      <c r="K71" s="21"/>
      <c r="L71" s="21"/>
      <c r="M71" s="21"/>
      <c r="N71" s="21"/>
      <c r="O71" s="21"/>
      <c r="P71" s="21"/>
      <c r="Q71" s="21"/>
      <c r="R71" s="21"/>
      <c r="S71" s="21"/>
    </row>
    <row r="72" spans="1:19" s="2" customFormat="1" ht="15.75" thickTop="1">
      <c r="A72" s="2011"/>
      <c r="B72" s="862"/>
      <c r="C72" s="2012"/>
      <c r="D72" s="2012"/>
      <c r="E72" s="2012"/>
      <c r="F72" s="2012"/>
      <c r="G72" s="2013"/>
      <c r="H72" s="2014"/>
      <c r="I72" s="2014"/>
      <c r="J72" s="2014"/>
      <c r="K72" s="2014"/>
      <c r="L72" s="2014"/>
      <c r="M72" s="2014"/>
      <c r="N72" s="2014"/>
      <c r="O72" s="2014"/>
      <c r="P72" s="2014"/>
      <c r="Q72" s="2014"/>
      <c r="R72" s="2014"/>
      <c r="S72" s="2014"/>
    </row>
    <row r="73" spans="1:19" s="2" customFormat="1">
      <c r="A73" s="628"/>
      <c r="B73" s="862"/>
      <c r="C73" s="1124"/>
      <c r="D73" s="1124"/>
      <c r="E73" s="1124"/>
      <c r="F73" s="1124"/>
      <c r="G73" s="1133"/>
      <c r="H73" s="1640"/>
      <c r="I73" s="1640"/>
      <c r="J73" s="1640"/>
      <c r="K73" s="1640"/>
      <c r="L73" s="1640"/>
      <c r="M73" s="1640"/>
      <c r="N73" s="1640"/>
      <c r="O73" s="1640"/>
      <c r="P73" s="1640"/>
      <c r="Q73" s="1640"/>
      <c r="R73" s="1640"/>
      <c r="S73" s="1640"/>
    </row>
    <row r="74" spans="1:19" s="2" customFormat="1" ht="15.75" thickBot="1">
      <c r="A74" s="625"/>
      <c r="B74" s="1171"/>
      <c r="C74" s="1124"/>
      <c r="D74" s="1124"/>
      <c r="E74" s="1124"/>
      <c r="F74" s="1124"/>
      <c r="G74" s="1133"/>
      <c r="H74" s="1642"/>
      <c r="I74" s="1642"/>
      <c r="J74" s="1642"/>
      <c r="K74" s="1642"/>
      <c r="L74" s="1642"/>
      <c r="M74" s="1642"/>
      <c r="N74" s="1642"/>
      <c r="O74" s="1642"/>
      <c r="P74" s="1642"/>
      <c r="Q74" s="1642"/>
      <c r="R74" s="1642"/>
      <c r="S74" s="1642"/>
    </row>
    <row r="75" spans="1:19" s="2" customFormat="1"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2016"/>
      <c r="B76" s="2017"/>
      <c r="C76" s="2012"/>
      <c r="D76" s="2012"/>
      <c r="E76" s="2012"/>
      <c r="F76" s="2012"/>
      <c r="G76" s="2013"/>
      <c r="H76" s="2014"/>
      <c r="I76" s="2014"/>
      <c r="J76" s="2014"/>
      <c r="K76" s="2014"/>
      <c r="L76" s="2014"/>
      <c r="M76" s="2014"/>
      <c r="N76" s="2014"/>
      <c r="O76" s="2014"/>
      <c r="P76" s="2014"/>
      <c r="Q76" s="2014"/>
      <c r="R76" s="2014"/>
      <c r="S76" s="2014"/>
    </row>
    <row r="77" spans="1:19">
      <c r="A77" s="625"/>
      <c r="B77" s="1171"/>
      <c r="C77" s="1124"/>
      <c r="D77" s="1124"/>
      <c r="E77" s="1124"/>
      <c r="F77" s="1124"/>
      <c r="G77" s="1133"/>
      <c r="H77" s="1643"/>
      <c r="I77" s="1643"/>
      <c r="J77" s="1643"/>
      <c r="K77" s="1643"/>
      <c r="L77" s="1643"/>
      <c r="M77" s="1643"/>
      <c r="N77" s="1643"/>
      <c r="O77" s="1643"/>
      <c r="P77" s="1643"/>
      <c r="Q77" s="1643"/>
      <c r="R77" s="1643"/>
      <c r="S77" s="1643"/>
    </row>
    <row r="78" spans="1:19" ht="15.75" thickBot="1">
      <c r="A78" s="625"/>
      <c r="B78" s="1171"/>
      <c r="C78" s="1124"/>
      <c r="D78" s="1124"/>
      <c r="E78" s="1124"/>
      <c r="F78" s="1124"/>
      <c r="G78" s="1133"/>
      <c r="H78" s="1643"/>
      <c r="I78" s="1643"/>
      <c r="J78" s="1643"/>
      <c r="K78" s="1643"/>
      <c r="L78" s="1643"/>
      <c r="M78" s="1643"/>
      <c r="N78" s="1643"/>
      <c r="O78" s="1643"/>
      <c r="P78" s="1643"/>
      <c r="Q78" s="1643"/>
      <c r="R78" s="1643"/>
      <c r="S78" s="1643"/>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628"/>
      <c r="B80" s="862" t="s">
        <v>578</v>
      </c>
      <c r="C80" s="1124"/>
      <c r="D80" s="1124"/>
      <c r="E80" s="1124"/>
      <c r="F80" s="1124"/>
      <c r="G80" s="1133"/>
      <c r="H80" s="1643"/>
      <c r="I80" s="1643"/>
      <c r="J80" s="1643"/>
      <c r="K80" s="1643"/>
      <c r="L80" s="1643"/>
      <c r="M80" s="1643"/>
      <c r="N80" s="1643"/>
      <c r="O80" s="1643"/>
      <c r="P80" s="1643"/>
      <c r="Q80" s="1643"/>
      <c r="R80" s="1643"/>
      <c r="S80" s="1643"/>
    </row>
    <row r="81" spans="1:19">
      <c r="A81" s="628"/>
      <c r="B81" s="862" t="s">
        <v>579</v>
      </c>
      <c r="C81" s="1124"/>
      <c r="D81" s="1124"/>
      <c r="E81" s="1124"/>
      <c r="F81" s="1124"/>
      <c r="G81" s="1133"/>
      <c r="H81" s="1643"/>
      <c r="I81" s="1643"/>
      <c r="J81" s="1643"/>
      <c r="K81" s="1643"/>
      <c r="L81" s="1643"/>
      <c r="M81" s="1643"/>
      <c r="N81" s="1643"/>
      <c r="O81" s="1643"/>
      <c r="P81" s="1643"/>
      <c r="Q81" s="1643"/>
      <c r="R81" s="1643"/>
      <c r="S81" s="1643"/>
    </row>
    <row r="82" spans="1:19">
      <c r="A82" s="628"/>
      <c r="B82" s="862" t="s">
        <v>580</v>
      </c>
      <c r="C82" s="1124"/>
      <c r="D82" s="1124"/>
      <c r="E82" s="1124"/>
      <c r="F82" s="1124"/>
      <c r="G82" s="1133"/>
      <c r="H82" s="1643"/>
      <c r="I82" s="1643"/>
      <c r="J82" s="1643"/>
      <c r="K82" s="1643"/>
      <c r="L82" s="1643"/>
      <c r="M82" s="1643"/>
      <c r="N82" s="1643"/>
      <c r="O82" s="1643"/>
      <c r="P82" s="1643"/>
      <c r="Q82" s="1643"/>
      <c r="R82" s="1643"/>
      <c r="S82" s="1643"/>
    </row>
    <row r="83" spans="1:19">
      <c r="A83" s="628"/>
      <c r="B83" s="862" t="s">
        <v>581</v>
      </c>
      <c r="C83" s="1124"/>
      <c r="D83" s="1124"/>
      <c r="E83" s="1124"/>
      <c r="F83" s="1124"/>
      <c r="G83" s="1133"/>
      <c r="H83" s="1643"/>
      <c r="I83" s="1643"/>
      <c r="J83" s="1643"/>
      <c r="K83" s="1643"/>
      <c r="L83" s="1643"/>
      <c r="M83" s="1643"/>
      <c r="N83" s="1643"/>
      <c r="O83" s="1643"/>
      <c r="P83" s="1643"/>
      <c r="Q83" s="1643"/>
      <c r="R83" s="1643"/>
      <c r="S83" s="1643"/>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2011"/>
      <c r="B86" s="2018" t="s">
        <v>583</v>
      </c>
      <c r="C86" s="2012"/>
      <c r="D86" s="2012"/>
      <c r="E86" s="2012"/>
      <c r="F86" s="2012"/>
      <c r="G86" s="2013"/>
      <c r="H86" s="2019"/>
      <c r="I86" s="2019"/>
      <c r="J86" s="2019"/>
      <c r="K86" s="2019"/>
      <c r="L86" s="2019"/>
      <c r="M86" s="2019"/>
      <c r="N86" s="2019"/>
      <c r="O86" s="2019"/>
      <c r="P86" s="2019"/>
      <c r="Q86" s="2019"/>
      <c r="R86" s="2019"/>
      <c r="S86" s="2019"/>
    </row>
    <row r="87" spans="1:19">
      <c r="A87" s="628"/>
      <c r="B87" s="862" t="s">
        <v>584</v>
      </c>
      <c r="C87" s="1124"/>
      <c r="D87" s="1124"/>
      <c r="E87" s="1124"/>
      <c r="F87" s="1124"/>
      <c r="G87" s="1133"/>
      <c r="H87" s="1644"/>
      <c r="I87" s="1644"/>
      <c r="J87" s="1644"/>
      <c r="K87" s="1644"/>
      <c r="L87" s="1644"/>
      <c r="M87" s="1644"/>
      <c r="N87" s="1644"/>
      <c r="O87" s="1644"/>
      <c r="P87" s="1644"/>
      <c r="Q87" s="1644"/>
      <c r="R87" s="1644"/>
      <c r="S87" s="1644"/>
    </row>
    <row r="88" spans="1:19" ht="15.75" thickBot="1">
      <c r="A88" s="1645"/>
      <c r="B88" s="1646" t="s">
        <v>585</v>
      </c>
      <c r="C88" s="1647"/>
      <c r="D88" s="1647"/>
      <c r="E88" s="1647"/>
      <c r="F88" s="1647"/>
      <c r="G88" s="1648"/>
      <c r="H88" s="1649"/>
      <c r="I88" s="1649"/>
      <c r="J88" s="1649"/>
      <c r="K88" s="1649"/>
      <c r="L88" s="1649"/>
      <c r="M88" s="1649"/>
      <c r="N88" s="1649"/>
      <c r="O88" s="1649"/>
      <c r="P88" s="1649"/>
      <c r="Q88" s="1649"/>
      <c r="R88" s="1649"/>
      <c r="S88" s="1649"/>
    </row>
    <row r="89" spans="1:19" ht="16.5" thickTop="1" thickBot="1"/>
    <row r="90" spans="1:19" ht="16.5" thickTop="1" thickBot="1">
      <c r="A90" s="92" t="s">
        <v>586</v>
      </c>
      <c r="B90" s="94"/>
    </row>
    <row r="91" spans="1:19" ht="15.75" thickTop="1">
      <c r="A91" s="93" t="s">
        <v>487</v>
      </c>
      <c r="B91" s="1650"/>
    </row>
    <row r="92" spans="1:19">
      <c r="A92" s="626" t="s">
        <v>491</v>
      </c>
      <c r="B92" s="1650"/>
    </row>
    <row r="93" spans="1:19">
      <c r="A93" s="1651" t="s">
        <v>494</v>
      </c>
      <c r="B93" s="1652"/>
    </row>
    <row r="94" spans="1:19">
      <c r="A94" s="1651" t="s">
        <v>497</v>
      </c>
      <c r="B94" s="1653"/>
    </row>
    <row r="95" spans="1:19" ht="15.75" thickBot="1">
      <c r="A95" s="1654" t="s">
        <v>587</v>
      </c>
      <c r="B95" s="1655">
        <f>H8</f>
        <v>819230</v>
      </c>
      <c r="C95" s="199"/>
    </row>
    <row r="96" spans="1:19" ht="15.75" thickTop="1"/>
    <row r="97" spans="1:2">
      <c r="A97" s="95"/>
      <c r="B97" s="1" t="s">
        <v>588</v>
      </c>
    </row>
    <row r="98" spans="1:2">
      <c r="A98" s="96"/>
      <c r="B98" s="1" t="s">
        <v>589</v>
      </c>
    </row>
  </sheetData>
  <mergeCells count="47">
    <mergeCell ref="R5:S5"/>
    <mergeCell ref="R6:S6"/>
    <mergeCell ref="R7:S7"/>
    <mergeCell ref="R8:S8"/>
    <mergeCell ref="R2:S2"/>
    <mergeCell ref="R3:S3"/>
    <mergeCell ref="R4:S4"/>
    <mergeCell ref="H3:I3"/>
    <mergeCell ref="J3:K3"/>
    <mergeCell ref="L3:M3"/>
    <mergeCell ref="N3:O3"/>
    <mergeCell ref="P3:Q3"/>
    <mergeCell ref="H2:I2"/>
    <mergeCell ref="J2:K2"/>
    <mergeCell ref="L2:M2"/>
    <mergeCell ref="N2:O2"/>
    <mergeCell ref="P2:Q2"/>
    <mergeCell ref="H4:I4"/>
    <mergeCell ref="H5:I5"/>
    <mergeCell ref="H6:I6"/>
    <mergeCell ref="H7:I7"/>
    <mergeCell ref="H8:I8"/>
    <mergeCell ref="J4:K4"/>
    <mergeCell ref="J5:K5"/>
    <mergeCell ref="J6:K6"/>
    <mergeCell ref="J7:K7"/>
    <mergeCell ref="J8:K8"/>
    <mergeCell ref="L4:M4"/>
    <mergeCell ref="L5:M5"/>
    <mergeCell ref="L6:M6"/>
    <mergeCell ref="L7:M7"/>
    <mergeCell ref="L8:M8"/>
    <mergeCell ref="N4:O4"/>
    <mergeCell ref="N5:O5"/>
    <mergeCell ref="N6:O6"/>
    <mergeCell ref="N7:O7"/>
    <mergeCell ref="N8:O8"/>
    <mergeCell ref="P4:Q4"/>
    <mergeCell ref="P5:Q5"/>
    <mergeCell ref="P6:Q6"/>
    <mergeCell ref="P7:Q7"/>
    <mergeCell ref="P8:Q8"/>
    <mergeCell ref="A63:B63"/>
    <mergeCell ref="A67:B67"/>
    <mergeCell ref="A71:B71"/>
    <mergeCell ref="A75:B75"/>
    <mergeCell ref="A79:B79"/>
  </mergeCells>
  <conditionalFormatting sqref="H21:H31 H33:H54 J33:J54 L33:L54 N33:N54 P33:P54 R33:R54">
    <cfRule type="cellIs" dxfId="1055" priority="13" operator="equal">
      <formula>"X"</formula>
    </cfRule>
    <cfRule type="cellIs" dxfId="1054" priority="14" operator="equal">
      <formula>"I"</formula>
    </cfRule>
  </conditionalFormatting>
  <conditionalFormatting sqref="J21:J31">
    <cfRule type="cellIs" dxfId="1053" priority="15" operator="equal">
      <formula>"X"</formula>
    </cfRule>
    <cfRule type="cellIs" dxfId="1052" priority="16" operator="equal">
      <formula>"I"</formula>
    </cfRule>
  </conditionalFormatting>
  <conditionalFormatting sqref="L21:L31">
    <cfRule type="cellIs" dxfId="1051" priority="17" operator="equal">
      <formula>"X"</formula>
    </cfRule>
    <cfRule type="cellIs" dxfId="1050" priority="18" operator="equal">
      <formula>"I"</formula>
    </cfRule>
  </conditionalFormatting>
  <conditionalFormatting sqref="N21:N31">
    <cfRule type="cellIs" dxfId="1049" priority="19" operator="equal">
      <formula>"X"</formula>
    </cfRule>
    <cfRule type="cellIs" dxfId="1048" priority="20" operator="equal">
      <formula>"I"</formula>
    </cfRule>
  </conditionalFormatting>
  <conditionalFormatting sqref="P21:P31">
    <cfRule type="cellIs" dxfId="1047" priority="21" operator="equal">
      <formula>"X"</formula>
    </cfRule>
    <cfRule type="cellIs" dxfId="1046" priority="22" operator="equal">
      <formula>"I"</formula>
    </cfRule>
  </conditionalFormatting>
  <conditionalFormatting sqref="R21:R31">
    <cfRule type="cellIs" dxfId="1045" priority="23" operator="equal">
      <formula>"X"</formula>
    </cfRule>
    <cfRule type="cellIs" dxfId="1044" priority="24" operator="equal">
      <formula>"I"</formula>
    </cfRule>
  </conditionalFormatting>
  <hyperlinks>
    <hyperlink ref="B3" location="'Cost Summary'!A1" display="BACK TO SUMMARY SHEET" xr:uid="{02B795C9-1A02-4211-9FAE-0C6BAB6B354F}"/>
  </hyperlinks>
  <pageMargins left="0.7" right="0.7" top="0.75" bottom="0.75" header="0.3" footer="0.3"/>
  <pageSetup scale="71" orientation="portrait" horizontalDpi="1200" verticalDpi="1200" r:id="rId1"/>
  <colBreaks count="1" manualBreakCount="1">
    <brk id="7"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2A2-E538-4E94-9413-EB16A1D5106D}">
  <sheetPr>
    <tabColor rgb="FF92D050"/>
  </sheetPr>
  <dimension ref="A1:S103"/>
  <sheetViews>
    <sheetView zoomScale="85" zoomScaleNormal="85" workbookViewId="0">
      <pane xSplit="2" ySplit="9" topLeftCell="C29" activePane="bottomRight" state="frozen"/>
      <selection pane="bottomRight" activeCell="F52" sqref="F52"/>
      <selection pane="bottomLeft" sqref="A1:B1"/>
      <selection pane="topRight" sqref="A1:B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32"/>
      <c r="I2" s="732"/>
      <c r="J2" s="766"/>
      <c r="K2" s="766"/>
      <c r="L2" s="766"/>
      <c r="M2" s="766"/>
      <c r="N2" s="766"/>
      <c r="O2" s="766"/>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627" t="s">
        <v>489</v>
      </c>
      <c r="B5" s="862" t="s">
        <v>623</v>
      </c>
      <c r="C5" s="1124"/>
      <c r="D5" s="1124"/>
      <c r="E5" s="1124"/>
      <c r="F5" s="1124"/>
      <c r="G5" s="1125" t="s">
        <v>491</v>
      </c>
      <c r="H5" s="778"/>
      <c r="I5" s="1126"/>
      <c r="J5" s="778"/>
      <c r="K5" s="1126"/>
      <c r="L5" s="778"/>
      <c r="M5" s="1126"/>
      <c r="N5" s="778"/>
      <c r="O5" s="1126"/>
      <c r="P5" s="778"/>
      <c r="Q5" s="1126"/>
      <c r="R5" s="778"/>
      <c r="S5" s="1126"/>
    </row>
    <row r="6" spans="1:19">
      <c r="A6" s="627" t="s">
        <v>493</v>
      </c>
      <c r="B6" s="1127" t="s">
        <v>622</v>
      </c>
      <c r="C6" s="1124"/>
      <c r="D6" s="1124"/>
      <c r="E6" s="1124"/>
      <c r="F6" s="1124"/>
      <c r="G6" s="1125" t="s">
        <v>494</v>
      </c>
      <c r="H6" s="776"/>
      <c r="I6" s="1129"/>
      <c r="J6" s="776"/>
      <c r="K6" s="1129"/>
      <c r="L6" s="776"/>
      <c r="M6" s="1129"/>
      <c r="N6" s="776"/>
      <c r="O6" s="1129"/>
      <c r="P6" s="776"/>
      <c r="Q6" s="1129"/>
      <c r="R6" s="776"/>
      <c r="S6" s="1129"/>
    </row>
    <row r="7" spans="1:19">
      <c r="A7" s="627" t="s">
        <v>496</v>
      </c>
      <c r="B7" s="1130"/>
      <c r="C7" s="1124"/>
      <c r="D7" s="1124"/>
      <c r="E7" s="1124"/>
      <c r="F7" s="1124"/>
      <c r="G7" s="1125" t="s">
        <v>497</v>
      </c>
      <c r="H7" s="777"/>
      <c r="I7" s="1131"/>
      <c r="J7" s="777"/>
      <c r="K7" s="1131"/>
      <c r="L7" s="777"/>
      <c r="M7" s="1131"/>
      <c r="N7" s="777"/>
      <c r="O7" s="1131"/>
      <c r="P7" s="777"/>
      <c r="Q7" s="1131"/>
      <c r="R7" s="777"/>
      <c r="S7" s="1131"/>
    </row>
    <row r="8" spans="1:19" ht="15.75" thickBot="1">
      <c r="A8" s="414" t="s">
        <v>499</v>
      </c>
      <c r="B8" s="295"/>
      <c r="C8" s="184"/>
      <c r="D8" s="184"/>
      <c r="E8" s="184"/>
      <c r="F8" s="184"/>
      <c r="G8" s="419" t="s">
        <v>499</v>
      </c>
      <c r="H8" s="1724">
        <f>I64</f>
        <v>32632</v>
      </c>
      <c r="I8" s="1725"/>
      <c r="J8" s="1724"/>
      <c r="K8" s="1725"/>
      <c r="L8" s="1724"/>
      <c r="M8" s="1725"/>
      <c r="N8" s="1724"/>
      <c r="O8" s="1725"/>
      <c r="P8" s="1724"/>
      <c r="Q8" s="1725"/>
      <c r="R8" s="1724"/>
      <c r="S8" s="1725"/>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628"/>
      <c r="B10" s="2020" t="s">
        <v>508</v>
      </c>
      <c r="C10" s="1124"/>
      <c r="D10" s="1124"/>
      <c r="E10" s="1124"/>
      <c r="F10" s="1124"/>
      <c r="G10" s="1133"/>
      <c r="H10" s="1726"/>
      <c r="I10" s="1726"/>
      <c r="J10" s="1726"/>
      <c r="K10" s="1726"/>
      <c r="L10" s="1726"/>
      <c r="M10" s="1726"/>
      <c r="N10" s="1726"/>
      <c r="O10" s="1726"/>
      <c r="P10" s="1726"/>
      <c r="Q10" s="1726"/>
      <c r="R10" s="1726"/>
      <c r="S10" s="1726"/>
    </row>
    <row r="11" spans="1:19" hidden="1">
      <c r="A11" s="628"/>
      <c r="B11" s="862" t="str">
        <f>'Area Calculations'!M62</f>
        <v>Architectural Drawings  by</v>
      </c>
      <c r="C11" s="1134" t="s">
        <v>509</v>
      </c>
      <c r="D11" s="1124"/>
      <c r="E11" s="1124"/>
      <c r="F11" s="1124"/>
      <c r="G11" s="1133"/>
      <c r="H11" s="1726"/>
      <c r="I11" s="1726"/>
      <c r="J11" s="1726"/>
      <c r="K11" s="1726"/>
      <c r="L11" s="1726"/>
      <c r="M11" s="1726"/>
      <c r="N11" s="1726"/>
      <c r="O11" s="1726"/>
      <c r="P11" s="1726"/>
      <c r="Q11" s="1726"/>
      <c r="R11" s="1726"/>
      <c r="S11" s="1726"/>
    </row>
    <row r="12" spans="1:19" hidden="1">
      <c r="A12" s="628"/>
      <c r="B12" s="862" t="str">
        <f>'Area Calculations'!M63</f>
        <v>Structural Drawings by</v>
      </c>
      <c r="C12" s="1134" t="s">
        <v>509</v>
      </c>
      <c r="D12" s="1124"/>
      <c r="E12" s="1124"/>
      <c r="F12" s="1124"/>
      <c r="G12" s="1133"/>
      <c r="H12" s="1726"/>
      <c r="I12" s="1726"/>
      <c r="J12" s="1726"/>
      <c r="K12" s="1726"/>
      <c r="L12" s="1726"/>
      <c r="M12" s="1726"/>
      <c r="N12" s="1726"/>
      <c r="O12" s="1726"/>
      <c r="P12" s="1726"/>
      <c r="Q12" s="1726"/>
      <c r="R12" s="1726"/>
      <c r="S12" s="1726"/>
    </row>
    <row r="13" spans="1:19" hidden="1">
      <c r="A13" s="628"/>
      <c r="B13" s="862" t="str">
        <f>'Area Calculations'!M64</f>
        <v>MEP FA FP Drawings by</v>
      </c>
      <c r="C13" s="1134" t="s">
        <v>509</v>
      </c>
      <c r="D13" s="1124"/>
      <c r="E13" s="1124"/>
      <c r="F13" s="1124"/>
      <c r="G13" s="1133"/>
      <c r="H13" s="1726"/>
      <c r="I13" s="1726"/>
      <c r="J13" s="1726"/>
      <c r="K13" s="1726"/>
      <c r="L13" s="1726"/>
      <c r="M13" s="1726"/>
      <c r="N13" s="1726"/>
      <c r="O13" s="1726"/>
      <c r="P13" s="1726"/>
      <c r="Q13" s="1726"/>
      <c r="R13" s="1726"/>
      <c r="S13" s="1726"/>
    </row>
    <row r="14" spans="1:19" hidden="1">
      <c r="A14" s="628"/>
      <c r="B14" s="862" t="str">
        <f>'Area Calculations'!M65</f>
        <v xml:space="preserve">Civil Drawings by </v>
      </c>
      <c r="C14" s="1134" t="s">
        <v>509</v>
      </c>
      <c r="D14" s="1124"/>
      <c r="E14" s="1124"/>
      <c r="F14" s="1124"/>
      <c r="G14" s="1133"/>
      <c r="H14" s="1726"/>
      <c r="I14" s="1726"/>
      <c r="J14" s="1726"/>
      <c r="K14" s="1726"/>
      <c r="L14" s="1726"/>
      <c r="M14" s="1726"/>
      <c r="N14" s="1726"/>
      <c r="O14" s="1726"/>
      <c r="P14" s="1726"/>
      <c r="Q14" s="1726"/>
      <c r="R14" s="1726"/>
      <c r="S14" s="1726"/>
    </row>
    <row r="15" spans="1:19" hidden="1">
      <c r="A15" s="628"/>
      <c r="B15" s="862" t="str">
        <f>'Area Calculations'!M66</f>
        <v>Land scape Drawings by</v>
      </c>
      <c r="C15" s="1134" t="s">
        <v>509</v>
      </c>
      <c r="D15" s="1124"/>
      <c r="E15" s="1124"/>
      <c r="F15" s="1124"/>
      <c r="G15" s="1133"/>
      <c r="H15" s="1726"/>
      <c r="I15" s="1726"/>
      <c r="J15" s="1726"/>
      <c r="K15" s="1726"/>
      <c r="L15" s="1726"/>
      <c r="M15" s="1726"/>
      <c r="N15" s="1726"/>
      <c r="O15" s="1726"/>
      <c r="P15" s="1726"/>
      <c r="Q15" s="1726"/>
      <c r="R15" s="1726"/>
      <c r="S15" s="1726"/>
    </row>
    <row r="16" spans="1:19" hidden="1">
      <c r="A16" s="628"/>
      <c r="B16" s="862" t="str">
        <f>'Area Calculations'!M67</f>
        <v>Kitchen Drawings by</v>
      </c>
      <c r="C16" s="1134" t="s">
        <v>509</v>
      </c>
      <c r="D16" s="1124"/>
      <c r="E16" s="1124"/>
      <c r="F16" s="1124"/>
      <c r="G16" s="1133"/>
      <c r="H16" s="1726"/>
      <c r="I16" s="1726"/>
      <c r="J16" s="1726"/>
      <c r="K16" s="1726"/>
      <c r="L16" s="1726"/>
      <c r="M16" s="1726"/>
      <c r="N16" s="1726"/>
      <c r="O16" s="1726"/>
      <c r="P16" s="1726"/>
      <c r="Q16" s="1726"/>
      <c r="R16" s="1726"/>
      <c r="S16" s="1726"/>
    </row>
    <row r="17" spans="1:19" hidden="1">
      <c r="A17" s="628"/>
      <c r="B17" s="862" t="str">
        <f>'Area Calculations'!M68</f>
        <v>Storefront Designer by</v>
      </c>
      <c r="C17" s="1134" t="s">
        <v>509</v>
      </c>
      <c r="D17" s="1124"/>
      <c r="E17" s="1124"/>
      <c r="F17" s="1124"/>
      <c r="G17" s="1133"/>
      <c r="H17" s="1726"/>
      <c r="I17" s="1726"/>
      <c r="J17" s="1726"/>
      <c r="K17" s="1726"/>
      <c r="L17" s="1726"/>
      <c r="M17" s="1726"/>
      <c r="N17" s="1726"/>
      <c r="O17" s="1726"/>
      <c r="P17" s="1726"/>
      <c r="Q17" s="1726"/>
      <c r="R17" s="1726"/>
      <c r="S17" s="1726"/>
    </row>
    <row r="18" spans="1:19" hidden="1">
      <c r="A18" s="628"/>
      <c r="B18" s="862" t="str">
        <f>'Area Calculations'!M69</f>
        <v>Geotech report by</v>
      </c>
      <c r="C18" s="1134" t="s">
        <v>509</v>
      </c>
      <c r="D18" s="1124"/>
      <c r="E18" s="1124"/>
      <c r="F18" s="1124"/>
      <c r="G18" s="1133"/>
      <c r="H18" s="1726"/>
      <c r="I18" s="1726"/>
      <c r="J18" s="1726"/>
      <c r="K18" s="1726"/>
      <c r="L18" s="1726"/>
      <c r="M18" s="1726"/>
      <c r="N18" s="1726"/>
      <c r="O18" s="1726"/>
      <c r="P18" s="1726"/>
      <c r="Q18" s="1726"/>
      <c r="R18" s="1726"/>
      <c r="S18" s="1726"/>
    </row>
    <row r="19" spans="1:19" hidden="1">
      <c r="A19" s="628"/>
      <c r="B19" s="862" t="str">
        <f>'Area Calculations'!M70</f>
        <v>Specifications</v>
      </c>
      <c r="C19" s="1134" t="s">
        <v>509</v>
      </c>
      <c r="D19" s="1124"/>
      <c r="E19" s="1124"/>
      <c r="F19" s="1124"/>
      <c r="G19" s="1133"/>
      <c r="H19" s="1726"/>
      <c r="I19" s="1726"/>
      <c r="J19" s="1726"/>
      <c r="K19" s="1726"/>
      <c r="L19" s="1726"/>
      <c r="M19" s="1726"/>
      <c r="N19" s="1726"/>
      <c r="O19" s="1726"/>
      <c r="P19" s="1726"/>
      <c r="Q19" s="1726"/>
      <c r="R19" s="1726"/>
      <c r="S19" s="1726"/>
    </row>
    <row r="20" spans="1:19" hidden="1">
      <c r="A20" s="628"/>
      <c r="B20" s="862"/>
      <c r="C20" s="1134"/>
      <c r="D20" s="1124"/>
      <c r="E20" s="1124"/>
      <c r="F20" s="1124"/>
      <c r="G20" s="1133"/>
      <c r="H20" s="1726"/>
      <c r="I20" s="1726"/>
      <c r="J20" s="1726"/>
      <c r="K20" s="1726"/>
      <c r="L20" s="1726"/>
      <c r="M20" s="1726"/>
      <c r="N20" s="1726"/>
      <c r="O20" s="1726"/>
      <c r="P20" s="1726"/>
      <c r="Q20" s="1726"/>
      <c r="R20" s="1726"/>
      <c r="S20" s="1726"/>
    </row>
    <row r="21" spans="1:19" hidden="1">
      <c r="A21" s="628"/>
      <c r="B21" s="862"/>
      <c r="C21" s="1134"/>
      <c r="D21" s="1124"/>
      <c r="E21" s="1124"/>
      <c r="F21" s="1124"/>
      <c r="G21" s="1133"/>
      <c r="H21" s="1678"/>
      <c r="I21" s="1726"/>
      <c r="J21" s="1678"/>
      <c r="K21" s="1726"/>
      <c r="L21" s="1678"/>
      <c r="M21" s="1726"/>
      <c r="N21" s="1678"/>
      <c r="O21" s="1726"/>
      <c r="P21" s="1678"/>
      <c r="Q21" s="1726"/>
      <c r="R21" s="1678"/>
      <c r="S21" s="1726"/>
    </row>
    <row r="22" spans="1:19" ht="16.5" thickTop="1" thickBot="1">
      <c r="A22" s="59"/>
      <c r="B22" s="1136" t="s">
        <v>623</v>
      </c>
      <c r="C22" s="56"/>
      <c r="D22" s="57"/>
      <c r="E22" s="57"/>
      <c r="F22" s="57"/>
      <c r="G22" s="63"/>
      <c r="H22" s="1678"/>
      <c r="I22" s="1726"/>
      <c r="J22" s="1678"/>
      <c r="K22" s="1726"/>
      <c r="L22" s="1678"/>
      <c r="M22" s="1726"/>
      <c r="N22" s="1678"/>
      <c r="O22" s="1726"/>
      <c r="P22" s="1678"/>
      <c r="Q22" s="1726"/>
      <c r="R22" s="1678"/>
      <c r="S22" s="1726"/>
    </row>
    <row r="23" spans="1:19" ht="15.75" thickBot="1">
      <c r="A23" s="2005"/>
      <c r="B23" s="374" t="s">
        <v>512</v>
      </c>
      <c r="C23" s="1134"/>
      <c r="D23" s="1124"/>
      <c r="E23" s="1124"/>
      <c r="F23" s="1124"/>
      <c r="G23" s="1133"/>
      <c r="H23" s="1678"/>
      <c r="I23" s="1644"/>
      <c r="J23" s="1678"/>
      <c r="K23" s="1178"/>
      <c r="L23" s="1678"/>
      <c r="M23" s="1178"/>
      <c r="N23" s="1678"/>
      <c r="O23" s="1178"/>
      <c r="P23" s="1678"/>
      <c r="Q23" s="1178"/>
      <c r="R23" s="1678"/>
      <c r="S23" s="1178"/>
    </row>
    <row r="24" spans="1:19">
      <c r="A24" s="2005"/>
      <c r="B24" s="1422" t="s">
        <v>513</v>
      </c>
      <c r="C24" s="1154"/>
      <c r="D24" s="1426"/>
      <c r="E24" s="1124"/>
      <c r="F24" s="1124"/>
      <c r="G24" s="1133"/>
      <c r="H24" s="1678"/>
      <c r="I24" s="2002"/>
      <c r="J24" s="1678"/>
      <c r="K24" s="2002"/>
      <c r="L24" s="1678"/>
      <c r="M24" s="2002"/>
      <c r="N24" s="1678"/>
      <c r="O24" s="1964"/>
      <c r="P24" s="1678"/>
      <c r="Q24" s="1964"/>
      <c r="R24" s="1678"/>
      <c r="S24" s="1964"/>
    </row>
    <row r="25" spans="1:19">
      <c r="A25" s="2005"/>
      <c r="B25" s="1963" t="s">
        <v>514</v>
      </c>
      <c r="C25" s="1154"/>
      <c r="D25" s="1426"/>
      <c r="E25" s="1124"/>
      <c r="F25" s="1124"/>
      <c r="G25" s="1133"/>
      <c r="H25" s="1678"/>
      <c r="I25" s="1964"/>
      <c r="J25" s="1678"/>
      <c r="K25" s="2002"/>
      <c r="L25" s="1678"/>
      <c r="M25" s="2002"/>
      <c r="N25" s="1678"/>
      <c r="O25" s="1964"/>
      <c r="P25" s="1678"/>
      <c r="Q25" s="1964"/>
      <c r="R25" s="1678"/>
      <c r="S25" s="1964"/>
    </row>
    <row r="26" spans="1:19">
      <c r="A26" s="2005"/>
      <c r="B26" s="1965" t="s">
        <v>515</v>
      </c>
      <c r="C26" s="1133"/>
      <c r="D26" s="1124"/>
      <c r="E26" s="1124"/>
      <c r="F26" s="1124"/>
      <c r="G26" s="1133"/>
      <c r="H26" s="1678"/>
      <c r="I26" s="1964"/>
      <c r="J26" s="1678"/>
      <c r="K26" s="1964"/>
      <c r="L26" s="1678"/>
      <c r="M26" s="2002"/>
      <c r="N26" s="1678"/>
      <c r="O26" s="1964"/>
      <c r="P26" s="1678"/>
      <c r="Q26" s="1964"/>
      <c r="R26" s="1678"/>
      <c r="S26" s="1964"/>
    </row>
    <row r="27" spans="1:19">
      <c r="A27" s="2005"/>
      <c r="B27" s="1965" t="s">
        <v>516</v>
      </c>
      <c r="C27" s="1133"/>
      <c r="D27" s="1124"/>
      <c r="E27" s="1124"/>
      <c r="F27" s="1124"/>
      <c r="G27" s="1133"/>
      <c r="H27" s="1678"/>
      <c r="I27" s="2002"/>
      <c r="J27" s="1678"/>
      <c r="K27" s="2002"/>
      <c r="L27" s="1678"/>
      <c r="M27" s="2002"/>
      <c r="N27" s="1678"/>
      <c r="O27" s="2002"/>
      <c r="P27" s="1678"/>
      <c r="Q27" s="2002"/>
      <c r="R27" s="1678"/>
      <c r="S27" s="2002"/>
    </row>
    <row r="28" spans="1:19">
      <c r="A28" s="2005"/>
      <c r="B28" s="1965" t="s">
        <v>517</v>
      </c>
      <c r="C28" s="1133"/>
      <c r="D28" s="1124"/>
      <c r="E28" s="1124"/>
      <c r="F28" s="1124"/>
      <c r="G28" s="1133"/>
      <c r="H28" s="1678"/>
      <c r="I28" s="2002"/>
      <c r="J28" s="1678"/>
      <c r="K28" s="2002"/>
      <c r="L28" s="1678"/>
      <c r="M28" s="2002"/>
      <c r="N28" s="1678"/>
      <c r="O28" s="2002"/>
      <c r="P28" s="1678"/>
      <c r="Q28" s="2002"/>
      <c r="R28" s="1678"/>
      <c r="S28" s="2002"/>
    </row>
    <row r="29" spans="1:19">
      <c r="A29" s="2005"/>
      <c r="B29" s="1965" t="s">
        <v>518</v>
      </c>
      <c r="C29" s="1133"/>
      <c r="D29" s="1124"/>
      <c r="E29" s="1124"/>
      <c r="F29" s="1124"/>
      <c r="G29" s="1133"/>
      <c r="H29" s="1678"/>
      <c r="I29" s="2002"/>
      <c r="J29" s="1678"/>
      <c r="K29" s="2002"/>
      <c r="L29" s="1678"/>
      <c r="M29" s="2002"/>
      <c r="N29" s="1678"/>
      <c r="O29" s="2002"/>
      <c r="P29" s="1678"/>
      <c r="Q29" s="2002"/>
      <c r="R29" s="1678"/>
      <c r="S29" s="2002"/>
    </row>
    <row r="30" spans="1:19">
      <c r="A30" s="640"/>
      <c r="B30" s="1965" t="s">
        <v>693</v>
      </c>
      <c r="C30" s="1133"/>
      <c r="D30" s="1124"/>
      <c r="E30" s="1124"/>
      <c r="F30" s="1124"/>
      <c r="G30" s="1133"/>
      <c r="H30" s="1678"/>
      <c r="I30" s="2002"/>
      <c r="J30" s="1678"/>
      <c r="K30" s="2002"/>
      <c r="L30" s="1678"/>
      <c r="M30" s="2002"/>
      <c r="N30" s="1678"/>
      <c r="O30" s="2002"/>
      <c r="P30" s="1678"/>
      <c r="Q30" s="2002"/>
      <c r="R30" s="1678"/>
      <c r="S30" s="2002"/>
    </row>
    <row r="31" spans="1:19">
      <c r="A31" s="2005"/>
      <c r="B31" s="1966" t="s">
        <v>519</v>
      </c>
      <c r="C31" s="1133"/>
      <c r="D31" s="1124"/>
      <c r="E31" s="1124"/>
      <c r="F31" s="1124"/>
      <c r="G31" s="1133"/>
      <c r="H31" s="1678"/>
      <c r="I31" s="2002"/>
      <c r="J31" s="1678"/>
      <c r="K31" s="2002"/>
      <c r="L31" s="1678"/>
      <c r="M31" s="2002"/>
      <c r="N31" s="1678"/>
      <c r="O31" s="2002"/>
      <c r="P31" s="1678"/>
      <c r="Q31" s="2002"/>
      <c r="R31" s="1678"/>
      <c r="S31" s="2002"/>
    </row>
    <row r="32" spans="1:19">
      <c r="A32" s="2005"/>
      <c r="B32" s="1989" t="s">
        <v>520</v>
      </c>
      <c r="C32" s="1147"/>
      <c r="D32" s="1145"/>
      <c r="E32" s="1145"/>
      <c r="F32" s="1145"/>
      <c r="G32" s="1147"/>
      <c r="H32" s="1727"/>
      <c r="I32" s="2003"/>
      <c r="J32" s="1727"/>
      <c r="K32" s="2003"/>
      <c r="L32" s="1727"/>
      <c r="M32" s="2003"/>
      <c r="N32" s="1727"/>
      <c r="O32" s="2003"/>
      <c r="P32" s="1727"/>
      <c r="Q32" s="2003"/>
      <c r="R32" s="1727"/>
      <c r="S32" s="2003"/>
    </row>
    <row r="33" spans="1:19">
      <c r="A33" s="2005"/>
      <c r="B33" s="2004" t="s">
        <v>288</v>
      </c>
      <c r="C33" s="1133"/>
      <c r="D33" s="1124"/>
      <c r="E33" s="1124"/>
      <c r="F33" s="1124"/>
      <c r="G33" s="1133"/>
      <c r="H33" s="1678"/>
      <c r="I33" s="2002"/>
      <c r="J33" s="1678"/>
      <c r="K33" s="2002"/>
      <c r="L33" s="1678"/>
      <c r="M33" s="2002"/>
      <c r="N33" s="1678"/>
      <c r="O33" s="2002"/>
      <c r="P33" s="1678"/>
      <c r="Q33" s="2002"/>
      <c r="R33" s="1678"/>
      <c r="S33" s="2002"/>
    </row>
    <row r="34" spans="1:19">
      <c r="A34" s="2005"/>
      <c r="B34" s="2006" t="s">
        <v>694</v>
      </c>
      <c r="C34" s="1218"/>
      <c r="D34" s="1216"/>
      <c r="E34" s="1216"/>
      <c r="F34" s="1216"/>
      <c r="G34" s="1218"/>
      <c r="H34" s="1922"/>
      <c r="I34" s="2007"/>
      <c r="J34" s="1922"/>
      <c r="K34" s="2007"/>
      <c r="L34" s="1922"/>
      <c r="M34" s="2007"/>
      <c r="N34" s="1922"/>
      <c r="O34" s="2007"/>
      <c r="P34" s="1922"/>
      <c r="Q34" s="2007"/>
      <c r="R34" s="1922"/>
      <c r="S34" s="2007"/>
    </row>
    <row r="35" spans="1:19">
      <c r="A35" s="2005"/>
      <c r="B35" s="2004"/>
      <c r="C35" s="1133"/>
      <c r="D35" s="1124"/>
      <c r="E35" s="1124"/>
      <c r="F35" s="1124"/>
      <c r="G35" s="1133"/>
      <c r="H35" s="1678"/>
      <c r="I35" s="2002"/>
      <c r="J35" s="1678"/>
      <c r="K35" s="2002"/>
      <c r="L35" s="1678"/>
      <c r="M35" s="2002"/>
      <c r="N35" s="1678"/>
      <c r="O35" s="2002"/>
      <c r="P35" s="1678"/>
      <c r="Q35" s="2002"/>
      <c r="R35" s="1678"/>
      <c r="S35" s="2002"/>
    </row>
    <row r="36" spans="1:19">
      <c r="A36" s="2005"/>
      <c r="B36" s="2008" t="s">
        <v>695</v>
      </c>
      <c r="C36" s="1225"/>
      <c r="D36" s="1223"/>
      <c r="E36" s="1223"/>
      <c r="F36" s="1223"/>
      <c r="G36" s="1225"/>
      <c r="H36" s="1925"/>
      <c r="I36" s="2009"/>
      <c r="J36" s="1925"/>
      <c r="K36" s="2009"/>
      <c r="L36" s="1925"/>
      <c r="M36" s="2009"/>
      <c r="N36" s="1925"/>
      <c r="O36" s="2009"/>
      <c r="P36" s="1925"/>
      <c r="Q36" s="2009"/>
      <c r="R36" s="1925"/>
      <c r="S36" s="2009"/>
    </row>
    <row r="37" spans="1:19">
      <c r="A37" s="2005"/>
      <c r="B37" s="2004"/>
      <c r="C37" s="1133"/>
      <c r="D37" s="1124"/>
      <c r="E37" s="1124"/>
      <c r="F37" s="1124"/>
      <c r="G37" s="1133"/>
      <c r="H37" s="1678"/>
      <c r="I37" s="2002"/>
      <c r="J37" s="1678"/>
      <c r="K37" s="2002"/>
      <c r="L37" s="1678"/>
      <c r="M37" s="2002"/>
      <c r="N37" s="1678"/>
      <c r="O37" s="2002"/>
      <c r="P37" s="1678"/>
      <c r="Q37" s="2002"/>
      <c r="R37" s="1678"/>
      <c r="S37" s="2002"/>
    </row>
    <row r="38" spans="1:19">
      <c r="A38" s="2005"/>
      <c r="B38" s="2006" t="s">
        <v>649</v>
      </c>
      <c r="C38" s="1218"/>
      <c r="D38" s="1216"/>
      <c r="E38" s="1216"/>
      <c r="F38" s="1216"/>
      <c r="G38" s="1218"/>
      <c r="H38" s="1922"/>
      <c r="I38" s="2007"/>
      <c r="J38" s="1922"/>
      <c r="K38" s="2007"/>
      <c r="L38" s="1922"/>
      <c r="M38" s="2007"/>
      <c r="N38" s="1922"/>
      <c r="O38" s="2007"/>
      <c r="P38" s="1922"/>
      <c r="Q38" s="2007"/>
      <c r="R38" s="1922"/>
      <c r="S38" s="2007"/>
    </row>
    <row r="39" spans="1:19">
      <c r="A39" s="2005"/>
      <c r="B39" s="2004"/>
      <c r="C39" s="1133"/>
      <c r="D39" s="1124"/>
      <c r="E39" s="1124"/>
      <c r="F39" s="1124"/>
      <c r="G39" s="1133"/>
      <c r="H39" s="1678"/>
      <c r="I39" s="2002"/>
      <c r="J39" s="1678"/>
      <c r="K39" s="2002"/>
      <c r="L39" s="1678"/>
      <c r="M39" s="2002"/>
      <c r="N39" s="1678"/>
      <c r="O39" s="2002"/>
      <c r="P39" s="1678"/>
      <c r="Q39" s="2002"/>
      <c r="R39" s="1678"/>
      <c r="S39" s="2002"/>
    </row>
    <row r="40" spans="1:19">
      <c r="A40" s="2005"/>
      <c r="B40" s="2008" t="s">
        <v>700</v>
      </c>
      <c r="C40" s="1225"/>
      <c r="D40" s="1223"/>
      <c r="E40" s="1223"/>
      <c r="F40" s="1223"/>
      <c r="G40" s="1225"/>
      <c r="H40" s="1925"/>
      <c r="I40" s="2009"/>
      <c r="J40" s="1925"/>
      <c r="K40" s="2009"/>
      <c r="L40" s="1925"/>
      <c r="M40" s="2009"/>
      <c r="N40" s="1925"/>
      <c r="O40" s="2009"/>
      <c r="P40" s="1925"/>
      <c r="Q40" s="2009"/>
      <c r="R40" s="1925"/>
      <c r="S40" s="2009"/>
    </row>
    <row r="41" spans="1:19">
      <c r="A41" s="2005"/>
      <c r="B41" s="1828" t="s">
        <v>949</v>
      </c>
      <c r="C41" s="1133" t="s">
        <v>702</v>
      </c>
      <c r="D41" s="1124">
        <v>179</v>
      </c>
      <c r="E41" s="1124" t="s">
        <v>723</v>
      </c>
      <c r="F41" s="1124">
        <v>8</v>
      </c>
      <c r="G41" s="1133">
        <f t="shared" ref="G41:G47" si="0">D41*F41</f>
        <v>1432</v>
      </c>
      <c r="H41" s="1678"/>
      <c r="I41" s="2002">
        <f t="shared" ref="I41:I47" si="1">G41</f>
        <v>1432</v>
      </c>
      <c r="J41" s="1678"/>
      <c r="K41" s="2002"/>
      <c r="L41" s="1678"/>
      <c r="M41" s="2002"/>
      <c r="N41" s="1678"/>
      <c r="O41" s="2002"/>
      <c r="P41" s="1678"/>
      <c r="Q41" s="2002"/>
      <c r="R41" s="1678"/>
      <c r="S41" s="2002"/>
    </row>
    <row r="42" spans="1:19">
      <c r="A42" s="2005"/>
      <c r="B42" s="1830" t="s">
        <v>950</v>
      </c>
      <c r="C42" s="1133" t="s">
        <v>702</v>
      </c>
      <c r="D42" s="1230">
        <v>96</v>
      </c>
      <c r="E42" s="1124" t="s">
        <v>723</v>
      </c>
      <c r="F42" s="1124">
        <f>F41</f>
        <v>8</v>
      </c>
      <c r="G42" s="2027">
        <f t="shared" si="0"/>
        <v>768</v>
      </c>
      <c r="H42" s="1678"/>
      <c r="I42" s="2002">
        <f t="shared" si="1"/>
        <v>768</v>
      </c>
      <c r="J42" s="1678"/>
      <c r="K42" s="2002"/>
      <c r="L42" s="1678"/>
      <c r="M42" s="2002"/>
      <c r="N42" s="1678"/>
      <c r="O42" s="2002"/>
      <c r="P42" s="1678"/>
      <c r="Q42" s="2002"/>
      <c r="R42" s="1678"/>
      <c r="S42" s="2002"/>
    </row>
    <row r="43" spans="1:19">
      <c r="A43" s="2005"/>
      <c r="B43" s="1830" t="s">
        <v>951</v>
      </c>
      <c r="C43" s="1133" t="s">
        <v>702</v>
      </c>
      <c r="D43" s="1230">
        <v>121</v>
      </c>
      <c r="E43" s="1124" t="s">
        <v>723</v>
      </c>
      <c r="F43" s="1124">
        <f t="shared" ref="F43:F44" si="2">F42</f>
        <v>8</v>
      </c>
      <c r="G43" s="2027">
        <f t="shared" si="0"/>
        <v>968</v>
      </c>
      <c r="H43" s="1678"/>
      <c r="I43" s="2002">
        <f t="shared" si="1"/>
        <v>968</v>
      </c>
      <c r="J43" s="1678"/>
      <c r="K43" s="2002"/>
      <c r="L43" s="1678"/>
      <c r="M43" s="2002"/>
      <c r="N43" s="1678"/>
      <c r="O43" s="2002"/>
      <c r="P43" s="1678"/>
      <c r="Q43" s="2002"/>
      <c r="R43" s="1678"/>
      <c r="S43" s="2002"/>
    </row>
    <row r="44" spans="1:19">
      <c r="A44" s="2005"/>
      <c r="B44" s="1830" t="s">
        <v>952</v>
      </c>
      <c r="C44" s="1133" t="s">
        <v>702</v>
      </c>
      <c r="D44" s="1230">
        <v>143</v>
      </c>
      <c r="E44" s="1124" t="s">
        <v>723</v>
      </c>
      <c r="F44" s="1124">
        <f t="shared" si="2"/>
        <v>8</v>
      </c>
      <c r="G44" s="2027">
        <f t="shared" si="0"/>
        <v>1144</v>
      </c>
      <c r="H44" s="1678"/>
      <c r="I44" s="2002">
        <f t="shared" si="1"/>
        <v>1144</v>
      </c>
      <c r="J44" s="1678"/>
      <c r="K44" s="2002"/>
      <c r="L44" s="1678"/>
      <c r="M44" s="2002"/>
      <c r="N44" s="1678"/>
      <c r="O44" s="2002"/>
      <c r="P44" s="1678"/>
      <c r="Q44" s="2002"/>
      <c r="R44" s="1678"/>
      <c r="S44" s="2002"/>
    </row>
    <row r="45" spans="1:19">
      <c r="A45" s="2005"/>
      <c r="B45" s="1829" t="s">
        <v>953</v>
      </c>
      <c r="C45" s="1133" t="s">
        <v>702</v>
      </c>
      <c r="D45" s="1230">
        <v>42</v>
      </c>
      <c r="E45" s="1124" t="s">
        <v>723</v>
      </c>
      <c r="F45" s="1124">
        <f>F44</f>
        <v>8</v>
      </c>
      <c r="G45" s="2027">
        <f t="shared" si="0"/>
        <v>336</v>
      </c>
      <c r="H45" s="1678"/>
      <c r="I45" s="2002">
        <f t="shared" si="1"/>
        <v>336</v>
      </c>
      <c r="J45" s="1678"/>
      <c r="K45" s="2002"/>
      <c r="L45" s="1678"/>
      <c r="M45" s="2002"/>
      <c r="N45" s="1678"/>
      <c r="O45" s="2002"/>
      <c r="P45" s="1678"/>
      <c r="Q45" s="2002"/>
      <c r="R45" s="1678"/>
      <c r="S45" s="2002"/>
    </row>
    <row r="46" spans="1:19">
      <c r="A46" s="2005"/>
      <c r="B46" s="1829" t="s">
        <v>954</v>
      </c>
      <c r="C46" s="1133" t="s">
        <v>702</v>
      </c>
      <c r="D46" s="1230">
        <v>143</v>
      </c>
      <c r="E46" s="1124" t="s">
        <v>723</v>
      </c>
      <c r="F46" s="1124">
        <f>F45</f>
        <v>8</v>
      </c>
      <c r="G46" s="2027">
        <f t="shared" si="0"/>
        <v>1144</v>
      </c>
      <c r="H46" s="1678"/>
      <c r="I46" s="2002">
        <f t="shared" si="1"/>
        <v>1144</v>
      </c>
      <c r="J46" s="1678"/>
      <c r="K46" s="2002"/>
      <c r="L46" s="1678"/>
      <c r="M46" s="2002"/>
      <c r="N46" s="1678"/>
      <c r="O46" s="2002"/>
      <c r="P46" s="1678"/>
      <c r="Q46" s="2002"/>
      <c r="R46" s="1678"/>
      <c r="S46" s="2002"/>
    </row>
    <row r="47" spans="1:19">
      <c r="A47" s="2005"/>
      <c r="B47" s="1829" t="s">
        <v>955</v>
      </c>
      <c r="C47" s="1133" t="s">
        <v>702</v>
      </c>
      <c r="D47" s="1230">
        <v>73</v>
      </c>
      <c r="E47" s="1124" t="s">
        <v>723</v>
      </c>
      <c r="F47" s="1124">
        <f>F46</f>
        <v>8</v>
      </c>
      <c r="G47" s="2027">
        <f t="shared" si="0"/>
        <v>584</v>
      </c>
      <c r="H47" s="1678"/>
      <c r="I47" s="2002">
        <f t="shared" si="1"/>
        <v>584</v>
      </c>
      <c r="J47" s="1678"/>
      <c r="K47" s="2002"/>
      <c r="L47" s="1678"/>
      <c r="M47" s="2002"/>
      <c r="N47" s="1678"/>
      <c r="O47" s="2002"/>
      <c r="P47" s="1678"/>
      <c r="Q47" s="2002"/>
      <c r="R47" s="1678"/>
      <c r="S47" s="2002"/>
    </row>
    <row r="48" spans="1:19">
      <c r="A48" s="2005"/>
      <c r="B48" s="1828"/>
      <c r="C48" s="1133"/>
      <c r="D48" s="1124"/>
      <c r="E48" s="1124"/>
      <c r="F48" s="1124"/>
      <c r="G48" s="1133"/>
      <c r="H48" s="1678"/>
      <c r="I48" s="2002"/>
      <c r="J48" s="1678"/>
      <c r="K48" s="2002"/>
      <c r="L48" s="1678"/>
      <c r="M48" s="2002"/>
      <c r="N48" s="1678"/>
      <c r="O48" s="2002"/>
      <c r="P48" s="1678"/>
      <c r="Q48" s="2002"/>
      <c r="R48" s="1678"/>
      <c r="S48" s="2002"/>
    </row>
    <row r="49" spans="1:19">
      <c r="A49" s="2005"/>
      <c r="B49" s="2006" t="s">
        <v>703</v>
      </c>
      <c r="C49" s="1218"/>
      <c r="D49" s="1216"/>
      <c r="E49" s="1216"/>
      <c r="F49" s="1216"/>
      <c r="G49" s="1218"/>
      <c r="H49" s="1922"/>
      <c r="I49" s="2007"/>
      <c r="J49" s="1922"/>
      <c r="K49" s="2007"/>
      <c r="L49" s="1922"/>
      <c r="M49" s="2007"/>
      <c r="N49" s="1922"/>
      <c r="O49" s="2007"/>
      <c r="P49" s="1922"/>
      <c r="Q49" s="2007"/>
      <c r="R49" s="1922"/>
      <c r="S49" s="2007"/>
    </row>
    <row r="50" spans="1:19">
      <c r="A50" s="2005"/>
      <c r="B50" s="2004"/>
      <c r="C50" s="1133"/>
      <c r="D50" s="1124"/>
      <c r="E50" s="1124"/>
      <c r="F50" s="1124"/>
      <c r="G50" s="1133"/>
      <c r="H50" s="1678"/>
      <c r="I50" s="2002"/>
      <c r="J50" s="1678"/>
      <c r="K50" s="2002"/>
      <c r="L50" s="1678"/>
      <c r="M50" s="2002"/>
      <c r="N50" s="1678"/>
      <c r="O50" s="2002"/>
      <c r="P50" s="1678"/>
      <c r="Q50" s="2002"/>
      <c r="R50" s="1678"/>
      <c r="S50" s="2002"/>
    </row>
    <row r="51" spans="1:19">
      <c r="A51" s="2005"/>
      <c r="B51" s="2008" t="s">
        <v>704</v>
      </c>
      <c r="C51" s="1225"/>
      <c r="D51" s="1223"/>
      <c r="E51" s="1223"/>
      <c r="F51" s="1223"/>
      <c r="G51" s="1225"/>
      <c r="H51" s="1925"/>
      <c r="I51" s="2009"/>
      <c r="J51" s="1925"/>
      <c r="K51" s="2009"/>
      <c r="L51" s="1925"/>
      <c r="M51" s="2009"/>
      <c r="N51" s="1925"/>
      <c r="O51" s="2009"/>
      <c r="P51" s="1925"/>
      <c r="Q51" s="2009"/>
      <c r="R51" s="1925"/>
      <c r="S51" s="2009"/>
    </row>
    <row r="52" spans="1:19">
      <c r="A52" s="2005"/>
      <c r="B52" s="1828" t="s">
        <v>956</v>
      </c>
      <c r="C52" s="1133" t="s">
        <v>702</v>
      </c>
      <c r="D52" s="1124">
        <v>2188</v>
      </c>
      <c r="E52" s="1124" t="s">
        <v>723</v>
      </c>
      <c r="F52" s="1124">
        <v>12</v>
      </c>
      <c r="G52" s="1133">
        <f>D52*F52</f>
        <v>26256</v>
      </c>
      <c r="H52" s="1678"/>
      <c r="I52" s="2002">
        <f>G52</f>
        <v>26256</v>
      </c>
      <c r="J52" s="1678"/>
      <c r="K52" s="2002"/>
      <c r="L52" s="1678"/>
      <c r="M52" s="2002"/>
      <c r="N52" s="1678"/>
      <c r="O52" s="2002"/>
      <c r="P52" s="1678"/>
      <c r="Q52" s="2002"/>
      <c r="R52" s="1678"/>
      <c r="S52" s="2002"/>
    </row>
    <row r="53" spans="1:19">
      <c r="A53" s="2005"/>
      <c r="B53" s="2004"/>
      <c r="C53" s="1133"/>
      <c r="D53" s="1124"/>
      <c r="E53" s="1124"/>
      <c r="F53" s="1124"/>
      <c r="G53" s="1133"/>
      <c r="H53" s="1678"/>
      <c r="I53" s="2002"/>
      <c r="J53" s="1678"/>
      <c r="K53" s="2002"/>
      <c r="L53" s="1678"/>
      <c r="M53" s="2002"/>
      <c r="N53" s="1678"/>
      <c r="O53" s="2002"/>
      <c r="P53" s="1678"/>
      <c r="Q53" s="2002"/>
      <c r="R53" s="1678"/>
      <c r="S53" s="2002"/>
    </row>
    <row r="54" spans="1:19">
      <c r="A54" s="2005"/>
      <c r="B54" s="2006" t="s">
        <v>705</v>
      </c>
      <c r="C54" s="1218"/>
      <c r="D54" s="1216"/>
      <c r="E54" s="1216"/>
      <c r="F54" s="1216"/>
      <c r="G54" s="1218"/>
      <c r="H54" s="1922"/>
      <c r="I54" s="2007"/>
      <c r="J54" s="1922"/>
      <c r="K54" s="2007"/>
      <c r="L54" s="1922"/>
      <c r="M54" s="2007"/>
      <c r="N54" s="1922"/>
      <c r="O54" s="2007"/>
      <c r="P54" s="1922"/>
      <c r="Q54" s="2007"/>
      <c r="R54" s="1922"/>
      <c r="S54" s="2007"/>
    </row>
    <row r="55" spans="1:19">
      <c r="A55" s="2005"/>
      <c r="B55" s="2004"/>
      <c r="C55" s="1133"/>
      <c r="D55" s="1124"/>
      <c r="E55" s="1124"/>
      <c r="F55" s="1124"/>
      <c r="G55" s="1133"/>
      <c r="H55" s="1678"/>
      <c r="I55" s="2002"/>
      <c r="J55" s="1678"/>
      <c r="K55" s="2002"/>
      <c r="L55" s="1678"/>
      <c r="M55" s="2002"/>
      <c r="N55" s="1678"/>
      <c r="O55" s="2002"/>
      <c r="P55" s="1678"/>
      <c r="Q55" s="2002"/>
      <c r="R55" s="1678"/>
      <c r="S55" s="2002"/>
    </row>
    <row r="56" spans="1:19">
      <c r="A56" s="2005"/>
      <c r="B56" s="2008" t="s">
        <v>602</v>
      </c>
      <c r="C56" s="1225"/>
      <c r="D56" s="1223"/>
      <c r="E56" s="1223"/>
      <c r="F56" s="1223"/>
      <c r="G56" s="1225"/>
      <c r="H56" s="1925"/>
      <c r="I56" s="2009"/>
      <c r="J56" s="1925"/>
      <c r="K56" s="2009"/>
      <c r="L56" s="1925"/>
      <c r="M56" s="2009"/>
      <c r="N56" s="1925"/>
      <c r="O56" s="2009"/>
      <c r="P56" s="1925"/>
      <c r="Q56" s="2009"/>
      <c r="R56" s="1925"/>
      <c r="S56" s="2009"/>
    </row>
    <row r="57" spans="1:19">
      <c r="A57" s="2005"/>
      <c r="B57" s="2004"/>
      <c r="C57" s="1133"/>
      <c r="D57" s="1124"/>
      <c r="E57" s="1124"/>
      <c r="F57" s="1124"/>
      <c r="G57" s="1133"/>
      <c r="H57" s="1678"/>
      <c r="I57" s="2002"/>
      <c r="J57" s="1678"/>
      <c r="K57" s="2002"/>
      <c r="L57" s="1678"/>
      <c r="M57" s="2002"/>
      <c r="N57" s="1678"/>
      <c r="O57" s="2002"/>
      <c r="P57" s="1678"/>
      <c r="Q57" s="2002"/>
      <c r="R57" s="1678"/>
      <c r="S57" s="2002"/>
    </row>
    <row r="58" spans="1:19">
      <c r="A58" s="2005"/>
      <c r="B58" s="2004"/>
      <c r="C58" s="1133"/>
      <c r="D58" s="1124"/>
      <c r="E58" s="1124"/>
      <c r="F58" s="1124"/>
      <c r="G58" s="1133"/>
      <c r="H58" s="1678"/>
      <c r="I58" s="2002"/>
      <c r="J58" s="1678"/>
      <c r="K58" s="2002"/>
      <c r="L58" s="1678"/>
      <c r="M58" s="2002"/>
      <c r="N58" s="1678"/>
      <c r="O58" s="2002"/>
      <c r="P58" s="1678"/>
      <c r="Q58" s="2002"/>
      <c r="R58" s="1678"/>
      <c r="S58" s="2002"/>
    </row>
    <row r="59" spans="1:19" ht="15.75" thickBot="1">
      <c r="A59" s="2005"/>
      <c r="B59" s="245" t="s">
        <v>288</v>
      </c>
      <c r="C59" s="2028"/>
      <c r="D59" s="1124"/>
      <c r="E59" s="1124"/>
      <c r="F59" s="1124"/>
      <c r="G59" s="1133"/>
      <c r="H59" s="1678"/>
      <c r="I59" s="2002"/>
      <c r="J59" s="1678"/>
      <c r="K59" s="2002"/>
      <c r="L59" s="1678"/>
      <c r="M59" s="2002"/>
      <c r="N59" s="1678"/>
      <c r="O59" s="2002"/>
      <c r="P59" s="1678"/>
      <c r="Q59" s="2002"/>
      <c r="R59" s="1678"/>
      <c r="S59" s="2002"/>
    </row>
    <row r="60" spans="1:19" ht="15.75" thickTop="1">
      <c r="A60" s="14"/>
      <c r="B60" s="15"/>
      <c r="C60" s="16"/>
      <c r="D60" s="16"/>
      <c r="E60" s="17"/>
      <c r="F60" s="18" t="s">
        <v>567</v>
      </c>
      <c r="G60" s="19"/>
      <c r="H60" s="20"/>
      <c r="I60" s="61">
        <f>SUM(I24:I59)</f>
        <v>32632</v>
      </c>
      <c r="J60" s="20"/>
      <c r="K60" s="61">
        <f>SUM(K24:K59)</f>
        <v>0</v>
      </c>
      <c r="L60" s="20"/>
      <c r="M60" s="61">
        <f>SUM(M24:M59)</f>
        <v>0</v>
      </c>
      <c r="N60" s="20"/>
      <c r="O60" s="61">
        <f>SUM(O27:O59)</f>
        <v>0</v>
      </c>
      <c r="P60" s="20"/>
      <c r="Q60" s="61">
        <f>SUM(Q27:Q59)</f>
        <v>0</v>
      </c>
      <c r="R60" s="20"/>
      <c r="S60" s="61">
        <f>SUM(S27:S59)</f>
        <v>0</v>
      </c>
    </row>
    <row r="61" spans="1:19">
      <c r="A61" s="2029"/>
      <c r="B61" s="2030"/>
      <c r="C61" s="2031"/>
      <c r="D61" s="2031"/>
      <c r="E61" s="2032"/>
      <c r="F61" s="2033" t="s">
        <v>568</v>
      </c>
      <c r="G61" s="2034"/>
      <c r="H61" s="2035">
        <v>0</v>
      </c>
      <c r="I61" s="2036"/>
      <c r="J61" s="2037">
        <v>0</v>
      </c>
      <c r="K61" s="2036"/>
      <c r="L61" s="2037">
        <v>0</v>
      </c>
      <c r="M61" s="2036"/>
      <c r="N61" s="2035">
        <v>0</v>
      </c>
      <c r="O61" s="2036"/>
      <c r="P61" s="2035">
        <v>0</v>
      </c>
      <c r="Q61" s="2036"/>
      <c r="R61" s="2035">
        <v>0</v>
      </c>
      <c r="S61" s="2036"/>
    </row>
    <row r="62" spans="1:19">
      <c r="A62" s="2029"/>
      <c r="B62" s="2030"/>
      <c r="C62" s="2031"/>
      <c r="D62" s="2031"/>
      <c r="E62" s="2032"/>
      <c r="F62" s="2033" t="s">
        <v>569</v>
      </c>
      <c r="G62" s="2034"/>
      <c r="H62" s="2038"/>
      <c r="I62" s="2039">
        <f>H61*I60</f>
        <v>0</v>
      </c>
      <c r="J62" s="2038"/>
      <c r="K62" s="2039">
        <f>J61*K60</f>
        <v>0</v>
      </c>
      <c r="L62" s="2038"/>
      <c r="M62" s="2039">
        <f>L61*M60</f>
        <v>0</v>
      </c>
      <c r="N62" s="2038"/>
      <c r="O62" s="2039">
        <f>N61*O60</f>
        <v>0</v>
      </c>
      <c r="P62" s="2038"/>
      <c r="Q62" s="2039">
        <f>P61*Q60</f>
        <v>0</v>
      </c>
      <c r="R62" s="2038"/>
      <c r="S62" s="2039">
        <f>R61*S60</f>
        <v>0</v>
      </c>
    </row>
    <row r="63" spans="1:19">
      <c r="A63" s="2029"/>
      <c r="B63" s="2030"/>
      <c r="C63" s="2031"/>
      <c r="D63" s="2031"/>
      <c r="E63" s="2032"/>
      <c r="F63" s="2033"/>
      <c r="G63" s="2034"/>
      <c r="H63" s="2038"/>
      <c r="I63" s="2040"/>
      <c r="J63" s="2038"/>
      <c r="K63" s="2040"/>
      <c r="L63" s="2038"/>
      <c r="M63" s="2040"/>
      <c r="N63" s="2038"/>
      <c r="O63" s="2040"/>
      <c r="P63" s="2038"/>
      <c r="Q63" s="2040"/>
      <c r="R63" s="2038"/>
      <c r="S63" s="2040"/>
    </row>
    <row r="64" spans="1:19">
      <c r="A64" s="2029"/>
      <c r="B64" s="2030"/>
      <c r="C64" s="2031"/>
      <c r="D64" s="2031"/>
      <c r="E64" s="2032"/>
      <c r="F64" s="2033" t="s">
        <v>570</v>
      </c>
      <c r="G64" s="2034"/>
      <c r="H64" s="2041"/>
      <c r="I64" s="2042">
        <f>SUM(I60:I62)</f>
        <v>32632</v>
      </c>
      <c r="J64" s="2041"/>
      <c r="K64" s="2042">
        <f>SUM(K60:K62)</f>
        <v>0</v>
      </c>
      <c r="L64" s="2041"/>
      <c r="M64" s="2042">
        <f>SUM(M60:M62)</f>
        <v>0</v>
      </c>
      <c r="N64" s="2041"/>
      <c r="O64" s="2042">
        <f>SUM(O60:O62)</f>
        <v>0</v>
      </c>
      <c r="P64" s="2041"/>
      <c r="Q64" s="2042">
        <f>SUM(Q60:Q62)</f>
        <v>0</v>
      </c>
      <c r="R64" s="2041"/>
      <c r="S64" s="2042">
        <f>SUM(S60:S62)</f>
        <v>0</v>
      </c>
    </row>
    <row r="65" spans="1:19">
      <c r="A65" s="2029"/>
      <c r="B65" s="2030"/>
      <c r="C65" s="2031"/>
      <c r="D65" s="2031"/>
      <c r="E65" s="2032"/>
      <c r="F65" s="2043" t="s">
        <v>571</v>
      </c>
      <c r="G65" s="2044"/>
      <c r="H65" s="2045"/>
      <c r="I65" s="2046" t="e">
        <f>I64/'Area Calculations'!$J$4</f>
        <v>#DIV/0!</v>
      </c>
      <c r="J65" s="2045"/>
      <c r="K65" s="2046" t="e">
        <f>K64/'Area Calculations'!$J$4</f>
        <v>#DIV/0!</v>
      </c>
      <c r="L65" s="2045"/>
      <c r="M65" s="2046" t="e">
        <f>M64/'Area Calculations'!$J$4</f>
        <v>#DIV/0!</v>
      </c>
      <c r="N65" s="2045"/>
      <c r="O65" s="2046" t="e">
        <f>O64/'Area Calculations'!$J$4</f>
        <v>#DIV/0!</v>
      </c>
      <c r="P65" s="2045"/>
      <c r="Q65" s="2046" t="e">
        <f>Q64/'Area Calculations'!$J$4</f>
        <v>#DIV/0!</v>
      </c>
      <c r="R65" s="2045"/>
      <c r="S65" s="2046" t="e">
        <f>S64/'Area Calculations'!$J$4</f>
        <v>#DIV/0!</v>
      </c>
    </row>
    <row r="66" spans="1:19">
      <c r="A66" s="2029"/>
      <c r="B66" s="2030"/>
      <c r="C66" s="2031"/>
      <c r="D66" s="2031"/>
      <c r="E66" s="2032"/>
      <c r="F66" s="2043" t="s">
        <v>572</v>
      </c>
      <c r="G66" s="2047"/>
      <c r="H66" s="2045"/>
      <c r="I66" s="2046" t="e">
        <f>I64/'Area Calculations'!#REF!</f>
        <v>#REF!</v>
      </c>
      <c r="J66" s="2045"/>
      <c r="K66" s="2046" t="e">
        <f>K64/'Area Calculations'!#REF!</f>
        <v>#REF!</v>
      </c>
      <c r="L66" s="2045"/>
      <c r="M66" s="2046" t="e">
        <f>M64/'Area Calculations'!#REF!</f>
        <v>#REF!</v>
      </c>
      <c r="N66" s="2045"/>
      <c r="O66" s="2046" t="e">
        <f>O64/'Area Calculations'!#REF!</f>
        <v>#REF!</v>
      </c>
      <c r="P66" s="2045"/>
      <c r="Q66" s="2046" t="e">
        <f>Q64/'Area Calculations'!#REF!</f>
        <v>#REF!</v>
      </c>
      <c r="R66" s="2045"/>
      <c r="S66" s="2046" t="e">
        <f>S64/'Area Calculations'!#REF!</f>
        <v>#REF!</v>
      </c>
    </row>
    <row r="67" spans="1:19" ht="15.75" thickBot="1">
      <c r="A67" s="2029"/>
      <c r="B67" s="2030"/>
      <c r="C67" s="2031"/>
      <c r="D67" s="2031"/>
      <c r="E67" s="2032"/>
      <c r="F67" s="2033"/>
      <c r="G67" s="2048"/>
      <c r="H67" s="2049"/>
      <c r="I67" s="2050"/>
      <c r="J67" s="2051"/>
      <c r="K67" s="2051"/>
      <c r="L67" s="2051"/>
      <c r="M67" s="2051"/>
      <c r="N67" s="2051"/>
      <c r="O67" s="2052"/>
      <c r="P67" s="2051"/>
      <c r="Q67" s="2052"/>
      <c r="R67" s="2051"/>
      <c r="S67" s="2052"/>
    </row>
    <row r="68" spans="1:19" ht="16.5" thickTop="1" thickBot="1">
      <c r="A68" s="726" t="s">
        <v>573</v>
      </c>
      <c r="B68" s="727"/>
      <c r="C68" s="12"/>
      <c r="D68" s="12"/>
      <c r="E68" s="12"/>
      <c r="F68" s="12"/>
      <c r="G68" s="13"/>
      <c r="H68" s="21"/>
      <c r="I68" s="21"/>
      <c r="J68" s="21"/>
      <c r="K68" s="21"/>
      <c r="L68" s="21"/>
      <c r="M68" s="21"/>
      <c r="N68" s="21"/>
      <c r="O68" s="21"/>
      <c r="P68" s="21"/>
      <c r="Q68" s="21"/>
      <c r="R68" s="21"/>
      <c r="S68" s="21"/>
    </row>
    <row r="69" spans="1:19" ht="15.75" thickTop="1">
      <c r="A69" s="2011"/>
      <c r="B69" s="862"/>
      <c r="C69" s="2012"/>
      <c r="D69" s="2012"/>
      <c r="E69" s="2012"/>
      <c r="F69" s="2012"/>
      <c r="G69" s="2013"/>
      <c r="H69" s="2014"/>
      <c r="I69" s="2014"/>
      <c r="J69" s="2014"/>
      <c r="K69" s="2014"/>
      <c r="L69" s="2014"/>
      <c r="M69" s="2014"/>
      <c r="N69" s="2014"/>
      <c r="O69" s="2014"/>
      <c r="P69" s="2014"/>
      <c r="Q69" s="2014"/>
      <c r="R69" s="2014"/>
      <c r="S69" s="2014"/>
    </row>
    <row r="70" spans="1:19">
      <c r="A70" s="2011"/>
      <c r="B70" s="862"/>
      <c r="C70" s="2012"/>
      <c r="D70" s="2012"/>
      <c r="E70" s="2012"/>
      <c r="F70" s="2012"/>
      <c r="G70" s="2013"/>
      <c r="H70" s="2014"/>
      <c r="I70" s="2014"/>
      <c r="J70" s="2014"/>
      <c r="K70" s="2014"/>
      <c r="L70" s="2014"/>
      <c r="M70" s="2014"/>
      <c r="N70" s="2014"/>
      <c r="O70" s="2014"/>
      <c r="P70" s="2014"/>
      <c r="Q70" s="2014"/>
      <c r="R70" s="2014"/>
      <c r="S70" s="2014"/>
    </row>
    <row r="71" spans="1:19" ht="15.75" thickBot="1">
      <c r="A71" s="2011"/>
      <c r="B71" s="862"/>
      <c r="C71" s="2012"/>
      <c r="D71" s="2012"/>
      <c r="E71" s="2012"/>
      <c r="F71" s="2012"/>
      <c r="G71" s="2013"/>
      <c r="H71" s="2014"/>
      <c r="I71" s="2014"/>
      <c r="J71" s="2014"/>
      <c r="K71" s="2014"/>
      <c r="L71" s="2014"/>
      <c r="M71" s="2014"/>
      <c r="N71" s="2014"/>
      <c r="O71" s="2014"/>
      <c r="P71" s="2014"/>
      <c r="Q71" s="2014"/>
      <c r="R71" s="2014"/>
      <c r="S71" s="2014"/>
    </row>
    <row r="72" spans="1:19" s="2" customFormat="1" ht="16.5" thickTop="1" thickBot="1">
      <c r="A72" s="726" t="s">
        <v>574</v>
      </c>
      <c r="B72" s="727"/>
      <c r="C72" s="12"/>
      <c r="D72" s="12"/>
      <c r="E72" s="12"/>
      <c r="F72" s="12"/>
      <c r="G72" s="13"/>
      <c r="H72" s="21"/>
      <c r="I72" s="21"/>
      <c r="J72" s="21"/>
      <c r="K72" s="21"/>
      <c r="L72" s="21"/>
      <c r="M72" s="21"/>
      <c r="N72" s="21"/>
      <c r="O72" s="21"/>
      <c r="P72" s="21"/>
      <c r="Q72" s="21"/>
      <c r="R72" s="21"/>
      <c r="S72" s="21"/>
    </row>
    <row r="73" spans="1:19" s="2" customFormat="1" ht="15.75" thickTop="1">
      <c r="A73" s="2011"/>
      <c r="B73" s="862"/>
      <c r="C73" s="2012"/>
      <c r="D73" s="2012"/>
      <c r="E73" s="2012"/>
      <c r="F73" s="2012"/>
      <c r="G73" s="2013"/>
      <c r="H73" s="2014"/>
      <c r="I73" s="2014"/>
      <c r="J73" s="2014"/>
      <c r="K73" s="2014"/>
      <c r="L73" s="2014"/>
      <c r="M73" s="2014"/>
      <c r="N73" s="2014"/>
      <c r="O73" s="2014"/>
      <c r="P73" s="2014"/>
      <c r="Q73" s="2014"/>
      <c r="R73" s="2014"/>
      <c r="S73" s="2014"/>
    </row>
    <row r="74" spans="1:19" s="2" customFormat="1">
      <c r="A74" s="2011"/>
      <c r="B74" s="862"/>
      <c r="C74" s="2012"/>
      <c r="D74" s="2012"/>
      <c r="E74" s="2012"/>
      <c r="F74" s="2012"/>
      <c r="G74" s="2013"/>
      <c r="H74" s="2014"/>
      <c r="I74" s="2014"/>
      <c r="J74" s="2014"/>
      <c r="K74" s="2014"/>
      <c r="L74" s="2014"/>
      <c r="M74" s="2014"/>
      <c r="N74" s="2014"/>
      <c r="O74" s="2014"/>
      <c r="P74" s="2014"/>
      <c r="Q74" s="2014"/>
      <c r="R74" s="2014"/>
      <c r="S74" s="2014"/>
    </row>
    <row r="75" spans="1:19" ht="15.75" thickBot="1">
      <c r="A75" s="2011"/>
      <c r="B75" s="862"/>
      <c r="C75" s="2012"/>
      <c r="D75" s="2012"/>
      <c r="E75" s="2012"/>
      <c r="F75" s="2012"/>
      <c r="G75" s="2013"/>
      <c r="H75" s="2014"/>
      <c r="I75" s="2014"/>
      <c r="J75" s="2014"/>
      <c r="K75" s="2014"/>
      <c r="L75" s="2014"/>
      <c r="M75" s="2014"/>
      <c r="N75" s="2014"/>
      <c r="O75" s="2014"/>
      <c r="P75" s="2014"/>
      <c r="Q75" s="2014"/>
      <c r="R75" s="2014"/>
      <c r="S75" s="2014"/>
    </row>
    <row r="76" spans="1:19" s="2" customFormat="1" ht="16.5" thickTop="1" thickBot="1">
      <c r="A76" s="726" t="s">
        <v>575</v>
      </c>
      <c r="B76" s="727"/>
      <c r="C76" s="12"/>
      <c r="D76" s="12"/>
      <c r="E76" s="12"/>
      <c r="F76" s="12"/>
      <c r="G76" s="13"/>
      <c r="H76" s="21"/>
      <c r="I76" s="21"/>
      <c r="J76" s="21"/>
      <c r="K76" s="21"/>
      <c r="L76" s="21"/>
      <c r="M76" s="21"/>
      <c r="N76" s="21"/>
      <c r="O76" s="21"/>
      <c r="P76" s="21"/>
      <c r="Q76" s="21"/>
      <c r="R76" s="21"/>
      <c r="S76" s="21"/>
    </row>
    <row r="77" spans="1:19" s="2" customFormat="1" ht="15.75" thickTop="1">
      <c r="A77" s="2011"/>
      <c r="B77" s="862"/>
      <c r="C77" s="2012"/>
      <c r="D77" s="2012"/>
      <c r="E77" s="2012"/>
      <c r="F77" s="2012"/>
      <c r="G77" s="2013"/>
      <c r="H77" s="2014"/>
      <c r="I77" s="2014"/>
      <c r="J77" s="2014"/>
      <c r="K77" s="2014"/>
      <c r="L77" s="2014"/>
      <c r="M77" s="2014"/>
      <c r="N77" s="2014"/>
      <c r="O77" s="2014"/>
      <c r="P77" s="2014"/>
      <c r="Q77" s="2014"/>
      <c r="R77" s="2014"/>
      <c r="S77" s="2014"/>
    </row>
    <row r="78" spans="1:19" s="2" customFormat="1">
      <c r="A78" s="628"/>
      <c r="B78" s="862"/>
      <c r="C78" s="1124"/>
      <c r="D78" s="1124"/>
      <c r="E78" s="1124"/>
      <c r="F78" s="1124"/>
      <c r="G78" s="1133"/>
      <c r="H78" s="2053"/>
      <c r="I78" s="2053"/>
      <c r="J78" s="2053"/>
      <c r="K78" s="2053"/>
      <c r="L78" s="2053"/>
      <c r="M78" s="2053"/>
      <c r="N78" s="2053"/>
      <c r="O78" s="2053"/>
      <c r="P78" s="2053"/>
      <c r="Q78" s="2053"/>
      <c r="R78" s="2053"/>
      <c r="S78" s="2053"/>
    </row>
    <row r="79" spans="1:19" s="2" customFormat="1" ht="15.75" thickBot="1">
      <c r="A79" s="2054"/>
      <c r="B79" s="2055"/>
      <c r="C79" s="1124"/>
      <c r="D79" s="1124"/>
      <c r="E79" s="1124"/>
      <c r="F79" s="1124"/>
      <c r="G79" s="1133"/>
      <c r="H79" s="2056"/>
      <c r="I79" s="2056"/>
      <c r="J79" s="2056"/>
      <c r="K79" s="2056"/>
      <c r="L79" s="2056"/>
      <c r="M79" s="2056"/>
      <c r="N79" s="2056"/>
      <c r="O79" s="2056"/>
      <c r="P79" s="2056"/>
      <c r="Q79" s="2056"/>
      <c r="R79" s="2056"/>
      <c r="S79" s="2056"/>
    </row>
    <row r="80" spans="1:19" s="2" customFormat="1" ht="16.5" thickTop="1" thickBot="1">
      <c r="A80" s="726" t="s">
        <v>576</v>
      </c>
      <c r="B80" s="727"/>
      <c r="C80" s="12"/>
      <c r="D80" s="12"/>
      <c r="E80" s="12"/>
      <c r="F80" s="12"/>
      <c r="G80" s="13"/>
      <c r="H80" s="21"/>
      <c r="I80" s="21"/>
      <c r="J80" s="21"/>
      <c r="K80" s="21"/>
      <c r="L80" s="21"/>
      <c r="M80" s="21"/>
      <c r="N80" s="21"/>
      <c r="O80" s="21"/>
      <c r="P80" s="21"/>
      <c r="Q80" s="21"/>
      <c r="R80" s="21"/>
      <c r="S80" s="21"/>
    </row>
    <row r="81" spans="1:19" ht="15.75" thickTop="1">
      <c r="A81" s="2016"/>
      <c r="B81" s="2017"/>
      <c r="C81" s="2012"/>
      <c r="D81" s="2012"/>
      <c r="E81" s="2012"/>
      <c r="F81" s="2012"/>
      <c r="G81" s="2013"/>
      <c r="H81" s="2014"/>
      <c r="I81" s="2014"/>
      <c r="J81" s="2014"/>
      <c r="K81" s="2014"/>
      <c r="L81" s="2014"/>
      <c r="M81" s="2014"/>
      <c r="N81" s="2014"/>
      <c r="O81" s="2014"/>
      <c r="P81" s="2014"/>
      <c r="Q81" s="2014"/>
      <c r="R81" s="2014"/>
      <c r="S81" s="2014"/>
    </row>
    <row r="82" spans="1:19">
      <c r="A82" s="2054"/>
      <c r="B82" s="2055"/>
      <c r="C82" s="1124"/>
      <c r="D82" s="1124"/>
      <c r="E82" s="1124"/>
      <c r="F82" s="1124"/>
      <c r="G82" s="1133"/>
      <c r="H82" s="2057"/>
      <c r="I82" s="2057"/>
      <c r="J82" s="2057"/>
      <c r="K82" s="2057"/>
      <c r="L82" s="2057"/>
      <c r="M82" s="2057"/>
      <c r="N82" s="2057"/>
      <c r="O82" s="2057"/>
      <c r="P82" s="2057"/>
      <c r="Q82" s="2057"/>
      <c r="R82" s="2057"/>
      <c r="S82" s="2057"/>
    </row>
    <row r="83" spans="1:19" ht="15.75" thickBot="1">
      <c r="A83" s="2054"/>
      <c r="B83" s="2055"/>
      <c r="C83" s="1124"/>
      <c r="D83" s="1124"/>
      <c r="E83" s="1124"/>
      <c r="F83" s="1124"/>
      <c r="G83" s="1133"/>
      <c r="H83" s="2057"/>
      <c r="I83" s="2057"/>
      <c r="J83" s="2057"/>
      <c r="K83" s="2057"/>
      <c r="L83" s="2057"/>
      <c r="M83" s="2057"/>
      <c r="N83" s="2057"/>
      <c r="O83" s="2057"/>
      <c r="P83" s="2057"/>
      <c r="Q83" s="2057"/>
      <c r="R83" s="2057"/>
      <c r="S83" s="2057"/>
    </row>
    <row r="84" spans="1:19" ht="16.5" thickTop="1" thickBot="1">
      <c r="A84" s="726" t="s">
        <v>577</v>
      </c>
      <c r="B84" s="727"/>
      <c r="C84" s="12"/>
      <c r="D84" s="12"/>
      <c r="E84" s="12"/>
      <c r="F84" s="12"/>
      <c r="G84" s="13"/>
      <c r="H84" s="21"/>
      <c r="I84" s="21"/>
      <c r="J84" s="21"/>
      <c r="K84" s="21"/>
      <c r="L84" s="21"/>
      <c r="M84" s="21"/>
      <c r="N84" s="21"/>
      <c r="O84" s="21"/>
      <c r="P84" s="21"/>
      <c r="Q84" s="21"/>
      <c r="R84" s="21"/>
      <c r="S84" s="21"/>
    </row>
    <row r="85" spans="1:19" ht="15.75" thickTop="1">
      <c r="A85" s="628"/>
      <c r="B85" s="862" t="s">
        <v>578</v>
      </c>
      <c r="C85" s="1124"/>
      <c r="D85" s="1124"/>
      <c r="E85" s="1124"/>
      <c r="F85" s="1124"/>
      <c r="G85" s="1133"/>
      <c r="H85" s="2057"/>
      <c r="I85" s="2057"/>
      <c r="J85" s="2057"/>
      <c r="K85" s="2057"/>
      <c r="L85" s="2057"/>
      <c r="M85" s="2057"/>
      <c r="N85" s="2057"/>
      <c r="O85" s="2057"/>
      <c r="P85" s="2057"/>
      <c r="Q85" s="2057"/>
      <c r="R85" s="2057"/>
      <c r="S85" s="2057"/>
    </row>
    <row r="86" spans="1:19">
      <c r="A86" s="628"/>
      <c r="B86" s="862" t="s">
        <v>579</v>
      </c>
      <c r="C86" s="1124"/>
      <c r="D86" s="1124"/>
      <c r="E86" s="1124"/>
      <c r="F86" s="1124"/>
      <c r="G86" s="1133"/>
      <c r="H86" s="2057"/>
      <c r="I86" s="2057"/>
      <c r="J86" s="2057"/>
      <c r="K86" s="2057"/>
      <c r="L86" s="2057"/>
      <c r="M86" s="2057"/>
      <c r="N86" s="2057"/>
      <c r="O86" s="2057"/>
      <c r="P86" s="2057"/>
      <c r="Q86" s="2057"/>
      <c r="R86" s="2057"/>
      <c r="S86" s="2057"/>
    </row>
    <row r="87" spans="1:19">
      <c r="A87" s="628"/>
      <c r="B87" s="862" t="s">
        <v>580</v>
      </c>
      <c r="C87" s="1124"/>
      <c r="D87" s="1124"/>
      <c r="E87" s="1124"/>
      <c r="F87" s="1124"/>
      <c r="G87" s="1133"/>
      <c r="H87" s="2057"/>
      <c r="I87" s="2057"/>
      <c r="J87" s="2057"/>
      <c r="K87" s="2057"/>
      <c r="L87" s="2057"/>
      <c r="M87" s="2057"/>
      <c r="N87" s="2057"/>
      <c r="O87" s="2057"/>
      <c r="P87" s="2057"/>
      <c r="Q87" s="2057"/>
      <c r="R87" s="2057"/>
      <c r="S87" s="2057"/>
    </row>
    <row r="88" spans="1:19">
      <c r="A88" s="628"/>
      <c r="B88" s="862" t="s">
        <v>581</v>
      </c>
      <c r="C88" s="1124"/>
      <c r="D88" s="1124"/>
      <c r="E88" s="1124"/>
      <c r="F88" s="1124"/>
      <c r="G88" s="1133"/>
      <c r="H88" s="2057"/>
      <c r="I88" s="2057"/>
      <c r="J88" s="2057"/>
      <c r="K88" s="2057"/>
      <c r="L88" s="2057"/>
      <c r="M88" s="2057"/>
      <c r="N88" s="2057"/>
      <c r="O88" s="2057"/>
      <c r="P88" s="2057"/>
      <c r="Q88" s="2057"/>
      <c r="R88" s="2057"/>
      <c r="S88" s="2057"/>
    </row>
    <row r="89" spans="1:19" ht="15.75" thickBot="1">
      <c r="A89" s="416"/>
      <c r="B89" s="295"/>
      <c r="C89" s="184"/>
      <c r="D89" s="184"/>
      <c r="E89" s="184"/>
      <c r="F89" s="184"/>
      <c r="G89" s="296"/>
      <c r="H89" s="418"/>
      <c r="I89" s="418"/>
      <c r="J89" s="418"/>
      <c r="K89" s="418"/>
      <c r="L89" s="418"/>
      <c r="M89" s="418"/>
      <c r="N89" s="418"/>
      <c r="O89" s="418"/>
      <c r="P89" s="418"/>
      <c r="Q89" s="418"/>
      <c r="R89" s="418"/>
      <c r="S89" s="418"/>
    </row>
    <row r="90" spans="1:19" ht="16.5" thickTop="1" thickBot="1">
      <c r="A90" s="7" t="s">
        <v>582</v>
      </c>
      <c r="B90" s="8"/>
      <c r="C90" s="12"/>
      <c r="D90" s="12"/>
      <c r="E90" s="12"/>
      <c r="F90" s="12"/>
      <c r="G90" s="13"/>
      <c r="H90" s="21"/>
      <c r="I90" s="21"/>
      <c r="J90" s="21"/>
      <c r="K90" s="21"/>
      <c r="L90" s="21"/>
      <c r="M90" s="21"/>
      <c r="N90" s="21"/>
      <c r="O90" s="21"/>
      <c r="P90" s="21"/>
      <c r="Q90" s="21"/>
      <c r="R90" s="21"/>
      <c r="S90" s="21"/>
    </row>
    <row r="91" spans="1:19" ht="15.75" thickTop="1">
      <c r="A91" s="2011"/>
      <c r="B91" s="2018" t="s">
        <v>583</v>
      </c>
      <c r="C91" s="2012"/>
      <c r="D91" s="2012"/>
      <c r="E91" s="2012"/>
      <c r="F91" s="2012"/>
      <c r="G91" s="2013"/>
      <c r="H91" s="2019"/>
      <c r="I91" s="2019"/>
      <c r="J91" s="2019"/>
      <c r="K91" s="2019"/>
      <c r="L91" s="2019"/>
      <c r="M91" s="2019"/>
      <c r="N91" s="2019"/>
      <c r="O91" s="2019"/>
      <c r="P91" s="2019"/>
      <c r="Q91" s="2019"/>
      <c r="R91" s="2019"/>
      <c r="S91" s="2019"/>
    </row>
    <row r="92" spans="1:19">
      <c r="A92" s="628"/>
      <c r="B92" s="862" t="s">
        <v>584</v>
      </c>
      <c r="C92" s="1124"/>
      <c r="D92" s="1124"/>
      <c r="E92" s="1124"/>
      <c r="F92" s="1124"/>
      <c r="G92" s="1133"/>
      <c r="H92" s="1644"/>
      <c r="I92" s="1644"/>
      <c r="J92" s="1644"/>
      <c r="K92" s="1644"/>
      <c r="L92" s="1644"/>
      <c r="M92" s="1644"/>
      <c r="N92" s="1644"/>
      <c r="O92" s="1644"/>
      <c r="P92" s="1644"/>
      <c r="Q92" s="1644"/>
      <c r="R92" s="1644"/>
      <c r="S92" s="1644"/>
    </row>
    <row r="93" spans="1:19" ht="15.75" thickBot="1">
      <c r="A93" s="2058"/>
      <c r="B93" s="2059" t="s">
        <v>585</v>
      </c>
      <c r="C93" s="2060"/>
      <c r="D93" s="2060"/>
      <c r="E93" s="2060"/>
      <c r="F93" s="2060"/>
      <c r="G93" s="2061"/>
      <c r="H93" s="2062"/>
      <c r="I93" s="2062"/>
      <c r="J93" s="2062"/>
      <c r="K93" s="2062"/>
      <c r="L93" s="2062"/>
      <c r="M93" s="2062"/>
      <c r="N93" s="2062"/>
      <c r="O93" s="2062"/>
      <c r="P93" s="2062"/>
      <c r="Q93" s="2062"/>
      <c r="R93" s="2062"/>
      <c r="S93" s="2062"/>
    </row>
    <row r="94" spans="1:19" ht="16.5" thickTop="1" thickBot="1"/>
    <row r="95" spans="1:19" ht="16.5" thickTop="1" thickBot="1">
      <c r="A95" s="92" t="s">
        <v>586</v>
      </c>
      <c r="B95" s="94"/>
    </row>
    <row r="96" spans="1:19" ht="15.75" thickTop="1">
      <c r="A96" s="93" t="s">
        <v>487</v>
      </c>
      <c r="B96" s="2063"/>
    </row>
    <row r="97" spans="1:2">
      <c r="A97" s="2064" t="s">
        <v>491</v>
      </c>
      <c r="B97" s="2063"/>
    </row>
    <row r="98" spans="1:2">
      <c r="A98" s="2065" t="s">
        <v>494</v>
      </c>
      <c r="B98" s="2066"/>
    </row>
    <row r="99" spans="1:2">
      <c r="A99" s="2065" t="s">
        <v>497</v>
      </c>
      <c r="B99" s="2067"/>
    </row>
    <row r="100" spans="1:2" ht="15.75" thickBot="1">
      <c r="A100" s="2068" t="s">
        <v>587</v>
      </c>
      <c r="B100" s="2069">
        <f>H8</f>
        <v>32632</v>
      </c>
    </row>
    <row r="101" spans="1:2" ht="15.75" thickTop="1"/>
    <row r="102" spans="1:2">
      <c r="A102" s="95"/>
      <c r="B102" s="1" t="s">
        <v>588</v>
      </c>
    </row>
    <row r="103" spans="1:2">
      <c r="A103" s="96"/>
      <c r="B103" s="1" t="s">
        <v>589</v>
      </c>
    </row>
  </sheetData>
  <mergeCells count="47">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 ref="H5:I5"/>
    <mergeCell ref="J5:K5"/>
    <mergeCell ref="L5:M5"/>
    <mergeCell ref="N5:O5"/>
    <mergeCell ref="P5:Q5"/>
    <mergeCell ref="H4:I4"/>
    <mergeCell ref="J4:K4"/>
    <mergeCell ref="L4:M4"/>
    <mergeCell ref="N4:O4"/>
    <mergeCell ref="P4:Q4"/>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A68:B68"/>
    <mergeCell ref="A72:B72"/>
    <mergeCell ref="A76:B76"/>
    <mergeCell ref="A80:B80"/>
    <mergeCell ref="A84:B84"/>
  </mergeCells>
  <conditionalFormatting sqref="H21:H31 J33:J59 L33:L59 N33:N59 P33:P59 R33:R59">
    <cfRule type="cellIs" dxfId="1043" priority="17" operator="equal">
      <formula>"X"</formula>
    </cfRule>
    <cfRule type="cellIs" dxfId="1042" priority="18" operator="equal">
      <formula>"I"</formula>
    </cfRule>
  </conditionalFormatting>
  <conditionalFormatting sqref="H33:H59">
    <cfRule type="cellIs" dxfId="1041" priority="1" operator="equal">
      <formula>"X"</formula>
    </cfRule>
    <cfRule type="cellIs" dxfId="1040" priority="2" operator="equal">
      <formula>"I"</formula>
    </cfRule>
  </conditionalFormatting>
  <conditionalFormatting sqref="J21:J31">
    <cfRule type="cellIs" dxfId="1039" priority="19" operator="equal">
      <formula>"X"</formula>
    </cfRule>
    <cfRule type="cellIs" dxfId="1038" priority="20" operator="equal">
      <formula>"I"</formula>
    </cfRule>
  </conditionalFormatting>
  <conditionalFormatting sqref="L21:L31">
    <cfRule type="cellIs" dxfId="1037" priority="21" operator="equal">
      <formula>"X"</formula>
    </cfRule>
    <cfRule type="cellIs" dxfId="1036" priority="22" operator="equal">
      <formula>"I"</formula>
    </cfRule>
  </conditionalFormatting>
  <conditionalFormatting sqref="N21:N31">
    <cfRule type="cellIs" dxfId="1035" priority="23" operator="equal">
      <formula>"X"</formula>
    </cfRule>
    <cfRule type="cellIs" dxfId="1034" priority="24" operator="equal">
      <formula>"I"</formula>
    </cfRule>
  </conditionalFormatting>
  <conditionalFormatting sqref="P21:P31">
    <cfRule type="cellIs" dxfId="1033" priority="25" operator="equal">
      <formula>"X"</formula>
    </cfRule>
    <cfRule type="cellIs" dxfId="1032" priority="26" operator="equal">
      <formula>"I"</formula>
    </cfRule>
  </conditionalFormatting>
  <conditionalFormatting sqref="R21:R31">
    <cfRule type="cellIs" dxfId="1031" priority="27" operator="equal">
      <formula>"X"</formula>
    </cfRule>
    <cfRule type="cellIs" dxfId="1030" priority="28" operator="equal">
      <formula>"I"</formula>
    </cfRule>
  </conditionalFormatting>
  <hyperlinks>
    <hyperlink ref="B3" location="'Cost Summary'!A1" display="BACK TO SUMMARY SHEET" xr:uid="{E0ACE514-37BF-4917-AB2F-70C7C702F143}"/>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06CE-E4E7-43D5-A11A-0EDA81C6E9D6}">
  <sheetPr>
    <tabColor rgb="FF92D050"/>
  </sheetPr>
  <dimension ref="A1:S96"/>
  <sheetViews>
    <sheetView zoomScale="85" zoomScaleNormal="85" workbookViewId="0">
      <pane xSplit="2" ySplit="9" topLeftCell="C38" activePane="bottomRight" state="frozen"/>
      <selection pane="bottomRight" activeCell="F45" sqref="F45"/>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c r="E2" s="175"/>
      <c r="F2" s="146" t="s">
        <v>475</v>
      </c>
      <c r="G2" s="147" t="s">
        <v>476</v>
      </c>
      <c r="H2" s="732"/>
      <c r="I2" s="732"/>
      <c r="J2" s="766"/>
      <c r="K2" s="766"/>
      <c r="L2" s="766"/>
      <c r="M2" s="766"/>
      <c r="N2" s="766"/>
      <c r="O2" s="766"/>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070" t="s">
        <v>489</v>
      </c>
      <c r="B5" s="2071" t="s">
        <v>625</v>
      </c>
      <c r="C5" s="2072"/>
      <c r="D5" s="2072"/>
      <c r="E5" s="2072"/>
      <c r="F5" s="2072"/>
      <c r="G5" s="2073" t="s">
        <v>491</v>
      </c>
      <c r="H5" s="2074"/>
      <c r="I5" s="2075"/>
      <c r="J5" s="2074"/>
      <c r="K5" s="2075"/>
      <c r="L5" s="2074"/>
      <c r="M5" s="2075"/>
      <c r="N5" s="2074"/>
      <c r="O5" s="2075"/>
      <c r="P5" s="2074"/>
      <c r="Q5" s="2075"/>
      <c r="R5" s="2074"/>
      <c r="S5" s="2075"/>
    </row>
    <row r="6" spans="1:19">
      <c r="A6" s="2070" t="s">
        <v>493</v>
      </c>
      <c r="B6" s="2076" t="s">
        <v>624</v>
      </c>
      <c r="C6" s="2072"/>
      <c r="D6" s="2072"/>
      <c r="E6" s="2072"/>
      <c r="F6" s="2072"/>
      <c r="G6" s="2073" t="s">
        <v>494</v>
      </c>
      <c r="H6" s="2077"/>
      <c r="I6" s="2078"/>
      <c r="J6" s="2077"/>
      <c r="K6" s="2078"/>
      <c r="L6" s="2077"/>
      <c r="M6" s="2078"/>
      <c r="N6" s="2077"/>
      <c r="O6" s="2078"/>
      <c r="P6" s="2077"/>
      <c r="Q6" s="2078"/>
      <c r="R6" s="2077"/>
      <c r="S6" s="2078"/>
    </row>
    <row r="7" spans="1:19">
      <c r="A7" s="2070" t="s">
        <v>496</v>
      </c>
      <c r="B7" s="2079"/>
      <c r="C7" s="2072"/>
      <c r="D7" s="2072"/>
      <c r="E7" s="2072"/>
      <c r="F7" s="2072"/>
      <c r="G7" s="2073" t="s">
        <v>497</v>
      </c>
      <c r="H7" s="2080"/>
      <c r="I7" s="2081"/>
      <c r="J7" s="2080"/>
      <c r="K7" s="2081"/>
      <c r="L7" s="2080"/>
      <c r="M7" s="2081"/>
      <c r="N7" s="2080"/>
      <c r="O7" s="2081"/>
      <c r="P7" s="2080"/>
      <c r="Q7" s="2081"/>
      <c r="R7" s="2080"/>
      <c r="S7" s="2081"/>
    </row>
    <row r="8" spans="1:19">
      <c r="A8" s="414" t="s">
        <v>499</v>
      </c>
      <c r="B8" s="295"/>
      <c r="C8" s="184"/>
      <c r="D8" s="184"/>
      <c r="E8" s="184"/>
      <c r="F8" s="184"/>
      <c r="G8" s="419" t="s">
        <v>499</v>
      </c>
      <c r="H8" s="2082">
        <f>I57</f>
        <v>25350</v>
      </c>
      <c r="I8" s="2083"/>
      <c r="J8" s="2082"/>
      <c r="K8" s="2083"/>
      <c r="L8" s="2082"/>
      <c r="M8" s="2083"/>
      <c r="N8" s="2082"/>
      <c r="O8" s="2083"/>
      <c r="P8" s="2082"/>
      <c r="Q8" s="2083"/>
      <c r="R8" s="2082"/>
      <c r="S8" s="2083"/>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084"/>
      <c r="B10" s="2020" t="s">
        <v>508</v>
      </c>
      <c r="C10" s="2072"/>
      <c r="D10" s="2072"/>
      <c r="E10" s="2072"/>
      <c r="F10" s="2072"/>
      <c r="G10" s="2085"/>
      <c r="H10" s="2086"/>
      <c r="I10" s="2086"/>
      <c r="J10" s="2086"/>
      <c r="K10" s="2086"/>
      <c r="L10" s="2086"/>
      <c r="M10" s="2086"/>
      <c r="N10" s="2086"/>
      <c r="O10" s="2086"/>
      <c r="P10" s="2086"/>
      <c r="Q10" s="2086"/>
      <c r="R10" s="2086"/>
      <c r="S10" s="2086"/>
    </row>
    <row r="11" spans="1:19" hidden="1">
      <c r="A11" s="2084"/>
      <c r="B11" s="2071" t="str">
        <f>'Area Calculations'!M62</f>
        <v>Architectural Drawings  by</v>
      </c>
      <c r="C11" s="2087" t="s">
        <v>509</v>
      </c>
      <c r="D11" s="2072"/>
      <c r="E11" s="2072"/>
      <c r="F11" s="2072"/>
      <c r="G11" s="2085"/>
      <c r="H11" s="2086"/>
      <c r="I11" s="2086"/>
      <c r="J11" s="2086"/>
      <c r="K11" s="2086"/>
      <c r="L11" s="2086"/>
      <c r="M11" s="2086"/>
      <c r="N11" s="2086"/>
      <c r="O11" s="2086"/>
      <c r="P11" s="2086"/>
      <c r="Q11" s="2086"/>
      <c r="R11" s="2086"/>
      <c r="S11" s="2086"/>
    </row>
    <row r="12" spans="1:19" hidden="1">
      <c r="A12" s="2084"/>
      <c r="B12" s="2071" t="str">
        <f>'Area Calculations'!M63</f>
        <v>Structural Drawings by</v>
      </c>
      <c r="C12" s="2087" t="s">
        <v>509</v>
      </c>
      <c r="D12" s="2072"/>
      <c r="E12" s="2072"/>
      <c r="F12" s="2072"/>
      <c r="G12" s="2085"/>
      <c r="H12" s="2086"/>
      <c r="I12" s="2086"/>
      <c r="J12" s="2086"/>
      <c r="K12" s="2086"/>
      <c r="L12" s="2086"/>
      <c r="M12" s="2086"/>
      <c r="N12" s="2086"/>
      <c r="O12" s="2086"/>
      <c r="P12" s="2086"/>
      <c r="Q12" s="2086"/>
      <c r="R12" s="2086"/>
      <c r="S12" s="2086"/>
    </row>
    <row r="13" spans="1:19" hidden="1">
      <c r="A13" s="2084"/>
      <c r="B13" s="2071" t="str">
        <f>'Area Calculations'!M64</f>
        <v>MEP FA FP Drawings by</v>
      </c>
      <c r="C13" s="2087" t="s">
        <v>509</v>
      </c>
      <c r="D13" s="2072"/>
      <c r="E13" s="2072"/>
      <c r="F13" s="2072"/>
      <c r="G13" s="2085"/>
      <c r="H13" s="2086"/>
      <c r="I13" s="2086"/>
      <c r="J13" s="2086"/>
      <c r="K13" s="2086"/>
      <c r="L13" s="2086"/>
      <c r="M13" s="2086"/>
      <c r="N13" s="2086"/>
      <c r="O13" s="2086"/>
      <c r="P13" s="2086"/>
      <c r="Q13" s="2086"/>
      <c r="R13" s="2086"/>
      <c r="S13" s="2086"/>
    </row>
    <row r="14" spans="1:19" hidden="1">
      <c r="A14" s="2084"/>
      <c r="B14" s="2071" t="str">
        <f>'Area Calculations'!M65</f>
        <v xml:space="preserve">Civil Drawings by </v>
      </c>
      <c r="C14" s="2087" t="s">
        <v>509</v>
      </c>
      <c r="D14" s="2072"/>
      <c r="E14" s="2072"/>
      <c r="F14" s="2072"/>
      <c r="G14" s="2085"/>
      <c r="H14" s="2086"/>
      <c r="I14" s="2086"/>
      <c r="J14" s="2086"/>
      <c r="K14" s="2086"/>
      <c r="L14" s="2086"/>
      <c r="M14" s="2086"/>
      <c r="N14" s="2086"/>
      <c r="O14" s="2086"/>
      <c r="P14" s="2086"/>
      <c r="Q14" s="2086"/>
      <c r="R14" s="2086"/>
      <c r="S14" s="2086"/>
    </row>
    <row r="15" spans="1:19" hidden="1">
      <c r="A15" s="2084"/>
      <c r="B15" s="2071" t="str">
        <f>'Area Calculations'!M66</f>
        <v>Land scape Drawings by</v>
      </c>
      <c r="C15" s="2087" t="s">
        <v>509</v>
      </c>
      <c r="D15" s="2072"/>
      <c r="E15" s="2072"/>
      <c r="F15" s="2072"/>
      <c r="G15" s="2085"/>
      <c r="H15" s="2086"/>
      <c r="I15" s="2086"/>
      <c r="J15" s="2086"/>
      <c r="K15" s="2086"/>
      <c r="L15" s="2086"/>
      <c r="M15" s="2086"/>
      <c r="N15" s="2086"/>
      <c r="O15" s="2086"/>
      <c r="P15" s="2086"/>
      <c r="Q15" s="2086"/>
      <c r="R15" s="2086"/>
      <c r="S15" s="2086"/>
    </row>
    <row r="16" spans="1:19" hidden="1">
      <c r="A16" s="2084"/>
      <c r="B16" s="2071" t="str">
        <f>'Area Calculations'!M67</f>
        <v>Kitchen Drawings by</v>
      </c>
      <c r="C16" s="2087" t="s">
        <v>509</v>
      </c>
      <c r="D16" s="2072"/>
      <c r="E16" s="2072"/>
      <c r="F16" s="2072"/>
      <c r="G16" s="2085"/>
      <c r="H16" s="2086"/>
      <c r="I16" s="2086"/>
      <c r="J16" s="2086"/>
      <c r="K16" s="2086"/>
      <c r="L16" s="2086"/>
      <c r="M16" s="2086"/>
      <c r="N16" s="2086"/>
      <c r="O16" s="2086"/>
      <c r="P16" s="2086"/>
      <c r="Q16" s="2086"/>
      <c r="R16" s="2086"/>
      <c r="S16" s="2086"/>
    </row>
    <row r="17" spans="1:19" hidden="1">
      <c r="A17" s="2084"/>
      <c r="B17" s="2071" t="str">
        <f>'Area Calculations'!M68</f>
        <v>Storefront Designer by</v>
      </c>
      <c r="C17" s="2087" t="s">
        <v>509</v>
      </c>
      <c r="D17" s="2072"/>
      <c r="E17" s="2072"/>
      <c r="F17" s="2072"/>
      <c r="G17" s="2085"/>
      <c r="H17" s="2086"/>
      <c r="I17" s="2086"/>
      <c r="J17" s="2086"/>
      <c r="K17" s="2086"/>
      <c r="L17" s="2086"/>
      <c r="M17" s="2086"/>
      <c r="N17" s="2086"/>
      <c r="O17" s="2086"/>
      <c r="P17" s="2086"/>
      <c r="Q17" s="2086"/>
      <c r="R17" s="2086"/>
      <c r="S17" s="2086"/>
    </row>
    <row r="18" spans="1:19" hidden="1">
      <c r="A18" s="2084"/>
      <c r="B18" s="2071" t="str">
        <f>'Area Calculations'!M69</f>
        <v>Geotech report by</v>
      </c>
      <c r="C18" s="2087" t="s">
        <v>509</v>
      </c>
      <c r="D18" s="2072"/>
      <c r="E18" s="2072"/>
      <c r="F18" s="2072"/>
      <c r="G18" s="2085"/>
      <c r="H18" s="2086"/>
      <c r="I18" s="2086"/>
      <c r="J18" s="2086"/>
      <c r="K18" s="2086"/>
      <c r="L18" s="2086"/>
      <c r="M18" s="2086"/>
      <c r="N18" s="2086"/>
      <c r="O18" s="2086"/>
      <c r="P18" s="2086"/>
      <c r="Q18" s="2086"/>
      <c r="R18" s="2086"/>
      <c r="S18" s="2086"/>
    </row>
    <row r="19" spans="1:19" hidden="1">
      <c r="A19" s="2084"/>
      <c r="B19" s="2071" t="str">
        <f>'Area Calculations'!M70</f>
        <v>Specifications</v>
      </c>
      <c r="C19" s="2087" t="s">
        <v>509</v>
      </c>
      <c r="D19" s="2072"/>
      <c r="E19" s="2072"/>
      <c r="F19" s="2072"/>
      <c r="G19" s="2085"/>
      <c r="H19" s="2086"/>
      <c r="I19" s="2086"/>
      <c r="J19" s="2086"/>
      <c r="K19" s="2086"/>
      <c r="L19" s="2086"/>
      <c r="M19" s="2086"/>
      <c r="N19" s="2086"/>
      <c r="O19" s="2086"/>
      <c r="P19" s="2086"/>
      <c r="Q19" s="2086"/>
      <c r="R19" s="2086"/>
      <c r="S19" s="2086"/>
    </row>
    <row r="20" spans="1:19">
      <c r="A20" s="2084"/>
      <c r="B20" s="2071"/>
      <c r="C20" s="2087"/>
      <c r="D20" s="2072"/>
      <c r="E20" s="2072"/>
      <c r="F20" s="2072"/>
      <c r="G20" s="2085"/>
      <c r="H20" s="2088"/>
      <c r="I20" s="2086"/>
      <c r="J20" s="2088"/>
      <c r="K20" s="2086"/>
      <c r="L20" s="2088"/>
      <c r="M20" s="2086"/>
      <c r="N20" s="2088"/>
      <c r="O20" s="2086"/>
      <c r="P20" s="2088"/>
      <c r="Q20" s="2086"/>
      <c r="R20" s="2088"/>
      <c r="S20" s="2086"/>
    </row>
    <row r="21" spans="1:19">
      <c r="A21" s="59"/>
      <c r="B21" s="2089" t="s">
        <v>625</v>
      </c>
      <c r="C21" s="56"/>
      <c r="D21" s="57"/>
      <c r="E21" s="57"/>
      <c r="F21" s="57"/>
      <c r="G21" s="63"/>
      <c r="H21" s="2088"/>
      <c r="I21" s="2086"/>
      <c r="J21" s="2088"/>
      <c r="K21" s="2086"/>
      <c r="L21" s="2088"/>
      <c r="M21" s="2086"/>
      <c r="N21" s="2088"/>
      <c r="O21" s="2086"/>
      <c r="P21" s="2088"/>
      <c r="Q21" s="2086"/>
      <c r="R21" s="2088"/>
      <c r="S21" s="2086"/>
    </row>
    <row r="22" spans="1:19">
      <c r="A22" s="2005"/>
      <c r="B22" s="374" t="s">
        <v>512</v>
      </c>
      <c r="C22" s="2087"/>
      <c r="D22" s="2072"/>
      <c r="E22" s="2072"/>
      <c r="F22" s="2072"/>
      <c r="G22" s="2085"/>
      <c r="H22" s="2088"/>
      <c r="I22" s="2090"/>
      <c r="J22" s="2088"/>
      <c r="K22" s="2091"/>
      <c r="L22" s="2088"/>
      <c r="M22" s="2091"/>
      <c r="N22" s="2088"/>
      <c r="O22" s="2091"/>
      <c r="P22" s="2088"/>
      <c r="Q22" s="2091"/>
      <c r="R22" s="2088"/>
      <c r="S22" s="2091"/>
    </row>
    <row r="23" spans="1:19">
      <c r="A23" s="2005"/>
      <c r="B23" s="1422" t="s">
        <v>513</v>
      </c>
      <c r="C23" s="2092"/>
      <c r="D23" s="2093"/>
      <c r="E23" s="2072"/>
      <c r="F23" s="2072"/>
      <c r="G23" s="2085"/>
      <c r="H23" s="2088"/>
      <c r="I23" s="2002"/>
      <c r="J23" s="2088"/>
      <c r="K23" s="2002"/>
      <c r="L23" s="2088"/>
      <c r="M23" s="2002"/>
      <c r="N23" s="2088"/>
      <c r="O23" s="1964"/>
      <c r="P23" s="2088"/>
      <c r="Q23" s="1964"/>
      <c r="R23" s="2088"/>
      <c r="S23" s="1964"/>
    </row>
    <row r="24" spans="1:19">
      <c r="A24" s="2005"/>
      <c r="B24" s="1963" t="s">
        <v>514</v>
      </c>
      <c r="C24" s="2092"/>
      <c r="D24" s="2093"/>
      <c r="E24" s="2072"/>
      <c r="F24" s="2072"/>
      <c r="G24" s="2085"/>
      <c r="H24" s="2088"/>
      <c r="I24" s="1964"/>
      <c r="J24" s="2088"/>
      <c r="K24" s="2002"/>
      <c r="L24" s="2088"/>
      <c r="M24" s="2002"/>
      <c r="N24" s="2088"/>
      <c r="O24" s="1964"/>
      <c r="P24" s="2088"/>
      <c r="Q24" s="1964"/>
      <c r="R24" s="2088"/>
      <c r="S24" s="1964"/>
    </row>
    <row r="25" spans="1:19">
      <c r="A25" s="2005"/>
      <c r="B25" s="1965" t="s">
        <v>515</v>
      </c>
      <c r="C25" s="2085"/>
      <c r="D25" s="2072"/>
      <c r="E25" s="2072"/>
      <c r="F25" s="2072"/>
      <c r="G25" s="2085"/>
      <c r="H25" s="2088"/>
      <c r="I25" s="1964"/>
      <c r="J25" s="2088"/>
      <c r="K25" s="1964"/>
      <c r="L25" s="2088"/>
      <c r="M25" s="2002"/>
      <c r="N25" s="2088"/>
      <c r="O25" s="1964"/>
      <c r="P25" s="2088"/>
      <c r="Q25" s="1964"/>
      <c r="R25" s="2088"/>
      <c r="S25" s="1964"/>
    </row>
    <row r="26" spans="1:19">
      <c r="A26" s="2005"/>
      <c r="B26" s="1965" t="s">
        <v>516</v>
      </c>
      <c r="C26" s="2085"/>
      <c r="D26" s="2072"/>
      <c r="E26" s="2072"/>
      <c r="F26" s="2072"/>
      <c r="G26" s="2085"/>
      <c r="H26" s="2088"/>
      <c r="I26" s="2002"/>
      <c r="J26" s="2088"/>
      <c r="K26" s="2002"/>
      <c r="L26" s="2088"/>
      <c r="M26" s="2002"/>
      <c r="N26" s="2088"/>
      <c r="O26" s="2002"/>
      <c r="P26" s="2088"/>
      <c r="Q26" s="2002"/>
      <c r="R26" s="2088"/>
      <c r="S26" s="2002"/>
    </row>
    <row r="27" spans="1:19" hidden="1">
      <c r="A27" s="2005"/>
      <c r="B27" s="1965" t="s">
        <v>517</v>
      </c>
      <c r="C27" s="2085"/>
      <c r="D27" s="2072"/>
      <c r="E27" s="2072"/>
      <c r="F27" s="2072"/>
      <c r="G27" s="2085"/>
      <c r="H27" s="2088"/>
      <c r="I27" s="2002"/>
      <c r="J27" s="2088"/>
      <c r="K27" s="2002"/>
      <c r="L27" s="2088"/>
      <c r="M27" s="2002"/>
      <c r="N27" s="2088"/>
      <c r="O27" s="2002"/>
      <c r="P27" s="2088"/>
      <c r="Q27" s="2002"/>
      <c r="R27" s="2088"/>
      <c r="S27" s="2002"/>
    </row>
    <row r="28" spans="1:19">
      <c r="A28" s="2005"/>
      <c r="B28" s="1965" t="s">
        <v>518</v>
      </c>
      <c r="C28" s="2085"/>
      <c r="D28" s="2072"/>
      <c r="E28" s="2072"/>
      <c r="F28" s="2072"/>
      <c r="G28" s="2085"/>
      <c r="H28" s="2088"/>
      <c r="I28" s="2002"/>
      <c r="J28" s="2088"/>
      <c r="K28" s="2002"/>
      <c r="L28" s="2088"/>
      <c r="M28" s="2002"/>
      <c r="N28" s="2088"/>
      <c r="O28" s="2002"/>
      <c r="P28" s="2088"/>
      <c r="Q28" s="2002"/>
      <c r="R28" s="2088"/>
      <c r="S28" s="2002"/>
    </row>
    <row r="29" spans="1:19">
      <c r="A29" s="2005"/>
      <c r="B29" s="1965" t="s">
        <v>693</v>
      </c>
      <c r="C29" s="2085"/>
      <c r="D29" s="2072"/>
      <c r="E29" s="2072"/>
      <c r="F29" s="2072"/>
      <c r="G29" s="2085"/>
      <c r="H29" s="2088"/>
      <c r="I29" s="2002"/>
      <c r="J29" s="2088"/>
      <c r="K29" s="2002"/>
      <c r="L29" s="2088"/>
      <c r="M29" s="2002"/>
      <c r="N29" s="2088"/>
      <c r="O29" s="2002"/>
      <c r="P29" s="2088"/>
      <c r="Q29" s="2002"/>
      <c r="R29" s="2088"/>
      <c r="S29" s="2002"/>
    </row>
    <row r="30" spans="1:19">
      <c r="A30" s="2005"/>
      <c r="B30" s="1966" t="s">
        <v>519</v>
      </c>
      <c r="C30" s="2085"/>
      <c r="D30" s="2072"/>
      <c r="E30" s="2072"/>
      <c r="F30" s="2072"/>
      <c r="G30" s="2085"/>
      <c r="H30" s="2088"/>
      <c r="I30" s="2002"/>
      <c r="J30" s="2088"/>
      <c r="K30" s="2002"/>
      <c r="L30" s="2088"/>
      <c r="M30" s="2002"/>
      <c r="N30" s="2088"/>
      <c r="O30" s="2002"/>
      <c r="P30" s="2088"/>
      <c r="Q30" s="2002"/>
      <c r="R30" s="2088"/>
      <c r="S30" s="2002"/>
    </row>
    <row r="31" spans="1:19">
      <c r="A31" s="2005"/>
      <c r="B31" s="1989" t="s">
        <v>520</v>
      </c>
      <c r="C31" s="1147"/>
      <c r="D31" s="1145"/>
      <c r="E31" s="1145"/>
      <c r="F31" s="1145"/>
      <c r="G31" s="1147"/>
      <c r="H31" s="1727"/>
      <c r="I31" s="2003"/>
      <c r="J31" s="1727"/>
      <c r="K31" s="2003"/>
      <c r="L31" s="1727"/>
      <c r="M31" s="2003"/>
      <c r="N31" s="1727"/>
      <c r="O31" s="2003"/>
      <c r="P31" s="1727"/>
      <c r="Q31" s="2003"/>
      <c r="R31" s="1727"/>
      <c r="S31" s="2003"/>
    </row>
    <row r="32" spans="1:19">
      <c r="A32" s="2005"/>
      <c r="B32" s="2004" t="s">
        <v>288</v>
      </c>
      <c r="C32" s="2085"/>
      <c r="D32" s="2072"/>
      <c r="E32" s="2072"/>
      <c r="F32" s="2072"/>
      <c r="G32" s="2085"/>
      <c r="H32" s="2088"/>
      <c r="I32" s="2002"/>
      <c r="J32" s="2088"/>
      <c r="K32" s="2002"/>
      <c r="L32" s="2088"/>
      <c r="M32" s="2002"/>
      <c r="N32" s="2088"/>
      <c r="O32" s="2002"/>
      <c r="P32" s="2088"/>
      <c r="Q32" s="2002"/>
      <c r="R32" s="2088"/>
      <c r="S32" s="2002"/>
    </row>
    <row r="33" spans="1:19">
      <c r="A33" s="2005"/>
      <c r="B33" s="2094" t="s">
        <v>694</v>
      </c>
      <c r="C33" s="2095"/>
      <c r="D33" s="2096"/>
      <c r="E33" s="2096"/>
      <c r="F33" s="2097"/>
      <c r="G33" s="2098"/>
      <c r="H33" s="2099"/>
      <c r="I33" s="2007"/>
      <c r="J33" s="2099"/>
      <c r="K33" s="2007"/>
      <c r="L33" s="2099"/>
      <c r="M33" s="2007"/>
      <c r="N33" s="2099"/>
      <c r="O33" s="2007"/>
      <c r="P33" s="2099"/>
      <c r="Q33" s="2024"/>
      <c r="R33" s="2099"/>
      <c r="S33" s="2024"/>
    </row>
    <row r="34" spans="1:19">
      <c r="A34" s="2005"/>
      <c r="B34" s="2100"/>
      <c r="C34" s="2101"/>
      <c r="D34" s="2072"/>
      <c r="E34" s="2072"/>
      <c r="F34" s="2102"/>
      <c r="G34" s="2103"/>
      <c r="H34" s="2088"/>
      <c r="I34" s="2002"/>
      <c r="J34" s="2088"/>
      <c r="K34" s="2002"/>
      <c r="L34" s="2088"/>
      <c r="M34" s="2002"/>
      <c r="N34" s="2088"/>
      <c r="O34" s="2002"/>
      <c r="P34" s="2088"/>
      <c r="Q34" s="1964"/>
      <c r="R34" s="2088"/>
      <c r="S34" s="1964"/>
    </row>
    <row r="35" spans="1:19">
      <c r="A35" s="2005"/>
      <c r="B35" s="2104" t="s">
        <v>695</v>
      </c>
      <c r="C35" s="2105"/>
      <c r="D35" s="2106"/>
      <c r="E35" s="2106"/>
      <c r="F35" s="2107"/>
      <c r="G35" s="2108"/>
      <c r="H35" s="2109"/>
      <c r="I35" s="2009"/>
      <c r="J35" s="2109"/>
      <c r="K35" s="2009"/>
      <c r="L35" s="2109"/>
      <c r="M35" s="2009"/>
      <c r="N35" s="2109"/>
      <c r="O35" s="2009"/>
      <c r="P35" s="2109"/>
      <c r="Q35" s="2026"/>
      <c r="R35" s="2109"/>
      <c r="S35" s="2026"/>
    </row>
    <row r="36" spans="1:19">
      <c r="A36" s="2005"/>
      <c r="B36" s="2100"/>
      <c r="C36" s="2101"/>
      <c r="D36" s="2072"/>
      <c r="E36" s="2072"/>
      <c r="F36" s="2102"/>
      <c r="G36" s="2103"/>
      <c r="H36" s="2088"/>
      <c r="I36" s="2002"/>
      <c r="J36" s="2088"/>
      <c r="K36" s="2002"/>
      <c r="L36" s="2088"/>
      <c r="M36" s="2002"/>
      <c r="N36" s="2088"/>
      <c r="O36" s="2002"/>
      <c r="P36" s="2088"/>
      <c r="Q36" s="1964"/>
      <c r="R36" s="2088"/>
      <c r="S36" s="1964"/>
    </row>
    <row r="37" spans="1:19">
      <c r="A37" s="2005"/>
      <c r="B37" s="2094" t="s">
        <v>649</v>
      </c>
      <c r="C37" s="2095"/>
      <c r="D37" s="2096"/>
      <c r="E37" s="2096"/>
      <c r="F37" s="2097"/>
      <c r="G37" s="2098"/>
      <c r="H37" s="2099"/>
      <c r="I37" s="2007"/>
      <c r="J37" s="2099"/>
      <c r="K37" s="2007"/>
      <c r="L37" s="2099"/>
      <c r="M37" s="2007"/>
      <c r="N37" s="2099"/>
      <c r="O37" s="2007"/>
      <c r="P37" s="2099"/>
      <c r="Q37" s="2024"/>
      <c r="R37" s="2099"/>
      <c r="S37" s="2024"/>
    </row>
    <row r="38" spans="1:19">
      <c r="A38" s="2005"/>
      <c r="B38" s="2100"/>
      <c r="C38" s="2101"/>
      <c r="D38" s="2072"/>
      <c r="E38" s="2072"/>
      <c r="F38" s="2102"/>
      <c r="G38" s="2103"/>
      <c r="H38" s="2088"/>
      <c r="I38" s="2002"/>
      <c r="J38" s="2088"/>
      <c r="K38" s="2002"/>
      <c r="L38" s="2088"/>
      <c r="M38" s="2002"/>
      <c r="N38" s="2088"/>
      <c r="O38" s="2002"/>
      <c r="P38" s="2088"/>
      <c r="Q38" s="1964"/>
      <c r="R38" s="2088"/>
      <c r="S38" s="1964"/>
    </row>
    <row r="39" spans="1:19">
      <c r="A39" s="2005"/>
      <c r="B39" s="2104" t="s">
        <v>700</v>
      </c>
      <c r="C39" s="2105"/>
      <c r="D39" s="2106"/>
      <c r="E39" s="2106"/>
      <c r="F39" s="2107"/>
      <c r="G39" s="2108"/>
      <c r="H39" s="2109"/>
      <c r="I39" s="2009"/>
      <c r="J39" s="2109"/>
      <c r="K39" s="2009"/>
      <c r="L39" s="2109"/>
      <c r="M39" s="2009"/>
      <c r="N39" s="2109"/>
      <c r="O39" s="2009"/>
      <c r="P39" s="2109"/>
      <c r="Q39" s="2026"/>
      <c r="R39" s="2109"/>
      <c r="S39" s="2026"/>
    </row>
    <row r="40" spans="1:19">
      <c r="A40" s="2005"/>
      <c r="B40" s="2100"/>
      <c r="C40" s="2101"/>
      <c r="D40" s="2072"/>
      <c r="E40" s="2072"/>
      <c r="F40" s="2102"/>
      <c r="G40" s="2103"/>
      <c r="H40" s="2088"/>
      <c r="I40" s="2002"/>
      <c r="J40" s="2088"/>
      <c r="K40" s="2002"/>
      <c r="L40" s="2088"/>
      <c r="M40" s="2002"/>
      <c r="N40" s="2088"/>
      <c r="O40" s="2002"/>
      <c r="P40" s="2088"/>
      <c r="Q40" s="1964"/>
      <c r="R40" s="2088"/>
      <c r="S40" s="1964"/>
    </row>
    <row r="41" spans="1:19">
      <c r="A41" s="2005"/>
      <c r="B41" s="2094" t="s">
        <v>703</v>
      </c>
      <c r="C41" s="2095"/>
      <c r="D41" s="2096"/>
      <c r="E41" s="2096"/>
      <c r="F41" s="2097"/>
      <c r="G41" s="2098"/>
      <c r="H41" s="2099"/>
      <c r="I41" s="2007"/>
      <c r="J41" s="2099"/>
      <c r="K41" s="2007"/>
      <c r="L41" s="2099"/>
      <c r="M41" s="2007"/>
      <c r="N41" s="2099"/>
      <c r="O41" s="2007"/>
      <c r="P41" s="2099"/>
      <c r="Q41" s="2024"/>
      <c r="R41" s="2099"/>
      <c r="S41" s="2024"/>
    </row>
    <row r="42" spans="1:19">
      <c r="A42" s="2005"/>
      <c r="B42" s="2100"/>
      <c r="C42" s="2101"/>
      <c r="D42" s="2072"/>
      <c r="E42" s="2072"/>
      <c r="F42" s="2102"/>
      <c r="G42" s="2103"/>
      <c r="H42" s="2088"/>
      <c r="I42" s="2002"/>
      <c r="J42" s="2088"/>
      <c r="K42" s="2002"/>
      <c r="L42" s="2088"/>
      <c r="M42" s="2002"/>
      <c r="N42" s="2088"/>
      <c r="O42" s="2002"/>
      <c r="P42" s="2088"/>
      <c r="Q42" s="1964"/>
      <c r="R42" s="2088"/>
      <c r="S42" s="1964"/>
    </row>
    <row r="43" spans="1:19">
      <c r="A43" s="2005"/>
      <c r="B43" s="2104" t="s">
        <v>704</v>
      </c>
      <c r="C43" s="2105"/>
      <c r="D43" s="2106"/>
      <c r="E43" s="2106"/>
      <c r="F43" s="2107"/>
      <c r="G43" s="2108"/>
      <c r="H43" s="2109"/>
      <c r="I43" s="2009"/>
      <c r="J43" s="2109"/>
      <c r="K43" s="2009"/>
      <c r="L43" s="2109"/>
      <c r="M43" s="2009"/>
      <c r="N43" s="2109"/>
      <c r="O43" s="2009"/>
      <c r="P43" s="2109"/>
      <c r="Q43" s="2026"/>
      <c r="R43" s="2109"/>
      <c r="S43" s="2026"/>
    </row>
    <row r="44" spans="1:19" ht="25.5">
      <c r="A44" s="2005"/>
      <c r="B44" s="2110" t="s">
        <v>957</v>
      </c>
      <c r="C44" s="2101" t="s">
        <v>905</v>
      </c>
      <c r="D44" s="2072">
        <f>13*15</f>
        <v>195</v>
      </c>
      <c r="E44" s="2072" t="s">
        <v>723</v>
      </c>
      <c r="F44" s="2102">
        <v>65</v>
      </c>
      <c r="G44" s="2103">
        <f>D44*F44</f>
        <v>12675</v>
      </c>
      <c r="H44" s="2088"/>
      <c r="I44" s="2002">
        <f>G44</f>
        <v>12675</v>
      </c>
      <c r="J44" s="2088"/>
      <c r="K44" s="2002"/>
      <c r="L44" s="2088"/>
      <c r="M44" s="2002"/>
      <c r="N44" s="2088"/>
      <c r="O44" s="2002"/>
      <c r="P44" s="2088"/>
      <c r="Q44" s="1964"/>
      <c r="R44" s="2088"/>
      <c r="S44" s="1964"/>
    </row>
    <row r="45" spans="1:19" ht="25.5">
      <c r="A45" s="2005"/>
      <c r="B45" s="2110" t="s">
        <v>958</v>
      </c>
      <c r="C45" s="2101" t="s">
        <v>905</v>
      </c>
      <c r="D45" s="2072">
        <f>13*15</f>
        <v>195</v>
      </c>
      <c r="E45" s="2072" t="s">
        <v>723</v>
      </c>
      <c r="F45" s="2102">
        <f>F44</f>
        <v>65</v>
      </c>
      <c r="G45" s="2103">
        <f>D45*F45</f>
        <v>12675</v>
      </c>
      <c r="H45" s="2088"/>
      <c r="I45" s="2002">
        <f>G45</f>
        <v>12675</v>
      </c>
      <c r="J45" s="2088"/>
      <c r="K45" s="2002"/>
      <c r="L45" s="2088"/>
      <c r="M45" s="2002"/>
      <c r="N45" s="2088"/>
      <c r="O45" s="2002"/>
      <c r="P45" s="2088"/>
      <c r="Q45" s="1964"/>
      <c r="R45" s="2088"/>
      <c r="S45" s="1964"/>
    </row>
    <row r="46" spans="1:19">
      <c r="A46" s="2005"/>
      <c r="B46" s="2100"/>
      <c r="C46" s="2101"/>
      <c r="D46" s="2072"/>
      <c r="E46" s="2072"/>
      <c r="F46" s="2102"/>
      <c r="G46" s="2103"/>
      <c r="H46" s="2088"/>
      <c r="I46" s="2002"/>
      <c r="J46" s="2088"/>
      <c r="K46" s="2002"/>
      <c r="L46" s="2088"/>
      <c r="M46" s="2002"/>
      <c r="N46" s="2088"/>
      <c r="O46" s="2002"/>
      <c r="P46" s="2088"/>
      <c r="Q46" s="1964"/>
      <c r="R46" s="2088"/>
      <c r="S46" s="1964"/>
    </row>
    <row r="47" spans="1:19">
      <c r="A47" s="2005"/>
      <c r="B47" s="2094" t="s">
        <v>705</v>
      </c>
      <c r="C47" s="2095"/>
      <c r="D47" s="2096"/>
      <c r="E47" s="2096"/>
      <c r="F47" s="2097"/>
      <c r="G47" s="2098"/>
      <c r="H47" s="2099"/>
      <c r="I47" s="2007"/>
      <c r="J47" s="2099"/>
      <c r="K47" s="2007"/>
      <c r="L47" s="2099"/>
      <c r="M47" s="2007"/>
      <c r="N47" s="2099"/>
      <c r="O47" s="2007"/>
      <c r="P47" s="2099"/>
      <c r="Q47" s="2024"/>
      <c r="R47" s="2099"/>
      <c r="S47" s="2024"/>
    </row>
    <row r="48" spans="1:19">
      <c r="A48" s="2005"/>
      <c r="B48" s="2100"/>
      <c r="C48" s="2101"/>
      <c r="D48" s="2072"/>
      <c r="E48" s="2072"/>
      <c r="F48" s="2102"/>
      <c r="G48" s="2103"/>
      <c r="H48" s="2088"/>
      <c r="I48" s="2002"/>
      <c r="J48" s="2088"/>
      <c r="K48" s="2002"/>
      <c r="L48" s="2088"/>
      <c r="M48" s="2002"/>
      <c r="N48" s="2088"/>
      <c r="O48" s="2002"/>
      <c r="P48" s="2088"/>
      <c r="Q48" s="1964"/>
      <c r="R48" s="2088"/>
      <c r="S48" s="1964"/>
    </row>
    <row r="49" spans="1:19">
      <c r="A49" s="2005"/>
      <c r="B49" s="2104" t="s">
        <v>602</v>
      </c>
      <c r="C49" s="2105"/>
      <c r="D49" s="2106"/>
      <c r="E49" s="2106"/>
      <c r="F49" s="2107"/>
      <c r="G49" s="2108"/>
      <c r="H49" s="2109"/>
      <c r="I49" s="2009"/>
      <c r="J49" s="2109"/>
      <c r="K49" s="2009"/>
      <c r="L49" s="2109"/>
      <c r="M49" s="2009"/>
      <c r="N49" s="2109"/>
      <c r="O49" s="2009"/>
      <c r="P49" s="2109"/>
      <c r="Q49" s="2026"/>
      <c r="R49" s="2109"/>
      <c r="S49" s="2026"/>
    </row>
    <row r="50" spans="1:19">
      <c r="A50" s="2005"/>
      <c r="B50" s="2110"/>
      <c r="C50" s="2085"/>
      <c r="D50" s="2072"/>
      <c r="E50" s="2072"/>
      <c r="F50" s="2072"/>
      <c r="G50" s="2085"/>
      <c r="H50" s="2088"/>
      <c r="I50" s="2002"/>
      <c r="J50" s="2088"/>
      <c r="K50" s="2002"/>
      <c r="L50" s="2088"/>
      <c r="M50" s="2002"/>
      <c r="N50" s="2088"/>
      <c r="O50" s="2002"/>
      <c r="P50" s="2088"/>
      <c r="Q50" s="2002"/>
      <c r="R50" s="2088"/>
      <c r="S50" s="2002"/>
    </row>
    <row r="51" spans="1:19">
      <c r="A51" s="2005"/>
      <c r="B51" s="2110"/>
      <c r="C51" s="2085"/>
      <c r="D51" s="2072"/>
      <c r="E51" s="2072"/>
      <c r="F51" s="2072"/>
      <c r="G51" s="2085"/>
      <c r="H51" s="2088"/>
      <c r="I51" s="2002"/>
      <c r="J51" s="2088"/>
      <c r="K51" s="2002"/>
      <c r="L51" s="2088"/>
      <c r="M51" s="2002"/>
      <c r="N51" s="2088"/>
      <c r="O51" s="2002"/>
      <c r="P51" s="2088"/>
      <c r="Q51" s="2002"/>
      <c r="R51" s="2088"/>
      <c r="S51" s="2002"/>
    </row>
    <row r="52" spans="1:19">
      <c r="A52" s="2005"/>
      <c r="B52" s="245" t="s">
        <v>288</v>
      </c>
      <c r="C52" s="2028"/>
      <c r="D52" s="2072"/>
      <c r="E52" s="2072"/>
      <c r="F52" s="2072"/>
      <c r="G52" s="2085"/>
      <c r="H52" s="2088"/>
      <c r="I52" s="2002"/>
      <c r="J52" s="2088"/>
      <c r="K52" s="2002"/>
      <c r="L52" s="2088"/>
      <c r="M52" s="2002"/>
      <c r="N52" s="2088"/>
      <c r="O52" s="2002"/>
      <c r="P52" s="2088"/>
      <c r="Q52" s="2002"/>
      <c r="R52" s="2088"/>
      <c r="S52" s="2002"/>
    </row>
    <row r="53" spans="1:19">
      <c r="A53" s="14"/>
      <c r="B53" s="15"/>
      <c r="C53" s="16"/>
      <c r="D53" s="16"/>
      <c r="E53" s="17"/>
      <c r="F53" s="18" t="s">
        <v>567</v>
      </c>
      <c r="G53" s="19"/>
      <c r="H53" s="20"/>
      <c r="I53" s="61">
        <f>SUM(I23:I52)</f>
        <v>25350</v>
      </c>
      <c r="J53" s="20"/>
      <c r="K53" s="61">
        <f>SUM(K23:K52)</f>
        <v>0</v>
      </c>
      <c r="L53" s="20"/>
      <c r="M53" s="61">
        <f>SUM(M23:M52)</f>
        <v>0</v>
      </c>
      <c r="N53" s="20"/>
      <c r="O53" s="61">
        <f>SUM(O26:O52)</f>
        <v>0</v>
      </c>
      <c r="P53" s="20"/>
      <c r="Q53" s="61">
        <f>SUM(Q26:Q52)</f>
        <v>0</v>
      </c>
      <c r="R53" s="20"/>
      <c r="S53" s="61">
        <f>SUM(S26:S52)</f>
        <v>0</v>
      </c>
    </row>
    <row r="54" spans="1:19">
      <c r="A54" s="2029"/>
      <c r="B54" s="2030"/>
      <c r="C54" s="2031"/>
      <c r="D54" s="2031"/>
      <c r="E54" s="2032"/>
      <c r="F54" s="2033" t="s">
        <v>568</v>
      </c>
      <c r="G54" s="2034"/>
      <c r="H54" s="2035">
        <v>0</v>
      </c>
      <c r="I54" s="2036"/>
      <c r="J54" s="2037">
        <v>0</v>
      </c>
      <c r="K54" s="2036"/>
      <c r="L54" s="2037">
        <v>0</v>
      </c>
      <c r="M54" s="2036"/>
      <c r="N54" s="2035">
        <v>0</v>
      </c>
      <c r="O54" s="2036"/>
      <c r="P54" s="2035">
        <v>0</v>
      </c>
      <c r="Q54" s="2036"/>
      <c r="R54" s="2035">
        <v>0</v>
      </c>
      <c r="S54" s="2036"/>
    </row>
    <row r="55" spans="1:19">
      <c r="A55" s="2029"/>
      <c r="B55" s="2030"/>
      <c r="C55" s="2031"/>
      <c r="D55" s="2031"/>
      <c r="E55" s="2032"/>
      <c r="F55" s="2033" t="s">
        <v>569</v>
      </c>
      <c r="G55" s="2034"/>
      <c r="H55" s="2038"/>
      <c r="I55" s="2039">
        <f>H54*I53</f>
        <v>0</v>
      </c>
      <c r="J55" s="2038"/>
      <c r="K55" s="2039">
        <f>J54*K53</f>
        <v>0</v>
      </c>
      <c r="L55" s="2038"/>
      <c r="M55" s="2039">
        <f>L54*M53</f>
        <v>0</v>
      </c>
      <c r="N55" s="2038"/>
      <c r="O55" s="2039">
        <f>N54*O53</f>
        <v>0</v>
      </c>
      <c r="P55" s="2038"/>
      <c r="Q55" s="2039">
        <f>P54*Q53</f>
        <v>0</v>
      </c>
      <c r="R55" s="2038"/>
      <c r="S55" s="2039">
        <f>R54*S53</f>
        <v>0</v>
      </c>
    </row>
    <row r="56" spans="1:19">
      <c r="A56" s="2029"/>
      <c r="B56" s="2030"/>
      <c r="C56" s="2031"/>
      <c r="D56" s="2031"/>
      <c r="E56" s="2032"/>
      <c r="F56" s="2033"/>
      <c r="G56" s="2034"/>
      <c r="H56" s="2038"/>
      <c r="I56" s="2040"/>
      <c r="J56" s="2038"/>
      <c r="K56" s="2040"/>
      <c r="L56" s="2038"/>
      <c r="M56" s="2040"/>
      <c r="N56" s="2038"/>
      <c r="O56" s="2040"/>
      <c r="P56" s="2038"/>
      <c r="Q56" s="2040"/>
      <c r="R56" s="2038"/>
      <c r="S56" s="2040"/>
    </row>
    <row r="57" spans="1:19">
      <c r="A57" s="2029"/>
      <c r="B57" s="2030"/>
      <c r="C57" s="2031"/>
      <c r="D57" s="2031"/>
      <c r="E57" s="2032"/>
      <c r="F57" s="2033" t="s">
        <v>570</v>
      </c>
      <c r="G57" s="2034"/>
      <c r="H57" s="2041"/>
      <c r="I57" s="2042">
        <f>SUM(I53:I55)</f>
        <v>25350</v>
      </c>
      <c r="J57" s="2041"/>
      <c r="K57" s="2042">
        <f>SUM(K53:K55)</f>
        <v>0</v>
      </c>
      <c r="L57" s="2041"/>
      <c r="M57" s="2042">
        <f>SUM(M53:M55)</f>
        <v>0</v>
      </c>
      <c r="N57" s="2041"/>
      <c r="O57" s="2042">
        <f>SUM(O53:O55)</f>
        <v>0</v>
      </c>
      <c r="P57" s="2041"/>
      <c r="Q57" s="2042">
        <f>SUM(Q53:Q55)</f>
        <v>0</v>
      </c>
      <c r="R57" s="2041"/>
      <c r="S57" s="2042">
        <f>SUM(S53:S55)</f>
        <v>0</v>
      </c>
    </row>
    <row r="58" spans="1:19">
      <c r="A58" s="2029"/>
      <c r="B58" s="2030"/>
      <c r="C58" s="2031"/>
      <c r="D58" s="2031"/>
      <c r="E58" s="2032"/>
      <c r="F58" s="2043" t="s">
        <v>571</v>
      </c>
      <c r="G58" s="2044"/>
      <c r="H58" s="2045"/>
      <c r="I58" s="2046" t="e">
        <f>I57/'Area Calculations'!$J$4</f>
        <v>#DIV/0!</v>
      </c>
      <c r="J58" s="2045"/>
      <c r="K58" s="2046" t="e">
        <f>K57/'Area Calculations'!$J$4</f>
        <v>#DIV/0!</v>
      </c>
      <c r="L58" s="2045"/>
      <c r="M58" s="2046" t="e">
        <f>M57/'Area Calculations'!$J$4</f>
        <v>#DIV/0!</v>
      </c>
      <c r="N58" s="2045"/>
      <c r="O58" s="2046" t="e">
        <f>O57/'Area Calculations'!$J$4</f>
        <v>#DIV/0!</v>
      </c>
      <c r="P58" s="2045"/>
      <c r="Q58" s="2046" t="e">
        <f>Q57/'Area Calculations'!$J$4</f>
        <v>#DIV/0!</v>
      </c>
      <c r="R58" s="2045"/>
      <c r="S58" s="2046" t="e">
        <f>S57/'Area Calculations'!$J$4</f>
        <v>#DIV/0!</v>
      </c>
    </row>
    <row r="59" spans="1:19">
      <c r="A59" s="2029"/>
      <c r="B59" s="2030"/>
      <c r="C59" s="2031"/>
      <c r="D59" s="2031"/>
      <c r="E59" s="2032"/>
      <c r="F59" s="2043" t="s">
        <v>572</v>
      </c>
      <c r="G59" s="2047"/>
      <c r="H59" s="2045"/>
      <c r="I59" s="2046" t="e">
        <f>I57/'Area Calculations'!#REF!</f>
        <v>#REF!</v>
      </c>
      <c r="J59" s="2045"/>
      <c r="K59" s="2046" t="e">
        <f>K57/'Area Calculations'!#REF!</f>
        <v>#REF!</v>
      </c>
      <c r="L59" s="2045"/>
      <c r="M59" s="2046" t="e">
        <f>M57/'Area Calculations'!#REF!</f>
        <v>#REF!</v>
      </c>
      <c r="N59" s="2045"/>
      <c r="O59" s="2046" t="e">
        <f>O57/'Area Calculations'!#REF!</f>
        <v>#REF!</v>
      </c>
      <c r="P59" s="2045"/>
      <c r="Q59" s="2046" t="e">
        <f>Q57/'Area Calculations'!#REF!</f>
        <v>#REF!</v>
      </c>
      <c r="R59" s="2045"/>
      <c r="S59" s="2046" t="e">
        <f>S57/'Area Calculations'!#REF!</f>
        <v>#REF!</v>
      </c>
    </row>
    <row r="60" spans="1:19">
      <c r="A60" s="2029"/>
      <c r="B60" s="2030"/>
      <c r="C60" s="2031"/>
      <c r="D60" s="2031"/>
      <c r="E60" s="2032"/>
      <c r="F60" s="2033"/>
      <c r="G60" s="2048"/>
      <c r="H60" s="2049"/>
      <c r="I60" s="2050"/>
      <c r="J60" s="2051"/>
      <c r="K60" s="2051"/>
      <c r="L60" s="2051"/>
      <c r="M60" s="2051"/>
      <c r="N60" s="2051"/>
      <c r="O60" s="2052"/>
      <c r="P60" s="2051"/>
      <c r="Q60" s="2052"/>
      <c r="R60" s="2051"/>
      <c r="S60" s="2052"/>
    </row>
    <row r="61" spans="1:19">
      <c r="A61" s="726" t="s">
        <v>573</v>
      </c>
      <c r="B61" s="727"/>
      <c r="C61" s="12"/>
      <c r="D61" s="12"/>
      <c r="E61" s="12"/>
      <c r="F61" s="12"/>
      <c r="G61" s="13"/>
      <c r="H61" s="21"/>
      <c r="I61" s="21"/>
      <c r="J61" s="21"/>
      <c r="K61" s="21"/>
      <c r="L61" s="21"/>
      <c r="M61" s="21"/>
      <c r="N61" s="21"/>
      <c r="O61" s="21"/>
      <c r="P61" s="21"/>
      <c r="Q61" s="21"/>
      <c r="R61" s="21"/>
      <c r="S61" s="21"/>
    </row>
    <row r="62" spans="1:19">
      <c r="A62" s="2011"/>
      <c r="B62" s="2071"/>
      <c r="C62" s="2012"/>
      <c r="D62" s="2012"/>
      <c r="E62" s="2012"/>
      <c r="F62" s="2012"/>
      <c r="G62" s="2013"/>
      <c r="H62" s="2014"/>
      <c r="I62" s="2014"/>
      <c r="J62" s="2014"/>
      <c r="K62" s="2014"/>
      <c r="L62" s="2014"/>
      <c r="M62" s="2014"/>
      <c r="N62" s="2014"/>
      <c r="O62" s="2014"/>
      <c r="P62" s="2014"/>
      <c r="Q62" s="2014"/>
      <c r="R62" s="2014"/>
      <c r="S62" s="2014"/>
    </row>
    <row r="63" spans="1:19">
      <c r="A63" s="2011"/>
      <c r="B63" s="2071"/>
      <c r="C63" s="2012"/>
      <c r="D63" s="2012"/>
      <c r="E63" s="2012"/>
      <c r="F63" s="2012"/>
      <c r="G63" s="2013"/>
      <c r="H63" s="2014"/>
      <c r="I63" s="2014"/>
      <c r="J63" s="2014"/>
      <c r="K63" s="2014"/>
      <c r="L63" s="2014"/>
      <c r="M63" s="2014"/>
      <c r="N63" s="2014"/>
      <c r="O63" s="2014"/>
      <c r="P63" s="2014"/>
      <c r="Q63" s="2014"/>
      <c r="R63" s="2014"/>
      <c r="S63" s="2014"/>
    </row>
    <row r="64" spans="1:19">
      <c r="A64" s="2011"/>
      <c r="B64" s="2071"/>
      <c r="C64" s="2012"/>
      <c r="D64" s="2012"/>
      <c r="E64" s="2012"/>
      <c r="F64" s="2012"/>
      <c r="G64" s="2013"/>
      <c r="H64" s="2014"/>
      <c r="I64" s="2014"/>
      <c r="J64" s="2014"/>
      <c r="K64" s="2014"/>
      <c r="L64" s="2014"/>
      <c r="M64" s="2014"/>
      <c r="N64" s="2014"/>
      <c r="O64" s="2014"/>
      <c r="P64" s="2014"/>
      <c r="Q64" s="2014"/>
      <c r="R64" s="2014"/>
      <c r="S64" s="2014"/>
    </row>
    <row r="65" spans="1:19" s="2" customFormat="1">
      <c r="A65" s="726" t="s">
        <v>574</v>
      </c>
      <c r="B65" s="727"/>
      <c r="C65" s="12"/>
      <c r="D65" s="12"/>
      <c r="E65" s="12"/>
      <c r="F65" s="12"/>
      <c r="G65" s="13"/>
      <c r="H65" s="21"/>
      <c r="I65" s="21"/>
      <c r="J65" s="21"/>
      <c r="K65" s="21"/>
      <c r="L65" s="21"/>
      <c r="M65" s="21"/>
      <c r="N65" s="21"/>
      <c r="O65" s="21"/>
      <c r="P65" s="21"/>
      <c r="Q65" s="21"/>
      <c r="R65" s="21"/>
      <c r="S65" s="21"/>
    </row>
    <row r="66" spans="1:19" s="2" customFormat="1">
      <c r="A66" s="2011"/>
      <c r="B66" s="2071"/>
      <c r="C66" s="2012"/>
      <c r="D66" s="2012"/>
      <c r="E66" s="2012"/>
      <c r="F66" s="2012"/>
      <c r="G66" s="2013"/>
      <c r="H66" s="2014"/>
      <c r="I66" s="2014"/>
      <c r="J66" s="2014"/>
      <c r="K66" s="2014"/>
      <c r="L66" s="2014"/>
      <c r="M66" s="2014"/>
      <c r="N66" s="2014"/>
      <c r="O66" s="2014"/>
      <c r="P66" s="2014"/>
      <c r="Q66" s="2014"/>
      <c r="R66" s="2014"/>
      <c r="S66" s="2014"/>
    </row>
    <row r="67" spans="1:19" s="2" customFormat="1">
      <c r="A67" s="2011"/>
      <c r="B67" s="2071"/>
      <c r="C67" s="2012"/>
      <c r="D67" s="2012"/>
      <c r="E67" s="2012"/>
      <c r="F67" s="2012"/>
      <c r="G67" s="2013"/>
      <c r="H67" s="2014"/>
      <c r="I67" s="2014"/>
      <c r="J67" s="2014"/>
      <c r="K67" s="2014"/>
      <c r="L67" s="2014"/>
      <c r="M67" s="2014"/>
      <c r="N67" s="2014"/>
      <c r="O67" s="2014"/>
      <c r="P67" s="2014"/>
      <c r="Q67" s="2014"/>
      <c r="R67" s="2014"/>
      <c r="S67" s="2014"/>
    </row>
    <row r="68" spans="1:19">
      <c r="A68" s="2011"/>
      <c r="B68" s="2071"/>
      <c r="C68" s="2012"/>
      <c r="D68" s="2012"/>
      <c r="E68" s="2012"/>
      <c r="F68" s="2012"/>
      <c r="G68" s="2013"/>
      <c r="H68" s="2014"/>
      <c r="I68" s="2014"/>
      <c r="J68" s="2014"/>
      <c r="K68" s="2014"/>
      <c r="L68" s="2014"/>
      <c r="M68" s="2014"/>
      <c r="N68" s="2014"/>
      <c r="O68" s="2014"/>
      <c r="P68" s="2014"/>
      <c r="Q68" s="2014"/>
      <c r="R68" s="2014"/>
      <c r="S68" s="2014"/>
    </row>
    <row r="69" spans="1:19" s="2" customFormat="1">
      <c r="A69" s="726" t="s">
        <v>575</v>
      </c>
      <c r="B69" s="727"/>
      <c r="C69" s="12"/>
      <c r="D69" s="12"/>
      <c r="E69" s="12"/>
      <c r="F69" s="12"/>
      <c r="G69" s="13"/>
      <c r="H69" s="21"/>
      <c r="I69" s="21"/>
      <c r="J69" s="21"/>
      <c r="K69" s="21"/>
      <c r="L69" s="21"/>
      <c r="M69" s="21"/>
      <c r="N69" s="21"/>
      <c r="O69" s="21"/>
      <c r="P69" s="21"/>
      <c r="Q69" s="21"/>
      <c r="R69" s="21"/>
      <c r="S69" s="21"/>
    </row>
    <row r="70" spans="1:19" s="2" customFormat="1">
      <c r="A70" s="2011"/>
      <c r="B70" s="2071"/>
      <c r="C70" s="2012"/>
      <c r="D70" s="2012"/>
      <c r="E70" s="2012"/>
      <c r="F70" s="2012"/>
      <c r="G70" s="2013"/>
      <c r="H70" s="2014"/>
      <c r="I70" s="2014"/>
      <c r="J70" s="2014"/>
      <c r="K70" s="2014"/>
      <c r="L70" s="2014"/>
      <c r="M70" s="2014"/>
      <c r="N70" s="2014"/>
      <c r="O70" s="2014"/>
      <c r="P70" s="2014"/>
      <c r="Q70" s="2014"/>
      <c r="R70" s="2014"/>
      <c r="S70" s="2014"/>
    </row>
    <row r="71" spans="1:19" s="2" customFormat="1">
      <c r="A71" s="2084"/>
      <c r="B71" s="2071"/>
      <c r="C71" s="2072"/>
      <c r="D71" s="2072"/>
      <c r="E71" s="2072"/>
      <c r="F71" s="2072"/>
      <c r="G71" s="2085"/>
      <c r="H71" s="2053"/>
      <c r="I71" s="2053"/>
      <c r="J71" s="2053"/>
      <c r="K71" s="2053"/>
      <c r="L71" s="2053"/>
      <c r="M71" s="2053"/>
      <c r="N71" s="2053"/>
      <c r="O71" s="2053"/>
      <c r="P71" s="2053"/>
      <c r="Q71" s="2053"/>
      <c r="R71" s="2053"/>
      <c r="S71" s="2053"/>
    </row>
    <row r="72" spans="1:19" s="2" customFormat="1">
      <c r="A72" s="2054"/>
      <c r="B72" s="2055"/>
      <c r="C72" s="2072"/>
      <c r="D72" s="2072"/>
      <c r="E72" s="2072"/>
      <c r="F72" s="2072"/>
      <c r="G72" s="2085"/>
      <c r="H72" s="2056"/>
      <c r="I72" s="2056"/>
      <c r="J72" s="2056"/>
      <c r="K72" s="2056"/>
      <c r="L72" s="2056"/>
      <c r="M72" s="2056"/>
      <c r="N72" s="2056"/>
      <c r="O72" s="2056"/>
      <c r="P72" s="2056"/>
      <c r="Q72" s="2056"/>
      <c r="R72" s="2056"/>
      <c r="S72" s="2056"/>
    </row>
    <row r="73" spans="1:19" s="2" customFormat="1">
      <c r="A73" s="726" t="s">
        <v>576</v>
      </c>
      <c r="B73" s="727"/>
      <c r="C73" s="12"/>
      <c r="D73" s="12"/>
      <c r="E73" s="12"/>
      <c r="F73" s="12"/>
      <c r="G73" s="13"/>
      <c r="H73" s="21"/>
      <c r="I73" s="21"/>
      <c r="J73" s="21"/>
      <c r="K73" s="21"/>
      <c r="L73" s="21"/>
      <c r="M73" s="21"/>
      <c r="N73" s="21"/>
      <c r="O73" s="21"/>
      <c r="P73" s="21"/>
      <c r="Q73" s="21"/>
      <c r="R73" s="21"/>
      <c r="S73" s="21"/>
    </row>
    <row r="74" spans="1:19">
      <c r="A74" s="2016"/>
      <c r="B74" s="2017"/>
      <c r="C74" s="2012"/>
      <c r="D74" s="2012"/>
      <c r="E74" s="2012"/>
      <c r="F74" s="2012"/>
      <c r="G74" s="2013"/>
      <c r="H74" s="2014"/>
      <c r="I74" s="2014"/>
      <c r="J74" s="2014"/>
      <c r="K74" s="2014"/>
      <c r="L74" s="2014"/>
      <c r="M74" s="2014"/>
      <c r="N74" s="2014"/>
      <c r="O74" s="2014"/>
      <c r="P74" s="2014"/>
      <c r="Q74" s="2014"/>
      <c r="R74" s="2014"/>
      <c r="S74" s="2014"/>
    </row>
    <row r="75" spans="1:19">
      <c r="A75" s="2054"/>
      <c r="B75" s="2055"/>
      <c r="C75" s="2072"/>
      <c r="D75" s="2072"/>
      <c r="E75" s="2072"/>
      <c r="F75" s="2072"/>
      <c r="G75" s="2085"/>
      <c r="H75" s="2057"/>
      <c r="I75" s="2057"/>
      <c r="J75" s="2057"/>
      <c r="K75" s="2057"/>
      <c r="L75" s="2057"/>
      <c r="M75" s="2057"/>
      <c r="N75" s="2057"/>
      <c r="O75" s="2057"/>
      <c r="P75" s="2057"/>
      <c r="Q75" s="2057"/>
      <c r="R75" s="2057"/>
      <c r="S75" s="2057"/>
    </row>
    <row r="76" spans="1:19">
      <c r="A76" s="2054"/>
      <c r="B76" s="2055"/>
      <c r="C76" s="2072"/>
      <c r="D76" s="2072"/>
      <c r="E76" s="2072"/>
      <c r="F76" s="2072"/>
      <c r="G76" s="2085"/>
      <c r="H76" s="2057"/>
      <c r="I76" s="2057"/>
      <c r="J76" s="2057"/>
      <c r="K76" s="2057"/>
      <c r="L76" s="2057"/>
      <c r="M76" s="2057"/>
      <c r="N76" s="2057"/>
      <c r="O76" s="2057"/>
      <c r="P76" s="2057"/>
      <c r="Q76" s="2057"/>
      <c r="R76" s="2057"/>
      <c r="S76" s="2057"/>
    </row>
    <row r="77" spans="1:19">
      <c r="A77" s="726" t="s">
        <v>577</v>
      </c>
      <c r="B77" s="727"/>
      <c r="C77" s="12"/>
      <c r="D77" s="12"/>
      <c r="E77" s="12"/>
      <c r="F77" s="12"/>
      <c r="G77" s="13"/>
      <c r="H77" s="21"/>
      <c r="I77" s="21"/>
      <c r="J77" s="21"/>
      <c r="K77" s="21"/>
      <c r="L77" s="21"/>
      <c r="M77" s="21"/>
      <c r="N77" s="21"/>
      <c r="O77" s="21"/>
      <c r="P77" s="21"/>
      <c r="Q77" s="21"/>
      <c r="R77" s="21"/>
      <c r="S77" s="21"/>
    </row>
    <row r="78" spans="1:19">
      <c r="A78" s="2084"/>
      <c r="B78" s="2071" t="s">
        <v>578</v>
      </c>
      <c r="C78" s="2072"/>
      <c r="D78" s="2072"/>
      <c r="E78" s="2072"/>
      <c r="F78" s="2072"/>
      <c r="G78" s="2085"/>
      <c r="H78" s="2057"/>
      <c r="I78" s="2057"/>
      <c r="J78" s="2057"/>
      <c r="K78" s="2057"/>
      <c r="L78" s="2057"/>
      <c r="M78" s="2057"/>
      <c r="N78" s="2057"/>
      <c r="O78" s="2057"/>
      <c r="P78" s="2057"/>
      <c r="Q78" s="2057"/>
      <c r="R78" s="2057"/>
      <c r="S78" s="2057"/>
    </row>
    <row r="79" spans="1:19">
      <c r="A79" s="2084"/>
      <c r="B79" s="2071" t="s">
        <v>579</v>
      </c>
      <c r="C79" s="2072"/>
      <c r="D79" s="2072"/>
      <c r="E79" s="2072"/>
      <c r="F79" s="2072"/>
      <c r="G79" s="2085"/>
      <c r="H79" s="2057"/>
      <c r="I79" s="2057"/>
      <c r="J79" s="2057"/>
      <c r="K79" s="2057"/>
      <c r="L79" s="2057"/>
      <c r="M79" s="2057"/>
      <c r="N79" s="2057"/>
      <c r="O79" s="2057"/>
      <c r="P79" s="2057"/>
      <c r="Q79" s="2057"/>
      <c r="R79" s="2057"/>
      <c r="S79" s="2057"/>
    </row>
    <row r="80" spans="1:19">
      <c r="A80" s="2084"/>
      <c r="B80" s="2071" t="s">
        <v>580</v>
      </c>
      <c r="C80" s="2072"/>
      <c r="D80" s="2072"/>
      <c r="E80" s="2072"/>
      <c r="F80" s="2072"/>
      <c r="G80" s="2085"/>
      <c r="H80" s="2057"/>
      <c r="I80" s="2057"/>
      <c r="J80" s="2057"/>
      <c r="K80" s="2057"/>
      <c r="L80" s="2057"/>
      <c r="M80" s="2057"/>
      <c r="N80" s="2057"/>
      <c r="O80" s="2057"/>
      <c r="P80" s="2057"/>
      <c r="Q80" s="2057"/>
      <c r="R80" s="2057"/>
      <c r="S80" s="2057"/>
    </row>
    <row r="81" spans="1:19">
      <c r="A81" s="2084"/>
      <c r="B81" s="2071" t="s">
        <v>581</v>
      </c>
      <c r="C81" s="2072"/>
      <c r="D81" s="2072"/>
      <c r="E81" s="2072"/>
      <c r="F81" s="2072"/>
      <c r="G81" s="2085"/>
      <c r="H81" s="2057"/>
      <c r="I81" s="2057"/>
      <c r="J81" s="2057"/>
      <c r="K81" s="2057"/>
      <c r="L81" s="2057"/>
      <c r="M81" s="2057"/>
      <c r="N81" s="2057"/>
      <c r="O81" s="2057"/>
      <c r="P81" s="2057"/>
      <c r="Q81" s="2057"/>
      <c r="R81" s="2057"/>
      <c r="S81" s="2057"/>
    </row>
    <row r="82" spans="1:19">
      <c r="A82" s="416"/>
      <c r="B82" s="295"/>
      <c r="C82" s="184"/>
      <c r="D82" s="184"/>
      <c r="E82" s="184"/>
      <c r="F82" s="184"/>
      <c r="G82" s="296"/>
      <c r="H82" s="418"/>
      <c r="I82" s="418"/>
      <c r="J82" s="418"/>
      <c r="K82" s="418"/>
      <c r="L82" s="418"/>
      <c r="M82" s="418"/>
      <c r="N82" s="418"/>
      <c r="O82" s="418"/>
      <c r="P82" s="418"/>
      <c r="Q82" s="418"/>
      <c r="R82" s="418"/>
      <c r="S82" s="418"/>
    </row>
    <row r="83" spans="1:19">
      <c r="A83" s="7" t="s">
        <v>582</v>
      </c>
      <c r="B83" s="8"/>
      <c r="C83" s="12"/>
      <c r="D83" s="12"/>
      <c r="E83" s="12"/>
      <c r="F83" s="12"/>
      <c r="G83" s="13"/>
      <c r="H83" s="21"/>
      <c r="I83" s="21"/>
      <c r="J83" s="21"/>
      <c r="K83" s="21"/>
      <c r="L83" s="21"/>
      <c r="M83" s="21"/>
      <c r="N83" s="21"/>
      <c r="O83" s="21"/>
      <c r="P83" s="21"/>
      <c r="Q83" s="21"/>
      <c r="R83" s="21"/>
      <c r="S83" s="21"/>
    </row>
    <row r="84" spans="1:19">
      <c r="A84" s="2011"/>
      <c r="B84" s="2018" t="s">
        <v>583</v>
      </c>
      <c r="C84" s="2012"/>
      <c r="D84" s="2012"/>
      <c r="E84" s="2012"/>
      <c r="F84" s="2012"/>
      <c r="G84" s="2013"/>
      <c r="H84" s="2019"/>
      <c r="I84" s="2019"/>
      <c r="J84" s="2019"/>
      <c r="K84" s="2019"/>
      <c r="L84" s="2019"/>
      <c r="M84" s="2019"/>
      <c r="N84" s="2019"/>
      <c r="O84" s="2019"/>
      <c r="P84" s="2019"/>
      <c r="Q84" s="2019"/>
      <c r="R84" s="2019"/>
      <c r="S84" s="2019"/>
    </row>
    <row r="85" spans="1:19">
      <c r="A85" s="2084"/>
      <c r="B85" s="2071" t="s">
        <v>584</v>
      </c>
      <c r="C85" s="2072"/>
      <c r="D85" s="2072"/>
      <c r="E85" s="2072"/>
      <c r="F85" s="2072"/>
      <c r="G85" s="2085"/>
      <c r="H85" s="2090"/>
      <c r="I85" s="2090"/>
      <c r="J85" s="2090"/>
      <c r="K85" s="2090"/>
      <c r="L85" s="2090"/>
      <c r="M85" s="2090"/>
      <c r="N85" s="2090"/>
      <c r="O85" s="2090"/>
      <c r="P85" s="2090"/>
      <c r="Q85" s="2090"/>
      <c r="R85" s="2090"/>
      <c r="S85" s="2090"/>
    </row>
    <row r="86" spans="1:19">
      <c r="A86" s="2058"/>
      <c r="B86" s="2059" t="s">
        <v>585</v>
      </c>
      <c r="C86" s="2060"/>
      <c r="D86" s="2060"/>
      <c r="E86" s="2060"/>
      <c r="F86" s="2060"/>
      <c r="G86" s="2061"/>
      <c r="H86" s="2062"/>
      <c r="I86" s="2062"/>
      <c r="J86" s="2062"/>
      <c r="K86" s="2062"/>
      <c r="L86" s="2062"/>
      <c r="M86" s="2062"/>
      <c r="N86" s="2062"/>
      <c r="O86" s="2062"/>
      <c r="P86" s="2062"/>
      <c r="Q86" s="2062"/>
      <c r="R86" s="2062"/>
      <c r="S86" s="2062"/>
    </row>
    <row r="88" spans="1:19">
      <c r="A88" s="92" t="s">
        <v>586</v>
      </c>
      <c r="B88" s="94"/>
    </row>
    <row r="89" spans="1:19">
      <c r="A89" s="93" t="s">
        <v>487</v>
      </c>
      <c r="B89" s="2063"/>
    </row>
    <row r="90" spans="1:19">
      <c r="A90" s="2064" t="s">
        <v>491</v>
      </c>
      <c r="B90" s="2063"/>
    </row>
    <row r="91" spans="1:19">
      <c r="A91" s="2065" t="s">
        <v>494</v>
      </c>
      <c r="B91" s="2066"/>
    </row>
    <row r="92" spans="1:19">
      <c r="A92" s="2065" t="s">
        <v>497</v>
      </c>
      <c r="B92" s="2067"/>
    </row>
    <row r="93" spans="1:19">
      <c r="A93" s="2068" t="s">
        <v>587</v>
      </c>
      <c r="B93" s="2069">
        <f>H8</f>
        <v>25350</v>
      </c>
    </row>
    <row r="95" spans="1:19">
      <c r="A95" s="95"/>
      <c r="B95" s="1" t="s">
        <v>588</v>
      </c>
    </row>
    <row r="96" spans="1:19">
      <c r="A96" s="96"/>
      <c r="B96"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1:B61"/>
    <mergeCell ref="A65:B65"/>
    <mergeCell ref="A69:B69"/>
    <mergeCell ref="A73:B73"/>
    <mergeCell ref="A77:B77"/>
  </mergeCells>
  <conditionalFormatting sqref="H20:H30">
    <cfRule type="cellIs" dxfId="1029" priority="15" operator="equal">
      <formula>"X"</formula>
    </cfRule>
    <cfRule type="cellIs" dxfId="1028" priority="16" operator="equal">
      <formula>"I"</formula>
    </cfRule>
  </conditionalFormatting>
  <conditionalFormatting sqref="H32:H52">
    <cfRule type="cellIs" dxfId="1027" priority="3" operator="equal">
      <formula>"X"</formula>
    </cfRule>
    <cfRule type="cellIs" dxfId="1026" priority="4" operator="equal">
      <formula>"I"</formula>
    </cfRule>
  </conditionalFormatting>
  <conditionalFormatting sqref="J20:J30">
    <cfRule type="cellIs" dxfId="1025" priority="17" operator="equal">
      <formula>"X"</formula>
    </cfRule>
    <cfRule type="cellIs" dxfId="1024" priority="18" operator="equal">
      <formula>"I"</formula>
    </cfRule>
  </conditionalFormatting>
  <conditionalFormatting sqref="J32:J52">
    <cfRule type="cellIs" dxfId="1023" priority="5" operator="equal">
      <formula>"X"</formula>
    </cfRule>
    <cfRule type="cellIs" dxfId="1022" priority="6" operator="equal">
      <formula>"I"</formula>
    </cfRule>
  </conditionalFormatting>
  <conditionalFormatting sqref="L20:L30">
    <cfRule type="cellIs" dxfId="1021" priority="19" operator="equal">
      <formula>"X"</formula>
    </cfRule>
    <cfRule type="cellIs" dxfId="1020" priority="20" operator="equal">
      <formula>"I"</formula>
    </cfRule>
  </conditionalFormatting>
  <conditionalFormatting sqref="L32:L52">
    <cfRule type="cellIs" dxfId="1019" priority="7" operator="equal">
      <formula>"X"</formula>
    </cfRule>
    <cfRule type="cellIs" dxfId="1018" priority="8" operator="equal">
      <formula>"I"</formula>
    </cfRule>
  </conditionalFormatting>
  <conditionalFormatting sqref="N20:N30">
    <cfRule type="cellIs" dxfId="1017" priority="21" operator="equal">
      <formula>"X"</formula>
    </cfRule>
    <cfRule type="cellIs" dxfId="1016" priority="22" operator="equal">
      <formula>"I"</formula>
    </cfRule>
  </conditionalFormatting>
  <conditionalFormatting sqref="N32:N52">
    <cfRule type="cellIs" dxfId="1015" priority="9" operator="equal">
      <formula>"X"</formula>
    </cfRule>
    <cfRule type="cellIs" dxfId="1014" priority="10" operator="equal">
      <formula>"I"</formula>
    </cfRule>
  </conditionalFormatting>
  <conditionalFormatting sqref="P20:P30">
    <cfRule type="cellIs" dxfId="1013" priority="23" operator="equal">
      <formula>"X"</formula>
    </cfRule>
    <cfRule type="cellIs" dxfId="1012" priority="24" operator="equal">
      <formula>"I"</formula>
    </cfRule>
  </conditionalFormatting>
  <conditionalFormatting sqref="P32:P52">
    <cfRule type="cellIs" dxfId="1011" priority="11" operator="equal">
      <formula>"X"</formula>
    </cfRule>
    <cfRule type="cellIs" dxfId="1010" priority="12" operator="equal">
      <formula>"I"</formula>
    </cfRule>
  </conditionalFormatting>
  <conditionalFormatting sqref="R20:R30">
    <cfRule type="cellIs" dxfId="1009" priority="25" operator="equal">
      <formula>"X"</formula>
    </cfRule>
    <cfRule type="cellIs" dxfId="1008" priority="26" operator="equal">
      <formula>"I"</formula>
    </cfRule>
  </conditionalFormatting>
  <conditionalFormatting sqref="R32:R52">
    <cfRule type="cellIs" dxfId="1007" priority="13" operator="equal">
      <formula>"X"</formula>
    </cfRule>
    <cfRule type="cellIs" dxfId="1006" priority="14" operator="equal">
      <formula>"I"</formula>
    </cfRule>
  </conditionalFormatting>
  <hyperlinks>
    <hyperlink ref="B3" location="'Cost Summary'!A1" display="BACK TO SUMMARY SHEET" xr:uid="{54D883F3-E6DB-40EA-8333-B146D94766CE}"/>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F5CF-4EF0-4C5F-9101-B1F660D4E494}">
  <sheetPr>
    <tabColor rgb="FF92D050"/>
  </sheetPr>
  <dimension ref="A1:S174"/>
  <sheetViews>
    <sheetView zoomScale="91" zoomScaleNormal="91" workbookViewId="0">
      <pane xSplit="2" ySplit="9" topLeftCell="C33" activePane="bottomRight" state="frozen"/>
      <selection pane="bottomRight" activeCell="I124" sqref="I124"/>
      <selection pane="bottomLeft" sqref="A1:B1"/>
      <selection pane="topRight" sqref="A1:B1"/>
    </sheetView>
  </sheetViews>
  <sheetFormatPr defaultRowHeight="15"/>
  <cols>
    <col min="1" max="1" width="11" customWidth="1"/>
    <col min="2" max="2" width="73.7109375" style="1" customWidth="1"/>
    <col min="3" max="3" width="10.85546875" style="2" bestFit="1" customWidth="1"/>
    <col min="4" max="4" width="10.140625" style="2" bestFit="1"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32"/>
      <c r="I2" s="732"/>
      <c r="J2" s="766"/>
      <c r="K2" s="766"/>
      <c r="L2" s="766"/>
      <c r="M2" s="766"/>
      <c r="N2" s="766"/>
      <c r="O2" s="766"/>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customHeight="1">
      <c r="A4" s="3" t="s">
        <v>486</v>
      </c>
      <c r="B4" s="4" t="str">
        <f>'Area Calculations'!B4</f>
        <v>The Club at Ibis Conceptual Estimate</v>
      </c>
      <c r="C4" s="5"/>
      <c r="D4" s="5"/>
      <c r="E4" s="5"/>
      <c r="F4" s="5"/>
      <c r="G4" s="6" t="s">
        <v>487</v>
      </c>
      <c r="H4" s="728" t="s">
        <v>959</v>
      </c>
      <c r="I4" s="729"/>
      <c r="J4" s="747"/>
      <c r="K4" s="748"/>
      <c r="L4" s="728"/>
      <c r="M4" s="729"/>
      <c r="N4" s="728"/>
      <c r="O4" s="729"/>
      <c r="P4" s="728"/>
      <c r="Q4" s="729"/>
      <c r="R4" s="728"/>
      <c r="S4" s="729"/>
    </row>
    <row r="5" spans="1:19">
      <c r="A5" s="2070" t="s">
        <v>489</v>
      </c>
      <c r="B5" s="2071" t="s">
        <v>960</v>
      </c>
      <c r="C5" s="2072"/>
      <c r="D5" s="2072"/>
      <c r="E5" s="2072"/>
      <c r="F5" s="2072"/>
      <c r="G5" s="1125" t="s">
        <v>491</v>
      </c>
      <c r="H5" s="2074" t="s">
        <v>961</v>
      </c>
      <c r="I5" s="1126"/>
      <c r="J5" s="2111"/>
      <c r="K5" s="1414"/>
      <c r="L5" s="2074"/>
      <c r="M5" s="1126"/>
      <c r="N5" s="2074"/>
      <c r="O5" s="1126"/>
      <c r="P5" s="2074"/>
      <c r="Q5" s="1126"/>
      <c r="R5" s="2074"/>
      <c r="S5" s="1126"/>
    </row>
    <row r="6" spans="1:19" ht="15" customHeight="1">
      <c r="A6" s="2070" t="s">
        <v>493</v>
      </c>
      <c r="B6" s="2076" t="s">
        <v>174</v>
      </c>
      <c r="C6" s="2072"/>
      <c r="D6" s="2072"/>
      <c r="E6" s="2072"/>
      <c r="F6" s="2072"/>
      <c r="G6" s="1125" t="s">
        <v>494</v>
      </c>
      <c r="H6" s="2077" t="s">
        <v>962</v>
      </c>
      <c r="I6" s="1129"/>
      <c r="J6" s="2112"/>
      <c r="K6" s="2113"/>
      <c r="L6" s="2077"/>
      <c r="M6" s="1129"/>
      <c r="N6" s="2077"/>
      <c r="O6" s="1129"/>
      <c r="P6" s="2077"/>
      <c r="Q6" s="1129"/>
      <c r="R6" s="2077"/>
      <c r="S6" s="1129"/>
    </row>
    <row r="7" spans="1:19">
      <c r="A7" s="2070" t="s">
        <v>496</v>
      </c>
      <c r="B7" s="2079"/>
      <c r="C7" s="2072"/>
      <c r="D7" s="2072"/>
      <c r="E7" s="2072"/>
      <c r="F7" s="2072"/>
      <c r="G7" s="1125" t="s">
        <v>497</v>
      </c>
      <c r="H7" s="2080" t="s">
        <v>963</v>
      </c>
      <c r="I7" s="1131"/>
      <c r="J7" s="2114"/>
      <c r="K7" s="2115"/>
      <c r="L7" s="2080"/>
      <c r="M7" s="1131"/>
      <c r="N7" s="2080"/>
      <c r="O7" s="1131"/>
      <c r="P7" s="2080"/>
      <c r="Q7" s="1131"/>
      <c r="R7" s="2080"/>
      <c r="S7" s="1131"/>
    </row>
    <row r="8" spans="1:19">
      <c r="A8" s="414" t="s">
        <v>499</v>
      </c>
      <c r="B8" s="295"/>
      <c r="C8" s="184"/>
      <c r="D8" s="184"/>
      <c r="E8" s="184"/>
      <c r="F8" s="184"/>
      <c r="G8" s="419" t="s">
        <v>499</v>
      </c>
      <c r="H8" s="2082">
        <f>I135</f>
        <v>449937.24</v>
      </c>
      <c r="I8" s="2083"/>
      <c r="J8" s="2082"/>
      <c r="K8" s="2083"/>
      <c r="L8" s="2082"/>
      <c r="M8" s="2083"/>
      <c r="N8" s="2082"/>
      <c r="O8" s="2083"/>
      <c r="P8" s="2082"/>
      <c r="Q8" s="2083"/>
      <c r="R8" s="2082"/>
      <c r="S8" s="2083"/>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084"/>
      <c r="B10" s="2020" t="s">
        <v>508</v>
      </c>
      <c r="C10" s="2072"/>
      <c r="D10" s="2072"/>
      <c r="E10" s="2072"/>
      <c r="F10" s="2072"/>
      <c r="G10" s="1133"/>
      <c r="H10" s="2086"/>
      <c r="I10" s="2086"/>
      <c r="J10" s="2086"/>
      <c r="K10" s="2086"/>
      <c r="L10" s="2086"/>
      <c r="M10" s="2086"/>
      <c r="N10" s="2086"/>
      <c r="O10" s="2086"/>
      <c r="P10" s="2086"/>
      <c r="Q10" s="2086"/>
      <c r="R10" s="2086"/>
      <c r="S10" s="2086"/>
    </row>
    <row r="11" spans="1:19" hidden="1">
      <c r="A11" s="2084"/>
      <c r="B11" s="2071" t="str">
        <f>'Area Calculations'!M62</f>
        <v>Architectural Drawings  by</v>
      </c>
      <c r="C11" s="2087" t="s">
        <v>509</v>
      </c>
      <c r="D11" s="2072"/>
      <c r="E11" s="2072"/>
      <c r="F11" s="2072"/>
      <c r="G11" s="1133"/>
      <c r="H11" s="2086"/>
      <c r="I11" s="2086"/>
      <c r="J11" s="2086"/>
      <c r="K11" s="2086"/>
      <c r="L11" s="2086"/>
      <c r="M11" s="2086"/>
      <c r="N11" s="2086"/>
      <c r="O11" s="2086"/>
      <c r="P11" s="2086"/>
      <c r="Q11" s="2086"/>
      <c r="R11" s="2086"/>
      <c r="S11" s="2086"/>
    </row>
    <row r="12" spans="1:19" hidden="1">
      <c r="A12" s="2084"/>
      <c r="B12" s="2071" t="str">
        <f>'Area Calculations'!M63</f>
        <v>Structural Drawings by</v>
      </c>
      <c r="C12" s="2087" t="s">
        <v>509</v>
      </c>
      <c r="D12" s="2072"/>
      <c r="E12" s="2072"/>
      <c r="F12" s="2072"/>
      <c r="G12" s="1133"/>
      <c r="H12" s="2086"/>
      <c r="I12" s="2086"/>
      <c r="J12" s="2086"/>
      <c r="K12" s="2086"/>
      <c r="L12" s="2086"/>
      <c r="M12" s="2086"/>
      <c r="N12" s="2086"/>
      <c r="O12" s="2086"/>
      <c r="P12" s="2086"/>
      <c r="Q12" s="2086"/>
      <c r="R12" s="2086"/>
      <c r="S12" s="2086"/>
    </row>
    <row r="13" spans="1:19" hidden="1">
      <c r="A13" s="2084"/>
      <c r="B13" s="2071" t="str">
        <f>'Area Calculations'!M64</f>
        <v>MEP FA FP Drawings by</v>
      </c>
      <c r="C13" s="2087" t="s">
        <v>509</v>
      </c>
      <c r="D13" s="2072"/>
      <c r="E13" s="2072"/>
      <c r="F13" s="2072"/>
      <c r="G13" s="1133"/>
      <c r="H13" s="2086"/>
      <c r="I13" s="2086"/>
      <c r="J13" s="2086"/>
      <c r="K13" s="2086"/>
      <c r="L13" s="2086"/>
      <c r="M13" s="2086"/>
      <c r="N13" s="2086"/>
      <c r="O13" s="2086"/>
      <c r="P13" s="2086"/>
      <c r="Q13" s="2086"/>
      <c r="R13" s="2086"/>
      <c r="S13" s="2086"/>
    </row>
    <row r="14" spans="1:19" hidden="1">
      <c r="A14" s="2084"/>
      <c r="B14" s="2071" t="str">
        <f>'Area Calculations'!M65</f>
        <v xml:space="preserve">Civil Drawings by </v>
      </c>
      <c r="C14" s="2087" t="s">
        <v>509</v>
      </c>
      <c r="D14" s="2072"/>
      <c r="E14" s="2072"/>
      <c r="F14" s="2072"/>
      <c r="G14" s="1133"/>
      <c r="H14" s="2086"/>
      <c r="I14" s="2086"/>
      <c r="J14" s="2086"/>
      <c r="K14" s="2086"/>
      <c r="L14" s="2086"/>
      <c r="M14" s="2086"/>
      <c r="N14" s="2086"/>
      <c r="O14" s="2086"/>
      <c r="P14" s="2086"/>
      <c r="Q14" s="2086"/>
      <c r="R14" s="2086"/>
      <c r="S14" s="2086"/>
    </row>
    <row r="15" spans="1:19" hidden="1">
      <c r="A15" s="2084"/>
      <c r="B15" s="2071" t="str">
        <f>'Area Calculations'!M66</f>
        <v>Land scape Drawings by</v>
      </c>
      <c r="C15" s="2087" t="s">
        <v>509</v>
      </c>
      <c r="D15" s="2072"/>
      <c r="E15" s="2072"/>
      <c r="F15" s="2072"/>
      <c r="G15" s="1133"/>
      <c r="H15" s="2086"/>
      <c r="I15" s="2086"/>
      <c r="J15" s="2086"/>
      <c r="K15" s="2086"/>
      <c r="L15" s="2086"/>
      <c r="M15" s="2086"/>
      <c r="N15" s="2086"/>
      <c r="O15" s="2086"/>
      <c r="P15" s="2086"/>
      <c r="Q15" s="2086"/>
      <c r="R15" s="2086"/>
      <c r="S15" s="2086"/>
    </row>
    <row r="16" spans="1:19" hidden="1">
      <c r="A16" s="2084"/>
      <c r="B16" s="2071" t="str">
        <f>'Area Calculations'!M67</f>
        <v>Kitchen Drawings by</v>
      </c>
      <c r="C16" s="2087" t="s">
        <v>509</v>
      </c>
      <c r="D16" s="2072"/>
      <c r="E16" s="2072"/>
      <c r="F16" s="2072"/>
      <c r="G16" s="1133"/>
      <c r="H16" s="2086"/>
      <c r="I16" s="2086"/>
      <c r="J16" s="2086"/>
      <c r="K16" s="2086"/>
      <c r="L16" s="2086"/>
      <c r="M16" s="2086"/>
      <c r="N16" s="2086"/>
      <c r="O16" s="2086"/>
      <c r="P16" s="2086"/>
      <c r="Q16" s="2086"/>
      <c r="R16" s="2086"/>
      <c r="S16" s="2086"/>
    </row>
    <row r="17" spans="1:19" hidden="1">
      <c r="A17" s="2084"/>
      <c r="B17" s="2071" t="str">
        <f>'Area Calculations'!M68</f>
        <v>Storefront Designer by</v>
      </c>
      <c r="C17" s="2087" t="s">
        <v>509</v>
      </c>
      <c r="D17" s="2072"/>
      <c r="E17" s="2072"/>
      <c r="F17" s="2072"/>
      <c r="G17" s="1133"/>
      <c r="H17" s="2086"/>
      <c r="I17" s="2086"/>
      <c r="J17" s="2086"/>
      <c r="K17" s="2086"/>
      <c r="L17" s="2086"/>
      <c r="M17" s="2086"/>
      <c r="N17" s="2086"/>
      <c r="O17" s="2086"/>
      <c r="P17" s="2086"/>
      <c r="Q17" s="2086"/>
      <c r="R17" s="2086"/>
      <c r="S17" s="2086"/>
    </row>
    <row r="18" spans="1:19" hidden="1">
      <c r="A18" s="2084"/>
      <c r="B18" s="2071" t="str">
        <f>'Area Calculations'!M69</f>
        <v>Geotech report by</v>
      </c>
      <c r="C18" s="2087" t="s">
        <v>509</v>
      </c>
      <c r="D18" s="2072"/>
      <c r="E18" s="2072"/>
      <c r="F18" s="2072"/>
      <c r="G18" s="1133"/>
      <c r="H18" s="2086"/>
      <c r="I18" s="2086"/>
      <c r="J18" s="2086"/>
      <c r="K18" s="2086"/>
      <c r="L18" s="2086"/>
      <c r="M18" s="2086"/>
      <c r="N18" s="2086"/>
      <c r="O18" s="2086"/>
      <c r="P18" s="2086"/>
      <c r="Q18" s="2086"/>
      <c r="R18" s="2086"/>
      <c r="S18" s="2086"/>
    </row>
    <row r="19" spans="1:19" hidden="1">
      <c r="A19" s="2084"/>
      <c r="B19" s="2071" t="str">
        <f>'Area Calculations'!M70</f>
        <v>Specifications</v>
      </c>
      <c r="C19" s="2087" t="s">
        <v>509</v>
      </c>
      <c r="D19" s="2072"/>
      <c r="E19" s="2072"/>
      <c r="F19" s="2072"/>
      <c r="G19" s="1133"/>
      <c r="H19" s="2086"/>
      <c r="I19" s="2086"/>
      <c r="J19" s="2086"/>
      <c r="K19" s="2086"/>
      <c r="L19" s="2086"/>
      <c r="M19" s="2086"/>
      <c r="N19" s="2086"/>
      <c r="O19" s="2086"/>
      <c r="P19" s="2086"/>
      <c r="Q19" s="2086"/>
      <c r="R19" s="2086"/>
      <c r="S19" s="2086"/>
    </row>
    <row r="20" spans="1:19" hidden="1">
      <c r="A20" s="2084"/>
      <c r="B20" s="2071"/>
      <c r="C20" s="2087"/>
      <c r="D20" s="2072"/>
      <c r="E20" s="2072"/>
      <c r="F20" s="2072"/>
      <c r="G20" s="1133"/>
      <c r="H20" s="2086"/>
      <c r="I20" s="2086"/>
      <c r="J20" s="2086"/>
      <c r="K20" s="2086"/>
      <c r="L20" s="2086"/>
      <c r="M20" s="2086"/>
      <c r="N20" s="2086"/>
      <c r="O20" s="2086"/>
      <c r="P20" s="2086"/>
      <c r="Q20" s="2086"/>
      <c r="R20" s="2086"/>
      <c r="S20" s="2086"/>
    </row>
    <row r="21" spans="1:19" hidden="1">
      <c r="A21" s="2084"/>
      <c r="B21" s="2071"/>
      <c r="C21" s="2087"/>
      <c r="D21" s="2072"/>
      <c r="E21" s="2072"/>
      <c r="F21" s="2072"/>
      <c r="G21" s="1133"/>
      <c r="H21" s="2088"/>
      <c r="I21" s="2086"/>
      <c r="J21" s="2088"/>
      <c r="K21" s="2086"/>
      <c r="L21" s="2088"/>
      <c r="M21" s="2086"/>
      <c r="N21" s="2088"/>
      <c r="O21" s="2086"/>
      <c r="P21" s="2088"/>
      <c r="Q21" s="2086"/>
      <c r="R21" s="2088"/>
      <c r="S21" s="2086"/>
    </row>
    <row r="22" spans="1:19" ht="16.5" thickTop="1" thickBot="1">
      <c r="A22" s="59"/>
      <c r="B22" s="2089" t="s">
        <v>960</v>
      </c>
      <c r="C22" s="56"/>
      <c r="D22" s="57"/>
      <c r="E22" s="57"/>
      <c r="F22" s="57"/>
      <c r="G22" s="63"/>
      <c r="H22" s="2088"/>
      <c r="I22" s="2086"/>
      <c r="J22" s="2088"/>
      <c r="K22" s="2086"/>
      <c r="L22" s="2088"/>
      <c r="M22" s="2086"/>
      <c r="N22" s="2088"/>
      <c r="O22" s="2086"/>
      <c r="P22" s="2088"/>
      <c r="Q22" s="2086"/>
      <c r="R22" s="2088"/>
      <c r="S22" s="2086"/>
    </row>
    <row r="23" spans="1:19" ht="15.75" thickBot="1">
      <c r="A23" s="2005"/>
      <c r="B23" s="374" t="s">
        <v>512</v>
      </c>
      <c r="C23" s="2087"/>
      <c r="D23" s="2072"/>
      <c r="E23" s="2072"/>
      <c r="F23" s="2072"/>
      <c r="G23" s="1133"/>
      <c r="H23" s="2088"/>
      <c r="I23" s="2090"/>
      <c r="J23" s="2088"/>
      <c r="K23" s="1178"/>
      <c r="L23" s="2088"/>
      <c r="M23" s="1178"/>
      <c r="N23" s="2088"/>
      <c r="O23" s="1178"/>
      <c r="P23" s="2088"/>
      <c r="Q23" s="1178"/>
      <c r="R23" s="2088"/>
      <c r="S23" s="1178"/>
    </row>
    <row r="24" spans="1:19">
      <c r="A24" s="2005"/>
      <c r="B24" s="1422" t="s">
        <v>513</v>
      </c>
      <c r="C24" s="2092"/>
      <c r="D24" s="1426"/>
      <c r="E24" s="2072"/>
      <c r="F24" s="2072"/>
      <c r="G24" s="1133"/>
      <c r="H24" s="2088"/>
      <c r="I24" s="2002"/>
      <c r="J24" s="2088"/>
      <c r="K24" s="2002"/>
      <c r="L24" s="2088"/>
      <c r="M24" s="2002"/>
      <c r="N24" s="2088"/>
      <c r="O24" s="1964"/>
      <c r="P24" s="2088"/>
      <c r="Q24" s="1964"/>
      <c r="R24" s="2088"/>
      <c r="S24" s="1964"/>
    </row>
    <row r="25" spans="1:19">
      <c r="A25" s="2005"/>
      <c r="B25" s="1963" t="s">
        <v>514</v>
      </c>
      <c r="C25" s="2092"/>
      <c r="D25" s="1426"/>
      <c r="E25" s="2072"/>
      <c r="F25" s="2072"/>
      <c r="G25" s="1133"/>
      <c r="H25" s="2088"/>
      <c r="I25" s="1964"/>
      <c r="J25" s="2088"/>
      <c r="K25" s="2002"/>
      <c r="L25" s="2088"/>
      <c r="M25" s="2002"/>
      <c r="N25" s="2088"/>
      <c r="O25" s="1964"/>
      <c r="P25" s="2088"/>
      <c r="Q25" s="1964"/>
      <c r="R25" s="2088"/>
      <c r="S25" s="1964"/>
    </row>
    <row r="26" spans="1:19">
      <c r="A26" s="2005"/>
      <c r="B26" s="1965" t="s">
        <v>515</v>
      </c>
      <c r="C26" s="1133"/>
      <c r="D26" s="2072"/>
      <c r="E26" s="2072"/>
      <c r="F26" s="2072"/>
      <c r="G26" s="1133"/>
      <c r="H26" s="2088"/>
      <c r="I26" s="1964"/>
      <c r="J26" s="2088"/>
      <c r="K26" s="1964"/>
      <c r="L26" s="2088"/>
      <c r="M26" s="2002"/>
      <c r="N26" s="2088"/>
      <c r="O26" s="1964"/>
      <c r="P26" s="2088"/>
      <c r="Q26" s="1964"/>
      <c r="R26" s="2088"/>
      <c r="S26" s="1964"/>
    </row>
    <row r="27" spans="1:19">
      <c r="A27" s="2005"/>
      <c r="B27" s="1965" t="s">
        <v>516</v>
      </c>
      <c r="C27" s="1133"/>
      <c r="D27" s="2072"/>
      <c r="E27" s="2072"/>
      <c r="F27" s="2072"/>
      <c r="G27" s="1133"/>
      <c r="H27" s="2088"/>
      <c r="I27" s="2002"/>
      <c r="J27" s="2088"/>
      <c r="K27" s="2002"/>
      <c r="L27" s="2088"/>
      <c r="M27" s="2002"/>
      <c r="N27" s="2088"/>
      <c r="O27" s="2002"/>
      <c r="P27" s="2088"/>
      <c r="Q27" s="2002"/>
      <c r="R27" s="2088"/>
      <c r="S27" s="2002"/>
    </row>
    <row r="28" spans="1:19">
      <c r="A28" s="2005"/>
      <c r="B28" s="1965" t="s">
        <v>517</v>
      </c>
      <c r="C28" s="1133"/>
      <c r="D28" s="2072"/>
      <c r="E28" s="2072"/>
      <c r="F28" s="2072"/>
      <c r="G28" s="1133"/>
      <c r="H28" s="2088"/>
      <c r="I28" s="2002"/>
      <c r="J28" s="2088"/>
      <c r="K28" s="2002"/>
      <c r="L28" s="2088"/>
      <c r="M28" s="2002"/>
      <c r="N28" s="2088"/>
      <c r="O28" s="2002"/>
      <c r="P28" s="2088"/>
      <c r="Q28" s="2002"/>
      <c r="R28" s="2088"/>
      <c r="S28" s="2002"/>
    </row>
    <row r="29" spans="1:19">
      <c r="A29" s="2005"/>
      <c r="B29" s="1965" t="s">
        <v>518</v>
      </c>
      <c r="C29" s="1133"/>
      <c r="D29" s="2072"/>
      <c r="E29" s="2072"/>
      <c r="F29" s="2072"/>
      <c r="G29" s="1133"/>
      <c r="H29" s="2088"/>
      <c r="I29" s="2002"/>
      <c r="J29" s="2088"/>
      <c r="K29" s="2002"/>
      <c r="L29" s="2088"/>
      <c r="M29" s="2002"/>
      <c r="N29" s="2088"/>
      <c r="O29" s="2002"/>
      <c r="P29" s="2088"/>
      <c r="Q29" s="2002"/>
      <c r="R29" s="2088"/>
      <c r="S29" s="2002"/>
    </row>
    <row r="30" spans="1:19">
      <c r="A30" s="2005"/>
      <c r="B30" s="1965" t="s">
        <v>693</v>
      </c>
      <c r="C30" s="1133"/>
      <c r="D30" s="2072"/>
      <c r="E30" s="2072"/>
      <c r="F30" s="2072"/>
      <c r="G30" s="1133"/>
      <c r="H30" s="2088"/>
      <c r="I30" s="2002"/>
      <c r="J30" s="2088"/>
      <c r="K30" s="2002"/>
      <c r="L30" s="2088"/>
      <c r="M30" s="2002"/>
      <c r="N30" s="2088"/>
      <c r="O30" s="2002"/>
      <c r="P30" s="2088"/>
      <c r="Q30" s="2002"/>
      <c r="R30" s="2088"/>
      <c r="S30" s="2002"/>
    </row>
    <row r="31" spans="1:19">
      <c r="A31" s="2005"/>
      <c r="B31" s="1966" t="s">
        <v>519</v>
      </c>
      <c r="C31" s="1133"/>
      <c r="D31" s="2072"/>
      <c r="E31" s="2072"/>
      <c r="F31" s="2072"/>
      <c r="G31" s="1133"/>
      <c r="H31" s="2088"/>
      <c r="I31" s="2002"/>
      <c r="J31" s="2088"/>
      <c r="K31" s="2002"/>
      <c r="L31" s="2088"/>
      <c r="M31" s="2002"/>
      <c r="N31" s="2088"/>
      <c r="O31" s="2002"/>
      <c r="P31" s="2088"/>
      <c r="Q31" s="2002"/>
      <c r="R31" s="2088"/>
      <c r="S31" s="2002"/>
    </row>
    <row r="32" spans="1:19">
      <c r="A32" s="2005"/>
      <c r="B32" s="2116" t="s">
        <v>520</v>
      </c>
      <c r="C32" s="1147"/>
      <c r="D32" s="2117"/>
      <c r="E32" s="2117"/>
      <c r="F32" s="2117"/>
      <c r="G32" s="2118"/>
      <c r="H32" s="2119"/>
      <c r="I32" s="2003"/>
      <c r="J32" s="2119"/>
      <c r="K32" s="2120"/>
      <c r="L32" s="2119"/>
      <c r="M32" s="2003"/>
      <c r="N32" s="2119"/>
      <c r="O32" s="2003"/>
      <c r="P32" s="2119"/>
      <c r="Q32" s="2003"/>
      <c r="R32" s="2119"/>
      <c r="S32" s="2003"/>
    </row>
    <row r="33" spans="1:19">
      <c r="A33" s="2005"/>
      <c r="B33" s="2110"/>
      <c r="C33" s="1133"/>
      <c r="D33" s="2121"/>
      <c r="E33" s="2072"/>
      <c r="F33" s="2122"/>
      <c r="G33" s="2123"/>
      <c r="H33" s="2088"/>
      <c r="I33" s="2124"/>
      <c r="J33" s="2088"/>
      <c r="K33" s="2125"/>
      <c r="L33" s="2088"/>
      <c r="M33" s="2002"/>
      <c r="N33" s="2088"/>
      <c r="O33" s="2002"/>
      <c r="P33" s="2088"/>
      <c r="Q33" s="2002"/>
      <c r="R33" s="2088"/>
      <c r="S33" s="2002"/>
    </row>
    <row r="34" spans="1:19">
      <c r="A34" s="2005"/>
      <c r="B34" s="2110" t="s">
        <v>964</v>
      </c>
      <c r="C34" s="1133"/>
      <c r="D34" s="2121"/>
      <c r="E34" s="2072"/>
      <c r="F34" s="2122"/>
      <c r="G34" s="2123"/>
      <c r="H34" s="2088" t="s">
        <v>710</v>
      </c>
      <c r="I34" s="2124"/>
      <c r="J34" s="2088"/>
      <c r="K34" s="2125"/>
      <c r="L34" s="2088"/>
      <c r="M34" s="2002"/>
      <c r="N34" s="2088"/>
      <c r="O34" s="2002"/>
      <c r="P34" s="2088"/>
      <c r="Q34" s="2002"/>
      <c r="R34" s="2088"/>
      <c r="S34" s="2002"/>
    </row>
    <row r="35" spans="1:19">
      <c r="A35" s="2005"/>
      <c r="B35" s="2110" t="s">
        <v>965</v>
      </c>
      <c r="C35" s="1133"/>
      <c r="D35" s="2121"/>
      <c r="E35" s="2072"/>
      <c r="F35" s="2122"/>
      <c r="G35" s="2123"/>
      <c r="H35" s="2088" t="s">
        <v>710</v>
      </c>
      <c r="I35" s="2124"/>
      <c r="J35" s="2088"/>
      <c r="K35" s="2125"/>
      <c r="L35" s="2088"/>
      <c r="M35" s="2002"/>
      <c r="N35" s="2088"/>
      <c r="O35" s="2002"/>
      <c r="P35" s="2088"/>
      <c r="Q35" s="2002"/>
      <c r="R35" s="2088"/>
      <c r="S35" s="2002"/>
    </row>
    <row r="36" spans="1:19">
      <c r="A36" s="2005"/>
      <c r="B36" s="2110" t="s">
        <v>966</v>
      </c>
      <c r="C36" s="1133"/>
      <c r="D36" s="2121"/>
      <c r="E36" s="2072"/>
      <c r="F36" s="2122"/>
      <c r="G36" s="2123"/>
      <c r="H36" s="2088" t="s">
        <v>710</v>
      </c>
      <c r="I36" s="2124"/>
      <c r="J36" s="2088"/>
      <c r="K36" s="2125"/>
      <c r="L36" s="2088"/>
      <c r="M36" s="2002"/>
      <c r="N36" s="2088"/>
      <c r="O36" s="2002"/>
      <c r="P36" s="2088"/>
      <c r="Q36" s="2002"/>
      <c r="R36" s="2088"/>
      <c r="S36" s="2002"/>
    </row>
    <row r="37" spans="1:19">
      <c r="A37" s="2005"/>
      <c r="B37" s="2110" t="s">
        <v>967</v>
      </c>
      <c r="C37" s="1133"/>
      <c r="D37" s="2121"/>
      <c r="E37" s="2072"/>
      <c r="F37" s="2122"/>
      <c r="G37" s="2123"/>
      <c r="H37" s="2088" t="s">
        <v>710</v>
      </c>
      <c r="I37" s="2124"/>
      <c r="J37" s="2088"/>
      <c r="K37" s="2125"/>
      <c r="L37" s="2088"/>
      <c r="M37" s="2002"/>
      <c r="N37" s="2088"/>
      <c r="O37" s="2002"/>
      <c r="P37" s="2088"/>
      <c r="Q37" s="2002"/>
      <c r="R37" s="2088"/>
      <c r="S37" s="2002"/>
    </row>
    <row r="38" spans="1:19">
      <c r="A38" s="2005"/>
      <c r="B38" s="2110"/>
      <c r="C38" s="1133"/>
      <c r="D38" s="2121"/>
      <c r="E38" s="2072"/>
      <c r="F38" s="2122"/>
      <c r="G38" s="2123"/>
      <c r="H38" s="2088"/>
      <c r="I38" s="2126"/>
      <c r="J38" s="2088"/>
      <c r="K38" s="2127"/>
      <c r="L38" s="2088"/>
      <c r="M38" s="2002"/>
      <c r="N38" s="2088"/>
      <c r="O38" s="2002"/>
      <c r="P38" s="2088"/>
      <c r="Q38" s="2002"/>
      <c r="R38" s="2088"/>
      <c r="S38" s="2002"/>
    </row>
    <row r="39" spans="1:19">
      <c r="A39" s="2005"/>
      <c r="B39" s="2128" t="s">
        <v>694</v>
      </c>
      <c r="C39" s="1218"/>
      <c r="D39" s="2129"/>
      <c r="E39" s="2096"/>
      <c r="F39" s="2130"/>
      <c r="G39" s="2131"/>
      <c r="H39" s="2099"/>
      <c r="I39" s="2132"/>
      <c r="J39" s="2099"/>
      <c r="K39" s="2133"/>
      <c r="L39" s="2099"/>
      <c r="M39" s="2007"/>
      <c r="N39" s="2099"/>
      <c r="O39" s="2007"/>
      <c r="P39" s="2099"/>
      <c r="Q39" s="2007"/>
      <c r="R39" s="2099"/>
      <c r="S39" s="2007"/>
    </row>
    <row r="40" spans="1:19">
      <c r="A40" s="2005"/>
      <c r="B40" s="2110"/>
      <c r="C40" s="1133"/>
      <c r="D40" s="2121"/>
      <c r="E40" s="2072"/>
      <c r="F40" s="2122"/>
      <c r="G40" s="2123"/>
      <c r="H40" s="2088"/>
      <c r="I40" s="2124"/>
      <c r="J40" s="2088"/>
      <c r="K40" s="2125"/>
      <c r="L40" s="2088"/>
      <c r="M40" s="2002"/>
      <c r="N40" s="2088"/>
      <c r="O40" s="2002"/>
      <c r="P40" s="2088"/>
      <c r="Q40" s="2002"/>
      <c r="R40" s="2088"/>
      <c r="S40" s="2002"/>
    </row>
    <row r="41" spans="1:19">
      <c r="A41" s="2005"/>
      <c r="B41" s="2134" t="s">
        <v>695</v>
      </c>
      <c r="C41" s="1225"/>
      <c r="D41" s="2135"/>
      <c r="E41" s="2106"/>
      <c r="F41" s="2136"/>
      <c r="G41" s="2137"/>
      <c r="H41" s="2109"/>
      <c r="I41" s="2138">
        <v>34990.339999999997</v>
      </c>
      <c r="J41" s="2109"/>
      <c r="K41" s="2139"/>
      <c r="L41" s="2109"/>
      <c r="M41" s="2009"/>
      <c r="N41" s="2109"/>
      <c r="O41" s="2009"/>
      <c r="P41" s="2109"/>
      <c r="Q41" s="2009"/>
      <c r="R41" s="2109"/>
      <c r="S41" s="2009"/>
    </row>
    <row r="42" spans="1:19">
      <c r="A42" s="2005"/>
      <c r="B42" s="2110" t="s">
        <v>968</v>
      </c>
      <c r="C42" s="1133"/>
      <c r="D42" s="2121"/>
      <c r="E42" s="2072"/>
      <c r="F42" s="2122"/>
      <c r="G42" s="2123"/>
      <c r="H42" s="2088" t="s">
        <v>710</v>
      </c>
      <c r="I42" s="2124"/>
      <c r="J42" s="2088"/>
      <c r="K42" s="2125"/>
      <c r="L42" s="2088"/>
      <c r="M42" s="2002"/>
      <c r="N42" s="2088"/>
      <c r="O42" s="2002"/>
      <c r="P42" s="2088"/>
      <c r="Q42" s="2002"/>
      <c r="R42" s="2088"/>
      <c r="S42" s="2002"/>
    </row>
    <row r="43" spans="1:19">
      <c r="A43" s="2005" t="s">
        <v>969</v>
      </c>
      <c r="B43" s="2110" t="s">
        <v>970</v>
      </c>
      <c r="C43" s="1133" t="s">
        <v>697</v>
      </c>
      <c r="D43" s="2121">
        <v>326</v>
      </c>
      <c r="E43" s="2072" t="s">
        <v>723</v>
      </c>
      <c r="F43" s="2122">
        <v>20</v>
      </c>
      <c r="G43" s="2123">
        <f>D43*F43</f>
        <v>6520</v>
      </c>
      <c r="H43" s="2088" t="s">
        <v>710</v>
      </c>
      <c r="I43" s="2124"/>
      <c r="J43" s="2088"/>
      <c r="K43" s="2125"/>
      <c r="L43" s="2088"/>
      <c r="M43" s="2002"/>
      <c r="N43" s="2088"/>
      <c r="O43" s="2002"/>
      <c r="P43" s="2088"/>
      <c r="Q43" s="2002"/>
      <c r="R43" s="2088"/>
      <c r="S43" s="2002"/>
    </row>
    <row r="44" spans="1:19">
      <c r="A44" s="2005" t="s">
        <v>971</v>
      </c>
      <c r="B44" s="2110" t="s">
        <v>972</v>
      </c>
      <c r="C44" s="1133" t="s">
        <v>697</v>
      </c>
      <c r="D44" s="2121">
        <f>115*9</f>
        <v>1035</v>
      </c>
      <c r="E44" s="2072" t="s">
        <v>723</v>
      </c>
      <c r="F44" s="2122">
        <v>27</v>
      </c>
      <c r="G44" s="2123">
        <f>D44*F44</f>
        <v>27945</v>
      </c>
      <c r="H44" s="2088" t="s">
        <v>710</v>
      </c>
      <c r="I44" s="2124"/>
      <c r="J44" s="2088"/>
      <c r="K44" s="2125"/>
      <c r="L44" s="2088"/>
      <c r="M44" s="2002"/>
      <c r="N44" s="2088"/>
      <c r="O44" s="2002"/>
      <c r="P44" s="2088"/>
      <c r="Q44" s="2002"/>
      <c r="R44" s="2088"/>
      <c r="S44" s="2002"/>
    </row>
    <row r="45" spans="1:19">
      <c r="A45" s="2005" t="s">
        <v>969</v>
      </c>
      <c r="B45" s="2110" t="s">
        <v>973</v>
      </c>
      <c r="C45" s="1133" t="s">
        <v>697</v>
      </c>
      <c r="D45" s="2121">
        <v>32</v>
      </c>
      <c r="E45" s="2072" t="s">
        <v>723</v>
      </c>
      <c r="F45" s="2122">
        <v>35</v>
      </c>
      <c r="G45" s="2123">
        <f>D45*F45</f>
        <v>1120</v>
      </c>
      <c r="H45" s="2088" t="s">
        <v>710</v>
      </c>
      <c r="I45" s="2124"/>
      <c r="J45" s="2088"/>
      <c r="K45" s="2125"/>
      <c r="L45" s="2088"/>
      <c r="M45" s="2002"/>
      <c r="N45" s="2088"/>
      <c r="O45" s="2002"/>
      <c r="P45" s="2088"/>
      <c r="Q45" s="2002"/>
      <c r="R45" s="2088"/>
      <c r="S45" s="2002"/>
    </row>
    <row r="46" spans="1:19">
      <c r="A46" s="2005"/>
      <c r="B46" s="2128" t="s">
        <v>649</v>
      </c>
      <c r="C46" s="1218"/>
      <c r="D46" s="2129"/>
      <c r="E46" s="2096"/>
      <c r="F46" s="2130"/>
      <c r="G46" s="2131"/>
      <c r="H46" s="2099"/>
      <c r="I46" s="2132"/>
      <c r="J46" s="2099"/>
      <c r="K46" s="2133"/>
      <c r="L46" s="2099"/>
      <c r="M46" s="2007"/>
      <c r="N46" s="2099"/>
      <c r="O46" s="2007"/>
      <c r="P46" s="2099"/>
      <c r="Q46" s="2007"/>
      <c r="R46" s="2099"/>
      <c r="S46" s="2007"/>
    </row>
    <row r="47" spans="1:19">
      <c r="A47" s="2005"/>
      <c r="B47" s="2110"/>
      <c r="C47" s="1133"/>
      <c r="D47" s="2121"/>
      <c r="E47" s="2072"/>
      <c r="F47" s="2122"/>
      <c r="G47" s="2123"/>
      <c r="H47" s="2088"/>
      <c r="I47" s="2124"/>
      <c r="J47" s="2088"/>
      <c r="K47" s="2125"/>
      <c r="L47" s="2088"/>
      <c r="M47" s="2002"/>
      <c r="N47" s="2088"/>
      <c r="O47" s="2002"/>
      <c r="P47" s="2088"/>
      <c r="Q47" s="2002"/>
      <c r="R47" s="2088"/>
      <c r="S47" s="2002"/>
    </row>
    <row r="48" spans="1:19">
      <c r="A48" s="2005"/>
      <c r="B48" s="2134" t="s">
        <v>700</v>
      </c>
      <c r="C48" s="1225"/>
      <c r="D48" s="2135"/>
      <c r="E48" s="2106"/>
      <c r="F48" s="2136"/>
      <c r="G48" s="2137"/>
      <c r="H48" s="2109" t="s">
        <v>710</v>
      </c>
      <c r="I48" s="2138">
        <f>251612.24</f>
        <v>251612.24</v>
      </c>
      <c r="J48" s="2109"/>
      <c r="K48" s="2139"/>
      <c r="L48" s="2109"/>
      <c r="M48" s="2009"/>
      <c r="N48" s="2109"/>
      <c r="O48" s="2009"/>
      <c r="P48" s="2109"/>
      <c r="Q48" s="2009"/>
      <c r="R48" s="2109"/>
      <c r="S48" s="2009"/>
    </row>
    <row r="49" spans="1:19">
      <c r="A49" s="2005"/>
      <c r="B49" s="2110" t="s">
        <v>974</v>
      </c>
      <c r="C49" s="1133" t="s">
        <v>702</v>
      </c>
      <c r="D49" s="2121">
        <f>1741*0.9</f>
        <v>1566.9</v>
      </c>
      <c r="E49" s="2072" t="s">
        <v>723</v>
      </c>
      <c r="F49" s="2122">
        <v>18</v>
      </c>
      <c r="G49" s="2123">
        <f t="shared" ref="G49:G53" si="0">D49*F49</f>
        <v>28204.2</v>
      </c>
      <c r="H49" s="2088"/>
      <c r="I49" s="2124"/>
      <c r="J49" s="2088"/>
      <c r="K49" s="2125"/>
      <c r="L49" s="2088"/>
      <c r="M49" s="2002"/>
      <c r="N49" s="2088"/>
      <c r="O49" s="2002"/>
      <c r="P49" s="2088"/>
      <c r="Q49" s="2002"/>
      <c r="R49" s="2088"/>
      <c r="S49" s="2002"/>
    </row>
    <row r="50" spans="1:19">
      <c r="A50" s="2005"/>
      <c r="B50" s="2110" t="s">
        <v>975</v>
      </c>
      <c r="C50" s="1133" t="s">
        <v>702</v>
      </c>
      <c r="D50" s="2121">
        <f>1741*0.1</f>
        <v>174.10000000000002</v>
      </c>
      <c r="E50" s="2072" t="s">
        <v>723</v>
      </c>
      <c r="F50" s="2122">
        <v>25</v>
      </c>
      <c r="G50" s="2123">
        <f t="shared" si="0"/>
        <v>4352.5000000000009</v>
      </c>
      <c r="H50" s="2088"/>
      <c r="I50" s="2124"/>
      <c r="J50" s="2088"/>
      <c r="K50" s="2125"/>
      <c r="L50" s="2088"/>
      <c r="M50" s="2002"/>
      <c r="N50" s="2088"/>
      <c r="O50" s="2002"/>
      <c r="P50" s="2088"/>
      <c r="Q50" s="2002"/>
      <c r="R50" s="2088"/>
      <c r="S50" s="2002"/>
    </row>
    <row r="51" spans="1:19">
      <c r="A51" s="2005"/>
      <c r="B51" s="2110" t="s">
        <v>976</v>
      </c>
      <c r="C51" s="1133" t="s">
        <v>702</v>
      </c>
      <c r="D51" s="2121">
        <f>29*15</f>
        <v>435</v>
      </c>
      <c r="E51" s="2072" t="s">
        <v>723</v>
      </c>
      <c r="F51" s="2122">
        <v>55</v>
      </c>
      <c r="G51" s="2123">
        <f>D51*F51</f>
        <v>23925</v>
      </c>
      <c r="H51" s="2088"/>
      <c r="I51" s="2124"/>
      <c r="J51" s="2088"/>
      <c r="K51" s="2125"/>
      <c r="L51" s="2088"/>
      <c r="M51" s="2002"/>
      <c r="N51" s="2088"/>
      <c r="O51" s="2002"/>
      <c r="P51" s="2088"/>
      <c r="Q51" s="2002"/>
      <c r="R51" s="2088"/>
      <c r="S51" s="2002"/>
    </row>
    <row r="52" spans="1:19">
      <c r="A52" s="2005"/>
      <c r="B52" s="2110" t="s">
        <v>977</v>
      </c>
      <c r="C52" s="1133" t="s">
        <v>702</v>
      </c>
      <c r="D52" s="2121">
        <v>1396</v>
      </c>
      <c r="E52" s="2072" t="s">
        <v>723</v>
      </c>
      <c r="F52" s="2122">
        <v>18</v>
      </c>
      <c r="G52" s="2123">
        <f t="shared" si="0"/>
        <v>25128</v>
      </c>
      <c r="H52" s="2088"/>
      <c r="I52" s="2124"/>
      <c r="J52" s="2088"/>
      <c r="K52" s="2125"/>
      <c r="L52" s="2088"/>
      <c r="M52" s="2002"/>
      <c r="N52" s="2088"/>
      <c r="O52" s="2002"/>
      <c r="P52" s="2088"/>
      <c r="Q52" s="2002"/>
      <c r="R52" s="2088"/>
      <c r="S52" s="2002"/>
    </row>
    <row r="53" spans="1:19">
      <c r="A53" s="2005"/>
      <c r="B53" s="2110" t="s">
        <v>978</v>
      </c>
      <c r="C53" s="1133" t="s">
        <v>702</v>
      </c>
      <c r="D53" s="2121">
        <v>43</v>
      </c>
      <c r="E53" s="2072" t="s">
        <v>723</v>
      </c>
      <c r="F53" s="2122">
        <f>18</f>
        <v>18</v>
      </c>
      <c r="G53" s="2123">
        <f t="shared" si="0"/>
        <v>774</v>
      </c>
      <c r="H53" s="2088"/>
      <c r="I53" s="2124"/>
      <c r="J53" s="2088"/>
      <c r="K53" s="2125"/>
      <c r="L53" s="2088"/>
      <c r="M53" s="2002"/>
      <c r="N53" s="2088"/>
      <c r="O53" s="2002"/>
      <c r="P53" s="2088"/>
      <c r="Q53" s="2002"/>
      <c r="R53" s="2088"/>
      <c r="S53" s="2002"/>
    </row>
    <row r="54" spans="1:19">
      <c r="A54" s="2005"/>
      <c r="B54" s="2110" t="s">
        <v>979</v>
      </c>
      <c r="C54" s="1133" t="s">
        <v>702</v>
      </c>
      <c r="D54" s="2121">
        <v>76</v>
      </c>
      <c r="E54" s="2072" t="s">
        <v>723</v>
      </c>
      <c r="F54" s="2122">
        <f>18</f>
        <v>18</v>
      </c>
      <c r="G54" s="2123">
        <f t="shared" ref="G54" si="1">D54*F54</f>
        <v>1368</v>
      </c>
      <c r="H54" s="2088"/>
      <c r="I54" s="2124"/>
      <c r="J54" s="2088"/>
      <c r="K54" s="2125"/>
      <c r="L54" s="2088"/>
      <c r="M54" s="2002"/>
      <c r="N54" s="2088"/>
      <c r="O54" s="2002"/>
      <c r="P54" s="2088"/>
      <c r="Q54" s="2002"/>
      <c r="R54" s="2088"/>
      <c r="S54" s="2002"/>
    </row>
    <row r="55" spans="1:19" ht="25.5">
      <c r="A55" s="2005"/>
      <c r="B55" s="2110" t="s">
        <v>980</v>
      </c>
      <c r="C55" s="1133" t="s">
        <v>702</v>
      </c>
      <c r="D55" s="2121">
        <f>37*4.5</f>
        <v>166.5</v>
      </c>
      <c r="E55" s="2072" t="s">
        <v>723</v>
      </c>
      <c r="F55" s="2122">
        <v>24</v>
      </c>
      <c r="G55" s="2123">
        <f t="shared" ref="G55" si="2">D55*F55</f>
        <v>3996</v>
      </c>
      <c r="H55" s="2088"/>
      <c r="I55" s="2124"/>
      <c r="J55" s="2088"/>
      <c r="K55" s="2125"/>
      <c r="L55" s="2088"/>
      <c r="M55" s="2002"/>
      <c r="N55" s="2088"/>
      <c r="O55" s="2002"/>
      <c r="P55" s="2088"/>
      <c r="Q55" s="2002"/>
      <c r="R55" s="2088"/>
      <c r="S55" s="2002"/>
    </row>
    <row r="56" spans="1:19">
      <c r="A56" s="2005"/>
      <c r="B56" s="2110" t="s">
        <v>981</v>
      </c>
      <c r="C56" s="1133" t="s">
        <v>702</v>
      </c>
      <c r="D56" s="2121">
        <f>37*0.5</f>
        <v>18.5</v>
      </c>
      <c r="E56" s="2072" t="s">
        <v>723</v>
      </c>
      <c r="F56" s="2122">
        <v>45</v>
      </c>
      <c r="G56" s="2123">
        <f t="shared" ref="G56" si="3">D56*F56</f>
        <v>832.5</v>
      </c>
      <c r="H56" s="2088"/>
      <c r="I56" s="2124"/>
      <c r="J56" s="2088"/>
      <c r="K56" s="2125"/>
      <c r="L56" s="2088"/>
      <c r="M56" s="2002"/>
      <c r="N56" s="2088"/>
      <c r="O56" s="2002"/>
      <c r="P56" s="2088"/>
      <c r="Q56" s="2002"/>
      <c r="R56" s="2088"/>
      <c r="S56" s="2002"/>
    </row>
    <row r="57" spans="1:19">
      <c r="A57" s="2005"/>
      <c r="B57" s="2110" t="s">
        <v>982</v>
      </c>
      <c r="C57" s="1133" t="s">
        <v>702</v>
      </c>
      <c r="D57" s="2121">
        <v>70.63</v>
      </c>
      <c r="E57" s="2072" t="s">
        <v>723</v>
      </c>
      <c r="F57" s="2122">
        <v>25</v>
      </c>
      <c r="G57" s="2123">
        <f t="shared" ref="G57:G58" si="4">D57*F57</f>
        <v>1765.75</v>
      </c>
      <c r="H57" s="2088"/>
      <c r="I57" s="2124"/>
      <c r="J57" s="2088"/>
      <c r="K57" s="2125"/>
      <c r="L57" s="2088"/>
      <c r="M57" s="2002"/>
      <c r="N57" s="2088"/>
      <c r="O57" s="2002"/>
      <c r="P57" s="2088"/>
      <c r="Q57" s="2002"/>
      <c r="R57" s="2088"/>
      <c r="S57" s="2002"/>
    </row>
    <row r="58" spans="1:19">
      <c r="A58" s="2005"/>
      <c r="B58" s="2110" t="s">
        <v>983</v>
      </c>
      <c r="C58" s="1133" t="s">
        <v>702</v>
      </c>
      <c r="D58" s="2121">
        <f>48*15</f>
        <v>720</v>
      </c>
      <c r="E58" s="2072" t="s">
        <v>723</v>
      </c>
      <c r="F58" s="2122">
        <v>22</v>
      </c>
      <c r="G58" s="2123">
        <f t="shared" si="4"/>
        <v>15840</v>
      </c>
      <c r="H58" s="2088"/>
      <c r="I58" s="2124"/>
      <c r="J58" s="2088"/>
      <c r="K58" s="2125"/>
      <c r="L58" s="2088"/>
      <c r="M58" s="2002"/>
      <c r="N58" s="2088"/>
      <c r="O58" s="2002"/>
      <c r="P58" s="2088"/>
      <c r="Q58" s="2002"/>
      <c r="R58" s="2088"/>
      <c r="S58" s="2002"/>
    </row>
    <row r="59" spans="1:19">
      <c r="A59" s="2005"/>
      <c r="B59" s="2110" t="s">
        <v>984</v>
      </c>
      <c r="C59" s="1133" t="s">
        <v>702</v>
      </c>
      <c r="D59" s="2121">
        <f>48*0.5</f>
        <v>24</v>
      </c>
      <c r="E59" s="2072" t="s">
        <v>723</v>
      </c>
      <c r="F59" s="2122">
        <v>45</v>
      </c>
      <c r="G59" s="2123">
        <f t="shared" ref="G59" si="5">D59*F59</f>
        <v>1080</v>
      </c>
      <c r="H59" s="2088"/>
      <c r="I59" s="2124"/>
      <c r="J59" s="2088"/>
      <c r="K59" s="2125"/>
      <c r="L59" s="2088"/>
      <c r="M59" s="2002"/>
      <c r="N59" s="2088"/>
      <c r="O59" s="2002"/>
      <c r="P59" s="2088"/>
      <c r="Q59" s="2002"/>
      <c r="R59" s="2088"/>
      <c r="S59" s="2002"/>
    </row>
    <row r="60" spans="1:19">
      <c r="A60" s="2005"/>
      <c r="B60" s="2110" t="s">
        <v>985</v>
      </c>
      <c r="C60" s="1133" t="s">
        <v>702</v>
      </c>
      <c r="D60" s="2121">
        <v>88</v>
      </c>
      <c r="E60" s="2072" t="s">
        <v>723</v>
      </c>
      <c r="F60" s="2122">
        <v>28</v>
      </c>
      <c r="G60" s="2123">
        <f t="shared" ref="G60" si="6">D60*F60</f>
        <v>2464</v>
      </c>
      <c r="H60" s="2088"/>
      <c r="I60" s="2124"/>
      <c r="J60" s="2088"/>
      <c r="K60" s="2125"/>
      <c r="L60" s="2088"/>
      <c r="M60" s="2002"/>
      <c r="N60" s="2088"/>
      <c r="O60" s="2002"/>
      <c r="P60" s="2088"/>
      <c r="Q60" s="2002"/>
      <c r="R60" s="2088"/>
      <c r="S60" s="2002"/>
    </row>
    <row r="61" spans="1:19">
      <c r="A61" s="2005"/>
      <c r="B61" s="2110" t="s">
        <v>986</v>
      </c>
      <c r="C61" s="1133" t="s">
        <v>702</v>
      </c>
      <c r="D61" s="2121">
        <f>17.36*2</f>
        <v>34.72</v>
      </c>
      <c r="E61" s="2072" t="s">
        <v>723</v>
      </c>
      <c r="F61" s="2122">
        <v>27</v>
      </c>
      <c r="G61" s="2123">
        <f t="shared" ref="G61:G65" si="7">D61*F61</f>
        <v>937.43999999999994</v>
      </c>
      <c r="H61" s="2088"/>
      <c r="I61" s="2124"/>
      <c r="J61" s="2088"/>
      <c r="K61" s="2125"/>
      <c r="L61" s="2088"/>
      <c r="M61" s="2002"/>
      <c r="N61" s="2088"/>
      <c r="O61" s="2002"/>
      <c r="P61" s="2088"/>
      <c r="Q61" s="2002"/>
      <c r="R61" s="2088"/>
      <c r="S61" s="2002"/>
    </row>
    <row r="62" spans="1:19">
      <c r="A62" s="2005"/>
      <c r="B62" s="2110" t="s">
        <v>987</v>
      </c>
      <c r="C62" s="1133" t="s">
        <v>702</v>
      </c>
      <c r="D62" s="2121">
        <v>70.63</v>
      </c>
      <c r="E62" s="2072" t="s">
        <v>723</v>
      </c>
      <c r="F62" s="2122">
        <v>25</v>
      </c>
      <c r="G62" s="2123">
        <f t="shared" si="7"/>
        <v>1765.75</v>
      </c>
      <c r="H62" s="2088"/>
      <c r="I62" s="2124"/>
      <c r="J62" s="2088"/>
      <c r="K62" s="2125"/>
      <c r="L62" s="2088"/>
      <c r="M62" s="2002"/>
      <c r="N62" s="2088"/>
      <c r="O62" s="2002"/>
      <c r="P62" s="2088"/>
      <c r="Q62" s="2002"/>
      <c r="R62" s="2088"/>
      <c r="S62" s="2002"/>
    </row>
    <row r="63" spans="1:19">
      <c r="A63" s="2005"/>
      <c r="B63" s="2110" t="s">
        <v>988</v>
      </c>
      <c r="C63" s="1133" t="s">
        <v>702</v>
      </c>
      <c r="D63" s="2121">
        <f>48*15</f>
        <v>720</v>
      </c>
      <c r="E63" s="2072" t="s">
        <v>723</v>
      </c>
      <c r="F63" s="2122">
        <v>22</v>
      </c>
      <c r="G63" s="2123">
        <f t="shared" si="7"/>
        <v>15840</v>
      </c>
      <c r="H63" s="2088"/>
      <c r="I63" s="2124"/>
      <c r="J63" s="2088"/>
      <c r="K63" s="2125"/>
      <c r="L63" s="2088"/>
      <c r="M63" s="2002"/>
      <c r="N63" s="2088"/>
      <c r="O63" s="2002"/>
      <c r="P63" s="2088"/>
      <c r="Q63" s="2002"/>
      <c r="R63" s="2088"/>
      <c r="S63" s="2002"/>
    </row>
    <row r="64" spans="1:19">
      <c r="A64" s="2005"/>
      <c r="B64" s="2110" t="s">
        <v>989</v>
      </c>
      <c r="C64" s="1133" t="s">
        <v>702</v>
      </c>
      <c r="D64" s="2121">
        <f>48*0.5</f>
        <v>24</v>
      </c>
      <c r="E64" s="2072" t="s">
        <v>723</v>
      </c>
      <c r="F64" s="2122">
        <v>45</v>
      </c>
      <c r="G64" s="2123">
        <f t="shared" si="7"/>
        <v>1080</v>
      </c>
      <c r="H64" s="2088"/>
      <c r="I64" s="2124"/>
      <c r="J64" s="2088"/>
      <c r="K64" s="2125"/>
      <c r="L64" s="2088"/>
      <c r="M64" s="2002"/>
      <c r="N64" s="2088"/>
      <c r="O64" s="2002"/>
      <c r="P64" s="2088"/>
      <c r="Q64" s="2002"/>
      <c r="R64" s="2088"/>
      <c r="S64" s="2002"/>
    </row>
    <row r="65" spans="1:19">
      <c r="A65" s="2005"/>
      <c r="B65" s="2110" t="s">
        <v>990</v>
      </c>
      <c r="C65" s="1133" t="s">
        <v>702</v>
      </c>
      <c r="D65" s="2121">
        <v>88</v>
      </c>
      <c r="E65" s="2072" t="s">
        <v>723</v>
      </c>
      <c r="F65" s="2122">
        <v>28</v>
      </c>
      <c r="G65" s="2123">
        <f t="shared" si="7"/>
        <v>2464</v>
      </c>
      <c r="H65" s="2088"/>
      <c r="I65" s="2124"/>
      <c r="J65" s="2088"/>
      <c r="K65" s="2125"/>
      <c r="L65" s="2088"/>
      <c r="M65" s="2002"/>
      <c r="N65" s="2088"/>
      <c r="O65" s="2002"/>
      <c r="P65" s="2088"/>
      <c r="Q65" s="2002"/>
      <c r="R65" s="2088"/>
      <c r="S65" s="2002"/>
    </row>
    <row r="66" spans="1:19">
      <c r="A66" s="2005"/>
      <c r="B66" s="2110" t="s">
        <v>991</v>
      </c>
      <c r="C66" s="1133" t="s">
        <v>702</v>
      </c>
      <c r="D66" s="2121">
        <f>17.36*2</f>
        <v>34.72</v>
      </c>
      <c r="E66" s="2072" t="s">
        <v>723</v>
      </c>
      <c r="F66" s="2122">
        <v>27</v>
      </c>
      <c r="G66" s="2123">
        <f t="shared" ref="G66:G67" si="8">D66*F66</f>
        <v>937.43999999999994</v>
      </c>
      <c r="H66" s="2088"/>
      <c r="I66" s="2124"/>
      <c r="J66" s="2088"/>
      <c r="K66" s="2125"/>
      <c r="L66" s="2088"/>
      <c r="M66" s="2002"/>
      <c r="N66" s="2088"/>
      <c r="O66" s="2002"/>
      <c r="P66" s="2088"/>
      <c r="Q66" s="2002"/>
      <c r="R66" s="2088"/>
      <c r="S66" s="2002"/>
    </row>
    <row r="67" spans="1:19" ht="25.5">
      <c r="A67" s="2005"/>
      <c r="B67" s="2110" t="s">
        <v>992</v>
      </c>
      <c r="C67" s="1133" t="s">
        <v>702</v>
      </c>
      <c r="D67" s="2121">
        <v>105</v>
      </c>
      <c r="E67" s="2072" t="s">
        <v>723</v>
      </c>
      <c r="F67" s="2122">
        <v>18</v>
      </c>
      <c r="G67" s="2123">
        <f t="shared" si="8"/>
        <v>1890</v>
      </c>
      <c r="H67" s="2088"/>
      <c r="I67" s="2124"/>
      <c r="J67" s="2088"/>
      <c r="K67" s="2125"/>
      <c r="L67" s="2088"/>
      <c r="M67" s="2002"/>
      <c r="N67" s="2088"/>
      <c r="O67" s="2002"/>
      <c r="P67" s="2088"/>
      <c r="Q67" s="2002"/>
      <c r="R67" s="2088"/>
      <c r="S67" s="2002"/>
    </row>
    <row r="68" spans="1:19" ht="25.5">
      <c r="A68" s="2005"/>
      <c r="B68" s="2110" t="s">
        <v>993</v>
      </c>
      <c r="C68" s="1133" t="s">
        <v>702</v>
      </c>
      <c r="D68" s="2121">
        <f>54*15</f>
        <v>810</v>
      </c>
      <c r="E68" s="2072" t="s">
        <v>723</v>
      </c>
      <c r="F68" s="2122">
        <v>22</v>
      </c>
      <c r="G68" s="2123">
        <f t="shared" ref="G68" si="9">D68*F68</f>
        <v>17820</v>
      </c>
      <c r="H68" s="2088"/>
      <c r="I68" s="2124"/>
      <c r="J68" s="2088"/>
      <c r="K68" s="2125"/>
      <c r="L68" s="2088"/>
      <c r="M68" s="2002"/>
      <c r="N68" s="2088"/>
      <c r="O68" s="2002"/>
      <c r="P68" s="2088"/>
      <c r="Q68" s="2002"/>
      <c r="R68" s="2088"/>
      <c r="S68" s="2002"/>
    </row>
    <row r="69" spans="1:19">
      <c r="A69" s="2005"/>
      <c r="B69" s="2110" t="s">
        <v>994</v>
      </c>
      <c r="C69" s="1133" t="s">
        <v>702</v>
      </c>
      <c r="D69" s="2121">
        <f>54*0.5</f>
        <v>27</v>
      </c>
      <c r="E69" s="2072" t="s">
        <v>723</v>
      </c>
      <c r="F69" s="2122">
        <v>45</v>
      </c>
      <c r="G69" s="2123">
        <f t="shared" ref="G69:G71" si="10">D69*F69</f>
        <v>1215</v>
      </c>
      <c r="H69" s="2088"/>
      <c r="I69" s="2124"/>
      <c r="J69" s="2088"/>
      <c r="K69" s="2125"/>
      <c r="L69" s="2088"/>
      <c r="M69" s="2002"/>
      <c r="N69" s="2088"/>
      <c r="O69" s="2002"/>
      <c r="P69" s="2088"/>
      <c r="Q69" s="2002"/>
      <c r="R69" s="2088"/>
      <c r="S69" s="2002"/>
    </row>
    <row r="70" spans="1:19" ht="25.5">
      <c r="A70" s="2005"/>
      <c r="B70" s="2110" t="s">
        <v>995</v>
      </c>
      <c r="C70" s="1133" t="s">
        <v>702</v>
      </c>
      <c r="D70" s="2121">
        <v>105</v>
      </c>
      <c r="E70" s="2072" t="s">
        <v>723</v>
      </c>
      <c r="F70" s="2122">
        <v>18</v>
      </c>
      <c r="G70" s="2123">
        <f t="shared" si="10"/>
        <v>1890</v>
      </c>
      <c r="H70" s="2088"/>
      <c r="I70" s="2124"/>
      <c r="J70" s="2088"/>
      <c r="K70" s="2125"/>
      <c r="L70" s="2088"/>
      <c r="M70" s="2002"/>
      <c r="N70" s="2088"/>
      <c r="O70" s="2002"/>
      <c r="P70" s="2088"/>
      <c r="Q70" s="2002"/>
      <c r="R70" s="2088"/>
      <c r="S70" s="2002"/>
    </row>
    <row r="71" spans="1:19" ht="25.5">
      <c r="A71" s="2005"/>
      <c r="B71" s="2110" t="s">
        <v>996</v>
      </c>
      <c r="C71" s="1133" t="s">
        <v>702</v>
      </c>
      <c r="D71" s="2121">
        <f>54*15</f>
        <v>810</v>
      </c>
      <c r="E71" s="2072" t="s">
        <v>723</v>
      </c>
      <c r="F71" s="2122">
        <v>22</v>
      </c>
      <c r="G71" s="2123">
        <f t="shared" si="10"/>
        <v>17820</v>
      </c>
      <c r="H71" s="2088"/>
      <c r="I71" s="2124"/>
      <c r="J71" s="2088"/>
      <c r="K71" s="2125"/>
      <c r="L71" s="2088"/>
      <c r="M71" s="2002"/>
      <c r="N71" s="2088"/>
      <c r="O71" s="2002"/>
      <c r="P71" s="2088"/>
      <c r="Q71" s="2002"/>
      <c r="R71" s="2088"/>
      <c r="S71" s="2002"/>
    </row>
    <row r="72" spans="1:19">
      <c r="A72" s="2005"/>
      <c r="B72" s="2110" t="s">
        <v>997</v>
      </c>
      <c r="C72" s="1133" t="s">
        <v>702</v>
      </c>
      <c r="D72" s="2121">
        <f>54*0.5</f>
        <v>27</v>
      </c>
      <c r="E72" s="2072" t="s">
        <v>723</v>
      </c>
      <c r="F72" s="2122">
        <v>45</v>
      </c>
      <c r="G72" s="2123">
        <f t="shared" ref="G72" si="11">D72*F72</f>
        <v>1215</v>
      </c>
      <c r="H72" s="2088"/>
      <c r="I72" s="2124"/>
      <c r="J72" s="2088"/>
      <c r="K72" s="2125"/>
      <c r="L72" s="2088"/>
      <c r="M72" s="2002"/>
      <c r="N72" s="2088"/>
      <c r="O72" s="2002"/>
      <c r="P72" s="2088"/>
      <c r="Q72" s="2002"/>
      <c r="R72" s="2088"/>
      <c r="S72" s="2002"/>
    </row>
    <row r="73" spans="1:19" ht="30" customHeight="1">
      <c r="A73" s="2005"/>
      <c r="B73" s="2140" t="s">
        <v>998</v>
      </c>
      <c r="C73" s="1133" t="s">
        <v>702</v>
      </c>
      <c r="D73" s="2121">
        <v>305</v>
      </c>
      <c r="E73" s="2072" t="s">
        <v>723</v>
      </c>
      <c r="F73" s="2122">
        <v>18</v>
      </c>
      <c r="G73" s="2123">
        <f t="shared" ref="G73:G74" si="12">D73*F73</f>
        <v>5490</v>
      </c>
      <c r="H73" s="2088"/>
      <c r="I73" s="2124"/>
      <c r="J73" s="2088"/>
      <c r="K73" s="2125"/>
      <c r="L73" s="2088"/>
      <c r="M73" s="2002"/>
      <c r="N73" s="2088"/>
      <c r="O73" s="2002"/>
      <c r="P73" s="2088"/>
      <c r="Q73" s="2002"/>
      <c r="R73" s="2088"/>
      <c r="S73" s="2002"/>
    </row>
    <row r="74" spans="1:19" ht="25.5">
      <c r="A74" s="2005"/>
      <c r="B74" s="2140" t="s">
        <v>999</v>
      </c>
      <c r="C74" s="1133" t="s">
        <v>702</v>
      </c>
      <c r="D74" s="2121">
        <f>(130-52)*4</f>
        <v>312</v>
      </c>
      <c r="E74" s="2072" t="s">
        <v>723</v>
      </c>
      <c r="F74" s="2122">
        <v>22</v>
      </c>
      <c r="G74" s="2123">
        <f t="shared" si="12"/>
        <v>6864</v>
      </c>
      <c r="H74" s="2088"/>
      <c r="I74" s="2124"/>
      <c r="J74" s="2088"/>
      <c r="K74" s="2125"/>
      <c r="L74" s="2088"/>
      <c r="M74" s="2002"/>
      <c r="N74" s="2088"/>
      <c r="O74" s="2002"/>
      <c r="P74" s="2088"/>
      <c r="Q74" s="2002"/>
      <c r="R74" s="2088"/>
      <c r="S74" s="2002"/>
    </row>
    <row r="75" spans="1:19" ht="30" customHeight="1">
      <c r="A75" s="2005"/>
      <c r="B75" s="2140" t="s">
        <v>1000</v>
      </c>
      <c r="C75" s="1133" t="s">
        <v>702</v>
      </c>
      <c r="D75" s="2121">
        <f>(130-52)*0.5</f>
        <v>39</v>
      </c>
      <c r="E75" s="2072" t="s">
        <v>723</v>
      </c>
      <c r="F75" s="2122">
        <v>45</v>
      </c>
      <c r="G75" s="2123">
        <f t="shared" ref="G75" si="13">D75*F75</f>
        <v>1755</v>
      </c>
      <c r="H75" s="2088"/>
      <c r="I75" s="2124"/>
      <c r="J75" s="2088"/>
      <c r="K75" s="2125"/>
      <c r="L75" s="2088"/>
      <c r="M75" s="2002"/>
      <c r="N75" s="2088"/>
      <c r="O75" s="2002"/>
      <c r="P75" s="2088"/>
      <c r="Q75" s="2002"/>
      <c r="R75" s="2088"/>
      <c r="S75" s="2002"/>
    </row>
    <row r="76" spans="1:19">
      <c r="A76" s="2005"/>
      <c r="B76" s="2140" t="s">
        <v>1001</v>
      </c>
      <c r="C76" s="1133" t="s">
        <v>702</v>
      </c>
      <c r="D76" s="2121">
        <v>73</v>
      </c>
      <c r="E76" s="2072" t="s">
        <v>723</v>
      </c>
      <c r="F76" s="2122">
        <v>25</v>
      </c>
      <c r="G76" s="2123">
        <f t="shared" ref="G76" si="14">D76*F76</f>
        <v>1825</v>
      </c>
      <c r="H76" s="2088"/>
      <c r="I76" s="2124"/>
      <c r="J76" s="2088"/>
      <c r="K76" s="2125"/>
      <c r="L76" s="2088"/>
      <c r="M76" s="2002"/>
      <c r="N76" s="2088"/>
      <c r="O76" s="2002"/>
      <c r="P76" s="2088"/>
      <c r="Q76" s="2002"/>
      <c r="R76" s="2088"/>
      <c r="S76" s="2002"/>
    </row>
    <row r="77" spans="1:19" ht="30" customHeight="1">
      <c r="A77" s="2005"/>
      <c r="B77" s="2140" t="s">
        <v>1002</v>
      </c>
      <c r="C77" s="1133" t="s">
        <v>702</v>
      </c>
      <c r="D77" s="2121">
        <f>62*15</f>
        <v>930</v>
      </c>
      <c r="E77" s="2072" t="s">
        <v>723</v>
      </c>
      <c r="F77" s="2122">
        <v>22</v>
      </c>
      <c r="G77" s="2123">
        <f t="shared" ref="G77:G78" si="15">D77*F77</f>
        <v>20460</v>
      </c>
      <c r="H77" s="2088"/>
      <c r="I77" s="2124"/>
      <c r="J77" s="2088"/>
      <c r="K77" s="2125"/>
      <c r="L77" s="2088"/>
      <c r="M77" s="2002"/>
      <c r="N77" s="2088"/>
      <c r="O77" s="2002"/>
      <c r="P77" s="2088"/>
      <c r="Q77" s="2002"/>
      <c r="R77" s="2088"/>
      <c r="S77" s="2002"/>
    </row>
    <row r="78" spans="1:19">
      <c r="A78" s="2005"/>
      <c r="B78" s="2140" t="s">
        <v>1003</v>
      </c>
      <c r="C78" s="1133" t="s">
        <v>702</v>
      </c>
      <c r="D78" s="2121">
        <f>62*0.5</f>
        <v>31</v>
      </c>
      <c r="E78" s="2072" t="s">
        <v>723</v>
      </c>
      <c r="F78" s="2122">
        <v>45</v>
      </c>
      <c r="G78" s="2123">
        <f t="shared" si="15"/>
        <v>1395</v>
      </c>
      <c r="H78" s="2088"/>
      <c r="I78" s="2124"/>
      <c r="J78" s="2088"/>
      <c r="K78" s="2125"/>
      <c r="L78" s="2088"/>
      <c r="M78" s="2002"/>
      <c r="N78" s="2088"/>
      <c r="O78" s="2002"/>
      <c r="P78" s="2088"/>
      <c r="Q78" s="2002"/>
      <c r="R78" s="2088"/>
      <c r="S78" s="2002"/>
    </row>
    <row r="79" spans="1:19">
      <c r="A79" s="2005"/>
      <c r="B79" s="2140" t="s">
        <v>1004</v>
      </c>
      <c r="C79" s="1133" t="s">
        <v>702</v>
      </c>
      <c r="D79" s="2121">
        <v>73</v>
      </c>
      <c r="E79" s="2072" t="s">
        <v>723</v>
      </c>
      <c r="F79" s="2122">
        <v>28</v>
      </c>
      <c r="G79" s="2123">
        <f t="shared" ref="G79:G80" si="16">D79*F79</f>
        <v>2044</v>
      </c>
      <c r="H79" s="2088"/>
      <c r="I79" s="2124"/>
      <c r="J79" s="2088"/>
      <c r="K79" s="2125"/>
      <c r="L79" s="2088"/>
      <c r="M79" s="2002"/>
      <c r="N79" s="2088"/>
      <c r="O79" s="2002"/>
      <c r="P79" s="2088"/>
      <c r="Q79" s="2002"/>
      <c r="R79" s="2088"/>
      <c r="S79" s="2002"/>
    </row>
    <row r="80" spans="1:19">
      <c r="A80" s="2005"/>
      <c r="B80" s="2141" t="s">
        <v>1005</v>
      </c>
      <c r="C80" s="1133" t="s">
        <v>702</v>
      </c>
      <c r="D80" s="2121">
        <v>272</v>
      </c>
      <c r="E80" s="2072" t="s">
        <v>723</v>
      </c>
      <c r="F80" s="2122">
        <v>18</v>
      </c>
      <c r="G80" s="2123">
        <f t="shared" si="16"/>
        <v>4896</v>
      </c>
      <c r="H80" s="2088"/>
      <c r="I80" s="2124"/>
      <c r="J80" s="2088"/>
      <c r="K80" s="2125"/>
      <c r="L80" s="2088"/>
      <c r="M80" s="2002"/>
      <c r="N80" s="2088"/>
      <c r="O80" s="2002"/>
      <c r="P80" s="2088"/>
      <c r="Q80" s="2002"/>
      <c r="R80" s="2088"/>
      <c r="S80" s="2002"/>
    </row>
    <row r="81" spans="1:19" ht="25.5">
      <c r="A81" s="2005"/>
      <c r="B81" s="2142" t="s">
        <v>1006</v>
      </c>
      <c r="C81" s="1133" t="s">
        <v>702</v>
      </c>
      <c r="D81" s="2121">
        <v>315</v>
      </c>
      <c r="E81" s="2072" t="s">
        <v>723</v>
      </c>
      <c r="F81" s="2122">
        <v>18</v>
      </c>
      <c r="G81" s="2123">
        <f t="shared" ref="G81:G88" si="17">D81*F81</f>
        <v>5670</v>
      </c>
      <c r="H81" s="2088"/>
      <c r="I81" s="2124"/>
      <c r="J81" s="2088"/>
      <c r="K81" s="2125"/>
      <c r="L81" s="2088"/>
      <c r="M81" s="2002"/>
      <c r="N81" s="2088"/>
      <c r="O81" s="2002"/>
      <c r="P81" s="2088"/>
      <c r="Q81" s="2002"/>
      <c r="R81" s="2088"/>
      <c r="S81" s="2002"/>
    </row>
    <row r="82" spans="1:19" ht="25.5">
      <c r="A82" s="2005"/>
      <c r="B82" s="2142" t="s">
        <v>1007</v>
      </c>
      <c r="C82" s="1133" t="s">
        <v>702</v>
      </c>
      <c r="D82" s="2121">
        <f>(132-69)*4</f>
        <v>252</v>
      </c>
      <c r="E82" s="2072" t="s">
        <v>723</v>
      </c>
      <c r="F82" s="2122">
        <v>22</v>
      </c>
      <c r="G82" s="2123">
        <f t="shared" si="17"/>
        <v>5544</v>
      </c>
      <c r="H82" s="2088"/>
      <c r="I82" s="2124"/>
      <c r="J82" s="2088"/>
      <c r="K82" s="2125"/>
      <c r="L82" s="2088"/>
      <c r="M82" s="2002"/>
      <c r="N82" s="2088"/>
      <c r="O82" s="2002"/>
      <c r="P82" s="2088"/>
      <c r="Q82" s="2002"/>
      <c r="R82" s="2088"/>
      <c r="S82" s="2002"/>
    </row>
    <row r="83" spans="1:19">
      <c r="A83" s="2005"/>
      <c r="B83" s="2142" t="s">
        <v>1008</v>
      </c>
      <c r="C83" s="1133" t="s">
        <v>702</v>
      </c>
      <c r="D83" s="2121">
        <f>(132-69)*0.5</f>
        <v>31.5</v>
      </c>
      <c r="E83" s="2072" t="s">
        <v>723</v>
      </c>
      <c r="F83" s="2122">
        <v>45</v>
      </c>
      <c r="G83" s="2123">
        <f t="shared" si="17"/>
        <v>1417.5</v>
      </c>
      <c r="H83" s="2088"/>
      <c r="I83" s="2124"/>
      <c r="J83" s="2088"/>
      <c r="K83" s="2125"/>
      <c r="L83" s="2088"/>
      <c r="M83" s="2002"/>
      <c r="N83" s="2088"/>
      <c r="O83" s="2002"/>
      <c r="P83" s="2088"/>
      <c r="Q83" s="2002"/>
      <c r="R83" s="2088"/>
      <c r="S83" s="2002"/>
    </row>
    <row r="84" spans="1:19">
      <c r="A84" s="2005"/>
      <c r="B84" s="2142" t="s">
        <v>1009</v>
      </c>
      <c r="C84" s="1133" t="s">
        <v>702</v>
      </c>
      <c r="D84" s="2121">
        <v>73</v>
      </c>
      <c r="E84" s="2072" t="s">
        <v>723</v>
      </c>
      <c r="F84" s="2122">
        <v>25</v>
      </c>
      <c r="G84" s="2123">
        <f t="shared" si="17"/>
        <v>1825</v>
      </c>
      <c r="H84" s="2088"/>
      <c r="I84" s="2124"/>
      <c r="J84" s="2088"/>
      <c r="K84" s="2125"/>
      <c r="L84" s="2088"/>
      <c r="M84" s="2002"/>
      <c r="N84" s="2088"/>
      <c r="O84" s="2002"/>
      <c r="P84" s="2088"/>
      <c r="Q84" s="2002"/>
      <c r="R84" s="2088"/>
      <c r="S84" s="2002"/>
    </row>
    <row r="85" spans="1:19" ht="25.5">
      <c r="A85" s="2005"/>
      <c r="B85" s="2142" t="s">
        <v>1010</v>
      </c>
      <c r="C85" s="1133" t="s">
        <v>702</v>
      </c>
      <c r="D85" s="2121">
        <f>62*15</f>
        <v>930</v>
      </c>
      <c r="E85" s="2072" t="s">
        <v>723</v>
      </c>
      <c r="F85" s="2122">
        <v>22</v>
      </c>
      <c r="G85" s="2123">
        <f t="shared" si="17"/>
        <v>20460</v>
      </c>
      <c r="H85" s="2088"/>
      <c r="I85" s="2124"/>
      <c r="J85" s="2088"/>
      <c r="K85" s="2125"/>
      <c r="L85" s="2088"/>
      <c r="M85" s="2002"/>
      <c r="N85" s="2088"/>
      <c r="O85" s="2002"/>
      <c r="P85" s="2088"/>
      <c r="Q85" s="2002"/>
      <c r="R85" s="2088"/>
      <c r="S85" s="2002"/>
    </row>
    <row r="86" spans="1:19">
      <c r="A86" s="2005"/>
      <c r="B86" s="2142" t="s">
        <v>1011</v>
      </c>
      <c r="C86" s="1133" t="s">
        <v>702</v>
      </c>
      <c r="D86" s="2121">
        <f>62*0.5</f>
        <v>31</v>
      </c>
      <c r="E86" s="2072" t="s">
        <v>723</v>
      </c>
      <c r="F86" s="2122">
        <v>45</v>
      </c>
      <c r="G86" s="2123">
        <f t="shared" si="17"/>
        <v>1395</v>
      </c>
      <c r="H86" s="2088"/>
      <c r="I86" s="2124"/>
      <c r="J86" s="2088"/>
      <c r="K86" s="2125"/>
      <c r="L86" s="2088"/>
      <c r="M86" s="2002"/>
      <c r="N86" s="2088"/>
      <c r="O86" s="2002"/>
      <c r="P86" s="2088"/>
      <c r="Q86" s="2002"/>
      <c r="R86" s="2088"/>
      <c r="S86" s="2002"/>
    </row>
    <row r="87" spans="1:19">
      <c r="A87" s="2005"/>
      <c r="B87" s="2142" t="s">
        <v>1012</v>
      </c>
      <c r="C87" s="1133" t="s">
        <v>702</v>
      </c>
      <c r="D87" s="2121">
        <v>73</v>
      </c>
      <c r="E87" s="2072" t="s">
        <v>723</v>
      </c>
      <c r="F87" s="2122">
        <v>28</v>
      </c>
      <c r="G87" s="2123">
        <f t="shared" si="17"/>
        <v>2044</v>
      </c>
      <c r="H87" s="2088"/>
      <c r="I87" s="2124"/>
      <c r="J87" s="2088"/>
      <c r="K87" s="2125"/>
      <c r="L87" s="2088"/>
      <c r="M87" s="2002"/>
      <c r="N87" s="2088"/>
      <c r="O87" s="2002"/>
      <c r="P87" s="2088"/>
      <c r="Q87" s="2002"/>
      <c r="R87" s="2088"/>
      <c r="S87" s="2002"/>
    </row>
    <row r="88" spans="1:19">
      <c r="A88" s="2005"/>
      <c r="B88" s="2141" t="s">
        <v>1013</v>
      </c>
      <c r="C88" s="1133" t="s">
        <v>702</v>
      </c>
      <c r="D88" s="2121">
        <v>192</v>
      </c>
      <c r="E88" s="2072" t="s">
        <v>723</v>
      </c>
      <c r="F88" s="2122">
        <v>18</v>
      </c>
      <c r="G88" s="2123">
        <f t="shared" si="17"/>
        <v>3456</v>
      </c>
      <c r="H88" s="2088"/>
      <c r="I88" s="2124"/>
      <c r="J88" s="2088"/>
      <c r="K88" s="2125"/>
      <c r="L88" s="2088"/>
      <c r="M88" s="2002"/>
      <c r="N88" s="2088"/>
      <c r="O88" s="2002"/>
      <c r="P88" s="2088"/>
      <c r="Q88" s="2002"/>
      <c r="R88" s="2088"/>
      <c r="S88" s="2002"/>
    </row>
    <row r="89" spans="1:19">
      <c r="A89" s="2005"/>
      <c r="B89" s="2140" t="s">
        <v>1014</v>
      </c>
      <c r="C89" s="1133" t="s">
        <v>702</v>
      </c>
      <c r="D89" s="2121">
        <v>59</v>
      </c>
      <c r="E89" s="2072" t="s">
        <v>723</v>
      </c>
      <c r="F89" s="2122">
        <v>18</v>
      </c>
      <c r="G89" s="2123">
        <f t="shared" ref="G89" si="18">D89*F89</f>
        <v>1062</v>
      </c>
      <c r="H89" s="2088"/>
      <c r="I89" s="2124"/>
      <c r="J89" s="2088"/>
      <c r="K89" s="2125"/>
      <c r="L89" s="2088"/>
      <c r="M89" s="2002"/>
      <c r="N89" s="2088"/>
      <c r="O89" s="2002"/>
      <c r="P89" s="2088"/>
      <c r="Q89" s="2002"/>
      <c r="R89" s="2088"/>
      <c r="S89" s="2002"/>
    </row>
    <row r="90" spans="1:19">
      <c r="A90" s="2005"/>
      <c r="B90" s="2140" t="s">
        <v>1015</v>
      </c>
      <c r="C90" s="1133" t="s">
        <v>702</v>
      </c>
      <c r="D90" s="2121">
        <v>22</v>
      </c>
      <c r="E90" s="2072" t="s">
        <v>723</v>
      </c>
      <c r="F90" s="2122">
        <v>18</v>
      </c>
      <c r="G90" s="2123">
        <f t="shared" ref="G90" si="19">D90*F90</f>
        <v>396</v>
      </c>
      <c r="H90" s="2088"/>
      <c r="I90" s="2124"/>
      <c r="J90" s="2088"/>
      <c r="K90" s="2125"/>
      <c r="L90" s="2088"/>
      <c r="M90" s="2002"/>
      <c r="N90" s="2088"/>
      <c r="O90" s="2002"/>
      <c r="P90" s="2088"/>
      <c r="Q90" s="2002"/>
      <c r="R90" s="2088"/>
      <c r="S90" s="2002"/>
    </row>
    <row r="91" spans="1:19">
      <c r="A91" s="2005"/>
      <c r="B91" s="2140" t="s">
        <v>1016</v>
      </c>
      <c r="C91" s="1133" t="s">
        <v>702</v>
      </c>
      <c r="D91" s="2121">
        <v>35</v>
      </c>
      <c r="E91" s="2072" t="s">
        <v>723</v>
      </c>
      <c r="F91" s="2122">
        <v>18</v>
      </c>
      <c r="G91" s="2123">
        <f t="shared" ref="G91" si="20">D91*F91</f>
        <v>630</v>
      </c>
      <c r="H91" s="2088"/>
      <c r="I91" s="2124"/>
      <c r="J91" s="2088"/>
      <c r="K91" s="2125"/>
      <c r="L91" s="2088"/>
      <c r="M91" s="2002"/>
      <c r="N91" s="2088"/>
      <c r="O91" s="2002"/>
      <c r="P91" s="2088"/>
      <c r="Q91" s="2002"/>
      <c r="R91" s="2088"/>
      <c r="S91" s="2002"/>
    </row>
    <row r="92" spans="1:19">
      <c r="A92" s="2005"/>
      <c r="B92" s="2141" t="s">
        <v>1017</v>
      </c>
      <c r="C92" s="1133" t="s">
        <v>702</v>
      </c>
      <c r="D92" s="2121">
        <v>46</v>
      </c>
      <c r="E92" s="2072" t="s">
        <v>723</v>
      </c>
      <c r="F92" s="2122">
        <v>18</v>
      </c>
      <c r="G92" s="2123">
        <f t="shared" ref="G92" si="21">D92*F92</f>
        <v>828</v>
      </c>
      <c r="H92" s="2088"/>
      <c r="I92" s="2124"/>
      <c r="J92" s="2088"/>
      <c r="K92" s="2125"/>
      <c r="L92" s="2088"/>
      <c r="M92" s="2002"/>
      <c r="N92" s="2088"/>
      <c r="O92" s="2002"/>
      <c r="P92" s="2088"/>
      <c r="Q92" s="2002"/>
      <c r="R92" s="2088"/>
      <c r="S92" s="2002"/>
    </row>
    <row r="93" spans="1:19">
      <c r="A93" s="2005"/>
      <c r="B93" s="2143" t="s">
        <v>1018</v>
      </c>
      <c r="C93" s="1133"/>
      <c r="D93" s="2072"/>
      <c r="E93" s="2072"/>
      <c r="F93" s="2072"/>
      <c r="G93" s="1133"/>
      <c r="H93" s="2088" t="s">
        <v>710</v>
      </c>
      <c r="I93" s="2138">
        <v>11685.62</v>
      </c>
      <c r="J93" s="2088"/>
      <c r="K93" s="2125"/>
      <c r="L93" s="2088"/>
      <c r="M93" s="2002"/>
      <c r="N93" s="2088"/>
      <c r="O93" s="2002"/>
      <c r="P93" s="2088"/>
      <c r="Q93" s="2002"/>
      <c r="R93" s="2088"/>
      <c r="S93" s="2002"/>
    </row>
    <row r="94" spans="1:19">
      <c r="A94" s="2005"/>
      <c r="B94" s="2144" t="s">
        <v>1019</v>
      </c>
      <c r="C94" s="1133"/>
      <c r="D94" s="1133"/>
      <c r="E94" s="2072"/>
      <c r="F94" s="2072"/>
      <c r="G94" s="1133"/>
      <c r="H94" s="2088" t="s">
        <v>710</v>
      </c>
      <c r="I94" s="2138">
        <v>14639.83</v>
      </c>
      <c r="J94" s="2088"/>
      <c r="K94" s="2125"/>
      <c r="L94" s="2088"/>
      <c r="M94" s="2002"/>
      <c r="N94" s="2088"/>
      <c r="O94" s="2002"/>
      <c r="P94" s="2088"/>
      <c r="Q94" s="2002"/>
      <c r="R94" s="2088"/>
      <c r="S94" s="2002"/>
    </row>
    <row r="95" spans="1:19">
      <c r="A95" s="2005"/>
      <c r="B95" s="2145" t="s">
        <v>1020</v>
      </c>
      <c r="C95" s="2072" t="s">
        <v>837</v>
      </c>
      <c r="D95" s="2072">
        <v>130</v>
      </c>
      <c r="E95" s="2072" t="s">
        <v>723</v>
      </c>
      <c r="F95" s="2072">
        <v>35</v>
      </c>
      <c r="G95" s="1229">
        <f>D95*F95</f>
        <v>4550</v>
      </c>
      <c r="H95" s="2088" t="s">
        <v>710</v>
      </c>
      <c r="I95" s="2138">
        <v>32917.19</v>
      </c>
      <c r="J95" s="2146"/>
      <c r="K95" s="2147"/>
      <c r="L95" s="2146"/>
      <c r="M95" s="2148"/>
      <c r="N95" s="2146"/>
      <c r="O95" s="2148"/>
      <c r="P95" s="2146"/>
      <c r="Q95" s="2148"/>
      <c r="R95" s="2146"/>
      <c r="S95" s="2148"/>
    </row>
    <row r="96" spans="1:19">
      <c r="A96" s="2005"/>
      <c r="B96" s="2145" t="s">
        <v>1021</v>
      </c>
      <c r="C96" s="2072" t="s">
        <v>837</v>
      </c>
      <c r="D96" s="2072">
        <v>1040</v>
      </c>
      <c r="E96" s="2072" t="s">
        <v>723</v>
      </c>
      <c r="F96" s="2072">
        <v>30</v>
      </c>
      <c r="G96" s="1229">
        <f>D96*F96</f>
        <v>31200</v>
      </c>
      <c r="H96" s="2146" t="s">
        <v>710</v>
      </c>
      <c r="I96" s="2149">
        <f>185*33</f>
        <v>6105</v>
      </c>
      <c r="J96" s="2146"/>
      <c r="K96" s="2147"/>
      <c r="L96" s="2146"/>
      <c r="M96" s="2148"/>
      <c r="N96" s="2146"/>
      <c r="O96" s="2148"/>
      <c r="P96" s="2146"/>
      <c r="Q96" s="2148"/>
      <c r="R96" s="2146"/>
      <c r="S96" s="2148"/>
    </row>
    <row r="97" spans="1:19">
      <c r="A97" s="2005"/>
      <c r="B97" s="2110"/>
      <c r="C97" s="1133"/>
      <c r="D97" s="2121"/>
      <c r="E97" s="2072"/>
      <c r="F97" s="2122"/>
      <c r="G97" s="2123"/>
      <c r="H97" s="2088"/>
      <c r="I97" s="2124"/>
      <c r="J97" s="2088"/>
      <c r="K97" s="2125"/>
      <c r="L97" s="2088"/>
      <c r="M97" s="2002"/>
      <c r="N97" s="2088"/>
      <c r="O97" s="2002"/>
      <c r="P97" s="2088"/>
      <c r="Q97" s="2002"/>
      <c r="R97" s="2088"/>
      <c r="S97" s="2002"/>
    </row>
    <row r="98" spans="1:19">
      <c r="A98" s="2005"/>
      <c r="B98" s="2128" t="s">
        <v>703</v>
      </c>
      <c r="C98" s="1218"/>
      <c r="D98" s="2129"/>
      <c r="E98" s="2096"/>
      <c r="F98" s="2130"/>
      <c r="G98" s="2131"/>
      <c r="H98" s="2099"/>
      <c r="I98" s="2132"/>
      <c r="J98" s="2099"/>
      <c r="K98" s="2133"/>
      <c r="L98" s="2099"/>
      <c r="M98" s="2007"/>
      <c r="N98" s="2099"/>
      <c r="O98" s="2007"/>
      <c r="P98" s="2099"/>
      <c r="Q98" s="2007"/>
      <c r="R98" s="2099"/>
      <c r="S98" s="2007"/>
    </row>
    <row r="99" spans="1:19">
      <c r="A99" s="2005"/>
      <c r="B99" s="2110"/>
      <c r="C99" s="1133"/>
      <c r="D99" s="2121"/>
      <c r="E99" s="2072"/>
      <c r="F99" s="2122"/>
      <c r="G99" s="2123"/>
      <c r="H99" s="2088"/>
      <c r="I99" s="2124"/>
      <c r="J99" s="2088"/>
      <c r="K99" s="2125"/>
      <c r="L99" s="2088"/>
      <c r="M99" s="2002"/>
      <c r="N99" s="2088"/>
      <c r="O99" s="2002"/>
      <c r="P99" s="2088"/>
      <c r="Q99" s="2002"/>
      <c r="R99" s="2088"/>
      <c r="S99" s="2002"/>
    </row>
    <row r="100" spans="1:19">
      <c r="A100" s="2005"/>
      <c r="B100" s="2134" t="s">
        <v>704</v>
      </c>
      <c r="C100" s="1225"/>
      <c r="D100" s="2135"/>
      <c r="E100" s="2106"/>
      <c r="F100" s="2136"/>
      <c r="G100" s="2137"/>
      <c r="H100" s="2109" t="s">
        <v>710</v>
      </c>
      <c r="I100" s="2138">
        <v>90487.02</v>
      </c>
      <c r="J100" s="2109"/>
      <c r="K100" s="2139"/>
      <c r="L100" s="2109"/>
      <c r="M100" s="2009"/>
      <c r="N100" s="2109"/>
      <c r="O100" s="2009"/>
      <c r="P100" s="2109"/>
      <c r="Q100" s="2009"/>
      <c r="R100" s="2109"/>
      <c r="S100" s="2009"/>
    </row>
    <row r="101" spans="1:19">
      <c r="A101" s="2005"/>
      <c r="B101" s="2110" t="s">
        <v>1022</v>
      </c>
      <c r="C101" s="1133" t="s">
        <v>702</v>
      </c>
      <c r="D101" s="2121">
        <f>388*0.9</f>
        <v>349.2</v>
      </c>
      <c r="E101" s="2072" t="s">
        <v>723</v>
      </c>
      <c r="F101" s="2122">
        <v>18</v>
      </c>
      <c r="G101" s="2123">
        <f t="shared" ref="G101:G103" si="22">D101*F101</f>
        <v>6285.5999999999995</v>
      </c>
      <c r="H101" s="2088"/>
      <c r="I101" s="2124"/>
      <c r="J101" s="2088"/>
      <c r="K101" s="2125"/>
      <c r="L101" s="2088"/>
      <c r="M101" s="2002"/>
      <c r="N101" s="2088"/>
      <c r="O101" s="2002"/>
      <c r="P101" s="2088"/>
      <c r="Q101" s="2002"/>
      <c r="R101" s="2088"/>
      <c r="S101" s="2002"/>
    </row>
    <row r="102" spans="1:19">
      <c r="A102" s="2005"/>
      <c r="B102" s="2110" t="s">
        <v>1023</v>
      </c>
      <c r="C102" s="1133" t="s">
        <v>702</v>
      </c>
      <c r="D102" s="2121">
        <f>388*0.1</f>
        <v>38.800000000000004</v>
      </c>
      <c r="E102" s="2072" t="s">
        <v>723</v>
      </c>
      <c r="F102" s="2122">
        <v>25</v>
      </c>
      <c r="G102" s="2123">
        <f t="shared" si="22"/>
        <v>970.00000000000011</v>
      </c>
      <c r="H102" s="2088"/>
      <c r="I102" s="2124"/>
      <c r="J102" s="2146"/>
      <c r="K102" s="2125"/>
      <c r="L102" s="2146"/>
      <c r="M102" s="2002"/>
      <c r="N102" s="2146"/>
      <c r="O102" s="2002"/>
      <c r="P102" s="2146"/>
      <c r="Q102" s="2002"/>
      <c r="R102" s="2146"/>
      <c r="S102" s="2002"/>
    </row>
    <row r="103" spans="1:19">
      <c r="A103" s="2005"/>
      <c r="B103" s="2110" t="s">
        <v>1024</v>
      </c>
      <c r="C103" s="1133" t="s">
        <v>702</v>
      </c>
      <c r="D103" s="2121">
        <f>1233*0.9</f>
        <v>1109.7</v>
      </c>
      <c r="E103" s="2072" t="s">
        <v>723</v>
      </c>
      <c r="F103" s="2122">
        <f>18</f>
        <v>18</v>
      </c>
      <c r="G103" s="2123">
        <f t="shared" si="22"/>
        <v>19974.600000000002</v>
      </c>
      <c r="H103" s="2088"/>
      <c r="I103" s="2124"/>
      <c r="J103" s="2146"/>
      <c r="K103" s="2125"/>
      <c r="L103" s="2146"/>
      <c r="M103" s="2002"/>
      <c r="N103" s="2146"/>
      <c r="O103" s="2002"/>
      <c r="P103" s="2146"/>
      <c r="Q103" s="2002"/>
      <c r="R103" s="2146"/>
      <c r="S103" s="2002"/>
    </row>
    <row r="104" spans="1:19">
      <c r="A104" s="2005"/>
      <c r="B104" s="2110" t="s">
        <v>1025</v>
      </c>
      <c r="C104" s="1133" t="s">
        <v>702</v>
      </c>
      <c r="D104" s="2121">
        <f>1233*0.1</f>
        <v>123.30000000000001</v>
      </c>
      <c r="E104" s="2072" t="s">
        <v>723</v>
      </c>
      <c r="F104" s="2122">
        <v>25</v>
      </c>
      <c r="G104" s="2123">
        <f t="shared" ref="G104:G105" si="23">D104*F104</f>
        <v>3082.5000000000005</v>
      </c>
      <c r="H104" s="2088"/>
      <c r="I104" s="2124"/>
      <c r="J104" s="2146"/>
      <c r="K104" s="2125"/>
      <c r="L104" s="2146"/>
      <c r="M104" s="2002"/>
      <c r="N104" s="2146"/>
      <c r="O104" s="2002"/>
      <c r="P104" s="2146"/>
      <c r="Q104" s="2002"/>
      <c r="R104" s="2146"/>
      <c r="S104" s="2002"/>
    </row>
    <row r="105" spans="1:19">
      <c r="A105" s="2005"/>
      <c r="B105" s="2110" t="s">
        <v>1026</v>
      </c>
      <c r="C105" s="1133" t="s">
        <v>702</v>
      </c>
      <c r="D105" s="2121">
        <v>63</v>
      </c>
      <c r="E105" s="2072" t="s">
        <v>723</v>
      </c>
      <c r="F105" s="2122">
        <f>18</f>
        <v>18</v>
      </c>
      <c r="G105" s="2123">
        <f t="shared" si="23"/>
        <v>1134</v>
      </c>
      <c r="H105" s="2088"/>
      <c r="I105" s="2124"/>
      <c r="J105" s="2146"/>
      <c r="K105" s="2125"/>
      <c r="L105" s="2146"/>
      <c r="M105" s="2002"/>
      <c r="N105" s="2146"/>
      <c r="O105" s="2002"/>
      <c r="P105" s="2146"/>
      <c r="Q105" s="2002"/>
      <c r="R105" s="2146"/>
      <c r="S105" s="2002"/>
    </row>
    <row r="106" spans="1:19" ht="25.5">
      <c r="A106" s="2005"/>
      <c r="B106" s="2110" t="s">
        <v>1027</v>
      </c>
      <c r="C106" s="1133" t="s">
        <v>702</v>
      </c>
      <c r="D106" s="2121">
        <v>73</v>
      </c>
      <c r="E106" s="2072" t="s">
        <v>723</v>
      </c>
      <c r="F106" s="2122">
        <f>18</f>
        <v>18</v>
      </c>
      <c r="G106" s="2123">
        <f t="shared" ref="G106:G108" si="24">D106*F106</f>
        <v>1314</v>
      </c>
      <c r="H106" s="2088"/>
      <c r="I106" s="2124"/>
      <c r="J106" s="2146"/>
      <c r="K106" s="2125"/>
      <c r="L106" s="2146"/>
      <c r="M106" s="2002"/>
      <c r="N106" s="2146"/>
      <c r="O106" s="2002"/>
      <c r="P106" s="2146"/>
      <c r="Q106" s="2002"/>
      <c r="R106" s="2146"/>
      <c r="S106" s="2002"/>
    </row>
    <row r="107" spans="1:19" ht="25.5">
      <c r="A107" s="2005"/>
      <c r="B107" s="2140" t="s">
        <v>1028</v>
      </c>
      <c r="C107" s="1133" t="s">
        <v>702</v>
      </c>
      <c r="D107" s="2121">
        <f>34*4</f>
        <v>136</v>
      </c>
      <c r="E107" s="2072" t="s">
        <v>723</v>
      </c>
      <c r="F107" s="2122">
        <v>22</v>
      </c>
      <c r="G107" s="2123">
        <f t="shared" si="24"/>
        <v>2992</v>
      </c>
      <c r="H107" s="2088"/>
      <c r="I107" s="2124"/>
      <c r="J107" s="2146"/>
      <c r="K107" s="2125"/>
      <c r="L107" s="2146"/>
      <c r="M107" s="2002"/>
      <c r="N107" s="2146"/>
      <c r="O107" s="2002"/>
      <c r="P107" s="2146"/>
      <c r="Q107" s="2002"/>
      <c r="R107" s="2146"/>
      <c r="S107" s="2002"/>
    </row>
    <row r="108" spans="1:19">
      <c r="A108" s="2005"/>
      <c r="B108" s="2140" t="s">
        <v>1029</v>
      </c>
      <c r="C108" s="1133" t="s">
        <v>702</v>
      </c>
      <c r="D108" s="2121">
        <f>34*0.5</f>
        <v>17</v>
      </c>
      <c r="E108" s="2072" t="s">
        <v>723</v>
      </c>
      <c r="F108" s="2122">
        <v>45</v>
      </c>
      <c r="G108" s="2123">
        <f t="shared" si="24"/>
        <v>765</v>
      </c>
      <c r="H108" s="2088"/>
      <c r="I108" s="2124"/>
      <c r="J108" s="2146"/>
      <c r="K108" s="2125"/>
      <c r="L108" s="2146"/>
      <c r="M108" s="2002"/>
      <c r="N108" s="2146"/>
      <c r="O108" s="2002"/>
      <c r="P108" s="2146"/>
      <c r="Q108" s="2002"/>
      <c r="R108" s="2146"/>
      <c r="S108" s="2002"/>
    </row>
    <row r="109" spans="1:19" ht="25.5">
      <c r="A109" s="2005"/>
      <c r="B109" s="2110" t="s">
        <v>1030</v>
      </c>
      <c r="C109" s="1133" t="s">
        <v>702</v>
      </c>
      <c r="D109" s="2121">
        <v>71</v>
      </c>
      <c r="E109" s="2072" t="s">
        <v>723</v>
      </c>
      <c r="F109" s="2122">
        <f>18</f>
        <v>18</v>
      </c>
      <c r="G109" s="2123">
        <f t="shared" ref="G109:G118" si="25">D109*F109</f>
        <v>1278</v>
      </c>
      <c r="H109" s="2088"/>
      <c r="I109" s="2124"/>
      <c r="J109" s="2146"/>
      <c r="K109" s="2125"/>
      <c r="L109" s="2146"/>
      <c r="M109" s="2002"/>
      <c r="N109" s="2146"/>
      <c r="O109" s="2002"/>
      <c r="P109" s="2146"/>
      <c r="Q109" s="2002"/>
      <c r="R109" s="2146"/>
      <c r="S109" s="2002"/>
    </row>
    <row r="110" spans="1:19" ht="25.5">
      <c r="A110" s="2005"/>
      <c r="B110" s="2140" t="s">
        <v>1031</v>
      </c>
      <c r="C110" s="1133" t="s">
        <v>702</v>
      </c>
      <c r="D110" s="2121">
        <f>34*4</f>
        <v>136</v>
      </c>
      <c r="E110" s="2072" t="s">
        <v>723</v>
      </c>
      <c r="F110" s="2122">
        <v>22</v>
      </c>
      <c r="G110" s="2123">
        <f t="shared" si="25"/>
        <v>2992</v>
      </c>
      <c r="H110" s="2088"/>
      <c r="I110" s="2124"/>
      <c r="J110" s="2146"/>
      <c r="K110" s="2125"/>
      <c r="L110" s="2146"/>
      <c r="M110" s="2002"/>
      <c r="N110" s="2146"/>
      <c r="O110" s="2002"/>
      <c r="P110" s="2146"/>
      <c r="Q110" s="2002"/>
      <c r="R110" s="2146"/>
      <c r="S110" s="2002"/>
    </row>
    <row r="111" spans="1:19">
      <c r="A111" s="2005"/>
      <c r="B111" s="2140" t="s">
        <v>1032</v>
      </c>
      <c r="C111" s="1133" t="s">
        <v>702</v>
      </c>
      <c r="D111" s="2121">
        <f>34*0.5</f>
        <v>17</v>
      </c>
      <c r="E111" s="2072" t="s">
        <v>723</v>
      </c>
      <c r="F111" s="2122">
        <v>45</v>
      </c>
      <c r="G111" s="2123">
        <f t="shared" si="25"/>
        <v>765</v>
      </c>
      <c r="H111" s="2088"/>
      <c r="I111" s="2124"/>
      <c r="J111" s="2146"/>
      <c r="K111" s="2125"/>
      <c r="L111" s="2146"/>
      <c r="M111" s="2002"/>
      <c r="N111" s="2146"/>
      <c r="O111" s="2002"/>
      <c r="P111" s="2146"/>
      <c r="Q111" s="2002"/>
      <c r="R111" s="2146"/>
      <c r="S111" s="2002"/>
    </row>
    <row r="112" spans="1:19">
      <c r="A112" s="2005"/>
      <c r="B112" s="2110" t="s">
        <v>1033</v>
      </c>
      <c r="C112" s="1133" t="s">
        <v>702</v>
      </c>
      <c r="D112" s="2121">
        <f>286*0.9</f>
        <v>257.40000000000003</v>
      </c>
      <c r="E112" s="2072" t="s">
        <v>723</v>
      </c>
      <c r="F112" s="2122">
        <v>18</v>
      </c>
      <c r="G112" s="2123">
        <f t="shared" si="25"/>
        <v>4633.2000000000007</v>
      </c>
      <c r="H112" s="2088"/>
      <c r="I112" s="2124"/>
      <c r="J112" s="2146"/>
      <c r="K112" s="2125"/>
      <c r="L112" s="2146"/>
      <c r="M112" s="2002"/>
      <c r="N112" s="2146"/>
      <c r="O112" s="2002"/>
      <c r="P112" s="2146"/>
      <c r="Q112" s="2002"/>
      <c r="R112" s="2146"/>
      <c r="S112" s="2002"/>
    </row>
    <row r="113" spans="1:19">
      <c r="A113" s="2005"/>
      <c r="B113" s="2110" t="s">
        <v>1034</v>
      </c>
      <c r="C113" s="1133" t="s">
        <v>702</v>
      </c>
      <c r="D113" s="2121">
        <f>286*0.1</f>
        <v>28.6</v>
      </c>
      <c r="E113" s="2072" t="s">
        <v>723</v>
      </c>
      <c r="F113" s="2122">
        <v>25</v>
      </c>
      <c r="G113" s="2123">
        <f t="shared" si="25"/>
        <v>715</v>
      </c>
      <c r="H113" s="2088"/>
      <c r="I113" s="2124"/>
      <c r="J113" s="2146"/>
      <c r="K113" s="2125"/>
      <c r="L113" s="2146"/>
      <c r="M113" s="2002"/>
      <c r="N113" s="2146"/>
      <c r="O113" s="2002"/>
      <c r="P113" s="2146"/>
      <c r="Q113" s="2002"/>
      <c r="R113" s="2146"/>
      <c r="S113" s="2002"/>
    </row>
    <row r="114" spans="1:19">
      <c r="A114" s="2005"/>
      <c r="B114" s="2110" t="s">
        <v>1035</v>
      </c>
      <c r="C114" s="1133" t="s">
        <v>702</v>
      </c>
      <c r="D114" s="2121">
        <f>900*0.9</f>
        <v>810</v>
      </c>
      <c r="E114" s="2072" t="s">
        <v>723</v>
      </c>
      <c r="F114" s="2122">
        <f>18</f>
        <v>18</v>
      </c>
      <c r="G114" s="2123">
        <f t="shared" si="25"/>
        <v>14580</v>
      </c>
      <c r="H114" s="2088"/>
      <c r="I114" s="2124"/>
      <c r="J114" s="2146"/>
      <c r="K114" s="2125"/>
      <c r="L114" s="2146"/>
      <c r="M114" s="2002"/>
      <c r="N114" s="2146"/>
      <c r="O114" s="2002"/>
      <c r="P114" s="2146"/>
      <c r="Q114" s="2002"/>
      <c r="R114" s="2146"/>
      <c r="S114" s="2002"/>
    </row>
    <row r="115" spans="1:19">
      <c r="A115" s="2005"/>
      <c r="B115" s="2110" t="s">
        <v>1036</v>
      </c>
      <c r="C115" s="1133" t="s">
        <v>905</v>
      </c>
      <c r="D115" s="2121">
        <f>900*0.1</f>
        <v>90</v>
      </c>
      <c r="E115" s="2072" t="s">
        <v>723</v>
      </c>
      <c r="F115" s="2122">
        <v>25</v>
      </c>
      <c r="G115" s="2123">
        <f t="shared" si="25"/>
        <v>2250</v>
      </c>
      <c r="H115" s="2088"/>
      <c r="I115" s="2124"/>
      <c r="J115" s="2146"/>
      <c r="K115" s="2125"/>
      <c r="L115" s="2146"/>
      <c r="M115" s="2002"/>
      <c r="N115" s="2146"/>
      <c r="O115" s="2002"/>
      <c r="P115" s="2146"/>
      <c r="Q115" s="2002"/>
      <c r="R115" s="2146"/>
      <c r="S115" s="2002"/>
    </row>
    <row r="116" spans="1:19" ht="25.5">
      <c r="A116" s="2005"/>
      <c r="B116" s="2110" t="s">
        <v>1037</v>
      </c>
      <c r="C116" s="1133" t="s">
        <v>905</v>
      </c>
      <c r="D116" s="2121">
        <v>72</v>
      </c>
      <c r="E116" s="2072" t="s">
        <v>723</v>
      </c>
      <c r="F116" s="2122">
        <f>18</f>
        <v>18</v>
      </c>
      <c r="G116" s="2123">
        <f t="shared" si="25"/>
        <v>1296</v>
      </c>
      <c r="H116" s="2088"/>
      <c r="I116" s="2124"/>
      <c r="J116" s="2146"/>
      <c r="K116" s="2125"/>
      <c r="L116" s="2146"/>
      <c r="M116" s="2002"/>
      <c r="N116" s="2146"/>
      <c r="O116" s="2002"/>
      <c r="P116" s="2146"/>
      <c r="Q116" s="2002"/>
      <c r="R116" s="2146"/>
      <c r="S116" s="2002"/>
    </row>
    <row r="117" spans="1:19" ht="25.5">
      <c r="A117" s="2005"/>
      <c r="B117" s="2140" t="s">
        <v>1038</v>
      </c>
      <c r="C117" s="1133" t="s">
        <v>905</v>
      </c>
      <c r="D117" s="2121">
        <f>34*4</f>
        <v>136</v>
      </c>
      <c r="E117" s="2072" t="s">
        <v>723</v>
      </c>
      <c r="F117" s="2122">
        <v>22</v>
      </c>
      <c r="G117" s="2123">
        <f t="shared" si="25"/>
        <v>2992</v>
      </c>
      <c r="H117" s="2088"/>
      <c r="I117" s="2124"/>
      <c r="J117" s="2146"/>
      <c r="K117" s="2125"/>
      <c r="L117" s="2146"/>
      <c r="M117" s="2002"/>
      <c r="N117" s="2146"/>
      <c r="O117" s="2002"/>
      <c r="P117" s="2146"/>
      <c r="Q117" s="2002"/>
      <c r="R117" s="2146"/>
      <c r="S117" s="2002"/>
    </row>
    <row r="118" spans="1:19">
      <c r="A118" s="2005"/>
      <c r="B118" s="2140" t="s">
        <v>1039</v>
      </c>
      <c r="C118" s="1133" t="s">
        <v>905</v>
      </c>
      <c r="D118" s="2121">
        <f>34*0.5</f>
        <v>17</v>
      </c>
      <c r="E118" s="2072" t="s">
        <v>723</v>
      </c>
      <c r="F118" s="2122">
        <v>45</v>
      </c>
      <c r="G118" s="2123">
        <f t="shared" si="25"/>
        <v>765</v>
      </c>
      <c r="H118" s="2088"/>
      <c r="I118" s="2124"/>
      <c r="J118" s="2146"/>
      <c r="K118" s="2125"/>
      <c r="L118" s="2146"/>
      <c r="M118" s="2002"/>
      <c r="N118" s="2146"/>
      <c r="O118" s="2002"/>
      <c r="P118" s="2146"/>
      <c r="Q118" s="2002"/>
      <c r="R118" s="2146"/>
      <c r="S118" s="2002"/>
    </row>
    <row r="119" spans="1:19" ht="25.5">
      <c r="A119" s="2005"/>
      <c r="B119" s="2110" t="s">
        <v>1040</v>
      </c>
      <c r="C119" s="1133" t="s">
        <v>702</v>
      </c>
      <c r="D119" s="2121">
        <v>71</v>
      </c>
      <c r="E119" s="2072" t="s">
        <v>723</v>
      </c>
      <c r="F119" s="2122">
        <f>18</f>
        <v>18</v>
      </c>
      <c r="G119" s="2123">
        <f t="shared" ref="G119:G121" si="26">D119*F119</f>
        <v>1278</v>
      </c>
      <c r="H119" s="2088"/>
      <c r="I119" s="2124"/>
      <c r="J119" s="2146"/>
      <c r="K119" s="2125"/>
      <c r="L119" s="2146"/>
      <c r="M119" s="2002"/>
      <c r="N119" s="2146"/>
      <c r="O119" s="2002"/>
      <c r="P119" s="2146"/>
      <c r="Q119" s="2002"/>
      <c r="R119" s="2146"/>
      <c r="S119" s="2002"/>
    </row>
    <row r="120" spans="1:19" ht="25.5">
      <c r="A120" s="2005"/>
      <c r="B120" s="2140" t="s">
        <v>1041</v>
      </c>
      <c r="C120" s="1133" t="s">
        <v>702</v>
      </c>
      <c r="D120" s="2121">
        <f>34*4</f>
        <v>136</v>
      </c>
      <c r="E120" s="2072" t="s">
        <v>723</v>
      </c>
      <c r="F120" s="2122">
        <v>22</v>
      </c>
      <c r="G120" s="2123">
        <f t="shared" si="26"/>
        <v>2992</v>
      </c>
      <c r="H120" s="2088"/>
      <c r="I120" s="2124"/>
      <c r="J120" s="2146"/>
      <c r="K120" s="2125"/>
      <c r="L120" s="2146"/>
      <c r="M120" s="2002"/>
      <c r="N120" s="2146"/>
      <c r="O120" s="2002"/>
      <c r="P120" s="2146"/>
      <c r="Q120" s="2002"/>
      <c r="R120" s="2146"/>
      <c r="S120" s="2002"/>
    </row>
    <row r="121" spans="1:19">
      <c r="A121" s="2005"/>
      <c r="B121" s="2140" t="s">
        <v>1042</v>
      </c>
      <c r="C121" s="1133" t="s">
        <v>702</v>
      </c>
      <c r="D121" s="2121">
        <f>34*0.5</f>
        <v>17</v>
      </c>
      <c r="E121" s="2072" t="s">
        <v>723</v>
      </c>
      <c r="F121" s="2122">
        <v>45</v>
      </c>
      <c r="G121" s="2123">
        <f t="shared" si="26"/>
        <v>765</v>
      </c>
      <c r="H121" s="2088"/>
      <c r="I121" s="2124"/>
      <c r="J121" s="2146"/>
      <c r="K121" s="2125"/>
      <c r="L121" s="2146"/>
      <c r="M121" s="2002"/>
      <c r="N121" s="2146"/>
      <c r="O121" s="2002"/>
      <c r="P121" s="2146"/>
      <c r="Q121" s="2002"/>
      <c r="R121" s="2146"/>
      <c r="S121" s="2002"/>
    </row>
    <row r="122" spans="1:19">
      <c r="A122" s="2005" t="s">
        <v>969</v>
      </c>
      <c r="B122" s="2150" t="s">
        <v>1043</v>
      </c>
      <c r="C122" s="1133" t="s">
        <v>702</v>
      </c>
      <c r="D122" s="2072">
        <v>171</v>
      </c>
      <c r="E122" s="2072" t="s">
        <v>723</v>
      </c>
      <c r="F122" s="2102">
        <v>18</v>
      </c>
      <c r="G122" s="1229">
        <f>D122*F122</f>
        <v>3078</v>
      </c>
      <c r="H122" s="2146"/>
      <c r="I122" s="2124"/>
      <c r="J122" s="2146"/>
      <c r="K122" s="2125"/>
      <c r="L122" s="2146"/>
      <c r="M122" s="2002"/>
      <c r="N122" s="2146"/>
      <c r="O122" s="2002"/>
      <c r="P122" s="2146"/>
      <c r="Q122" s="2002"/>
      <c r="R122" s="2146"/>
      <c r="S122" s="2002"/>
    </row>
    <row r="123" spans="1:19">
      <c r="A123" s="2005"/>
      <c r="B123" s="2150" t="s">
        <v>1044</v>
      </c>
      <c r="C123" s="1133"/>
      <c r="D123" s="1133"/>
      <c r="E123" s="2072"/>
      <c r="F123" s="2102"/>
      <c r="G123" s="1229"/>
      <c r="H123" s="2146"/>
      <c r="I123" s="2149">
        <v>7500</v>
      </c>
      <c r="J123" s="2146"/>
      <c r="K123" s="2147"/>
      <c r="L123" s="2146"/>
      <c r="M123" s="2148"/>
      <c r="N123" s="2146"/>
      <c r="O123" s="2148"/>
      <c r="P123" s="2146"/>
      <c r="Q123" s="2148"/>
      <c r="R123" s="2146"/>
      <c r="S123" s="2148"/>
    </row>
    <row r="124" spans="1:19">
      <c r="A124" s="2005"/>
      <c r="B124" s="2151"/>
      <c r="C124" s="1133"/>
      <c r="D124" s="2121"/>
      <c r="E124" s="2072"/>
      <c r="F124" s="2122"/>
      <c r="G124" s="2123"/>
      <c r="H124" s="2146"/>
      <c r="I124" s="2124"/>
      <c r="J124" s="2146"/>
      <c r="K124" s="2125"/>
      <c r="L124" s="2146"/>
      <c r="M124" s="2002"/>
      <c r="N124" s="2146"/>
      <c r="O124" s="2002"/>
      <c r="P124" s="2146"/>
      <c r="Q124" s="2002"/>
      <c r="R124" s="2146"/>
      <c r="S124" s="2002"/>
    </row>
    <row r="125" spans="1:19">
      <c r="A125" s="2005"/>
      <c r="B125" s="2128" t="s">
        <v>705</v>
      </c>
      <c r="C125" s="1218"/>
      <c r="D125" s="2129"/>
      <c r="E125" s="2096"/>
      <c r="F125" s="2130"/>
      <c r="G125" s="2131"/>
      <c r="H125" s="2099"/>
      <c r="I125" s="2132"/>
      <c r="J125" s="2099"/>
      <c r="K125" s="2133"/>
      <c r="L125" s="2099"/>
      <c r="M125" s="2007"/>
      <c r="N125" s="2099"/>
      <c r="O125" s="2007"/>
      <c r="P125" s="2099"/>
      <c r="Q125" s="2007"/>
      <c r="R125" s="2099"/>
      <c r="S125" s="2007"/>
    </row>
    <row r="126" spans="1:19">
      <c r="A126" s="2005"/>
      <c r="B126" s="2110"/>
      <c r="C126" s="1133"/>
      <c r="D126" s="2121"/>
      <c r="E126" s="2072"/>
      <c r="F126" s="2122"/>
      <c r="G126" s="2123"/>
      <c r="H126" s="2088"/>
      <c r="I126" s="2124"/>
      <c r="J126" s="2088"/>
      <c r="K126" s="2125"/>
      <c r="L126" s="2088"/>
      <c r="M126" s="2002"/>
      <c r="N126" s="2088"/>
      <c r="O126" s="2002"/>
      <c r="P126" s="2088"/>
      <c r="Q126" s="2002"/>
      <c r="R126" s="2088"/>
      <c r="S126" s="2002"/>
    </row>
    <row r="127" spans="1:19">
      <c r="A127" s="2005"/>
      <c r="B127" s="2134" t="s">
        <v>602</v>
      </c>
      <c r="C127" s="1225"/>
      <c r="D127" s="2135"/>
      <c r="E127" s="2106"/>
      <c r="F127" s="2136"/>
      <c r="G127" s="2137"/>
      <c r="H127" s="2109"/>
      <c r="I127" s="2138"/>
      <c r="J127" s="2109"/>
      <c r="K127" s="2139"/>
      <c r="L127" s="2109"/>
      <c r="M127" s="2009"/>
      <c r="N127" s="2109"/>
      <c r="O127" s="2009"/>
      <c r="P127" s="2109"/>
      <c r="Q127" s="2009"/>
      <c r="R127" s="2109"/>
      <c r="S127" s="2009"/>
    </row>
    <row r="128" spans="1:19">
      <c r="A128" s="2005"/>
      <c r="B128" s="2110"/>
      <c r="C128" s="1133"/>
      <c r="D128" s="2121"/>
      <c r="E128" s="2072"/>
      <c r="F128" s="2122"/>
      <c r="G128" s="2123"/>
      <c r="H128" s="2088"/>
      <c r="I128" s="2124"/>
      <c r="J128" s="2088"/>
      <c r="K128" s="2125"/>
      <c r="L128" s="2088"/>
      <c r="M128" s="2002"/>
      <c r="N128" s="2088"/>
      <c r="O128" s="2002"/>
      <c r="P128" s="2088"/>
      <c r="Q128" s="2002"/>
      <c r="R128" s="2088"/>
      <c r="S128" s="2002"/>
    </row>
    <row r="129" spans="1:19">
      <c r="A129" s="2005"/>
      <c r="B129" s="2110"/>
      <c r="C129" s="1133"/>
      <c r="D129" s="2121"/>
      <c r="E129" s="2072"/>
      <c r="F129" s="2122"/>
      <c r="G129" s="2123"/>
      <c r="H129" s="2088"/>
      <c r="I129" s="2124"/>
      <c r="J129" s="2088"/>
      <c r="K129" s="2125"/>
      <c r="L129" s="2088"/>
      <c r="M129" s="2002"/>
      <c r="N129" s="2088"/>
      <c r="O129" s="2002"/>
      <c r="P129" s="2088"/>
      <c r="Q129" s="2002"/>
      <c r="R129" s="2088"/>
      <c r="S129" s="2002"/>
    </row>
    <row r="130" spans="1:19" ht="15.75" thickBot="1">
      <c r="A130" s="2152"/>
      <c r="B130" s="2153"/>
      <c r="C130" s="2092"/>
      <c r="D130" s="1426"/>
      <c r="E130" s="2072"/>
      <c r="F130" s="2072"/>
      <c r="G130" s="1133"/>
      <c r="H130" s="2088"/>
      <c r="I130" s="2002"/>
      <c r="J130" s="2088"/>
      <c r="K130" s="2002"/>
      <c r="L130" s="2088"/>
      <c r="M130" s="1964"/>
      <c r="N130" s="2088"/>
      <c r="O130" s="2002"/>
      <c r="P130" s="2088"/>
      <c r="Q130" s="2002"/>
      <c r="R130" s="2088"/>
      <c r="S130" s="2002"/>
    </row>
    <row r="131" spans="1:19" ht="15.75" thickTop="1">
      <c r="A131" s="14"/>
      <c r="B131" s="15"/>
      <c r="C131" s="16"/>
      <c r="D131" s="16"/>
      <c r="E131" s="17"/>
      <c r="F131" s="18" t="s">
        <v>567</v>
      </c>
      <c r="G131" s="19"/>
      <c r="H131" s="20"/>
      <c r="I131" s="61">
        <f>SUM(I24:I130)</f>
        <v>449937.24</v>
      </c>
      <c r="J131" s="20"/>
      <c r="K131" s="61">
        <f>SUM(K24:K130)</f>
        <v>0</v>
      </c>
      <c r="L131" s="20"/>
      <c r="M131" s="61">
        <f>SUM(M24:M130)</f>
        <v>0</v>
      </c>
      <c r="N131" s="20"/>
      <c r="O131" s="61">
        <f>SUM(O27:O130)</f>
        <v>0</v>
      </c>
      <c r="P131" s="20"/>
      <c r="Q131" s="61">
        <f>SUM(Q27:Q130)</f>
        <v>0</v>
      </c>
      <c r="R131" s="20"/>
      <c r="S131" s="61">
        <f>SUM(S27:S130)</f>
        <v>0</v>
      </c>
    </row>
    <row r="132" spans="1:19">
      <c r="A132" s="2154"/>
      <c r="B132" s="2030"/>
      <c r="C132" s="2031"/>
      <c r="D132" s="2031"/>
      <c r="E132" s="2032"/>
      <c r="F132" s="2033" t="s">
        <v>568</v>
      </c>
      <c r="G132" s="1160"/>
      <c r="H132" s="2155">
        <v>0</v>
      </c>
      <c r="I132" s="2156"/>
      <c r="J132" s="2157">
        <v>0</v>
      </c>
      <c r="K132" s="2156"/>
      <c r="L132" s="2157">
        <v>0</v>
      </c>
      <c r="M132" s="2156"/>
      <c r="N132" s="2155">
        <v>0</v>
      </c>
      <c r="O132" s="2156"/>
      <c r="P132" s="2155">
        <v>0</v>
      </c>
      <c r="Q132" s="2156"/>
      <c r="R132" s="2155">
        <v>0</v>
      </c>
      <c r="S132" s="2156"/>
    </row>
    <row r="133" spans="1:19">
      <c r="A133" s="2154"/>
      <c r="B133" s="2030"/>
      <c r="C133" s="2031"/>
      <c r="D133" s="2031"/>
      <c r="E133" s="2032"/>
      <c r="F133" s="2033" t="s">
        <v>569</v>
      </c>
      <c r="G133" s="1160"/>
      <c r="H133" s="2158"/>
      <c r="I133" s="2159">
        <f>H132*I131</f>
        <v>0</v>
      </c>
      <c r="J133" s="2158"/>
      <c r="K133" s="2159">
        <f>J132*K131</f>
        <v>0</v>
      </c>
      <c r="L133" s="2158"/>
      <c r="M133" s="2159">
        <f>L132*M131</f>
        <v>0</v>
      </c>
      <c r="N133" s="2158"/>
      <c r="O133" s="2159">
        <f>N132*O131</f>
        <v>0</v>
      </c>
      <c r="P133" s="2158"/>
      <c r="Q133" s="2159">
        <f>P132*Q131</f>
        <v>0</v>
      </c>
      <c r="R133" s="2158"/>
      <c r="S133" s="2159">
        <f>R132*S131</f>
        <v>0</v>
      </c>
    </row>
    <row r="134" spans="1:19">
      <c r="A134" s="2154"/>
      <c r="B134" s="2030"/>
      <c r="C134" s="2031"/>
      <c r="D134" s="2031"/>
      <c r="E134" s="2032"/>
      <c r="F134" s="2033"/>
      <c r="G134" s="1160"/>
      <c r="H134" s="2158"/>
      <c r="I134" s="2160"/>
      <c r="J134" s="2158"/>
      <c r="K134" s="2160"/>
      <c r="L134" s="2158"/>
      <c r="M134" s="2160"/>
      <c r="N134" s="2158"/>
      <c r="O134" s="2160"/>
      <c r="P134" s="2158"/>
      <c r="Q134" s="2160"/>
      <c r="R134" s="2158"/>
      <c r="S134" s="2160"/>
    </row>
    <row r="135" spans="1:19">
      <c r="A135" s="2154"/>
      <c r="B135" s="2030"/>
      <c r="C135" s="2031"/>
      <c r="D135" s="2031"/>
      <c r="E135" s="2032"/>
      <c r="F135" s="2033" t="s">
        <v>570</v>
      </c>
      <c r="G135" s="1160"/>
      <c r="H135" s="2161"/>
      <c r="I135" s="2162">
        <f>SUM(I131:I133)</f>
        <v>449937.24</v>
      </c>
      <c r="J135" s="2161"/>
      <c r="K135" s="2162">
        <f>SUM(K131:K133)</f>
        <v>0</v>
      </c>
      <c r="L135" s="2161"/>
      <c r="M135" s="2162">
        <f>SUM(M131:M133)</f>
        <v>0</v>
      </c>
      <c r="N135" s="2161"/>
      <c r="O135" s="2162">
        <f>SUM(O131:O133)</f>
        <v>0</v>
      </c>
      <c r="P135" s="2161"/>
      <c r="Q135" s="2162">
        <f>SUM(Q131:Q133)</f>
        <v>0</v>
      </c>
      <c r="R135" s="2161"/>
      <c r="S135" s="2162">
        <f>SUM(S131:S133)</f>
        <v>0</v>
      </c>
    </row>
    <row r="136" spans="1:19">
      <c r="A136" s="2154"/>
      <c r="B136" s="2030"/>
      <c r="C136" s="2031"/>
      <c r="D136" s="2031"/>
      <c r="E136" s="2032"/>
      <c r="F136" s="2043" t="s">
        <v>571</v>
      </c>
      <c r="G136" s="1162"/>
      <c r="H136" s="2163"/>
      <c r="I136" s="2164" t="e">
        <f>I135/'Area Calculations'!$J$4</f>
        <v>#DIV/0!</v>
      </c>
      <c r="J136" s="2163"/>
      <c r="K136" s="2164" t="e">
        <f>K135/'Area Calculations'!$J$4</f>
        <v>#DIV/0!</v>
      </c>
      <c r="L136" s="2163"/>
      <c r="M136" s="2164" t="e">
        <f>M135/'Area Calculations'!$J$4</f>
        <v>#DIV/0!</v>
      </c>
      <c r="N136" s="2163"/>
      <c r="O136" s="2164" t="e">
        <f>O135/'Area Calculations'!$J$4</f>
        <v>#DIV/0!</v>
      </c>
      <c r="P136" s="2163"/>
      <c r="Q136" s="2164" t="e">
        <f>Q135/'Area Calculations'!$J$4</f>
        <v>#DIV/0!</v>
      </c>
      <c r="R136" s="2163"/>
      <c r="S136" s="2164" t="e">
        <f>S135/'Area Calculations'!$J$4</f>
        <v>#DIV/0!</v>
      </c>
    </row>
    <row r="137" spans="1:19">
      <c r="A137" s="2154"/>
      <c r="B137" s="2030"/>
      <c r="C137" s="2031"/>
      <c r="D137" s="2031"/>
      <c r="E137" s="2032"/>
      <c r="F137" s="2043" t="s">
        <v>572</v>
      </c>
      <c r="G137" s="1163"/>
      <c r="H137" s="2163"/>
      <c r="I137" s="2164" t="e">
        <f>I135/'Area Calculations'!#REF!</f>
        <v>#REF!</v>
      </c>
      <c r="J137" s="2163"/>
      <c r="K137" s="2164" t="e">
        <f>K135/'Area Calculations'!#REF!</f>
        <v>#REF!</v>
      </c>
      <c r="L137" s="2163"/>
      <c r="M137" s="2164" t="e">
        <f>M135/'Area Calculations'!#REF!</f>
        <v>#REF!</v>
      </c>
      <c r="N137" s="2163"/>
      <c r="O137" s="2164" t="e">
        <f>O135/'Area Calculations'!#REF!</f>
        <v>#REF!</v>
      </c>
      <c r="P137" s="2163"/>
      <c r="Q137" s="2164" t="e">
        <f>Q135/'Area Calculations'!#REF!</f>
        <v>#REF!</v>
      </c>
      <c r="R137" s="2163"/>
      <c r="S137" s="2164" t="e">
        <f>S135/'Area Calculations'!#REF!</f>
        <v>#REF!</v>
      </c>
    </row>
    <row r="138" spans="1:19" ht="15.75" thickBot="1">
      <c r="A138" s="2154"/>
      <c r="B138" s="2030"/>
      <c r="C138" s="2031"/>
      <c r="D138" s="2031"/>
      <c r="E138" s="2032"/>
      <c r="F138" s="2033"/>
      <c r="G138" s="1533"/>
      <c r="H138" s="2165"/>
      <c r="I138" s="2166"/>
      <c r="J138" s="2167"/>
      <c r="K138" s="2167"/>
      <c r="L138" s="2167"/>
      <c r="M138" s="2167"/>
      <c r="N138" s="2167"/>
      <c r="O138" s="2168"/>
      <c r="P138" s="2167"/>
      <c r="Q138" s="2168"/>
      <c r="R138" s="2167"/>
      <c r="S138" s="2168"/>
    </row>
    <row r="139" spans="1:19" ht="16.5" thickTop="1" thickBot="1">
      <c r="A139" s="726" t="s">
        <v>573</v>
      </c>
      <c r="B139" s="727"/>
      <c r="C139" s="12"/>
      <c r="D139" s="12"/>
      <c r="E139" s="12"/>
      <c r="F139" s="12"/>
      <c r="G139" s="13"/>
      <c r="H139" s="21"/>
      <c r="I139" s="21"/>
      <c r="J139" s="21"/>
      <c r="K139" s="21"/>
      <c r="L139" s="21"/>
      <c r="M139" s="21"/>
      <c r="N139" s="21"/>
      <c r="O139" s="21"/>
      <c r="P139" s="21"/>
      <c r="Q139" s="21"/>
      <c r="R139" s="21"/>
      <c r="S139" s="21"/>
    </row>
    <row r="140" spans="1:19" ht="15.75" thickTop="1">
      <c r="A140" s="2011"/>
      <c r="B140" s="2071"/>
      <c r="C140" s="2169"/>
      <c r="D140" s="2169"/>
      <c r="E140" s="2169"/>
      <c r="F140" s="2169"/>
      <c r="G140" s="2170"/>
      <c r="H140" s="2014"/>
      <c r="I140" s="2014"/>
      <c r="J140" s="2014"/>
      <c r="K140" s="2014"/>
      <c r="L140" s="2014"/>
      <c r="M140" s="2014"/>
      <c r="N140" s="2014"/>
      <c r="O140" s="2014"/>
      <c r="P140" s="2014"/>
      <c r="Q140" s="2014"/>
      <c r="R140" s="2014"/>
      <c r="S140" s="2014"/>
    </row>
    <row r="141" spans="1:19">
      <c r="A141" s="2011"/>
      <c r="B141" s="2071"/>
      <c r="C141" s="2169"/>
      <c r="D141" s="2169"/>
      <c r="E141" s="2169"/>
      <c r="F141" s="2169"/>
      <c r="G141" s="2170"/>
      <c r="H141" s="2014"/>
      <c r="I141" s="2014"/>
      <c r="J141" s="2014"/>
      <c r="K141" s="2014"/>
      <c r="L141" s="2014"/>
      <c r="M141" s="2014"/>
      <c r="N141" s="2014"/>
      <c r="O141" s="2014"/>
      <c r="P141" s="2014"/>
      <c r="Q141" s="2014"/>
      <c r="R141" s="2014"/>
      <c r="S141" s="2014"/>
    </row>
    <row r="142" spans="1:19" ht="15.75" thickBot="1">
      <c r="A142" s="2011"/>
      <c r="B142" s="2071"/>
      <c r="C142" s="2169"/>
      <c r="D142" s="2169"/>
      <c r="E142" s="2169"/>
      <c r="F142" s="2169"/>
      <c r="G142" s="2170"/>
      <c r="H142" s="2014"/>
      <c r="I142" s="2014"/>
      <c r="J142" s="2014"/>
      <c r="K142" s="2014"/>
      <c r="L142" s="2014"/>
      <c r="M142" s="2014"/>
      <c r="N142" s="2014"/>
      <c r="O142" s="2014"/>
      <c r="P142" s="2014"/>
      <c r="Q142" s="2014"/>
      <c r="R142" s="2014"/>
      <c r="S142" s="2014"/>
    </row>
    <row r="143" spans="1:19" s="2" customFormat="1" ht="16.5" thickTop="1" thickBot="1">
      <c r="A143" s="726" t="s">
        <v>574</v>
      </c>
      <c r="B143" s="727"/>
      <c r="C143" s="12"/>
      <c r="D143" s="12"/>
      <c r="E143" s="12"/>
      <c r="F143" s="12"/>
      <c r="G143" s="13"/>
      <c r="H143" s="21"/>
      <c r="I143" s="21"/>
      <c r="J143" s="21"/>
      <c r="K143" s="21"/>
      <c r="L143" s="21"/>
      <c r="M143" s="21"/>
      <c r="N143" s="21"/>
      <c r="O143" s="21"/>
      <c r="P143" s="21"/>
      <c r="Q143" s="21"/>
      <c r="R143" s="21"/>
      <c r="S143" s="21"/>
    </row>
    <row r="144" spans="1:19" s="2" customFormat="1" ht="15.75" thickTop="1">
      <c r="A144" s="2011"/>
      <c r="B144" s="2071"/>
      <c r="C144" s="2169"/>
      <c r="D144" s="2169"/>
      <c r="E144" s="2169"/>
      <c r="F144" s="2169"/>
      <c r="G144" s="2170"/>
      <c r="H144" s="2014"/>
      <c r="I144" s="2014"/>
      <c r="J144" s="2014"/>
      <c r="K144" s="2014"/>
      <c r="L144" s="2014"/>
      <c r="M144" s="2014"/>
      <c r="N144" s="2014"/>
      <c r="O144" s="2014"/>
      <c r="P144" s="2014"/>
      <c r="Q144" s="2014"/>
      <c r="R144" s="2014"/>
      <c r="S144" s="2014"/>
    </row>
    <row r="145" spans="1:19" s="2" customFormat="1">
      <c r="A145" s="2011"/>
      <c r="B145" s="2071"/>
      <c r="C145" s="2169"/>
      <c r="D145" s="2169"/>
      <c r="E145" s="2169"/>
      <c r="F145" s="2169"/>
      <c r="G145" s="2170"/>
      <c r="H145" s="2014"/>
      <c r="I145" s="2014"/>
      <c r="J145" s="2014"/>
      <c r="K145" s="2014"/>
      <c r="L145" s="2014"/>
      <c r="M145" s="2014"/>
      <c r="N145" s="2014"/>
      <c r="O145" s="2014"/>
      <c r="P145" s="2014"/>
      <c r="Q145" s="2014"/>
      <c r="R145" s="2014"/>
      <c r="S145" s="2014"/>
    </row>
    <row r="146" spans="1:19" ht="15.75" thickBot="1">
      <c r="A146" s="2011"/>
      <c r="B146" s="2071"/>
      <c r="C146" s="2169"/>
      <c r="D146" s="2169"/>
      <c r="E146" s="2169"/>
      <c r="F146" s="2169"/>
      <c r="G146" s="2170"/>
      <c r="H146" s="2014"/>
      <c r="I146" s="2014"/>
      <c r="J146" s="2014"/>
      <c r="K146" s="2014"/>
      <c r="L146" s="2014"/>
      <c r="M146" s="2014"/>
      <c r="N146" s="2014"/>
      <c r="O146" s="2014"/>
      <c r="P146" s="2014"/>
      <c r="Q146" s="2014"/>
      <c r="R146" s="2014"/>
      <c r="S146" s="2014"/>
    </row>
    <row r="147" spans="1:19" s="2" customFormat="1" ht="16.5" thickTop="1" thickBot="1">
      <c r="A147" s="726" t="s">
        <v>575</v>
      </c>
      <c r="B147" s="727"/>
      <c r="C147" s="12"/>
      <c r="D147" s="12"/>
      <c r="E147" s="12"/>
      <c r="F147" s="12"/>
      <c r="G147" s="13"/>
      <c r="H147" s="21"/>
      <c r="I147" s="21"/>
      <c r="J147" s="21"/>
      <c r="K147" s="21"/>
      <c r="L147" s="21"/>
      <c r="M147" s="21"/>
      <c r="N147" s="21"/>
      <c r="O147" s="21"/>
      <c r="P147" s="21"/>
      <c r="Q147" s="21"/>
      <c r="R147" s="21"/>
      <c r="S147" s="21"/>
    </row>
    <row r="148" spans="1:19" s="2" customFormat="1" ht="15.75" thickTop="1">
      <c r="A148" s="2011"/>
      <c r="B148" s="2071"/>
      <c r="C148" s="2169"/>
      <c r="D148" s="2169"/>
      <c r="E148" s="2169"/>
      <c r="F148" s="2169"/>
      <c r="G148" s="2170"/>
      <c r="H148" s="2014"/>
      <c r="I148" s="2014"/>
      <c r="J148" s="2014"/>
      <c r="K148" s="2014"/>
      <c r="L148" s="2014"/>
      <c r="M148" s="2014"/>
      <c r="N148" s="2014"/>
      <c r="O148" s="2014"/>
      <c r="P148" s="2014"/>
      <c r="Q148" s="2014"/>
      <c r="R148" s="2014"/>
      <c r="S148" s="2014"/>
    </row>
    <row r="149" spans="1:19" s="2" customFormat="1">
      <c r="A149" s="2084"/>
      <c r="B149" s="2071"/>
      <c r="C149" s="2072"/>
      <c r="D149" s="2072"/>
      <c r="E149" s="2072"/>
      <c r="F149" s="2072"/>
      <c r="G149" s="1133"/>
      <c r="H149" s="2171"/>
      <c r="I149" s="2171"/>
      <c r="J149" s="2171"/>
      <c r="K149" s="2171"/>
      <c r="L149" s="2171"/>
      <c r="M149" s="2171"/>
      <c r="N149" s="2171"/>
      <c r="O149" s="2171"/>
      <c r="P149" s="2171"/>
      <c r="Q149" s="2171"/>
      <c r="R149" s="2171"/>
      <c r="S149" s="2171"/>
    </row>
    <row r="150" spans="1:19" s="2" customFormat="1" ht="15.75" thickBot="1">
      <c r="A150" s="2172"/>
      <c r="B150" s="2055"/>
      <c r="C150" s="2072"/>
      <c r="D150" s="2072"/>
      <c r="E150" s="2072"/>
      <c r="F150" s="2072"/>
      <c r="G150" s="1133"/>
      <c r="H150" s="2173"/>
      <c r="I150" s="2173"/>
      <c r="J150" s="2173"/>
      <c r="K150" s="2173"/>
      <c r="L150" s="2173"/>
      <c r="M150" s="2173"/>
      <c r="N150" s="2173"/>
      <c r="O150" s="2173"/>
      <c r="P150" s="2173"/>
      <c r="Q150" s="2173"/>
      <c r="R150" s="2173"/>
      <c r="S150" s="2173"/>
    </row>
    <row r="151" spans="1:19" s="2" customFormat="1" ht="16.5" thickTop="1" thickBot="1">
      <c r="A151" s="726" t="s">
        <v>576</v>
      </c>
      <c r="B151" s="727"/>
      <c r="C151" s="12"/>
      <c r="D151" s="12"/>
      <c r="E151" s="12"/>
      <c r="F151" s="12"/>
      <c r="G151" s="13"/>
      <c r="H151" s="21"/>
      <c r="I151" s="21"/>
      <c r="J151" s="21"/>
      <c r="K151" s="21"/>
      <c r="L151" s="21"/>
      <c r="M151" s="21"/>
      <c r="N151" s="21"/>
      <c r="O151" s="21"/>
      <c r="P151" s="21"/>
      <c r="Q151" s="21"/>
      <c r="R151" s="21"/>
      <c r="S151" s="21"/>
    </row>
    <row r="152" spans="1:19" ht="15.75" thickTop="1">
      <c r="A152" s="2016"/>
      <c r="B152" s="2174"/>
      <c r="C152" s="2169"/>
      <c r="D152" s="2169"/>
      <c r="E152" s="2169"/>
      <c r="F152" s="2169"/>
      <c r="G152" s="2170"/>
      <c r="H152" s="2014"/>
      <c r="I152" s="2014"/>
      <c r="J152" s="2014"/>
      <c r="K152" s="2014"/>
      <c r="L152" s="2014"/>
      <c r="M152" s="2014"/>
      <c r="N152" s="2014"/>
      <c r="O152" s="2014"/>
      <c r="P152" s="2014"/>
      <c r="Q152" s="2014"/>
      <c r="R152" s="2014"/>
      <c r="S152" s="2014"/>
    </row>
    <row r="153" spans="1:19">
      <c r="A153" s="2172"/>
      <c r="B153" s="2055"/>
      <c r="C153" s="2072"/>
      <c r="D153" s="2072"/>
      <c r="E153" s="2072"/>
      <c r="F153" s="2072"/>
      <c r="G153" s="1133"/>
      <c r="H153" s="2175"/>
      <c r="I153" s="2175"/>
      <c r="J153" s="2175"/>
      <c r="K153" s="2175"/>
      <c r="L153" s="2175"/>
      <c r="M153" s="2175"/>
      <c r="N153" s="2175"/>
      <c r="O153" s="2175"/>
      <c r="P153" s="2175"/>
      <c r="Q153" s="2175"/>
      <c r="R153" s="2175"/>
      <c r="S153" s="2175"/>
    </row>
    <row r="154" spans="1:19" ht="15.75" thickBot="1">
      <c r="A154" s="2172"/>
      <c r="B154" s="2055"/>
      <c r="C154" s="2072"/>
      <c r="D154" s="2072"/>
      <c r="E154" s="2072"/>
      <c r="F154" s="2072"/>
      <c r="G154" s="1133"/>
      <c r="H154" s="2175"/>
      <c r="I154" s="2175"/>
      <c r="J154" s="2175"/>
      <c r="K154" s="2175"/>
      <c r="L154" s="2175"/>
      <c r="M154" s="2175"/>
      <c r="N154" s="2175"/>
      <c r="O154" s="2175"/>
      <c r="P154" s="2175"/>
      <c r="Q154" s="2175"/>
      <c r="R154" s="2175"/>
      <c r="S154" s="2175"/>
    </row>
    <row r="155" spans="1:19" ht="16.5" thickTop="1" thickBot="1">
      <c r="A155" s="726" t="s">
        <v>577</v>
      </c>
      <c r="B155" s="727"/>
      <c r="C155" s="12"/>
      <c r="D155" s="12"/>
      <c r="E155" s="12"/>
      <c r="F155" s="12"/>
      <c r="G155" s="13"/>
      <c r="H155" s="21"/>
      <c r="I155" s="21"/>
      <c r="J155" s="21"/>
      <c r="K155" s="21"/>
      <c r="L155" s="21"/>
      <c r="M155" s="21"/>
      <c r="N155" s="21"/>
      <c r="O155" s="21"/>
      <c r="P155" s="21"/>
      <c r="Q155" s="21"/>
      <c r="R155" s="21"/>
      <c r="S155" s="21"/>
    </row>
    <row r="156" spans="1:19" ht="15.75" thickTop="1">
      <c r="A156" s="2084"/>
      <c r="B156" s="2071" t="s">
        <v>578</v>
      </c>
      <c r="C156" s="2072"/>
      <c r="D156" s="2072"/>
      <c r="E156" s="2072"/>
      <c r="F156" s="2072"/>
      <c r="G156" s="1133"/>
      <c r="H156" s="2175"/>
      <c r="I156" s="2175"/>
      <c r="J156" s="2175"/>
      <c r="K156" s="2175"/>
      <c r="L156" s="2175"/>
      <c r="M156" s="2175"/>
      <c r="N156" s="2175"/>
      <c r="O156" s="2175"/>
      <c r="P156" s="2175"/>
      <c r="Q156" s="2175"/>
      <c r="R156" s="2175"/>
      <c r="S156" s="2175"/>
    </row>
    <row r="157" spans="1:19">
      <c r="A157" s="2084"/>
      <c r="B157" s="2071" t="s">
        <v>579</v>
      </c>
      <c r="C157" s="2072"/>
      <c r="D157" s="2072"/>
      <c r="E157" s="2072"/>
      <c r="F157" s="2072"/>
      <c r="G157" s="1133"/>
      <c r="H157" s="2175"/>
      <c r="I157" s="2175"/>
      <c r="J157" s="2175"/>
      <c r="K157" s="2175"/>
      <c r="L157" s="2175"/>
      <c r="M157" s="2175"/>
      <c r="N157" s="2175"/>
      <c r="O157" s="2175"/>
      <c r="P157" s="2175"/>
      <c r="Q157" s="2175"/>
      <c r="R157" s="2175"/>
      <c r="S157" s="2175"/>
    </row>
    <row r="158" spans="1:19">
      <c r="A158" s="2084"/>
      <c r="B158" s="2071" t="s">
        <v>580</v>
      </c>
      <c r="C158" s="2072"/>
      <c r="D158" s="2072"/>
      <c r="E158" s="2072"/>
      <c r="F158" s="2072"/>
      <c r="G158" s="1133"/>
      <c r="H158" s="2175"/>
      <c r="I158" s="2175"/>
      <c r="J158" s="2175"/>
      <c r="K158" s="2175"/>
      <c r="L158" s="2175"/>
      <c r="M158" s="2175"/>
      <c r="N158" s="2175"/>
      <c r="O158" s="2175"/>
      <c r="P158" s="2175"/>
      <c r="Q158" s="2175"/>
      <c r="R158" s="2175"/>
      <c r="S158" s="2175"/>
    </row>
    <row r="159" spans="1:19">
      <c r="A159" s="2084"/>
      <c r="B159" s="2071" t="s">
        <v>581</v>
      </c>
      <c r="C159" s="2072"/>
      <c r="D159" s="2072"/>
      <c r="E159" s="2072"/>
      <c r="F159" s="2072"/>
      <c r="G159" s="1133"/>
      <c r="H159" s="2175"/>
      <c r="I159" s="2175"/>
      <c r="J159" s="2175"/>
      <c r="K159" s="2175"/>
      <c r="L159" s="2175"/>
      <c r="M159" s="2175"/>
      <c r="N159" s="2175"/>
      <c r="O159" s="2175"/>
      <c r="P159" s="2175"/>
      <c r="Q159" s="2175"/>
      <c r="R159" s="2175"/>
      <c r="S159" s="2175"/>
    </row>
    <row r="160" spans="1:19" ht="15.75" thickBot="1">
      <c r="A160" s="416"/>
      <c r="B160" s="295"/>
      <c r="C160" s="184"/>
      <c r="D160" s="184"/>
      <c r="E160" s="184"/>
      <c r="F160" s="184"/>
      <c r="G160" s="296"/>
      <c r="H160" s="418"/>
      <c r="I160" s="418"/>
      <c r="J160" s="418"/>
      <c r="K160" s="418"/>
      <c r="L160" s="418"/>
      <c r="M160" s="418"/>
      <c r="N160" s="418"/>
      <c r="O160" s="418"/>
      <c r="P160" s="418"/>
      <c r="Q160" s="418"/>
      <c r="R160" s="418"/>
      <c r="S160" s="418"/>
    </row>
    <row r="161" spans="1:19" ht="16.5" thickTop="1" thickBot="1">
      <c r="A161" s="7" t="s">
        <v>582</v>
      </c>
      <c r="B161" s="8"/>
      <c r="C161" s="12"/>
      <c r="D161" s="12"/>
      <c r="E161" s="12"/>
      <c r="F161" s="12"/>
      <c r="G161" s="13"/>
      <c r="H161" s="21"/>
      <c r="I161" s="21"/>
      <c r="J161" s="21"/>
      <c r="K161" s="21"/>
      <c r="L161" s="21"/>
      <c r="M161" s="21"/>
      <c r="N161" s="21"/>
      <c r="O161" s="21"/>
      <c r="P161" s="21"/>
      <c r="Q161" s="21"/>
      <c r="R161" s="21"/>
      <c r="S161" s="21"/>
    </row>
    <row r="162" spans="1:19" ht="15.75" thickTop="1">
      <c r="A162" s="2011"/>
      <c r="B162" s="2176" t="s">
        <v>583</v>
      </c>
      <c r="C162" s="2169"/>
      <c r="D162" s="2169"/>
      <c r="E162" s="2169"/>
      <c r="F162" s="2169"/>
      <c r="G162" s="2170"/>
      <c r="H162" s="2019"/>
      <c r="I162" s="2019"/>
      <c r="J162" s="2019"/>
      <c r="K162" s="2019"/>
      <c r="L162" s="2019"/>
      <c r="M162" s="2019"/>
      <c r="N162" s="2019"/>
      <c r="O162" s="2019"/>
      <c r="P162" s="2019"/>
      <c r="Q162" s="2019"/>
      <c r="R162" s="2019"/>
      <c r="S162" s="2019"/>
    </row>
    <row r="163" spans="1:19">
      <c r="A163" s="2084"/>
      <c r="B163" s="2071" t="s">
        <v>584</v>
      </c>
      <c r="C163" s="2072"/>
      <c r="D163" s="2072"/>
      <c r="E163" s="2072"/>
      <c r="F163" s="2072"/>
      <c r="G163" s="1133"/>
      <c r="H163" s="2090"/>
      <c r="I163" s="2090"/>
      <c r="J163" s="2090"/>
      <c r="K163" s="2090"/>
      <c r="L163" s="2090"/>
      <c r="M163" s="2090"/>
      <c r="N163" s="2090"/>
      <c r="O163" s="2090"/>
      <c r="P163" s="2090"/>
      <c r="Q163" s="2090"/>
      <c r="R163" s="2090"/>
      <c r="S163" s="2090"/>
    </row>
    <row r="164" spans="1:19" ht="15.75" thickBot="1">
      <c r="A164" s="2177"/>
      <c r="B164" s="2178" t="s">
        <v>585</v>
      </c>
      <c r="C164" s="2179"/>
      <c r="D164" s="2179"/>
      <c r="E164" s="2179"/>
      <c r="F164" s="2179"/>
      <c r="G164" s="2180"/>
      <c r="H164" s="2181"/>
      <c r="I164" s="2181"/>
      <c r="J164" s="2181"/>
      <c r="K164" s="2181"/>
      <c r="L164" s="2181"/>
      <c r="M164" s="2181"/>
      <c r="N164" s="2181"/>
      <c r="O164" s="2181"/>
      <c r="P164" s="2181"/>
      <c r="Q164" s="2181"/>
      <c r="R164" s="2181"/>
      <c r="S164" s="2181"/>
    </row>
    <row r="165" spans="1:19" ht="16.5" thickTop="1" thickBot="1"/>
    <row r="166" spans="1:19" ht="16.5" thickTop="1" thickBot="1">
      <c r="A166" s="92" t="s">
        <v>586</v>
      </c>
      <c r="B166" s="94"/>
    </row>
    <row r="167" spans="1:19" ht="15.75" thickTop="1">
      <c r="A167" s="93" t="s">
        <v>487</v>
      </c>
      <c r="B167" s="2182"/>
    </row>
    <row r="168" spans="1:19">
      <c r="A168" s="2183" t="s">
        <v>491</v>
      </c>
      <c r="B168" s="2182"/>
    </row>
    <row r="169" spans="1:19">
      <c r="A169" s="2184" t="s">
        <v>494</v>
      </c>
      <c r="B169" s="2185"/>
    </row>
    <row r="170" spans="1:19">
      <c r="A170" s="2184" t="s">
        <v>497</v>
      </c>
      <c r="B170" s="2186"/>
    </row>
    <row r="171" spans="1:19" ht="15.75" thickBot="1">
      <c r="A171" s="2187" t="s">
        <v>587</v>
      </c>
      <c r="B171" s="2188">
        <f>H8</f>
        <v>449937.24</v>
      </c>
    </row>
    <row r="172" spans="1:19" ht="15.75" thickTop="1">
      <c r="B172" s="198"/>
    </row>
    <row r="173" spans="1:19">
      <c r="A173" s="95"/>
      <c r="B173" s="1" t="s">
        <v>588</v>
      </c>
    </row>
    <row r="174" spans="1:19">
      <c r="A174" s="96"/>
      <c r="B174" s="1" t="s">
        <v>589</v>
      </c>
    </row>
  </sheetData>
  <mergeCells count="47">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 ref="H5:I5"/>
    <mergeCell ref="J5:K5"/>
    <mergeCell ref="L5:M5"/>
    <mergeCell ref="N5:O5"/>
    <mergeCell ref="P5:Q5"/>
    <mergeCell ref="H4:I4"/>
    <mergeCell ref="J4:K4"/>
    <mergeCell ref="L4:M4"/>
    <mergeCell ref="N4:O4"/>
    <mergeCell ref="P4:Q4"/>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A139:B139"/>
    <mergeCell ref="A143:B143"/>
    <mergeCell ref="A147:B147"/>
    <mergeCell ref="A151:B151"/>
    <mergeCell ref="A155:B155"/>
  </mergeCells>
  <conditionalFormatting sqref="H21:H31 J33:J130 L33:L130 N33:N130 P33:P130 R33:R130">
    <cfRule type="cellIs" dxfId="1005" priority="19" operator="equal">
      <formula>"X"</formula>
    </cfRule>
    <cfRule type="cellIs" dxfId="1004" priority="20" operator="equal">
      <formula>"I"</formula>
    </cfRule>
  </conditionalFormatting>
  <conditionalFormatting sqref="H33:H130">
    <cfRule type="cellIs" dxfId="1003" priority="1" operator="equal">
      <formula>"X"</formula>
    </cfRule>
    <cfRule type="cellIs" dxfId="1002" priority="2" operator="equal">
      <formula>"I"</formula>
    </cfRule>
  </conditionalFormatting>
  <conditionalFormatting sqref="J21:J31">
    <cfRule type="cellIs" dxfId="1001" priority="21" operator="equal">
      <formula>"X"</formula>
    </cfRule>
    <cfRule type="cellIs" dxfId="1000" priority="22" operator="equal">
      <formula>"I"</formula>
    </cfRule>
  </conditionalFormatting>
  <conditionalFormatting sqref="L21:L31">
    <cfRule type="cellIs" dxfId="999" priority="23" operator="equal">
      <formula>"X"</formula>
    </cfRule>
    <cfRule type="cellIs" dxfId="998" priority="24" operator="equal">
      <formula>"I"</formula>
    </cfRule>
  </conditionalFormatting>
  <conditionalFormatting sqref="N21:N31">
    <cfRule type="cellIs" dxfId="997" priority="25" operator="equal">
      <formula>"X"</formula>
    </cfRule>
    <cfRule type="cellIs" dxfId="996" priority="26" operator="equal">
      <formula>"I"</formula>
    </cfRule>
  </conditionalFormatting>
  <conditionalFormatting sqref="P21:P31">
    <cfRule type="cellIs" dxfId="995" priority="27" operator="equal">
      <formula>"X"</formula>
    </cfRule>
    <cfRule type="cellIs" dxfId="994" priority="28" operator="equal">
      <formula>"I"</formula>
    </cfRule>
  </conditionalFormatting>
  <conditionalFormatting sqref="R21:R31">
    <cfRule type="cellIs" dxfId="993" priority="29" operator="equal">
      <formula>"X"</formula>
    </cfRule>
    <cfRule type="cellIs" dxfId="992" priority="30" operator="equal">
      <formula>"I"</formula>
    </cfRule>
  </conditionalFormatting>
  <hyperlinks>
    <hyperlink ref="B3" location="'Cost Summary'!A1" display="BACK TO SUMMARY SHEET" xr:uid="{8548A2B4-670A-4E1F-B6F6-4192B5F41D75}"/>
    <hyperlink ref="H7:I7" r:id="rId1" display="mteitelbaum@consofloors.com" xr:uid="{C3F94E83-5E61-4FF5-B7DD-EFF61CE0725C}"/>
  </hyperlinks>
  <pageMargins left="0.7" right="0.7" top="0.75" bottom="0.75" header="0.3" footer="0.3"/>
  <pageSetup orientation="portrait"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8ADF-0F7A-49EC-8D08-DC8622E8BE5B}">
  <sheetPr>
    <tabColor rgb="FF92D050"/>
  </sheetPr>
  <dimension ref="A1:S157"/>
  <sheetViews>
    <sheetView zoomScale="87" zoomScaleNormal="87" workbookViewId="0">
      <pane xSplit="2" ySplit="9" topLeftCell="C67" activePane="bottomRight" state="frozen"/>
      <selection pane="bottomRight" activeCell="C77" sqref="C77"/>
      <selection pane="bottomLeft" sqref="A1:B1"/>
      <selection pane="topRight" sqref="A1:B1"/>
    </sheetView>
  </sheetViews>
  <sheetFormatPr defaultRowHeight="15"/>
  <cols>
    <col min="1" max="1" width="11" customWidth="1"/>
    <col min="2" max="2" width="72.140625" style="1" bestFit="1" customWidth="1"/>
    <col min="3" max="3" width="10.85546875" style="2" bestFit="1" customWidth="1"/>
    <col min="4" max="4" width="9.140625" style="2" bestFit="1"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c r="L1" s="773"/>
      <c r="M1" s="773"/>
    </row>
    <row r="2" spans="1:19" ht="15.75" thickBot="1">
      <c r="E2" s="175"/>
      <c r="F2" s="146" t="s">
        <v>475</v>
      </c>
      <c r="G2" s="147" t="s">
        <v>476</v>
      </c>
      <c r="H2" s="732"/>
      <c r="I2" s="732"/>
      <c r="J2" s="766"/>
      <c r="K2" s="766"/>
      <c r="L2" s="766"/>
      <c r="M2" s="766"/>
      <c r="N2" s="766"/>
      <c r="O2" s="766"/>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t="s">
        <v>959</v>
      </c>
      <c r="I4" s="729"/>
      <c r="J4" s="747"/>
      <c r="K4" s="748"/>
      <c r="L4" s="728"/>
      <c r="M4" s="729"/>
      <c r="N4" s="728"/>
      <c r="O4" s="729"/>
      <c r="P4" s="728"/>
      <c r="Q4" s="729"/>
      <c r="R4" s="728"/>
      <c r="S4" s="729"/>
    </row>
    <row r="5" spans="1:19">
      <c r="A5" s="2189" t="s">
        <v>489</v>
      </c>
      <c r="B5" s="2071" t="s">
        <v>1045</v>
      </c>
      <c r="C5" s="2072"/>
      <c r="D5" s="2072"/>
      <c r="E5" s="2072"/>
      <c r="F5" s="2072"/>
      <c r="G5" s="1125" t="s">
        <v>491</v>
      </c>
      <c r="H5" s="2190" t="s">
        <v>961</v>
      </c>
      <c r="I5" s="1126"/>
      <c r="J5" s="2191"/>
      <c r="K5" s="1414"/>
      <c r="L5" s="2190"/>
      <c r="M5" s="1126"/>
      <c r="N5" s="2190"/>
      <c r="O5" s="1126"/>
      <c r="P5" s="2190"/>
      <c r="Q5" s="1126"/>
      <c r="R5" s="2190"/>
      <c r="S5" s="1126"/>
    </row>
    <row r="6" spans="1:19">
      <c r="A6" s="2189" t="s">
        <v>493</v>
      </c>
      <c r="B6" s="2076" t="s">
        <v>179</v>
      </c>
      <c r="C6" s="2072"/>
      <c r="D6" s="2072"/>
      <c r="E6" s="2072"/>
      <c r="F6" s="2072"/>
      <c r="G6" s="1125" t="s">
        <v>494</v>
      </c>
      <c r="H6" s="2192" t="s">
        <v>962</v>
      </c>
      <c r="I6" s="1129"/>
      <c r="J6" s="2193"/>
      <c r="K6" s="2113"/>
      <c r="L6" s="2192"/>
      <c r="M6" s="1129"/>
      <c r="N6" s="2192"/>
      <c r="O6" s="1129"/>
      <c r="P6" s="2192"/>
      <c r="Q6" s="1129"/>
      <c r="R6" s="2192"/>
      <c r="S6" s="1129"/>
    </row>
    <row r="7" spans="1:19">
      <c r="A7" s="2189" t="s">
        <v>496</v>
      </c>
      <c r="B7" s="2079"/>
      <c r="C7" s="2072"/>
      <c r="D7" s="2072"/>
      <c r="E7" s="2072"/>
      <c r="F7" s="2072"/>
      <c r="G7" s="1125" t="s">
        <v>497</v>
      </c>
      <c r="H7" s="2194" t="s">
        <v>963</v>
      </c>
      <c r="I7" s="1131"/>
      <c r="J7" s="2195"/>
      <c r="K7" s="2115"/>
      <c r="L7" s="2194"/>
      <c r="M7" s="1131"/>
      <c r="N7" s="2194"/>
      <c r="O7" s="1131"/>
      <c r="P7" s="2194"/>
      <c r="Q7" s="1131"/>
      <c r="R7" s="2194"/>
      <c r="S7" s="1131"/>
    </row>
    <row r="8" spans="1:19" ht="15.75" thickBot="1">
      <c r="A8" s="414" t="s">
        <v>499</v>
      </c>
      <c r="B8" s="295"/>
      <c r="C8" s="184"/>
      <c r="D8" s="184"/>
      <c r="E8" s="184"/>
      <c r="F8" s="184"/>
      <c r="G8" s="419" t="s">
        <v>499</v>
      </c>
      <c r="H8" s="2196">
        <f>I118</f>
        <v>53846.200000000004</v>
      </c>
      <c r="I8" s="2197"/>
      <c r="J8" s="2196">
        <f>K118</f>
        <v>0</v>
      </c>
      <c r="K8" s="2197"/>
      <c r="L8" s="2196">
        <f>M118</f>
        <v>0</v>
      </c>
      <c r="M8" s="2197"/>
      <c r="N8" s="2196"/>
      <c r="O8" s="2197"/>
      <c r="P8" s="2196"/>
      <c r="Q8" s="2197"/>
      <c r="R8" s="2196"/>
      <c r="S8" s="219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198"/>
      <c r="B10" s="2199" t="s">
        <v>508</v>
      </c>
      <c r="C10" s="2072"/>
      <c r="D10" s="2072"/>
      <c r="E10" s="2072"/>
      <c r="F10" s="2072"/>
      <c r="G10" s="1133"/>
      <c r="H10" s="2200"/>
      <c r="I10" s="2200"/>
      <c r="J10" s="2200"/>
      <c r="K10" s="2200"/>
      <c r="L10" s="2200"/>
      <c r="M10" s="2200"/>
      <c r="N10" s="2200"/>
      <c r="O10" s="2200"/>
      <c r="P10" s="2200"/>
      <c r="Q10" s="2200"/>
      <c r="R10" s="2200"/>
      <c r="S10" s="2200"/>
    </row>
    <row r="11" spans="1:19" hidden="1">
      <c r="A11" s="2198"/>
      <c r="B11" s="2071" t="str">
        <f>'Area Calculations'!M62</f>
        <v>Architectural Drawings  by</v>
      </c>
      <c r="C11" s="2087" t="s">
        <v>509</v>
      </c>
      <c r="D11" s="2072"/>
      <c r="E11" s="2072"/>
      <c r="F11" s="2072"/>
      <c r="G11" s="1133"/>
      <c r="H11" s="2200"/>
      <c r="I11" s="2200"/>
      <c r="J11" s="2200"/>
      <c r="K11" s="2200"/>
      <c r="L11" s="2200"/>
      <c r="M11" s="2200"/>
      <c r="N11" s="2200"/>
      <c r="O11" s="2200"/>
      <c r="P11" s="2200"/>
      <c r="Q11" s="2200"/>
      <c r="R11" s="2200"/>
      <c r="S11" s="2200"/>
    </row>
    <row r="12" spans="1:19" hidden="1">
      <c r="A12" s="2198"/>
      <c r="B12" s="2071" t="str">
        <f>'Area Calculations'!M63</f>
        <v>Structural Drawings by</v>
      </c>
      <c r="C12" s="2087" t="s">
        <v>509</v>
      </c>
      <c r="D12" s="2072"/>
      <c r="E12" s="2072"/>
      <c r="F12" s="2072"/>
      <c r="G12" s="1133"/>
      <c r="H12" s="2200"/>
      <c r="I12" s="2200"/>
      <c r="J12" s="2200"/>
      <c r="K12" s="2200"/>
      <c r="L12" s="2200"/>
      <c r="M12" s="2200"/>
      <c r="N12" s="2200"/>
      <c r="O12" s="2200"/>
      <c r="P12" s="2200"/>
      <c r="Q12" s="2200"/>
      <c r="R12" s="2200"/>
      <c r="S12" s="2200"/>
    </row>
    <row r="13" spans="1:19" hidden="1">
      <c r="A13" s="2198"/>
      <c r="B13" s="2071" t="str">
        <f>'Area Calculations'!M64</f>
        <v>MEP FA FP Drawings by</v>
      </c>
      <c r="C13" s="2087" t="s">
        <v>509</v>
      </c>
      <c r="D13" s="2072"/>
      <c r="E13" s="2072"/>
      <c r="F13" s="2072"/>
      <c r="G13" s="1133"/>
      <c r="H13" s="2200"/>
      <c r="I13" s="2200"/>
      <c r="J13" s="2200"/>
      <c r="K13" s="2200"/>
      <c r="L13" s="2200"/>
      <c r="M13" s="2200"/>
      <c r="N13" s="2200"/>
      <c r="O13" s="2200"/>
      <c r="P13" s="2200"/>
      <c r="Q13" s="2200"/>
      <c r="R13" s="2200"/>
      <c r="S13" s="2200"/>
    </row>
    <row r="14" spans="1:19" hidden="1">
      <c r="A14" s="2198"/>
      <c r="B14" s="2071" t="str">
        <f>'Area Calculations'!M65</f>
        <v xml:space="preserve">Civil Drawings by </v>
      </c>
      <c r="C14" s="2087" t="s">
        <v>509</v>
      </c>
      <c r="D14" s="2072"/>
      <c r="E14" s="2072"/>
      <c r="F14" s="2072"/>
      <c r="G14" s="1133"/>
      <c r="H14" s="2200"/>
      <c r="I14" s="2200"/>
      <c r="J14" s="2200"/>
      <c r="K14" s="2200"/>
      <c r="L14" s="2200"/>
      <c r="M14" s="2200"/>
      <c r="N14" s="2200"/>
      <c r="O14" s="2200"/>
      <c r="P14" s="2200"/>
      <c r="Q14" s="2200"/>
      <c r="R14" s="2200"/>
      <c r="S14" s="2200"/>
    </row>
    <row r="15" spans="1:19" hidden="1">
      <c r="A15" s="2198"/>
      <c r="B15" s="2071" t="str">
        <f>'Area Calculations'!M66</f>
        <v>Land scape Drawings by</v>
      </c>
      <c r="C15" s="2087" t="s">
        <v>509</v>
      </c>
      <c r="D15" s="2072"/>
      <c r="E15" s="2072"/>
      <c r="F15" s="2072"/>
      <c r="G15" s="1133"/>
      <c r="H15" s="2200"/>
      <c r="I15" s="2200"/>
      <c r="J15" s="2200"/>
      <c r="K15" s="2200"/>
      <c r="L15" s="2200"/>
      <c r="M15" s="2200"/>
      <c r="N15" s="2200"/>
      <c r="O15" s="2200"/>
      <c r="P15" s="2200"/>
      <c r="Q15" s="2200"/>
      <c r="R15" s="2200"/>
      <c r="S15" s="2200"/>
    </row>
    <row r="16" spans="1:19" hidden="1">
      <c r="A16" s="2198"/>
      <c r="B16" s="2071" t="str">
        <f>'Area Calculations'!M67</f>
        <v>Kitchen Drawings by</v>
      </c>
      <c r="C16" s="2087" t="s">
        <v>509</v>
      </c>
      <c r="D16" s="2072"/>
      <c r="E16" s="2072"/>
      <c r="F16" s="2072"/>
      <c r="G16" s="1133"/>
      <c r="H16" s="2200"/>
      <c r="I16" s="2200"/>
      <c r="J16" s="2200"/>
      <c r="K16" s="2200"/>
      <c r="L16" s="2200"/>
      <c r="M16" s="2200"/>
      <c r="N16" s="2200"/>
      <c r="O16" s="2200"/>
      <c r="P16" s="2200"/>
      <c r="Q16" s="2200"/>
      <c r="R16" s="2200"/>
      <c r="S16" s="2200"/>
    </row>
    <row r="17" spans="1:19" hidden="1">
      <c r="A17" s="2198"/>
      <c r="B17" s="2071" t="str">
        <f>'Area Calculations'!M68</f>
        <v>Storefront Designer by</v>
      </c>
      <c r="C17" s="2087" t="s">
        <v>509</v>
      </c>
      <c r="D17" s="2072"/>
      <c r="E17" s="2072"/>
      <c r="F17" s="2072"/>
      <c r="G17" s="1133"/>
      <c r="H17" s="2200"/>
      <c r="I17" s="2200"/>
      <c r="J17" s="2200"/>
      <c r="K17" s="2200"/>
      <c r="L17" s="2200"/>
      <c r="M17" s="2200"/>
      <c r="N17" s="2200"/>
      <c r="O17" s="2200"/>
      <c r="P17" s="2200"/>
      <c r="Q17" s="2200"/>
      <c r="R17" s="2200"/>
      <c r="S17" s="2200"/>
    </row>
    <row r="18" spans="1:19" hidden="1">
      <c r="A18" s="2198"/>
      <c r="B18" s="2071" t="str">
        <f>'Area Calculations'!M69</f>
        <v>Geotech report by</v>
      </c>
      <c r="C18" s="2087" t="s">
        <v>509</v>
      </c>
      <c r="D18" s="2072"/>
      <c r="E18" s="2072"/>
      <c r="F18" s="2072"/>
      <c r="G18" s="1133"/>
      <c r="H18" s="2200"/>
      <c r="I18" s="2200"/>
      <c r="J18" s="2200"/>
      <c r="K18" s="2200"/>
      <c r="L18" s="2200"/>
      <c r="M18" s="2200"/>
      <c r="N18" s="2200"/>
      <c r="O18" s="2200"/>
      <c r="P18" s="2200"/>
      <c r="Q18" s="2200"/>
      <c r="R18" s="2200"/>
      <c r="S18" s="2200"/>
    </row>
    <row r="19" spans="1:19" hidden="1">
      <c r="A19" s="2198"/>
      <c r="B19" s="2071" t="str">
        <f>'Area Calculations'!M70</f>
        <v>Specifications</v>
      </c>
      <c r="C19" s="2087" t="s">
        <v>509</v>
      </c>
      <c r="D19" s="2072"/>
      <c r="E19" s="2072"/>
      <c r="F19" s="2072"/>
      <c r="G19" s="1133"/>
      <c r="H19" s="2200"/>
      <c r="I19" s="2200"/>
      <c r="J19" s="2200"/>
      <c r="K19" s="2200"/>
      <c r="L19" s="2200"/>
      <c r="M19" s="2200"/>
      <c r="N19" s="2200"/>
      <c r="O19" s="2200"/>
      <c r="P19" s="2200"/>
      <c r="Q19" s="2200"/>
      <c r="R19" s="2200"/>
      <c r="S19" s="2200"/>
    </row>
    <row r="20" spans="1:19" hidden="1">
      <c r="A20" s="2198"/>
      <c r="B20" s="2071"/>
      <c r="C20" s="2087"/>
      <c r="D20" s="2072"/>
      <c r="E20" s="2072"/>
      <c r="F20" s="2072"/>
      <c r="G20" s="1133"/>
      <c r="H20" s="2200"/>
      <c r="I20" s="2200"/>
      <c r="J20" s="2200"/>
      <c r="K20" s="2200"/>
      <c r="L20" s="2200"/>
      <c r="M20" s="2200"/>
      <c r="N20" s="2200"/>
      <c r="O20" s="2200"/>
      <c r="P20" s="2200"/>
      <c r="Q20" s="2200"/>
      <c r="R20" s="2200"/>
      <c r="S20" s="2200"/>
    </row>
    <row r="21" spans="1:19" hidden="1">
      <c r="A21" s="2198"/>
      <c r="B21" s="2071"/>
      <c r="C21" s="2087"/>
      <c r="D21" s="2072"/>
      <c r="E21" s="2072"/>
      <c r="F21" s="2072"/>
      <c r="G21" s="1133"/>
      <c r="H21" s="2146"/>
      <c r="I21" s="2200"/>
      <c r="J21" s="2146"/>
      <c r="K21" s="2200"/>
      <c r="L21" s="2146"/>
      <c r="M21" s="2200"/>
      <c r="N21" s="2146"/>
      <c r="O21" s="2200"/>
      <c r="P21" s="2146"/>
      <c r="Q21" s="2200"/>
      <c r="R21" s="2146"/>
      <c r="S21" s="2200"/>
    </row>
    <row r="22" spans="1:19" ht="16.5" thickTop="1" thickBot="1">
      <c r="A22" s="59"/>
      <c r="B22" s="2089" t="s">
        <v>1045</v>
      </c>
      <c r="C22" s="56"/>
      <c r="D22" s="57"/>
      <c r="E22" s="57"/>
      <c r="F22" s="57"/>
      <c r="G22" s="63"/>
      <c r="H22" s="2146"/>
      <c r="I22" s="2200"/>
      <c r="J22" s="2146"/>
      <c r="K22" s="2200"/>
      <c r="L22" s="2146"/>
      <c r="M22" s="2200"/>
      <c r="N22" s="2146"/>
      <c r="O22" s="2200"/>
      <c r="P22" s="2146"/>
      <c r="Q22" s="2200"/>
      <c r="R22" s="2146"/>
      <c r="S22" s="2200"/>
    </row>
    <row r="23" spans="1:19" ht="15.75" thickBot="1">
      <c r="A23" s="2005"/>
      <c r="B23" s="374" t="s">
        <v>512</v>
      </c>
      <c r="C23" s="2087"/>
      <c r="D23" s="2072"/>
      <c r="E23" s="2072"/>
      <c r="F23" s="2072"/>
      <c r="G23" s="1133"/>
      <c r="H23" s="2146"/>
      <c r="I23" s="2201"/>
      <c r="J23" s="2146"/>
      <c r="K23" s="1178"/>
      <c r="L23" s="2146"/>
      <c r="M23" s="1178"/>
      <c r="N23" s="2146"/>
      <c r="O23" s="1178"/>
      <c r="P23" s="2146"/>
      <c r="Q23" s="1178"/>
      <c r="R23" s="2146"/>
      <c r="S23" s="1178"/>
    </row>
    <row r="24" spans="1:19">
      <c r="A24" s="2005"/>
      <c r="B24" s="1422" t="s">
        <v>513</v>
      </c>
      <c r="C24" s="2092"/>
      <c r="D24" s="1426"/>
      <c r="E24" s="2072"/>
      <c r="F24" s="2072"/>
      <c r="G24" s="1133"/>
      <c r="H24" s="2146"/>
      <c r="I24" s="2148"/>
      <c r="J24" s="2146"/>
      <c r="K24" s="2148"/>
      <c r="L24" s="2146"/>
      <c r="M24" s="2148"/>
      <c r="N24" s="2146"/>
      <c r="O24" s="2202"/>
      <c r="P24" s="2146"/>
      <c r="Q24" s="2202"/>
      <c r="R24" s="2146"/>
      <c r="S24" s="2202"/>
    </row>
    <row r="25" spans="1:19">
      <c r="A25" s="2005"/>
      <c r="B25" s="2203" t="s">
        <v>514</v>
      </c>
      <c r="C25" s="2092"/>
      <c r="D25" s="1426"/>
      <c r="E25" s="2072"/>
      <c r="F25" s="2072"/>
      <c r="G25" s="1133"/>
      <c r="H25" s="2146"/>
      <c r="I25" s="2202"/>
      <c r="J25" s="2146"/>
      <c r="K25" s="2148"/>
      <c r="L25" s="2146"/>
      <c r="M25" s="2148"/>
      <c r="N25" s="2146"/>
      <c r="O25" s="2202"/>
      <c r="P25" s="2146"/>
      <c r="Q25" s="2202"/>
      <c r="R25" s="2146"/>
      <c r="S25" s="2202"/>
    </row>
    <row r="26" spans="1:19">
      <c r="A26" s="2005"/>
      <c r="B26" s="2204" t="s">
        <v>515</v>
      </c>
      <c r="C26" s="1133"/>
      <c r="D26" s="2072"/>
      <c r="E26" s="2072"/>
      <c r="F26" s="2072"/>
      <c r="G26" s="1133"/>
      <c r="H26" s="2146"/>
      <c r="I26" s="2202"/>
      <c r="J26" s="2146"/>
      <c r="K26" s="2202"/>
      <c r="L26" s="2146"/>
      <c r="M26" s="2148"/>
      <c r="N26" s="2146"/>
      <c r="O26" s="2202"/>
      <c r="P26" s="2146"/>
      <c r="Q26" s="2202"/>
      <c r="R26" s="2146"/>
      <c r="S26" s="2202"/>
    </row>
    <row r="27" spans="1:19">
      <c r="A27" s="2005"/>
      <c r="B27" s="2204" t="s">
        <v>516</v>
      </c>
      <c r="C27" s="1133"/>
      <c r="D27" s="2072"/>
      <c r="E27" s="2072"/>
      <c r="F27" s="2072"/>
      <c r="G27" s="1133"/>
      <c r="H27" s="2146"/>
      <c r="I27" s="2148"/>
      <c r="J27" s="2146"/>
      <c r="K27" s="2148"/>
      <c r="L27" s="2146"/>
      <c r="M27" s="2148"/>
      <c r="N27" s="2146"/>
      <c r="O27" s="2148"/>
      <c r="P27" s="2146"/>
      <c r="Q27" s="2148"/>
      <c r="R27" s="2146"/>
      <c r="S27" s="2148"/>
    </row>
    <row r="28" spans="1:19">
      <c r="A28" s="2005"/>
      <c r="B28" s="2204" t="s">
        <v>517</v>
      </c>
      <c r="C28" s="1133"/>
      <c r="D28" s="2072"/>
      <c r="E28" s="2072"/>
      <c r="F28" s="2072"/>
      <c r="G28" s="1133"/>
      <c r="H28" s="2146"/>
      <c r="I28" s="2148"/>
      <c r="J28" s="2146"/>
      <c r="K28" s="2148"/>
      <c r="L28" s="2146"/>
      <c r="M28" s="2148"/>
      <c r="N28" s="2146"/>
      <c r="O28" s="2148"/>
      <c r="P28" s="2146"/>
      <c r="Q28" s="2148"/>
      <c r="R28" s="2146"/>
      <c r="S28" s="2148"/>
    </row>
    <row r="29" spans="1:19">
      <c r="A29" s="2005"/>
      <c r="B29" s="2204" t="s">
        <v>518</v>
      </c>
      <c r="C29" s="1133"/>
      <c r="D29" s="2072"/>
      <c r="E29" s="2072"/>
      <c r="F29" s="2072"/>
      <c r="G29" s="1133"/>
      <c r="H29" s="2146"/>
      <c r="I29" s="2148"/>
      <c r="J29" s="2146"/>
      <c r="K29" s="2148"/>
      <c r="L29" s="2146"/>
      <c r="M29" s="2148"/>
      <c r="N29" s="2146"/>
      <c r="O29" s="2148"/>
      <c r="P29" s="2146"/>
      <c r="Q29" s="2148"/>
      <c r="R29" s="2146"/>
      <c r="S29" s="2148"/>
    </row>
    <row r="30" spans="1:19">
      <c r="A30" s="2005"/>
      <c r="B30" s="2204" t="s">
        <v>693</v>
      </c>
      <c r="C30" s="1133"/>
      <c r="D30" s="2072"/>
      <c r="E30" s="2072"/>
      <c r="F30" s="2072"/>
      <c r="G30" s="1133"/>
      <c r="H30" s="2146"/>
      <c r="I30" s="2148"/>
      <c r="J30" s="2146"/>
      <c r="K30" s="2148"/>
      <c r="L30" s="2146"/>
      <c r="M30" s="2148"/>
      <c r="N30" s="2146"/>
      <c r="O30" s="2148"/>
      <c r="P30" s="2146"/>
      <c r="Q30" s="2148"/>
      <c r="R30" s="2146"/>
      <c r="S30" s="2148"/>
    </row>
    <row r="31" spans="1:19">
      <c r="A31" s="2005"/>
      <c r="B31" s="2205" t="s">
        <v>519</v>
      </c>
      <c r="C31" s="1133"/>
      <c r="D31" s="2072"/>
      <c r="E31" s="2072"/>
      <c r="F31" s="2072"/>
      <c r="G31" s="1133"/>
      <c r="H31" s="2146"/>
      <c r="I31" s="2148"/>
      <c r="J31" s="2146"/>
      <c r="K31" s="2148"/>
      <c r="L31" s="2146"/>
      <c r="M31" s="2148"/>
      <c r="N31" s="2146"/>
      <c r="O31" s="2148"/>
      <c r="P31" s="2146"/>
      <c r="Q31" s="2148"/>
      <c r="R31" s="2146"/>
      <c r="S31" s="2148"/>
    </row>
    <row r="32" spans="1:19">
      <c r="A32" s="2005"/>
      <c r="B32" s="2206" t="s">
        <v>520</v>
      </c>
      <c r="C32" s="1147"/>
      <c r="D32" s="2117"/>
      <c r="E32" s="2117"/>
      <c r="F32" s="2117"/>
      <c r="G32" s="2118"/>
      <c r="H32" s="2207"/>
      <c r="I32" s="2208"/>
      <c r="J32" s="2207"/>
      <c r="K32" s="2208"/>
      <c r="L32" s="2207"/>
      <c r="M32" s="2208"/>
      <c r="N32" s="2207"/>
      <c r="O32" s="2208"/>
      <c r="P32" s="2207"/>
      <c r="Q32" s="2208"/>
      <c r="R32" s="2207"/>
      <c r="S32" s="2208"/>
    </row>
    <row r="33" spans="1:19">
      <c r="A33" s="2005"/>
      <c r="B33" s="2209" t="s">
        <v>288</v>
      </c>
      <c r="C33" s="1133"/>
      <c r="D33" s="2072"/>
      <c r="E33" s="2072"/>
      <c r="F33" s="2072"/>
      <c r="G33" s="1133"/>
      <c r="H33" s="2146"/>
      <c r="I33" s="2148"/>
      <c r="J33" s="2146"/>
      <c r="K33" s="2148"/>
      <c r="L33" s="2146"/>
      <c r="M33" s="2148"/>
      <c r="N33" s="2146"/>
      <c r="O33" s="2148"/>
      <c r="P33" s="2146"/>
      <c r="Q33" s="2148"/>
      <c r="R33" s="2146"/>
      <c r="S33" s="2148"/>
    </row>
    <row r="34" spans="1:19">
      <c r="A34" s="2005"/>
      <c r="B34" s="2209" t="s">
        <v>1046</v>
      </c>
      <c r="C34" s="1133"/>
      <c r="D34" s="2072"/>
      <c r="E34" s="2072"/>
      <c r="F34" s="2072"/>
      <c r="G34" s="1133"/>
      <c r="H34" s="2146"/>
      <c r="I34" s="2148"/>
      <c r="J34" s="2146"/>
      <c r="K34" s="2148"/>
      <c r="L34" s="2146"/>
      <c r="M34" s="2148"/>
      <c r="N34" s="2146"/>
      <c r="O34" s="2148"/>
      <c r="P34" s="2146"/>
      <c r="Q34" s="2148"/>
      <c r="R34" s="2146"/>
      <c r="S34" s="2148"/>
    </row>
    <row r="35" spans="1:19">
      <c r="A35" s="2005"/>
      <c r="B35" s="2209" t="s">
        <v>1047</v>
      </c>
      <c r="C35" s="1133"/>
      <c r="D35" s="2072"/>
      <c r="E35" s="2072"/>
      <c r="F35" s="2072"/>
      <c r="G35" s="1133"/>
      <c r="H35" s="2146"/>
      <c r="I35" s="2148"/>
      <c r="J35" s="2146"/>
      <c r="K35" s="2148"/>
      <c r="L35" s="2146"/>
      <c r="M35" s="2148"/>
      <c r="N35" s="2146"/>
      <c r="O35" s="2148"/>
      <c r="P35" s="2146"/>
      <c r="Q35" s="2148"/>
      <c r="R35" s="2146"/>
      <c r="S35" s="2148"/>
    </row>
    <row r="36" spans="1:19">
      <c r="A36" s="2005"/>
      <c r="B36" s="2209" t="s">
        <v>1048</v>
      </c>
      <c r="C36" s="1133"/>
      <c r="D36" s="2072"/>
      <c r="E36" s="2072"/>
      <c r="F36" s="2072"/>
      <c r="G36" s="1133"/>
      <c r="H36" s="2146"/>
      <c r="I36" s="2148"/>
      <c r="J36" s="2146"/>
      <c r="K36" s="2148"/>
      <c r="L36" s="2146"/>
      <c r="M36" s="2148"/>
      <c r="N36" s="2146"/>
      <c r="O36" s="2148"/>
      <c r="P36" s="2146"/>
      <c r="Q36" s="2148"/>
      <c r="R36" s="2146"/>
      <c r="S36" s="2148"/>
    </row>
    <row r="37" spans="1:19">
      <c r="A37" s="2005"/>
      <c r="B37" s="2209"/>
      <c r="C37" s="1133"/>
      <c r="D37" s="2072"/>
      <c r="E37" s="2072"/>
      <c r="F37" s="2072"/>
      <c r="G37" s="1133"/>
      <c r="H37" s="2146"/>
      <c r="I37" s="2148"/>
      <c r="J37" s="2146"/>
      <c r="K37" s="2148"/>
      <c r="L37" s="2146"/>
      <c r="M37" s="2148"/>
      <c r="N37" s="2146"/>
      <c r="O37" s="2148"/>
      <c r="P37" s="2146"/>
      <c r="Q37" s="2148"/>
      <c r="R37" s="2146"/>
      <c r="S37" s="2148"/>
    </row>
    <row r="38" spans="1:19">
      <c r="A38" s="2005"/>
      <c r="B38" s="2210" t="s">
        <v>694</v>
      </c>
      <c r="C38" s="1218"/>
      <c r="D38" s="2096"/>
      <c r="E38" s="2096"/>
      <c r="F38" s="2096"/>
      <c r="G38" s="1218"/>
      <c r="H38" s="2211"/>
      <c r="I38" s="2212"/>
      <c r="J38" s="2211"/>
      <c r="K38" s="2212"/>
      <c r="L38" s="2211"/>
      <c r="M38" s="2212"/>
      <c r="N38" s="2211"/>
      <c r="O38" s="2212"/>
      <c r="P38" s="2211"/>
      <c r="Q38" s="2212"/>
      <c r="R38" s="2211"/>
      <c r="S38" s="2212"/>
    </row>
    <row r="39" spans="1:19">
      <c r="A39" s="2005"/>
      <c r="B39" s="2209"/>
      <c r="C39" s="1133"/>
      <c r="D39" s="2072"/>
      <c r="E39" s="2072"/>
      <c r="F39" s="2072"/>
      <c r="G39" s="1133"/>
      <c r="H39" s="2146"/>
      <c r="I39" s="2148"/>
      <c r="J39" s="2146"/>
      <c r="K39" s="2148"/>
      <c r="L39" s="2146"/>
      <c r="M39" s="2148"/>
      <c r="N39" s="2146"/>
      <c r="O39" s="2148"/>
      <c r="P39" s="2146"/>
      <c r="Q39" s="2148"/>
      <c r="R39" s="2146"/>
      <c r="S39" s="2148"/>
    </row>
    <row r="40" spans="1:19">
      <c r="A40" s="2005"/>
      <c r="B40" s="2213" t="s">
        <v>695</v>
      </c>
      <c r="C40" s="1225"/>
      <c r="D40" s="2106"/>
      <c r="E40" s="2106"/>
      <c r="F40" s="2106"/>
      <c r="G40" s="1225"/>
      <c r="H40" s="2214"/>
      <c r="I40" s="2215"/>
      <c r="J40" s="2214"/>
      <c r="K40" s="2215"/>
      <c r="L40" s="2214"/>
      <c r="M40" s="2215"/>
      <c r="N40" s="2214"/>
      <c r="O40" s="2215"/>
      <c r="P40" s="2214"/>
      <c r="Q40" s="2215"/>
      <c r="R40" s="2214"/>
      <c r="S40" s="2215"/>
    </row>
    <row r="41" spans="1:19">
      <c r="A41" s="2005"/>
      <c r="B41" s="2209"/>
      <c r="C41" s="1133"/>
      <c r="D41" s="2072"/>
      <c r="E41" s="2072"/>
      <c r="F41" s="2072"/>
      <c r="G41" s="1133"/>
      <c r="H41" s="2146"/>
      <c r="I41" s="2148"/>
      <c r="J41" s="2146"/>
      <c r="K41" s="2148"/>
      <c r="L41" s="2146"/>
      <c r="M41" s="2148"/>
      <c r="N41" s="2146"/>
      <c r="O41" s="2148"/>
      <c r="P41" s="2146"/>
      <c r="Q41" s="2148"/>
      <c r="R41" s="2146"/>
      <c r="S41" s="2148"/>
    </row>
    <row r="42" spans="1:19">
      <c r="A42" s="2005"/>
      <c r="B42" s="2210" t="s">
        <v>649</v>
      </c>
      <c r="C42" s="1218"/>
      <c r="D42" s="2096"/>
      <c r="E42" s="2096"/>
      <c r="F42" s="2096"/>
      <c r="G42" s="1218"/>
      <c r="H42" s="2211"/>
      <c r="I42" s="2212"/>
      <c r="J42" s="2211"/>
      <c r="K42" s="2212"/>
      <c r="L42" s="2211"/>
      <c r="M42" s="2212"/>
      <c r="N42" s="2211"/>
      <c r="O42" s="2212"/>
      <c r="P42" s="2211"/>
      <c r="Q42" s="2212"/>
      <c r="R42" s="2211"/>
      <c r="S42" s="2212"/>
    </row>
    <row r="43" spans="1:19">
      <c r="A43" s="2005"/>
      <c r="B43" s="2209"/>
      <c r="C43" s="1133"/>
      <c r="D43" s="2072"/>
      <c r="E43" s="2072"/>
      <c r="F43" s="2072"/>
      <c r="G43" s="1133"/>
      <c r="H43" s="2146"/>
      <c r="I43" s="2148"/>
      <c r="J43" s="2146"/>
      <c r="K43" s="2148"/>
      <c r="L43" s="2146"/>
      <c r="M43" s="2148"/>
      <c r="N43" s="2146"/>
      <c r="O43" s="2148"/>
      <c r="P43" s="2146"/>
      <c r="Q43" s="2148"/>
      <c r="R43" s="2146"/>
      <c r="S43" s="2148"/>
    </row>
    <row r="44" spans="1:19">
      <c r="A44" s="2005"/>
      <c r="B44" s="2213" t="s">
        <v>700</v>
      </c>
      <c r="C44" s="1225"/>
      <c r="D44" s="2106"/>
      <c r="E44" s="2106"/>
      <c r="F44" s="2106"/>
      <c r="G44" s="1225"/>
      <c r="H44" s="2214"/>
      <c r="I44" s="2215"/>
      <c r="J44" s="2214"/>
      <c r="K44" s="2215"/>
      <c r="L44" s="2214"/>
      <c r="M44" s="2215"/>
      <c r="N44" s="2214"/>
      <c r="O44" s="2215"/>
      <c r="P44" s="2214"/>
      <c r="Q44" s="2215"/>
      <c r="R44" s="2214"/>
      <c r="S44" s="2215"/>
    </row>
    <row r="45" spans="1:19">
      <c r="A45" s="2005"/>
      <c r="B45" s="2209" t="s">
        <v>1049</v>
      </c>
      <c r="C45" s="1133"/>
      <c r="D45" s="2072"/>
      <c r="E45" s="2072"/>
      <c r="F45" s="2072"/>
      <c r="G45" s="1133"/>
      <c r="H45" s="2146" t="s">
        <v>710</v>
      </c>
      <c r="I45" s="2148"/>
      <c r="J45" s="2146"/>
      <c r="K45" s="2148"/>
      <c r="L45" s="2146"/>
      <c r="M45" s="2148"/>
      <c r="N45" s="2146"/>
      <c r="O45" s="2148"/>
      <c r="P45" s="2146"/>
      <c r="Q45" s="2148"/>
      <c r="R45" s="2146"/>
      <c r="S45" s="2148"/>
    </row>
    <row r="46" spans="1:19">
      <c r="A46" s="2005"/>
      <c r="B46" s="2216" t="s">
        <v>1050</v>
      </c>
      <c r="C46" s="1133"/>
      <c r="D46" s="2072"/>
      <c r="E46" s="2072"/>
      <c r="F46" s="2072"/>
      <c r="G46" s="1133"/>
      <c r="H46" s="2146" t="s">
        <v>710</v>
      </c>
      <c r="I46" s="2215">
        <f>17149.34</f>
        <v>17149.34</v>
      </c>
      <c r="J46" s="2146"/>
      <c r="K46" s="2148"/>
      <c r="L46" s="2146"/>
      <c r="M46" s="2148"/>
      <c r="N46" s="2146"/>
      <c r="O46" s="2148"/>
      <c r="P46" s="2146"/>
      <c r="Q46" s="2148"/>
      <c r="R46" s="2146"/>
      <c r="S46" s="2148"/>
    </row>
    <row r="47" spans="1:19">
      <c r="A47" s="2005"/>
      <c r="B47" s="2209" t="s">
        <v>1051</v>
      </c>
      <c r="C47" s="1133" t="s">
        <v>702</v>
      </c>
      <c r="D47" s="2072">
        <v>229</v>
      </c>
      <c r="E47" s="2072" t="s">
        <v>723</v>
      </c>
      <c r="F47" s="2072">
        <v>10</v>
      </c>
      <c r="G47" s="1133">
        <f t="shared" ref="G47:G52" si="0">D47*F47</f>
        <v>2290</v>
      </c>
      <c r="H47" s="2146"/>
      <c r="I47" s="2148"/>
      <c r="J47" s="2146"/>
      <c r="K47" s="2148"/>
      <c r="L47" s="2146"/>
      <c r="M47" s="2148"/>
      <c r="N47" s="2146"/>
      <c r="O47" s="2148"/>
      <c r="P47" s="2146"/>
      <c r="Q47" s="2148"/>
      <c r="R47" s="2146"/>
      <c r="S47" s="2148"/>
    </row>
    <row r="48" spans="1:19">
      <c r="A48" s="2005"/>
      <c r="B48" s="2217" t="s">
        <v>1052</v>
      </c>
      <c r="C48" s="1133" t="s">
        <v>702</v>
      </c>
      <c r="D48" s="2072">
        <v>881</v>
      </c>
      <c r="E48" s="2072" t="s">
        <v>723</v>
      </c>
      <c r="F48" s="2072">
        <f>F47</f>
        <v>10</v>
      </c>
      <c r="G48" s="1133">
        <f t="shared" si="0"/>
        <v>8810</v>
      </c>
      <c r="H48" s="2146"/>
      <c r="I48" s="2148"/>
      <c r="J48" s="2146"/>
      <c r="K48" s="2148"/>
      <c r="L48" s="2146"/>
      <c r="M48" s="2148"/>
      <c r="N48" s="2146"/>
      <c r="O48" s="2148"/>
      <c r="P48" s="2146"/>
      <c r="Q48" s="2148"/>
      <c r="R48" s="2146"/>
      <c r="S48" s="2148"/>
    </row>
    <row r="49" spans="1:19">
      <c r="A49" s="2218"/>
      <c r="B49" s="2209" t="s">
        <v>1053</v>
      </c>
      <c r="C49" s="1133" t="s">
        <v>702</v>
      </c>
      <c r="D49" s="2072">
        <v>179</v>
      </c>
      <c r="E49" s="2072" t="s">
        <v>723</v>
      </c>
      <c r="F49" s="2072">
        <v>8</v>
      </c>
      <c r="G49" s="1133">
        <f t="shared" si="0"/>
        <v>1432</v>
      </c>
      <c r="H49" s="2146"/>
      <c r="I49" s="2148"/>
      <c r="J49" s="2146"/>
      <c r="K49" s="2002"/>
      <c r="L49" s="2146"/>
      <c r="M49" s="2002"/>
      <c r="N49" s="2146"/>
      <c r="O49" s="2002"/>
      <c r="P49" s="2146"/>
      <c r="Q49" s="2002"/>
      <c r="R49" s="2146"/>
      <c r="S49" s="2002"/>
    </row>
    <row r="50" spans="1:19">
      <c r="A50" s="2218"/>
      <c r="B50" s="2209" t="s">
        <v>1054</v>
      </c>
      <c r="C50" s="1133" t="s">
        <v>702</v>
      </c>
      <c r="D50" s="2072">
        <v>193</v>
      </c>
      <c r="E50" s="2072" t="s">
        <v>723</v>
      </c>
      <c r="F50" s="2072">
        <f>F49</f>
        <v>8</v>
      </c>
      <c r="G50" s="1133">
        <f t="shared" si="0"/>
        <v>1544</v>
      </c>
      <c r="H50" s="2146"/>
      <c r="I50" s="2148"/>
      <c r="J50" s="2146"/>
      <c r="K50" s="2002"/>
      <c r="L50" s="2146"/>
      <c r="M50" s="2002"/>
      <c r="N50" s="2146"/>
      <c r="O50" s="2002"/>
      <c r="P50" s="2146"/>
      <c r="Q50" s="2002"/>
      <c r="R50" s="2146"/>
      <c r="S50" s="2002"/>
    </row>
    <row r="51" spans="1:19">
      <c r="A51" s="2218"/>
      <c r="B51" s="2209" t="s">
        <v>1055</v>
      </c>
      <c r="C51" s="1133" t="s">
        <v>702</v>
      </c>
      <c r="D51" s="2072">
        <v>85</v>
      </c>
      <c r="E51" s="2072" t="s">
        <v>723</v>
      </c>
      <c r="F51" s="2072">
        <f>F48</f>
        <v>10</v>
      </c>
      <c r="G51" s="1133">
        <f t="shared" si="0"/>
        <v>850</v>
      </c>
      <c r="H51" s="2146"/>
      <c r="I51" s="2148"/>
      <c r="J51" s="2146"/>
      <c r="K51" s="2148"/>
      <c r="L51" s="2146"/>
      <c r="M51" s="2148"/>
      <c r="N51" s="2146"/>
      <c r="O51" s="2148"/>
      <c r="P51" s="2146"/>
      <c r="Q51" s="2148"/>
      <c r="R51" s="2146"/>
      <c r="S51" s="2148"/>
    </row>
    <row r="52" spans="1:19">
      <c r="A52" s="2005"/>
      <c r="B52" s="2209" t="s">
        <v>1056</v>
      </c>
      <c r="C52" s="1133" t="s">
        <v>702</v>
      </c>
      <c r="D52" s="2072">
        <v>47</v>
      </c>
      <c r="E52" s="2072" t="s">
        <v>723</v>
      </c>
      <c r="F52" s="2072">
        <f>F51</f>
        <v>10</v>
      </c>
      <c r="G52" s="1133">
        <f t="shared" si="0"/>
        <v>470</v>
      </c>
      <c r="H52" s="2146"/>
      <c r="I52" s="2148"/>
      <c r="J52" s="2146"/>
      <c r="K52" s="2148"/>
      <c r="L52" s="2146"/>
      <c r="M52" s="2148"/>
      <c r="N52" s="2146"/>
      <c r="O52" s="2148"/>
      <c r="P52" s="2146"/>
      <c r="Q52" s="2148"/>
      <c r="R52" s="2146"/>
      <c r="S52" s="2148"/>
    </row>
    <row r="53" spans="1:19">
      <c r="A53" s="2218"/>
      <c r="B53" s="2209"/>
      <c r="C53" s="1133"/>
      <c r="D53" s="2072"/>
      <c r="E53" s="2072"/>
      <c r="F53" s="2072"/>
      <c r="G53" s="1133"/>
      <c r="H53" s="2146"/>
      <c r="I53" s="2148"/>
      <c r="J53" s="2146"/>
      <c r="K53" s="2002"/>
      <c r="L53" s="2146"/>
      <c r="M53" s="2002"/>
      <c r="N53" s="2146"/>
      <c r="O53" s="2002"/>
      <c r="P53" s="2146"/>
      <c r="Q53" s="2002"/>
      <c r="R53" s="2146"/>
      <c r="S53" s="2002"/>
    </row>
    <row r="54" spans="1:19">
      <c r="A54" s="2005"/>
      <c r="B54" s="2216" t="s">
        <v>1057</v>
      </c>
      <c r="C54" s="1133"/>
      <c r="D54" s="2072"/>
      <c r="E54" s="2072"/>
      <c r="F54" s="2072"/>
      <c r="G54" s="1133"/>
      <c r="H54" s="2146" t="s">
        <v>710</v>
      </c>
      <c r="I54" s="2215">
        <f>708.72+30018.52</f>
        <v>30727.24</v>
      </c>
      <c r="J54" s="2146"/>
      <c r="K54" s="2148"/>
      <c r="L54" s="2146"/>
      <c r="M54" s="2148"/>
      <c r="N54" s="2146"/>
      <c r="O54" s="2148"/>
      <c r="P54" s="2146"/>
      <c r="Q54" s="2148"/>
      <c r="R54" s="2146"/>
      <c r="S54" s="2148"/>
    </row>
    <row r="55" spans="1:19">
      <c r="A55" s="2005"/>
      <c r="B55" s="2209" t="s">
        <v>1058</v>
      </c>
      <c r="C55" s="1133" t="s">
        <v>702</v>
      </c>
      <c r="D55" s="2219">
        <f>302/9</f>
        <v>33.555555555555557</v>
      </c>
      <c r="E55" s="2072" t="s">
        <v>1059</v>
      </c>
      <c r="F55" s="2072">
        <v>90</v>
      </c>
      <c r="G55" s="2027">
        <f t="shared" ref="G55:G64" si="1">D55*F55</f>
        <v>3020</v>
      </c>
      <c r="H55" s="2146"/>
      <c r="I55" s="2148"/>
      <c r="J55" s="2146"/>
      <c r="K55" s="2148"/>
      <c r="L55" s="2146"/>
      <c r="M55" s="2148"/>
      <c r="N55" s="2146"/>
      <c r="O55" s="2148"/>
      <c r="P55" s="2146"/>
      <c r="Q55" s="2148"/>
      <c r="R55" s="2146"/>
      <c r="S55" s="2148"/>
    </row>
    <row r="56" spans="1:19">
      <c r="A56" s="2218"/>
      <c r="B56" s="2209" t="s">
        <v>1060</v>
      </c>
      <c r="C56" s="1133" t="s">
        <v>702</v>
      </c>
      <c r="D56" s="2219">
        <f>300.96/9</f>
        <v>33.44</v>
      </c>
      <c r="E56" s="2072" t="s">
        <v>1059</v>
      </c>
      <c r="F56" s="2072">
        <f>F55</f>
        <v>90</v>
      </c>
      <c r="G56" s="2027">
        <f t="shared" si="1"/>
        <v>3009.6</v>
      </c>
      <c r="H56" s="2146"/>
      <c r="I56" s="2148"/>
      <c r="J56" s="2146"/>
      <c r="K56" s="2002"/>
      <c r="L56" s="2146"/>
      <c r="M56" s="2002"/>
      <c r="N56" s="2146"/>
      <c r="O56" s="2002"/>
      <c r="P56" s="2146"/>
      <c r="Q56" s="2002"/>
      <c r="R56" s="2146"/>
      <c r="S56" s="2002"/>
    </row>
    <row r="57" spans="1:19">
      <c r="A57" s="2218"/>
      <c r="B57" s="2209" t="s">
        <v>1061</v>
      </c>
      <c r="C57" s="1133" t="s">
        <v>702</v>
      </c>
      <c r="D57" s="2219">
        <f>96/9</f>
        <v>10.666666666666666</v>
      </c>
      <c r="E57" s="2072" t="s">
        <v>1059</v>
      </c>
      <c r="F57" s="2072">
        <f t="shared" ref="F57:F62" si="2">F56</f>
        <v>90</v>
      </c>
      <c r="G57" s="2027">
        <f t="shared" si="1"/>
        <v>960</v>
      </c>
      <c r="H57" s="2146"/>
      <c r="I57" s="2148"/>
      <c r="J57" s="2146"/>
      <c r="K57" s="2002"/>
      <c r="L57" s="2146"/>
      <c r="M57" s="2002"/>
      <c r="N57" s="2146"/>
      <c r="O57" s="2002"/>
      <c r="P57" s="2146"/>
      <c r="Q57" s="2002"/>
      <c r="R57" s="2146"/>
      <c r="S57" s="2002"/>
    </row>
    <row r="58" spans="1:19">
      <c r="A58" s="2218"/>
      <c r="B58" s="2209" t="s">
        <v>1062</v>
      </c>
      <c r="C58" s="1133" t="s">
        <v>702</v>
      </c>
      <c r="D58" s="2219">
        <f>121/9</f>
        <v>13.444444444444445</v>
      </c>
      <c r="E58" s="2072" t="s">
        <v>1059</v>
      </c>
      <c r="F58" s="2072">
        <f t="shared" si="2"/>
        <v>90</v>
      </c>
      <c r="G58" s="2027">
        <f t="shared" si="1"/>
        <v>1210</v>
      </c>
      <c r="H58" s="2146"/>
      <c r="I58" s="2148"/>
      <c r="J58" s="2146"/>
      <c r="K58" s="2002"/>
      <c r="L58" s="2146"/>
      <c r="M58" s="2002"/>
      <c r="N58" s="2146"/>
      <c r="O58" s="2002"/>
      <c r="P58" s="2146"/>
      <c r="Q58" s="2002"/>
      <c r="R58" s="2146"/>
      <c r="S58" s="2002"/>
    </row>
    <row r="59" spans="1:19">
      <c r="A59" s="2218"/>
      <c r="B59" s="2209" t="s">
        <v>1063</v>
      </c>
      <c r="C59" s="1133" t="s">
        <v>702</v>
      </c>
      <c r="D59" s="2219">
        <f>143/9</f>
        <v>15.888888888888889</v>
      </c>
      <c r="E59" s="2072" t="s">
        <v>1059</v>
      </c>
      <c r="F59" s="2072">
        <f t="shared" si="2"/>
        <v>90</v>
      </c>
      <c r="G59" s="2027">
        <f t="shared" si="1"/>
        <v>1430</v>
      </c>
      <c r="H59" s="2146"/>
      <c r="I59" s="2148"/>
      <c r="J59" s="2146"/>
      <c r="K59" s="2002"/>
      <c r="L59" s="2146"/>
      <c r="M59" s="2002"/>
      <c r="N59" s="2146"/>
      <c r="O59" s="2002"/>
      <c r="P59" s="2146"/>
      <c r="Q59" s="2002"/>
      <c r="R59" s="2146"/>
      <c r="S59" s="2002"/>
    </row>
    <row r="60" spans="1:19">
      <c r="A60" s="2218"/>
      <c r="B60" s="2209" t="s">
        <v>1064</v>
      </c>
      <c r="C60" s="1133" t="s">
        <v>702</v>
      </c>
      <c r="D60" s="2219">
        <f>128/9</f>
        <v>14.222222222222221</v>
      </c>
      <c r="E60" s="2072" t="s">
        <v>1059</v>
      </c>
      <c r="F60" s="2072">
        <f t="shared" si="2"/>
        <v>90</v>
      </c>
      <c r="G60" s="2027">
        <f t="shared" si="1"/>
        <v>1280</v>
      </c>
      <c r="H60" s="2146"/>
      <c r="I60" s="2148"/>
      <c r="J60" s="2146"/>
      <c r="K60" s="2002"/>
      <c r="L60" s="2146"/>
      <c r="M60" s="2002"/>
      <c r="N60" s="2146"/>
      <c r="O60" s="2002"/>
      <c r="P60" s="2146"/>
      <c r="Q60" s="2002"/>
      <c r="R60" s="2146"/>
      <c r="S60" s="2002"/>
    </row>
    <row r="61" spans="1:19">
      <c r="A61" s="2005"/>
      <c r="B61" s="2209" t="s">
        <v>1065</v>
      </c>
      <c r="C61" s="1133" t="s">
        <v>702</v>
      </c>
      <c r="D61" s="2219">
        <f>125/9</f>
        <v>13.888888888888889</v>
      </c>
      <c r="E61" s="2072" t="s">
        <v>1059</v>
      </c>
      <c r="F61" s="2072">
        <f t="shared" si="2"/>
        <v>90</v>
      </c>
      <c r="G61" s="2027">
        <f t="shared" si="1"/>
        <v>1250</v>
      </c>
      <c r="H61" s="2146"/>
      <c r="I61" s="2148"/>
      <c r="J61" s="2146"/>
      <c r="K61" s="2148"/>
      <c r="L61" s="2146"/>
      <c r="M61" s="2148"/>
      <c r="N61" s="2146"/>
      <c r="O61" s="2148"/>
      <c r="P61" s="2146"/>
      <c r="Q61" s="2148"/>
      <c r="R61" s="2146"/>
      <c r="S61" s="2148"/>
    </row>
    <row r="62" spans="1:19">
      <c r="A62" s="2218"/>
      <c r="B62" s="2209" t="s">
        <v>1066</v>
      </c>
      <c r="C62" s="1133" t="s">
        <v>702</v>
      </c>
      <c r="D62" s="2219">
        <f>1025/9</f>
        <v>113.88888888888889</v>
      </c>
      <c r="E62" s="2072" t="s">
        <v>1059</v>
      </c>
      <c r="F62" s="2072">
        <f t="shared" si="2"/>
        <v>90</v>
      </c>
      <c r="G62" s="2027">
        <f t="shared" si="1"/>
        <v>10250</v>
      </c>
      <c r="H62" s="2146"/>
      <c r="I62" s="2148"/>
      <c r="J62" s="2146"/>
      <c r="K62" s="2148"/>
      <c r="L62" s="2146"/>
      <c r="M62" s="2148"/>
      <c r="N62" s="2146"/>
      <c r="O62" s="2148"/>
      <c r="P62" s="2146"/>
      <c r="Q62" s="2148"/>
      <c r="R62" s="2146"/>
      <c r="S62" s="2148"/>
    </row>
    <row r="63" spans="1:19">
      <c r="A63" s="2218"/>
      <c r="B63" s="2209" t="s">
        <v>1067</v>
      </c>
      <c r="C63" s="1133" t="s">
        <v>702</v>
      </c>
      <c r="D63" s="2219">
        <f>155/9</f>
        <v>17.222222222222221</v>
      </c>
      <c r="E63" s="2072" t="s">
        <v>1059</v>
      </c>
      <c r="F63" s="2072">
        <f t="shared" ref="F63" si="3">F62</f>
        <v>90</v>
      </c>
      <c r="G63" s="2027">
        <f t="shared" si="1"/>
        <v>1550</v>
      </c>
      <c r="H63" s="2146"/>
      <c r="I63" s="2148"/>
      <c r="J63" s="2146"/>
      <c r="K63" s="2148"/>
      <c r="L63" s="2146"/>
      <c r="M63" s="2148"/>
      <c r="N63" s="2146"/>
      <c r="O63" s="2148"/>
      <c r="P63" s="2146"/>
      <c r="Q63" s="2148"/>
      <c r="R63" s="2146"/>
      <c r="S63" s="2148"/>
    </row>
    <row r="64" spans="1:19">
      <c r="A64" s="2218"/>
      <c r="B64" s="2209" t="s">
        <v>1068</v>
      </c>
      <c r="C64" s="1133" t="s">
        <v>702</v>
      </c>
      <c r="D64" s="2219">
        <f>541/9</f>
        <v>60.111111111111114</v>
      </c>
      <c r="E64" s="2072" t="s">
        <v>1059</v>
      </c>
      <c r="F64" s="2072">
        <f t="shared" ref="F64" si="4">F63</f>
        <v>90</v>
      </c>
      <c r="G64" s="2027">
        <f t="shared" si="1"/>
        <v>5410</v>
      </c>
      <c r="H64" s="2146"/>
      <c r="I64" s="2148"/>
      <c r="J64" s="2146"/>
      <c r="K64" s="2148"/>
      <c r="L64" s="2146"/>
      <c r="M64" s="2148"/>
      <c r="N64" s="2146"/>
      <c r="O64" s="2148"/>
      <c r="P64" s="2146"/>
      <c r="Q64" s="2148"/>
      <c r="R64" s="2146"/>
      <c r="S64" s="2148"/>
    </row>
    <row r="65" spans="1:19">
      <c r="A65" s="2005"/>
      <c r="B65" s="2209"/>
      <c r="C65" s="1133"/>
      <c r="D65" s="2072"/>
      <c r="E65" s="2072"/>
      <c r="F65" s="2072"/>
      <c r="G65" s="1133"/>
      <c r="H65" s="2146"/>
      <c r="I65" s="2148"/>
      <c r="J65" s="2146"/>
      <c r="K65" s="2148"/>
      <c r="L65" s="2146"/>
      <c r="M65" s="2148"/>
      <c r="N65" s="2146"/>
      <c r="O65" s="2148"/>
      <c r="P65" s="2146"/>
      <c r="Q65" s="2148"/>
      <c r="R65" s="2146"/>
      <c r="S65" s="2148"/>
    </row>
    <row r="66" spans="1:19">
      <c r="A66" s="2005"/>
      <c r="B66" s="2210" t="s">
        <v>703</v>
      </c>
      <c r="C66" s="1218"/>
      <c r="D66" s="2096"/>
      <c r="E66" s="2096"/>
      <c r="F66" s="2096"/>
      <c r="G66" s="1218"/>
      <c r="H66" s="2211"/>
      <c r="I66" s="2212"/>
      <c r="J66" s="2211"/>
      <c r="K66" s="2212"/>
      <c r="L66" s="2211"/>
      <c r="M66" s="2212"/>
      <c r="N66" s="2211"/>
      <c r="O66" s="2212"/>
      <c r="P66" s="2211"/>
      <c r="Q66" s="2212"/>
      <c r="R66" s="2211"/>
      <c r="S66" s="2212"/>
    </row>
    <row r="67" spans="1:19">
      <c r="A67" s="2005"/>
      <c r="B67" s="2209"/>
      <c r="C67" s="1133"/>
      <c r="D67" s="2072"/>
      <c r="E67" s="2072"/>
      <c r="F67" s="2072"/>
      <c r="G67" s="1133"/>
      <c r="H67" s="2146"/>
      <c r="I67" s="2148"/>
      <c r="J67" s="2146"/>
      <c r="K67" s="2148"/>
      <c r="L67" s="2146"/>
      <c r="M67" s="2148"/>
      <c r="N67" s="2146"/>
      <c r="O67" s="2148"/>
      <c r="P67" s="2146"/>
      <c r="Q67" s="2148"/>
      <c r="R67" s="2146"/>
      <c r="S67" s="2148"/>
    </row>
    <row r="68" spans="1:19">
      <c r="A68" s="2005"/>
      <c r="B68" s="2213" t="s">
        <v>704</v>
      </c>
      <c r="C68" s="1225"/>
      <c r="D68" s="2106"/>
      <c r="E68" s="2106"/>
      <c r="F68" s="2106"/>
      <c r="G68" s="1225"/>
      <c r="H68" s="2214"/>
      <c r="I68" s="2215">
        <f>354.36+5615.26</f>
        <v>5969.62</v>
      </c>
      <c r="J68" s="2214"/>
      <c r="K68" s="2215"/>
      <c r="L68" s="2214"/>
      <c r="M68" s="2215"/>
      <c r="N68" s="2214"/>
      <c r="O68" s="2215"/>
      <c r="P68" s="2214"/>
      <c r="Q68" s="2215"/>
      <c r="R68" s="2214"/>
      <c r="S68" s="2215"/>
    </row>
    <row r="69" spans="1:19">
      <c r="A69" s="2005"/>
      <c r="B69" s="2216" t="s">
        <v>1050</v>
      </c>
      <c r="C69" s="1133"/>
      <c r="D69" s="2072"/>
      <c r="E69" s="2072"/>
      <c r="F69" s="2072"/>
      <c r="G69" s="1133"/>
      <c r="H69" s="2146"/>
      <c r="I69" s="2148"/>
      <c r="J69" s="2146"/>
      <c r="K69" s="2148"/>
      <c r="L69" s="2146"/>
      <c r="M69" s="2148"/>
      <c r="N69" s="2146"/>
      <c r="O69" s="2148"/>
      <c r="P69" s="2146"/>
      <c r="Q69" s="2148"/>
      <c r="R69" s="2146"/>
      <c r="S69" s="2148"/>
    </row>
    <row r="70" spans="1:19">
      <c r="A70" s="2005"/>
      <c r="B70" s="2209" t="s">
        <v>1069</v>
      </c>
      <c r="C70" s="1133" t="s">
        <v>702</v>
      </c>
      <c r="D70" s="2072">
        <v>224</v>
      </c>
      <c r="E70" s="2072" t="s">
        <v>723</v>
      </c>
      <c r="F70" s="2072">
        <v>8</v>
      </c>
      <c r="G70" s="1133">
        <f>D70*F70</f>
        <v>1792</v>
      </c>
      <c r="H70" s="2146" t="s">
        <v>710</v>
      </c>
      <c r="I70" s="2148"/>
      <c r="J70" s="2146"/>
      <c r="K70" s="2148"/>
      <c r="L70" s="2146"/>
      <c r="M70" s="2148"/>
      <c r="N70" s="2146"/>
      <c r="O70" s="2148"/>
      <c r="P70" s="2146"/>
      <c r="Q70" s="2148"/>
      <c r="R70" s="2146"/>
      <c r="S70" s="2148"/>
    </row>
    <row r="71" spans="1:19">
      <c r="A71" s="2005"/>
      <c r="B71" s="2209" t="s">
        <v>1070</v>
      </c>
      <c r="C71" s="1133" t="s">
        <v>702</v>
      </c>
      <c r="D71" s="2072">
        <v>75</v>
      </c>
      <c r="E71" s="2072" t="s">
        <v>723</v>
      </c>
      <c r="F71" s="2072">
        <f>F70</f>
        <v>8</v>
      </c>
      <c r="G71" s="1133">
        <f>D71*F71</f>
        <v>600</v>
      </c>
      <c r="H71" s="2146" t="s">
        <v>710</v>
      </c>
      <c r="I71" s="2148"/>
      <c r="J71" s="2146"/>
      <c r="K71" s="2148"/>
      <c r="L71" s="2146"/>
      <c r="M71" s="2148"/>
      <c r="N71" s="2146"/>
      <c r="O71" s="2148"/>
      <c r="P71" s="2146"/>
      <c r="Q71" s="2148"/>
      <c r="R71" s="2146"/>
      <c r="S71" s="2148"/>
    </row>
    <row r="72" spans="1:19">
      <c r="A72" s="2218"/>
      <c r="B72" s="2209" t="s">
        <v>1071</v>
      </c>
      <c r="C72" s="1133" t="s">
        <v>702</v>
      </c>
      <c r="D72" s="2072">
        <v>211</v>
      </c>
      <c r="E72" s="2072" t="s">
        <v>723</v>
      </c>
      <c r="F72" s="2072">
        <f>F71</f>
        <v>8</v>
      </c>
      <c r="G72" s="1133">
        <f>D72*F72</f>
        <v>1688</v>
      </c>
      <c r="H72" s="2146" t="s">
        <v>710</v>
      </c>
      <c r="I72" s="2148"/>
      <c r="J72" s="2146"/>
      <c r="K72" s="2002"/>
      <c r="L72" s="2146"/>
      <c r="M72" s="2002"/>
      <c r="N72" s="2146"/>
      <c r="O72" s="2002"/>
      <c r="P72" s="2146"/>
      <c r="Q72" s="2002"/>
      <c r="R72" s="2146"/>
      <c r="S72" s="2002"/>
    </row>
    <row r="73" spans="1:19">
      <c r="A73" s="2218"/>
      <c r="B73" s="2209" t="s">
        <v>1072</v>
      </c>
      <c r="C73" s="1133" t="s">
        <v>702</v>
      </c>
      <c r="D73" s="2072">
        <v>222</v>
      </c>
      <c r="E73" s="2072" t="s">
        <v>723</v>
      </c>
      <c r="F73" s="2072">
        <f>F72</f>
        <v>8</v>
      </c>
      <c r="G73" s="1133">
        <f t="shared" ref="G73:G74" si="5">D73*F73</f>
        <v>1776</v>
      </c>
      <c r="H73" s="2146" t="s">
        <v>710</v>
      </c>
      <c r="I73" s="2148"/>
      <c r="J73" s="2146"/>
      <c r="K73" s="2002"/>
      <c r="L73" s="2146"/>
      <c r="M73" s="2002"/>
      <c r="N73" s="2146"/>
      <c r="O73" s="2002"/>
      <c r="P73" s="2146"/>
      <c r="Q73" s="2002"/>
      <c r="R73" s="2146"/>
      <c r="S73" s="2002"/>
    </row>
    <row r="74" spans="1:19">
      <c r="A74" s="2218"/>
      <c r="B74" s="2209" t="s">
        <v>1073</v>
      </c>
      <c r="C74" s="1133" t="s">
        <v>702</v>
      </c>
      <c r="D74" s="2072">
        <v>68</v>
      </c>
      <c r="E74" s="2072" t="s">
        <v>723</v>
      </c>
      <c r="F74" s="2072">
        <f>F73</f>
        <v>8</v>
      </c>
      <c r="G74" s="1133">
        <f t="shared" si="5"/>
        <v>544</v>
      </c>
      <c r="H74" s="2146" t="s">
        <v>710</v>
      </c>
      <c r="I74" s="2148"/>
      <c r="J74" s="2146"/>
      <c r="K74" s="2002"/>
      <c r="L74" s="2146"/>
      <c r="M74" s="2002"/>
      <c r="N74" s="2146"/>
      <c r="O74" s="2002"/>
      <c r="P74" s="2146"/>
      <c r="Q74" s="2002"/>
      <c r="R74" s="2146"/>
      <c r="S74" s="2002"/>
    </row>
    <row r="75" spans="1:19">
      <c r="A75" s="2005"/>
      <c r="B75" s="2209"/>
      <c r="C75" s="1133"/>
      <c r="D75" s="2072"/>
      <c r="E75" s="2072"/>
      <c r="F75" s="2072"/>
      <c r="G75" s="1133"/>
      <c r="H75" s="2146"/>
      <c r="I75" s="2148"/>
      <c r="J75" s="2146"/>
      <c r="K75" s="2148"/>
      <c r="L75" s="2146"/>
      <c r="M75" s="2148"/>
      <c r="N75" s="2146"/>
      <c r="O75" s="2148"/>
      <c r="P75" s="2146"/>
      <c r="Q75" s="2148"/>
      <c r="R75" s="2146"/>
      <c r="S75" s="2148"/>
    </row>
    <row r="76" spans="1:19">
      <c r="A76" s="2005"/>
      <c r="B76" s="2216" t="s">
        <v>1057</v>
      </c>
      <c r="C76" s="1133"/>
      <c r="D76" s="2072"/>
      <c r="E76" s="2072"/>
      <c r="F76" s="2072"/>
      <c r="G76" s="1133"/>
      <c r="H76" s="2146"/>
      <c r="I76" s="2148"/>
      <c r="J76" s="2146"/>
      <c r="K76" s="2148"/>
      <c r="L76" s="2146"/>
      <c r="M76" s="2148"/>
      <c r="N76" s="2146"/>
      <c r="O76" s="2148"/>
      <c r="P76" s="2146"/>
      <c r="Q76" s="2148"/>
      <c r="R76" s="2146"/>
      <c r="S76" s="2148"/>
    </row>
    <row r="77" spans="1:19">
      <c r="A77" s="2005"/>
      <c r="B77" s="2209"/>
      <c r="C77" s="1133"/>
      <c r="D77" s="2219"/>
      <c r="E77" s="2072" t="s">
        <v>1059</v>
      </c>
      <c r="F77" s="2072"/>
      <c r="G77" s="2027">
        <f>D77*F77</f>
        <v>0</v>
      </c>
      <c r="H77" s="2146"/>
      <c r="I77" s="2148"/>
      <c r="J77" s="2146"/>
      <c r="K77" s="2148"/>
      <c r="L77" s="2146"/>
      <c r="M77" s="2148"/>
      <c r="N77" s="2146"/>
      <c r="O77" s="2148"/>
      <c r="P77" s="2146"/>
      <c r="Q77" s="2148"/>
      <c r="R77" s="2146"/>
      <c r="S77" s="2148"/>
    </row>
    <row r="78" spans="1:19">
      <c r="A78" s="2005"/>
      <c r="B78" s="2209"/>
      <c r="C78" s="1133"/>
      <c r="D78" s="2072"/>
      <c r="E78" s="2072"/>
      <c r="F78" s="2072"/>
      <c r="G78" s="1133"/>
      <c r="H78" s="2146"/>
      <c r="I78" s="2148"/>
      <c r="J78" s="2146"/>
      <c r="K78" s="2148"/>
      <c r="L78" s="2146"/>
      <c r="M78" s="2148"/>
      <c r="N78" s="2146"/>
      <c r="O78" s="2148"/>
      <c r="P78" s="2146"/>
      <c r="Q78" s="2148"/>
      <c r="R78" s="2146"/>
      <c r="S78" s="2148"/>
    </row>
    <row r="79" spans="1:19">
      <c r="A79" s="2005"/>
      <c r="B79" s="2210" t="s">
        <v>705</v>
      </c>
      <c r="C79" s="1218"/>
      <c r="D79" s="2096"/>
      <c r="E79" s="2096"/>
      <c r="F79" s="2096"/>
      <c r="G79" s="1218"/>
      <c r="H79" s="2211"/>
      <c r="I79" s="2212"/>
      <c r="J79" s="2211"/>
      <c r="K79" s="2212"/>
      <c r="L79" s="2211"/>
      <c r="M79" s="2212"/>
      <c r="N79" s="2211"/>
      <c r="O79" s="2212"/>
      <c r="P79" s="2211"/>
      <c r="Q79" s="2212"/>
      <c r="R79" s="2211"/>
      <c r="S79" s="2212"/>
    </row>
    <row r="80" spans="1:19">
      <c r="A80" s="2005"/>
      <c r="B80" s="2209"/>
      <c r="C80" s="1133"/>
      <c r="D80" s="2072"/>
      <c r="E80" s="2072"/>
      <c r="F80" s="2072"/>
      <c r="G80" s="1133"/>
      <c r="H80" s="2146"/>
      <c r="I80" s="2148"/>
      <c r="J80" s="2146"/>
      <c r="K80" s="2148"/>
      <c r="L80" s="2146"/>
      <c r="M80" s="2148"/>
      <c r="N80" s="2146"/>
      <c r="O80" s="2148"/>
      <c r="P80" s="2146"/>
      <c r="Q80" s="2148"/>
      <c r="R80" s="2146"/>
      <c r="S80" s="2148"/>
    </row>
    <row r="81" spans="1:19">
      <c r="A81" s="2005"/>
      <c r="B81" s="2213" t="s">
        <v>602</v>
      </c>
      <c r="C81" s="1225"/>
      <c r="D81" s="2106"/>
      <c r="E81" s="2106"/>
      <c r="F81" s="2106"/>
      <c r="G81" s="1225"/>
      <c r="H81" s="2214"/>
      <c r="I81" s="2215"/>
      <c r="J81" s="2214"/>
      <c r="K81" s="2215"/>
      <c r="L81" s="2214"/>
      <c r="M81" s="2215"/>
      <c r="N81" s="2214"/>
      <c r="O81" s="2215"/>
      <c r="P81" s="2214"/>
      <c r="Q81" s="2215"/>
      <c r="R81" s="2214"/>
      <c r="S81" s="2215"/>
    </row>
    <row r="82" spans="1:19">
      <c r="A82" s="2005"/>
      <c r="B82" s="2209"/>
      <c r="C82" s="1133"/>
      <c r="D82" s="2072"/>
      <c r="E82" s="2072"/>
      <c r="F82" s="2072"/>
      <c r="G82" s="1133"/>
      <c r="H82" s="2146"/>
      <c r="I82" s="2148"/>
      <c r="J82" s="2146"/>
      <c r="K82" s="2148"/>
      <c r="L82" s="2146"/>
      <c r="M82" s="2148"/>
      <c r="N82" s="2146"/>
      <c r="O82" s="2148"/>
      <c r="P82" s="2146"/>
      <c r="Q82" s="2148"/>
      <c r="R82" s="2146"/>
      <c r="S82" s="2148"/>
    </row>
    <row r="83" spans="1:19">
      <c r="A83" s="2005"/>
      <c r="B83" s="2209"/>
      <c r="C83" s="1133"/>
      <c r="D83" s="2072"/>
      <c r="E83" s="2072"/>
      <c r="F83" s="2072"/>
      <c r="G83" s="1133"/>
      <c r="H83" s="2146"/>
      <c r="I83" s="2148"/>
      <c r="J83" s="2146"/>
      <c r="K83" s="2148"/>
      <c r="L83" s="2146"/>
      <c r="M83" s="2148"/>
      <c r="N83" s="2146"/>
      <c r="O83" s="2148"/>
      <c r="P83" s="2146"/>
      <c r="Q83" s="2148"/>
      <c r="R83" s="2146"/>
      <c r="S83" s="2148"/>
    </row>
    <row r="84" spans="1:19" hidden="1">
      <c r="A84" s="2005"/>
      <c r="B84" s="2220" t="s">
        <v>748</v>
      </c>
      <c r="C84" s="1133"/>
      <c r="D84" s="2072"/>
      <c r="E84" s="2072"/>
      <c r="F84" s="2072"/>
      <c r="G84" s="1133"/>
      <c r="H84" s="2146"/>
      <c r="I84" s="2148"/>
      <c r="J84" s="2146"/>
      <c r="K84" s="2148"/>
      <c r="L84" s="2146"/>
      <c r="M84" s="2148"/>
      <c r="N84" s="2146"/>
      <c r="O84" s="2148"/>
      <c r="P84" s="2146"/>
      <c r="Q84" s="2148"/>
      <c r="R84" s="2146"/>
      <c r="S84" s="2148"/>
    </row>
    <row r="85" spans="1:19" hidden="1">
      <c r="A85" s="2005"/>
      <c r="B85" s="2221"/>
      <c r="D85" s="2121"/>
      <c r="E85" s="2072"/>
      <c r="F85" s="2122"/>
      <c r="G85" s="2123"/>
      <c r="H85" s="2146"/>
      <c r="I85" s="2148"/>
      <c r="J85" s="2146"/>
      <c r="K85" s="2148"/>
      <c r="L85" s="2146"/>
      <c r="M85" s="2148"/>
      <c r="N85" s="2146"/>
      <c r="O85" s="2148"/>
      <c r="P85" s="2146"/>
      <c r="Q85" s="2148"/>
      <c r="R85" s="2146"/>
      <c r="S85" s="2148"/>
    </row>
    <row r="86" spans="1:19" hidden="1">
      <c r="A86" s="2005"/>
      <c r="B86" s="2221"/>
      <c r="C86" s="1133"/>
      <c r="D86" s="2121"/>
      <c r="E86" s="2072"/>
      <c r="F86" s="2122"/>
      <c r="G86" s="2123"/>
      <c r="H86" s="2146"/>
      <c r="I86" s="2148"/>
      <c r="J86" s="2146"/>
      <c r="K86" s="2148"/>
      <c r="L86" s="2146"/>
      <c r="M86" s="2148"/>
      <c r="N86" s="2146"/>
      <c r="O86" s="2148"/>
      <c r="P86" s="2146"/>
      <c r="Q86" s="2148"/>
      <c r="R86" s="2146"/>
      <c r="S86" s="2148"/>
    </row>
    <row r="87" spans="1:19" hidden="1">
      <c r="A87" s="2005"/>
      <c r="B87" s="2222"/>
      <c r="C87" s="1133"/>
      <c r="D87" s="2121"/>
      <c r="E87" s="2072"/>
      <c r="F87" s="2122"/>
      <c r="G87" s="2123"/>
      <c r="H87" s="2146"/>
      <c r="I87" s="2148"/>
      <c r="J87" s="2146"/>
      <c r="K87" s="2148"/>
      <c r="L87" s="2146"/>
      <c r="M87" s="2148"/>
      <c r="N87" s="2146"/>
      <c r="O87" s="2148"/>
      <c r="P87" s="2146"/>
      <c r="Q87" s="2148"/>
      <c r="R87" s="2146"/>
      <c r="S87" s="2148"/>
    </row>
    <row r="88" spans="1:19" hidden="1">
      <c r="A88" s="2005"/>
      <c r="B88" s="2222"/>
      <c r="C88" s="1133"/>
      <c r="D88" s="2072"/>
      <c r="E88" s="2072"/>
      <c r="F88" s="2072"/>
      <c r="G88" s="1133"/>
      <c r="H88" s="2146"/>
      <c r="I88" s="2148"/>
      <c r="J88" s="2146"/>
      <c r="K88" s="2148"/>
      <c r="L88" s="2146"/>
      <c r="M88" s="2148"/>
      <c r="N88" s="2146"/>
      <c r="O88" s="2148"/>
      <c r="P88" s="2146"/>
      <c r="Q88" s="2148"/>
      <c r="R88" s="2146"/>
      <c r="S88" s="2148"/>
    </row>
    <row r="89" spans="1:19" hidden="1">
      <c r="A89" s="2005"/>
      <c r="B89" s="2222"/>
      <c r="C89" s="1133"/>
      <c r="D89" s="2072"/>
      <c r="E89" s="2072"/>
      <c r="F89" s="2072"/>
      <c r="G89" s="1133"/>
      <c r="H89" s="2146"/>
      <c r="I89" s="2148"/>
      <c r="J89" s="2146"/>
      <c r="K89" s="2148"/>
      <c r="L89" s="2146"/>
      <c r="M89" s="2148"/>
      <c r="N89" s="2146"/>
      <c r="O89" s="2148"/>
      <c r="P89" s="2146"/>
      <c r="Q89" s="2148"/>
      <c r="R89" s="2146"/>
      <c r="S89" s="2148"/>
    </row>
    <row r="90" spans="1:19" hidden="1">
      <c r="A90" s="2005"/>
      <c r="B90" s="2222"/>
      <c r="C90" s="1133"/>
      <c r="D90" s="2072"/>
      <c r="E90" s="2072"/>
      <c r="F90" s="2072"/>
      <c r="G90" s="1133"/>
      <c r="H90" s="2146"/>
      <c r="I90" s="2148"/>
      <c r="J90" s="2146"/>
      <c r="K90" s="2148"/>
      <c r="L90" s="2146"/>
      <c r="M90" s="2148"/>
      <c r="N90" s="2146"/>
      <c r="O90" s="2148"/>
      <c r="P90" s="2146"/>
      <c r="Q90" s="2148"/>
      <c r="R90" s="2146"/>
      <c r="S90" s="2148"/>
    </row>
    <row r="91" spans="1:19" hidden="1">
      <c r="A91" s="2005"/>
      <c r="B91" s="2223"/>
      <c r="C91" s="1133"/>
      <c r="D91" s="2072"/>
      <c r="E91" s="2072"/>
      <c r="F91" s="2072"/>
      <c r="G91" s="1133"/>
      <c r="H91" s="2146"/>
      <c r="I91" s="2148"/>
      <c r="J91" s="2146"/>
      <c r="K91" s="2148"/>
      <c r="L91" s="2146"/>
      <c r="M91" s="2148"/>
      <c r="N91" s="2146"/>
      <c r="O91" s="2148"/>
      <c r="P91" s="2146"/>
      <c r="Q91" s="2148"/>
      <c r="R91" s="2146"/>
      <c r="S91" s="2148"/>
    </row>
    <row r="92" spans="1:19" hidden="1">
      <c r="A92" s="2005"/>
      <c r="B92" s="2223"/>
      <c r="C92" s="1133"/>
      <c r="D92" s="2072"/>
      <c r="E92" s="2072"/>
      <c r="F92" s="2072"/>
      <c r="G92" s="1133"/>
      <c r="H92" s="2146"/>
      <c r="I92" s="2148"/>
      <c r="J92" s="2146"/>
      <c r="K92" s="2148"/>
      <c r="L92" s="2146"/>
      <c r="M92" s="2148"/>
      <c r="N92" s="2146"/>
      <c r="O92" s="2148"/>
      <c r="P92" s="2146"/>
      <c r="Q92" s="2148"/>
      <c r="R92" s="2146"/>
      <c r="S92" s="2148"/>
    </row>
    <row r="93" spans="1:19" hidden="1">
      <c r="A93" s="2005"/>
      <c r="B93" s="2223"/>
      <c r="C93" s="1133"/>
      <c r="D93" s="2072"/>
      <c r="E93" s="2072"/>
      <c r="F93" s="2072"/>
      <c r="G93" s="1133"/>
      <c r="H93" s="2146"/>
      <c r="I93" s="2148"/>
      <c r="J93" s="2146"/>
      <c r="K93" s="2148"/>
      <c r="L93" s="2146"/>
      <c r="M93" s="2148"/>
      <c r="N93" s="2146"/>
      <c r="O93" s="2148"/>
      <c r="P93" s="2146"/>
      <c r="Q93" s="2148"/>
      <c r="R93" s="2146"/>
      <c r="S93" s="2148"/>
    </row>
    <row r="94" spans="1:19" hidden="1">
      <c r="A94" s="2005"/>
      <c r="B94" s="2223"/>
      <c r="C94" s="1133"/>
      <c r="D94" s="2072"/>
      <c r="E94" s="2072"/>
      <c r="F94" s="2072"/>
      <c r="G94" s="1133"/>
      <c r="H94" s="2146"/>
      <c r="I94" s="2148"/>
      <c r="J94" s="2146"/>
      <c r="K94" s="2148"/>
      <c r="L94" s="2146"/>
      <c r="M94" s="2148"/>
      <c r="N94" s="2146"/>
      <c r="O94" s="2148"/>
      <c r="P94" s="2146"/>
      <c r="Q94" s="2148"/>
      <c r="R94" s="2146"/>
      <c r="S94" s="2148"/>
    </row>
    <row r="95" spans="1:19" hidden="1">
      <c r="A95" s="2005"/>
      <c r="B95" s="2209"/>
      <c r="C95" s="1133"/>
      <c r="D95" s="2072"/>
      <c r="E95" s="2072"/>
      <c r="F95" s="2072"/>
      <c r="G95" s="1133"/>
      <c r="H95" s="2146"/>
      <c r="I95" s="2148"/>
      <c r="J95" s="2146"/>
      <c r="K95" s="2148"/>
      <c r="L95" s="2146"/>
      <c r="M95" s="2148"/>
      <c r="N95" s="2146"/>
      <c r="O95" s="2148"/>
      <c r="P95" s="2146"/>
      <c r="Q95" s="2148"/>
      <c r="R95" s="2146"/>
      <c r="S95" s="2148"/>
    </row>
    <row r="96" spans="1:19" hidden="1">
      <c r="A96" s="2005"/>
      <c r="B96" s="2224"/>
      <c r="C96" s="1133"/>
      <c r="D96" s="2072"/>
      <c r="E96" s="2072"/>
      <c r="F96" s="2072"/>
      <c r="G96" s="1133"/>
      <c r="H96" s="2146"/>
      <c r="I96" s="2148"/>
      <c r="J96" s="2146"/>
      <c r="K96" s="2148"/>
      <c r="L96" s="2146"/>
      <c r="M96" s="2148"/>
      <c r="N96" s="2146"/>
      <c r="O96" s="2148"/>
      <c r="P96" s="2146"/>
      <c r="Q96" s="2148"/>
      <c r="R96" s="2146"/>
      <c r="S96" s="2148"/>
    </row>
    <row r="97" spans="1:19" hidden="1">
      <c r="A97" s="2005"/>
      <c r="B97" s="2225"/>
      <c r="C97" s="1133"/>
      <c r="D97" s="2072"/>
      <c r="E97" s="2072"/>
      <c r="F97" s="2072"/>
      <c r="G97" s="1133"/>
      <c r="H97" s="2146"/>
      <c r="I97" s="2148"/>
      <c r="J97" s="2146"/>
      <c r="K97" s="2148"/>
      <c r="L97" s="2146"/>
      <c r="M97" s="2148"/>
      <c r="N97" s="2146"/>
      <c r="O97" s="2148"/>
      <c r="P97" s="2146"/>
      <c r="Q97" s="2148"/>
      <c r="R97" s="2146"/>
      <c r="S97" s="2148"/>
    </row>
    <row r="98" spans="1:19" hidden="1">
      <c r="A98" s="2005"/>
      <c r="B98" s="2226"/>
      <c r="C98" s="1133"/>
      <c r="D98" s="2072"/>
      <c r="E98" s="2072"/>
      <c r="F98" s="2072"/>
      <c r="G98" s="1133"/>
      <c r="H98" s="2146"/>
      <c r="I98" s="2148"/>
      <c r="J98" s="2146"/>
      <c r="K98" s="2148"/>
      <c r="L98" s="2146"/>
      <c r="M98" s="2148"/>
      <c r="N98" s="2146"/>
      <c r="O98" s="2148"/>
      <c r="P98" s="2146"/>
      <c r="Q98" s="2148"/>
      <c r="R98" s="2146"/>
      <c r="S98" s="2148"/>
    </row>
    <row r="99" spans="1:19" hidden="1">
      <c r="A99" s="2005"/>
      <c r="B99" s="2225"/>
      <c r="C99" s="1133"/>
      <c r="D99" s="2072"/>
      <c r="E99" s="2072"/>
      <c r="F99" s="2072"/>
      <c r="G99" s="1133"/>
      <c r="H99" s="2146"/>
      <c r="I99" s="2148"/>
      <c r="J99" s="2146"/>
      <c r="K99" s="2148"/>
      <c r="L99" s="2146"/>
      <c r="M99" s="2148"/>
      <c r="N99" s="2146"/>
      <c r="O99" s="2148"/>
      <c r="P99" s="2146"/>
      <c r="Q99" s="2148"/>
      <c r="R99" s="2146"/>
      <c r="S99" s="2148"/>
    </row>
    <row r="100" spans="1:19" hidden="1">
      <c r="A100" s="2005"/>
      <c r="B100" s="2225"/>
      <c r="C100" s="1133"/>
      <c r="D100" s="2072"/>
      <c r="E100" s="2072"/>
      <c r="F100" s="2072"/>
      <c r="G100" s="1133"/>
      <c r="H100" s="2146"/>
      <c r="I100" s="2148"/>
      <c r="J100" s="2146"/>
      <c r="K100" s="2148"/>
      <c r="L100" s="2146"/>
      <c r="M100" s="2148"/>
      <c r="N100" s="2146"/>
      <c r="O100" s="2148"/>
      <c r="P100" s="2146"/>
      <c r="Q100" s="2148"/>
      <c r="R100" s="2146"/>
      <c r="S100" s="2148"/>
    </row>
    <row r="101" spans="1:19" hidden="1">
      <c r="A101" s="2005"/>
      <c r="B101" s="2226"/>
      <c r="C101" s="1133"/>
      <c r="D101" s="2072"/>
      <c r="E101" s="2072"/>
      <c r="F101" s="2072"/>
      <c r="G101" s="1133"/>
      <c r="H101" s="2146"/>
      <c r="I101" s="2148"/>
      <c r="J101" s="2146"/>
      <c r="K101" s="2148"/>
      <c r="L101" s="2146"/>
      <c r="M101" s="2148"/>
      <c r="N101" s="2146"/>
      <c r="O101" s="2148"/>
      <c r="P101" s="2146"/>
      <c r="Q101" s="2148"/>
      <c r="R101" s="2146"/>
      <c r="S101" s="2148"/>
    </row>
    <row r="102" spans="1:19" hidden="1">
      <c r="A102" s="2005"/>
      <c r="B102" s="2225"/>
      <c r="C102" s="1133"/>
      <c r="D102" s="2072"/>
      <c r="E102" s="2072"/>
      <c r="F102" s="2072"/>
      <c r="G102" s="1133"/>
      <c r="H102" s="2146"/>
      <c r="I102" s="2148"/>
      <c r="J102" s="2146"/>
      <c r="K102" s="2148"/>
      <c r="L102" s="2146"/>
      <c r="M102" s="2148"/>
      <c r="N102" s="2146"/>
      <c r="O102" s="2148"/>
      <c r="P102" s="2146"/>
      <c r="Q102" s="2148"/>
      <c r="R102" s="2146"/>
      <c r="S102" s="2148"/>
    </row>
    <row r="103" spans="1:19" hidden="1">
      <c r="A103" s="2005"/>
      <c r="B103" s="2209"/>
      <c r="C103" s="1133"/>
      <c r="D103" s="2072"/>
      <c r="E103" s="2072"/>
      <c r="F103" s="2072"/>
      <c r="G103" s="1133"/>
      <c r="H103" s="2146"/>
      <c r="I103" s="2148"/>
      <c r="J103" s="2146"/>
      <c r="K103" s="2148"/>
      <c r="L103" s="2146"/>
      <c r="M103" s="2148"/>
      <c r="N103" s="2146"/>
      <c r="O103" s="2148"/>
      <c r="P103" s="2146"/>
      <c r="Q103" s="2148"/>
      <c r="R103" s="2146"/>
      <c r="S103" s="2148"/>
    </row>
    <row r="104" spans="1:19" hidden="1">
      <c r="A104" s="2005"/>
      <c r="B104" s="2220" t="s">
        <v>288</v>
      </c>
      <c r="C104" s="1133"/>
      <c r="D104" s="2072"/>
      <c r="E104" s="2072"/>
      <c r="F104" s="2072"/>
      <c r="G104" s="1133"/>
      <c r="H104" s="2146"/>
      <c r="I104" s="2148"/>
      <c r="J104" s="2146"/>
      <c r="K104" s="2148"/>
      <c r="L104" s="2146"/>
      <c r="M104" s="2148"/>
      <c r="N104" s="2146"/>
      <c r="O104" s="2148"/>
      <c r="P104" s="2146"/>
      <c r="Q104" s="2148"/>
      <c r="R104" s="2146"/>
      <c r="S104" s="2148"/>
    </row>
    <row r="105" spans="1:19" hidden="1">
      <c r="A105" s="2005"/>
      <c r="B105" s="2209" t="s">
        <v>288</v>
      </c>
      <c r="C105" s="1133"/>
      <c r="D105" s="2072"/>
      <c r="E105" s="2072"/>
      <c r="F105" s="2072"/>
      <c r="G105" s="1133"/>
      <c r="H105" s="2146"/>
      <c r="I105" s="2148"/>
      <c r="J105" s="2146"/>
      <c r="K105" s="2148"/>
      <c r="L105" s="2146"/>
      <c r="M105" s="2148"/>
      <c r="N105" s="2146"/>
      <c r="O105" s="2148"/>
      <c r="P105" s="2146"/>
      <c r="Q105" s="2148"/>
      <c r="R105" s="2146"/>
      <c r="S105" s="2148"/>
    </row>
    <row r="106" spans="1:19" hidden="1">
      <c r="A106" s="2005"/>
      <c r="B106" s="2220" t="s">
        <v>288</v>
      </c>
      <c r="C106" s="1133"/>
      <c r="D106" s="2072"/>
      <c r="E106" s="2072"/>
      <c r="F106" s="2072"/>
      <c r="G106" s="1133"/>
      <c r="H106" s="2146"/>
      <c r="I106" s="2148"/>
      <c r="J106" s="2146"/>
      <c r="K106" s="2148"/>
      <c r="L106" s="2146"/>
      <c r="M106" s="2148"/>
      <c r="N106" s="2146"/>
      <c r="O106" s="2148"/>
      <c r="P106" s="2146"/>
      <c r="Q106" s="2148"/>
      <c r="R106" s="2146"/>
      <c r="S106" s="2148"/>
    </row>
    <row r="107" spans="1:19" hidden="1">
      <c r="A107" s="2005"/>
      <c r="B107" s="2209" t="s">
        <v>288</v>
      </c>
      <c r="C107" s="2227"/>
      <c r="D107" s="2072"/>
      <c r="E107" s="2072"/>
      <c r="F107" s="2072"/>
      <c r="G107" s="1133"/>
      <c r="H107" s="2146"/>
      <c r="I107" s="2148"/>
      <c r="J107" s="2146"/>
      <c r="K107" s="2148"/>
      <c r="L107" s="2146"/>
      <c r="M107" s="2148"/>
      <c r="N107" s="2146"/>
      <c r="O107" s="2148"/>
      <c r="P107" s="2146"/>
      <c r="Q107" s="2148"/>
      <c r="R107" s="2146"/>
      <c r="S107" s="2148"/>
    </row>
    <row r="108" spans="1:19" hidden="1">
      <c r="A108" s="2005"/>
      <c r="B108" s="2220" t="s">
        <v>288</v>
      </c>
      <c r="C108" s="2092"/>
      <c r="D108" s="1426"/>
      <c r="E108" s="2072"/>
      <c r="F108" s="2072"/>
      <c r="G108" s="1133"/>
      <c r="H108" s="2146"/>
      <c r="I108" s="2148"/>
      <c r="J108" s="2146"/>
      <c r="K108" s="2148"/>
      <c r="L108" s="2146"/>
      <c r="M108" s="2148"/>
      <c r="N108" s="2146"/>
      <c r="O108" s="2148"/>
      <c r="P108" s="2146"/>
      <c r="Q108" s="2148"/>
      <c r="R108" s="2146"/>
      <c r="S108" s="2148"/>
    </row>
    <row r="109" spans="1:19" hidden="1">
      <c r="A109" s="2005"/>
      <c r="B109" s="2224"/>
      <c r="C109" s="2092"/>
      <c r="D109" s="1426"/>
      <c r="E109" s="2072"/>
      <c r="F109" s="2072"/>
      <c r="G109" s="1133"/>
      <c r="H109" s="2146"/>
      <c r="I109" s="2148"/>
      <c r="J109" s="2146"/>
      <c r="K109" s="2148"/>
      <c r="L109" s="2146"/>
      <c r="M109" s="2148"/>
      <c r="N109" s="2146"/>
      <c r="O109" s="2148"/>
      <c r="P109" s="2146"/>
      <c r="Q109" s="2148"/>
      <c r="R109" s="2146"/>
      <c r="S109" s="2148"/>
    </row>
    <row r="110" spans="1:19" hidden="1">
      <c r="A110" s="2005"/>
      <c r="B110" s="2225"/>
      <c r="C110" s="2092"/>
      <c r="D110" s="1426"/>
      <c r="E110" s="2072"/>
      <c r="F110" s="2072"/>
      <c r="G110" s="1133"/>
      <c r="H110" s="2146"/>
      <c r="I110" s="2148"/>
      <c r="J110" s="2146"/>
      <c r="K110" s="2148"/>
      <c r="L110" s="2146"/>
      <c r="M110" s="2148"/>
      <c r="N110" s="2146"/>
      <c r="O110" s="2148"/>
      <c r="P110" s="2146"/>
      <c r="Q110" s="2148"/>
      <c r="R110" s="2146"/>
      <c r="S110" s="2148"/>
    </row>
    <row r="111" spans="1:19" hidden="1">
      <c r="A111" s="2005"/>
      <c r="B111" s="2226"/>
      <c r="C111" s="2092"/>
      <c r="D111" s="1426"/>
      <c r="E111" s="2072"/>
      <c r="F111" s="2072"/>
      <c r="G111" s="1133"/>
      <c r="H111" s="2146"/>
      <c r="I111" s="2148"/>
      <c r="J111" s="2146"/>
      <c r="K111" s="2148"/>
      <c r="L111" s="2146"/>
      <c r="M111" s="2148"/>
      <c r="N111" s="2146"/>
      <c r="O111" s="2148"/>
      <c r="P111" s="2146"/>
      <c r="Q111" s="2148"/>
      <c r="R111" s="2146"/>
      <c r="S111" s="2148"/>
    </row>
    <row r="112" spans="1:19" hidden="1">
      <c r="A112" s="2005"/>
      <c r="B112" s="2225"/>
      <c r="C112" s="2092"/>
      <c r="D112" s="1426"/>
      <c r="E112" s="2072"/>
      <c r="F112" s="2072"/>
      <c r="G112" s="1133"/>
      <c r="H112" s="2146"/>
      <c r="I112" s="2148"/>
      <c r="J112" s="2146"/>
      <c r="K112" s="2148"/>
      <c r="L112" s="2146"/>
      <c r="M112" s="2148"/>
      <c r="N112" s="2146"/>
      <c r="O112" s="2148"/>
      <c r="P112" s="2146"/>
      <c r="Q112" s="2148"/>
      <c r="R112" s="2146"/>
      <c r="S112" s="2148"/>
    </row>
    <row r="113" spans="1:19" ht="15.75" thickBot="1">
      <c r="A113" s="2152"/>
      <c r="B113" s="2226"/>
      <c r="C113" s="2092"/>
      <c r="D113" s="1426"/>
      <c r="E113" s="2072"/>
      <c r="F113" s="2072"/>
      <c r="G113" s="1133"/>
      <c r="H113" s="2146"/>
      <c r="I113" s="2148"/>
      <c r="J113" s="2146"/>
      <c r="K113" s="2148"/>
      <c r="L113" s="2146"/>
      <c r="M113" s="2202"/>
      <c r="N113" s="2146"/>
      <c r="O113" s="2148"/>
      <c r="P113" s="2146"/>
      <c r="Q113" s="2148"/>
      <c r="R113" s="2146"/>
      <c r="S113" s="2148"/>
    </row>
    <row r="114" spans="1:19" ht="15.75" thickTop="1">
      <c r="A114" s="14"/>
      <c r="B114" s="15"/>
      <c r="C114" s="16"/>
      <c r="D114" s="16"/>
      <c r="E114" s="17"/>
      <c r="F114" s="18" t="s">
        <v>567</v>
      </c>
      <c r="G114" s="19"/>
      <c r="H114" s="20"/>
      <c r="I114" s="61">
        <f>SUM(I24:I113)</f>
        <v>53846.200000000004</v>
      </c>
      <c r="J114" s="20"/>
      <c r="K114" s="61">
        <f>SUM(K24:K113)</f>
        <v>0</v>
      </c>
      <c r="L114" s="20"/>
      <c r="M114" s="61">
        <f>SUM(M24:M113)</f>
        <v>0</v>
      </c>
      <c r="N114" s="20"/>
      <c r="O114" s="61">
        <f>SUM(O27:O113)</f>
        <v>0</v>
      </c>
      <c r="P114" s="20"/>
      <c r="Q114" s="61">
        <f>SUM(Q27:Q113)</f>
        <v>0</v>
      </c>
      <c r="R114" s="20"/>
      <c r="S114" s="61">
        <f>SUM(S27:S113)</f>
        <v>0</v>
      </c>
    </row>
    <row r="115" spans="1:19">
      <c r="A115" s="2154"/>
      <c r="B115" s="2030"/>
      <c r="C115" s="2031"/>
      <c r="D115" s="2031"/>
      <c r="E115" s="2032"/>
      <c r="F115" s="2033" t="s">
        <v>568</v>
      </c>
      <c r="G115" s="1160"/>
      <c r="H115" s="2155">
        <v>0</v>
      </c>
      <c r="I115" s="2156"/>
      <c r="J115" s="2157">
        <v>0</v>
      </c>
      <c r="K115" s="2156"/>
      <c r="L115" s="2157">
        <v>0</v>
      </c>
      <c r="M115" s="2156"/>
      <c r="N115" s="2155">
        <v>0</v>
      </c>
      <c r="O115" s="2156"/>
      <c r="P115" s="2155">
        <v>0</v>
      </c>
      <c r="Q115" s="2156"/>
      <c r="R115" s="2155">
        <v>0</v>
      </c>
      <c r="S115" s="2156"/>
    </row>
    <row r="116" spans="1:19">
      <c r="A116" s="2154"/>
      <c r="B116" s="2030"/>
      <c r="C116" s="2031"/>
      <c r="D116" s="2031"/>
      <c r="E116" s="2032"/>
      <c r="F116" s="2033" t="s">
        <v>569</v>
      </c>
      <c r="G116" s="1160"/>
      <c r="H116" s="2158"/>
      <c r="I116" s="2159">
        <f>H115*I114</f>
        <v>0</v>
      </c>
      <c r="J116" s="2158"/>
      <c r="K116" s="2159">
        <f>J115*K114</f>
        <v>0</v>
      </c>
      <c r="L116" s="2158"/>
      <c r="M116" s="2159">
        <f>L115*M114</f>
        <v>0</v>
      </c>
      <c r="N116" s="2158"/>
      <c r="O116" s="2159">
        <f>N115*O114</f>
        <v>0</v>
      </c>
      <c r="P116" s="2158"/>
      <c r="Q116" s="2159">
        <f>P115*Q114</f>
        <v>0</v>
      </c>
      <c r="R116" s="2158"/>
      <c r="S116" s="2159">
        <f>R115*S114</f>
        <v>0</v>
      </c>
    </row>
    <row r="117" spans="1:19">
      <c r="A117" s="2154"/>
      <c r="B117" s="2030"/>
      <c r="C117" s="2031"/>
      <c r="D117" s="2031"/>
      <c r="E117" s="2032"/>
      <c r="F117" s="2033"/>
      <c r="G117" s="1160"/>
      <c r="H117" s="2158"/>
      <c r="I117" s="2160"/>
      <c r="J117" s="2158"/>
      <c r="K117" s="2160"/>
      <c r="L117" s="2158"/>
      <c r="M117" s="2160"/>
      <c r="N117" s="2158"/>
      <c r="O117" s="2160"/>
      <c r="P117" s="2158"/>
      <c r="Q117" s="2160"/>
      <c r="R117" s="2158"/>
      <c r="S117" s="2160"/>
    </row>
    <row r="118" spans="1:19">
      <c r="A118" s="2154"/>
      <c r="B118" s="2030"/>
      <c r="C118" s="2031"/>
      <c r="D118" s="2031"/>
      <c r="E118" s="2032"/>
      <c r="F118" s="2033" t="s">
        <v>570</v>
      </c>
      <c r="G118" s="1160"/>
      <c r="H118" s="2161"/>
      <c r="I118" s="2162">
        <f>SUM(I114:I116)</f>
        <v>53846.200000000004</v>
      </c>
      <c r="J118" s="2161"/>
      <c r="K118" s="2162">
        <f>SUM(K114:K116)</f>
        <v>0</v>
      </c>
      <c r="L118" s="2161"/>
      <c r="M118" s="2162">
        <f>SUM(M114:M116)</f>
        <v>0</v>
      </c>
      <c r="N118" s="2161"/>
      <c r="O118" s="2162">
        <f>SUM(O114:O116)</f>
        <v>0</v>
      </c>
      <c r="P118" s="2161"/>
      <c r="Q118" s="2162">
        <f>SUM(Q114:Q116)</f>
        <v>0</v>
      </c>
      <c r="R118" s="2161"/>
      <c r="S118" s="2162">
        <f>SUM(S114:S116)</f>
        <v>0</v>
      </c>
    </row>
    <row r="119" spans="1:19">
      <c r="A119" s="2154"/>
      <c r="B119" s="2030"/>
      <c r="C119" s="2031"/>
      <c r="D119" s="2031"/>
      <c r="E119" s="2032"/>
      <c r="F119" s="2043" t="s">
        <v>571</v>
      </c>
      <c r="G119" s="1162"/>
      <c r="H119" s="2163"/>
      <c r="I119" s="2164" t="e">
        <f>I118/'Area Calculations'!$J$4</f>
        <v>#DIV/0!</v>
      </c>
      <c r="J119" s="2163"/>
      <c r="K119" s="2164" t="e">
        <f>K118/'Area Calculations'!$J$4</f>
        <v>#DIV/0!</v>
      </c>
      <c r="L119" s="2163"/>
      <c r="M119" s="2164" t="e">
        <f>M118/'Area Calculations'!$J$4</f>
        <v>#DIV/0!</v>
      </c>
      <c r="N119" s="2163"/>
      <c r="O119" s="2164" t="e">
        <f>O118/'Area Calculations'!$J$4</f>
        <v>#DIV/0!</v>
      </c>
      <c r="P119" s="2163"/>
      <c r="Q119" s="2164" t="e">
        <f>Q118/'Area Calculations'!$J$4</f>
        <v>#DIV/0!</v>
      </c>
      <c r="R119" s="2163"/>
      <c r="S119" s="2164" t="e">
        <f>S118/'Area Calculations'!$J$4</f>
        <v>#DIV/0!</v>
      </c>
    </row>
    <row r="120" spans="1:19">
      <c r="A120" s="2154"/>
      <c r="B120" s="2030"/>
      <c r="C120" s="2031"/>
      <c r="D120" s="2031"/>
      <c r="E120" s="2032"/>
      <c r="F120" s="2043" t="s">
        <v>572</v>
      </c>
      <c r="G120" s="1163"/>
      <c r="H120" s="2163"/>
      <c r="I120" s="2164" t="e">
        <f>I118/'Area Calculations'!#REF!</f>
        <v>#REF!</v>
      </c>
      <c r="J120" s="2163"/>
      <c r="K120" s="2164" t="e">
        <f>K118/'Area Calculations'!#REF!</f>
        <v>#REF!</v>
      </c>
      <c r="L120" s="2163"/>
      <c r="M120" s="2164" t="e">
        <f>M118/'Area Calculations'!#REF!</f>
        <v>#REF!</v>
      </c>
      <c r="N120" s="2163"/>
      <c r="O120" s="2164" t="e">
        <f>O118/'Area Calculations'!#REF!</f>
        <v>#REF!</v>
      </c>
      <c r="P120" s="2163"/>
      <c r="Q120" s="2164" t="e">
        <f>Q118/'Area Calculations'!#REF!</f>
        <v>#REF!</v>
      </c>
      <c r="R120" s="2163"/>
      <c r="S120" s="2164" t="e">
        <f>S118/'Area Calculations'!#REF!</f>
        <v>#REF!</v>
      </c>
    </row>
    <row r="121" spans="1:19" ht="15.75" thickBot="1">
      <c r="A121" s="2154"/>
      <c r="B121" s="2030"/>
      <c r="C121" s="2031"/>
      <c r="D121" s="2031"/>
      <c r="E121" s="2032"/>
      <c r="F121" s="2033"/>
      <c r="G121" s="1533"/>
      <c r="H121" s="2165"/>
      <c r="I121" s="2166"/>
      <c r="J121" s="2167"/>
      <c r="K121" s="2167"/>
      <c r="L121" s="2167"/>
      <c r="M121" s="2167"/>
      <c r="N121" s="2167"/>
      <c r="O121" s="2168"/>
      <c r="P121" s="2167"/>
      <c r="Q121" s="2168"/>
      <c r="R121" s="2167"/>
      <c r="S121" s="2168"/>
    </row>
    <row r="122" spans="1:19" ht="16.5" thickTop="1" thickBot="1">
      <c r="A122" s="726" t="s">
        <v>573</v>
      </c>
      <c r="B122" s="727"/>
      <c r="C122" s="12"/>
      <c r="D122" s="12"/>
      <c r="E122" s="12"/>
      <c r="F122" s="12"/>
      <c r="G122" s="13"/>
      <c r="H122" s="21"/>
      <c r="I122" s="21"/>
      <c r="J122" s="21"/>
      <c r="K122" s="21"/>
      <c r="L122" s="21"/>
      <c r="M122" s="21"/>
      <c r="N122" s="21"/>
      <c r="O122" s="21"/>
      <c r="P122" s="21"/>
      <c r="Q122" s="21"/>
      <c r="R122" s="21"/>
      <c r="S122" s="21"/>
    </row>
    <row r="123" spans="1:19" ht="15.75" thickTop="1">
      <c r="A123" s="1929"/>
      <c r="B123" s="2071"/>
      <c r="C123" s="2228"/>
      <c r="D123" s="2228"/>
      <c r="E123" s="2228"/>
      <c r="F123" s="2228"/>
      <c r="G123" s="2229"/>
      <c r="H123" s="1932"/>
      <c r="I123" s="1932"/>
      <c r="J123" s="1932"/>
      <c r="K123" s="1932"/>
      <c r="L123" s="1932"/>
      <c r="M123" s="1932"/>
      <c r="N123" s="1932"/>
      <c r="O123" s="1932"/>
      <c r="P123" s="1932"/>
      <c r="Q123" s="1932"/>
      <c r="R123" s="1932"/>
      <c r="S123" s="1932"/>
    </row>
    <row r="124" spans="1:19">
      <c r="A124" s="1929"/>
      <c r="B124" s="2071"/>
      <c r="C124" s="2228"/>
      <c r="D124" s="2228"/>
      <c r="E124" s="2228"/>
      <c r="F124" s="2228"/>
      <c r="G124" s="2229"/>
      <c r="H124" s="1932"/>
      <c r="I124" s="1932"/>
      <c r="J124" s="1932"/>
      <c r="K124" s="1932"/>
      <c r="L124" s="1932"/>
      <c r="M124" s="1932"/>
      <c r="N124" s="1932"/>
      <c r="O124" s="1932"/>
      <c r="P124" s="1932"/>
      <c r="Q124" s="1932"/>
      <c r="R124" s="1932"/>
      <c r="S124" s="1932"/>
    </row>
    <row r="125" spans="1:19" ht="15.75" thickBot="1">
      <c r="A125" s="1929"/>
      <c r="B125" s="2071"/>
      <c r="C125" s="2228"/>
      <c r="D125" s="2228"/>
      <c r="E125" s="2228"/>
      <c r="F125" s="2228"/>
      <c r="G125" s="2229"/>
      <c r="H125" s="1932"/>
      <c r="I125" s="1932"/>
      <c r="J125" s="1932"/>
      <c r="K125" s="1932"/>
      <c r="L125" s="1932"/>
      <c r="M125" s="1932"/>
      <c r="N125" s="1932"/>
      <c r="O125" s="1932"/>
      <c r="P125" s="1932"/>
      <c r="Q125" s="1932"/>
      <c r="R125" s="1932"/>
      <c r="S125" s="1932"/>
    </row>
    <row r="126" spans="1:19" s="2" customFormat="1" ht="16.5" thickTop="1" thickBot="1">
      <c r="A126" s="726" t="s">
        <v>574</v>
      </c>
      <c r="B126" s="727"/>
      <c r="C126" s="12"/>
      <c r="D126" s="12"/>
      <c r="E126" s="12"/>
      <c r="F126" s="12"/>
      <c r="G126" s="13"/>
      <c r="H126" s="21"/>
      <c r="I126" s="21"/>
      <c r="J126" s="21"/>
      <c r="K126" s="21"/>
      <c r="L126" s="21"/>
      <c r="M126" s="21"/>
      <c r="N126" s="21"/>
      <c r="O126" s="21"/>
      <c r="P126" s="21"/>
      <c r="Q126" s="21"/>
      <c r="R126" s="21"/>
      <c r="S126" s="21"/>
    </row>
    <row r="127" spans="1:19" s="2" customFormat="1" ht="15.75" thickTop="1">
      <c r="A127" s="1929"/>
      <c r="B127" s="2071"/>
      <c r="C127" s="2228"/>
      <c r="D127" s="2228"/>
      <c r="E127" s="2228"/>
      <c r="F127" s="2228"/>
      <c r="G127" s="2229"/>
      <c r="H127" s="1932"/>
      <c r="I127" s="1932"/>
      <c r="J127" s="1932"/>
      <c r="K127" s="1932"/>
      <c r="L127" s="1932"/>
      <c r="M127" s="1932"/>
      <c r="N127" s="1932"/>
      <c r="O127" s="1932"/>
      <c r="P127" s="1932"/>
      <c r="Q127" s="1932"/>
      <c r="R127" s="1932"/>
      <c r="S127" s="1932"/>
    </row>
    <row r="128" spans="1:19" s="2" customFormat="1">
      <c r="A128" s="1929"/>
      <c r="B128" s="2071"/>
      <c r="C128" s="2228"/>
      <c r="D128" s="2228"/>
      <c r="E128" s="2228"/>
      <c r="F128" s="2228"/>
      <c r="G128" s="2229"/>
      <c r="H128" s="1932"/>
      <c r="I128" s="1932"/>
      <c r="J128" s="1932"/>
      <c r="K128" s="1932"/>
      <c r="L128" s="1932"/>
      <c r="M128" s="1932"/>
      <c r="N128" s="1932"/>
      <c r="O128" s="1932"/>
      <c r="P128" s="1932"/>
      <c r="Q128" s="1932"/>
      <c r="R128" s="1932"/>
      <c r="S128" s="1932"/>
    </row>
    <row r="129" spans="1:19" ht="15.75" thickBot="1">
      <c r="A129" s="1929"/>
      <c r="B129" s="2071"/>
      <c r="C129" s="2228"/>
      <c r="D129" s="2228"/>
      <c r="E129" s="2228"/>
      <c r="F129" s="2228"/>
      <c r="G129" s="2229"/>
      <c r="H129" s="1932"/>
      <c r="I129" s="1932"/>
      <c r="J129" s="1932"/>
      <c r="K129" s="1932"/>
      <c r="L129" s="1932"/>
      <c r="M129" s="1932"/>
      <c r="N129" s="1932"/>
      <c r="O129" s="1932"/>
      <c r="P129" s="1932"/>
      <c r="Q129" s="1932"/>
      <c r="R129" s="1932"/>
      <c r="S129" s="1932"/>
    </row>
    <row r="130" spans="1:19" s="2" customFormat="1" ht="16.5" thickTop="1" thickBot="1">
      <c r="A130" s="726" t="s">
        <v>575</v>
      </c>
      <c r="B130" s="727"/>
      <c r="C130" s="12"/>
      <c r="D130" s="12"/>
      <c r="E130" s="12"/>
      <c r="F130" s="12"/>
      <c r="G130" s="13"/>
      <c r="H130" s="21"/>
      <c r="I130" s="21"/>
      <c r="J130" s="21"/>
      <c r="K130" s="21"/>
      <c r="L130" s="21"/>
      <c r="M130" s="21"/>
      <c r="N130" s="21"/>
      <c r="O130" s="21"/>
      <c r="P130" s="21"/>
      <c r="Q130" s="21"/>
      <c r="R130" s="21"/>
      <c r="S130" s="21"/>
    </row>
    <row r="131" spans="1:19" s="2" customFormat="1" ht="15.75" thickTop="1">
      <c r="A131" s="1929"/>
      <c r="B131" s="2071"/>
      <c r="C131" s="2228"/>
      <c r="D131" s="2228"/>
      <c r="E131" s="2228"/>
      <c r="F131" s="2228"/>
      <c r="G131" s="2229"/>
      <c r="H131" s="1932"/>
      <c r="I131" s="1932"/>
      <c r="J131" s="1932"/>
      <c r="K131" s="1932"/>
      <c r="L131" s="1932"/>
      <c r="M131" s="1932"/>
      <c r="N131" s="1932"/>
      <c r="O131" s="1932"/>
      <c r="P131" s="1932"/>
      <c r="Q131" s="1932"/>
      <c r="R131" s="1932"/>
      <c r="S131" s="1932"/>
    </row>
    <row r="132" spans="1:19" s="2" customFormat="1">
      <c r="A132" s="2198"/>
      <c r="B132" s="2071"/>
      <c r="C132" s="2072"/>
      <c r="D132" s="2072"/>
      <c r="E132" s="2072"/>
      <c r="F132" s="2072"/>
      <c r="G132" s="1133"/>
      <c r="H132" s="2171"/>
      <c r="I132" s="2171"/>
      <c r="J132" s="2171"/>
      <c r="K132" s="2171"/>
      <c r="L132" s="2171"/>
      <c r="M132" s="2171"/>
      <c r="N132" s="2171"/>
      <c r="O132" s="2171"/>
      <c r="P132" s="2171"/>
      <c r="Q132" s="2171"/>
      <c r="R132" s="2171"/>
      <c r="S132" s="2171"/>
    </row>
    <row r="133" spans="1:19" s="2" customFormat="1" ht="15.75" thickBot="1">
      <c r="A133" s="2172"/>
      <c r="B133" s="2055"/>
      <c r="C133" s="2072"/>
      <c r="D133" s="2072"/>
      <c r="E133" s="2072"/>
      <c r="F133" s="2072"/>
      <c r="G133" s="1133"/>
      <c r="H133" s="2173"/>
      <c r="I133" s="2173"/>
      <c r="J133" s="2173"/>
      <c r="K133" s="2173"/>
      <c r="L133" s="2173"/>
      <c r="M133" s="2173"/>
      <c r="N133" s="2173"/>
      <c r="O133" s="2173"/>
      <c r="P133" s="2173"/>
      <c r="Q133" s="2173"/>
      <c r="R133" s="2173"/>
      <c r="S133" s="2173"/>
    </row>
    <row r="134" spans="1:19" s="2" customFormat="1" ht="16.5" thickTop="1" thickBot="1">
      <c r="A134" s="726" t="s">
        <v>576</v>
      </c>
      <c r="B134" s="727"/>
      <c r="C134" s="12"/>
      <c r="D134" s="12"/>
      <c r="E134" s="12"/>
      <c r="F134" s="12"/>
      <c r="G134" s="13"/>
      <c r="H134" s="21"/>
      <c r="I134" s="21"/>
      <c r="J134" s="21"/>
      <c r="K134" s="21"/>
      <c r="L134" s="21"/>
      <c r="M134" s="21"/>
      <c r="N134" s="21"/>
      <c r="O134" s="21"/>
      <c r="P134" s="21"/>
      <c r="Q134" s="21"/>
      <c r="R134" s="21"/>
      <c r="S134" s="21"/>
    </row>
    <row r="135" spans="1:19" ht="15.75" thickTop="1">
      <c r="A135" s="1933"/>
      <c r="B135" s="2230"/>
      <c r="C135" s="2228"/>
      <c r="D135" s="2228"/>
      <c r="E135" s="2228"/>
      <c r="F135" s="2228"/>
      <c r="G135" s="2229"/>
      <c r="H135" s="1932"/>
      <c r="I135" s="1932"/>
      <c r="J135" s="1932"/>
      <c r="K135" s="1932"/>
      <c r="L135" s="1932"/>
      <c r="M135" s="1932"/>
      <c r="N135" s="1932"/>
      <c r="O135" s="1932"/>
      <c r="P135" s="1932"/>
      <c r="Q135" s="1932"/>
      <c r="R135" s="1932"/>
      <c r="S135" s="1932"/>
    </row>
    <row r="136" spans="1:19">
      <c r="A136" s="2172"/>
      <c r="B136" s="2055"/>
      <c r="C136" s="2072"/>
      <c r="D136" s="2072"/>
      <c r="E136" s="2072"/>
      <c r="F136" s="2072"/>
      <c r="G136" s="1133"/>
      <c r="H136" s="2175"/>
      <c r="I136" s="2175"/>
      <c r="J136" s="2175"/>
      <c r="K136" s="2175"/>
      <c r="L136" s="2175"/>
      <c r="M136" s="2175"/>
      <c r="N136" s="2175"/>
      <c r="O136" s="2175"/>
      <c r="P136" s="2175"/>
      <c r="Q136" s="2175"/>
      <c r="R136" s="2175"/>
      <c r="S136" s="2175"/>
    </row>
    <row r="137" spans="1:19" ht="15.75" thickBot="1">
      <c r="A137" s="2172"/>
      <c r="B137" s="2055"/>
      <c r="C137" s="2072"/>
      <c r="D137" s="2072"/>
      <c r="E137" s="2072"/>
      <c r="F137" s="2072"/>
      <c r="G137" s="1133"/>
      <c r="H137" s="2175"/>
      <c r="I137" s="2175"/>
      <c r="J137" s="2175"/>
      <c r="K137" s="2175"/>
      <c r="L137" s="2175"/>
      <c r="M137" s="2175"/>
      <c r="N137" s="2175"/>
      <c r="O137" s="2175"/>
      <c r="P137" s="2175"/>
      <c r="Q137" s="2175"/>
      <c r="R137" s="2175"/>
      <c r="S137" s="2175"/>
    </row>
    <row r="138" spans="1:19" ht="16.5" thickTop="1" thickBot="1">
      <c r="A138" s="726" t="s">
        <v>577</v>
      </c>
      <c r="B138" s="727"/>
      <c r="C138" s="12"/>
      <c r="D138" s="12"/>
      <c r="E138" s="12"/>
      <c r="F138" s="12"/>
      <c r="G138" s="13"/>
      <c r="H138" s="21"/>
      <c r="I138" s="21"/>
      <c r="J138" s="21"/>
      <c r="K138" s="21"/>
      <c r="L138" s="21"/>
      <c r="M138" s="21"/>
      <c r="N138" s="21"/>
      <c r="O138" s="21"/>
      <c r="P138" s="21"/>
      <c r="Q138" s="21"/>
      <c r="R138" s="21"/>
      <c r="S138" s="21"/>
    </row>
    <row r="139" spans="1:19" ht="15.75" thickTop="1">
      <c r="A139" s="2198"/>
      <c r="B139" s="2071" t="s">
        <v>578</v>
      </c>
      <c r="C139" s="2072"/>
      <c r="D139" s="2072"/>
      <c r="E139" s="2072"/>
      <c r="F139" s="2072"/>
      <c r="G139" s="1133"/>
      <c r="H139" s="2175"/>
      <c r="I139" s="2175"/>
      <c r="J139" s="2175"/>
      <c r="K139" s="2175"/>
      <c r="L139" s="2175"/>
      <c r="M139" s="2175"/>
      <c r="N139" s="2175"/>
      <c r="O139" s="2175"/>
      <c r="P139" s="2175"/>
      <c r="Q139" s="2175"/>
      <c r="R139" s="2175"/>
      <c r="S139" s="2175"/>
    </row>
    <row r="140" spans="1:19">
      <c r="A140" s="2198"/>
      <c r="B140" s="2071" t="s">
        <v>579</v>
      </c>
      <c r="C140" s="2072"/>
      <c r="D140" s="2072"/>
      <c r="E140" s="2072"/>
      <c r="F140" s="2072"/>
      <c r="G140" s="1133"/>
      <c r="H140" s="2175"/>
      <c r="I140" s="2175"/>
      <c r="J140" s="2175"/>
      <c r="K140" s="2175"/>
      <c r="L140" s="2175"/>
      <c r="M140" s="2175"/>
      <c r="N140" s="2175"/>
      <c r="O140" s="2175"/>
      <c r="P140" s="2175"/>
      <c r="Q140" s="2175"/>
      <c r="R140" s="2175"/>
      <c r="S140" s="2175"/>
    </row>
    <row r="141" spans="1:19">
      <c r="A141" s="2198"/>
      <c r="B141" s="2071" t="s">
        <v>580</v>
      </c>
      <c r="C141" s="2072"/>
      <c r="D141" s="2072"/>
      <c r="E141" s="2072"/>
      <c r="F141" s="2072"/>
      <c r="G141" s="1133"/>
      <c r="H141" s="2175"/>
      <c r="I141" s="2175"/>
      <c r="J141" s="2175"/>
      <c r="K141" s="2175"/>
      <c r="L141" s="2175"/>
      <c r="M141" s="2175"/>
      <c r="N141" s="2175"/>
      <c r="O141" s="2175"/>
      <c r="P141" s="2175"/>
      <c r="Q141" s="2175"/>
      <c r="R141" s="2175"/>
      <c r="S141" s="2175"/>
    </row>
    <row r="142" spans="1:19">
      <c r="A142" s="2198"/>
      <c r="B142" s="2071" t="s">
        <v>581</v>
      </c>
      <c r="C142" s="2072"/>
      <c r="D142" s="2072"/>
      <c r="E142" s="2072"/>
      <c r="F142" s="2072"/>
      <c r="G142" s="1133"/>
      <c r="H142" s="2175"/>
      <c r="I142" s="2175"/>
      <c r="J142" s="2175"/>
      <c r="K142" s="2175"/>
      <c r="L142" s="2175"/>
      <c r="M142" s="2175"/>
      <c r="N142" s="2175"/>
      <c r="O142" s="2175"/>
      <c r="P142" s="2175"/>
      <c r="Q142" s="2175"/>
      <c r="R142" s="2175"/>
      <c r="S142" s="2175"/>
    </row>
    <row r="143" spans="1:19" ht="15.75" thickBot="1">
      <c r="A143" s="416"/>
      <c r="B143" s="295"/>
      <c r="C143" s="184"/>
      <c r="D143" s="184"/>
      <c r="E143" s="184"/>
      <c r="F143" s="184"/>
      <c r="G143" s="296"/>
      <c r="H143" s="418"/>
      <c r="I143" s="418"/>
      <c r="J143" s="418"/>
      <c r="K143" s="418"/>
      <c r="L143" s="418"/>
      <c r="M143" s="418"/>
      <c r="N143" s="418"/>
      <c r="O143" s="418"/>
      <c r="P143" s="418"/>
      <c r="Q143" s="418"/>
      <c r="R143" s="418"/>
      <c r="S143" s="418"/>
    </row>
    <row r="144" spans="1:19" ht="16.5" thickTop="1" thickBot="1">
      <c r="A144" s="7" t="s">
        <v>582</v>
      </c>
      <c r="B144" s="8"/>
      <c r="C144" s="12"/>
      <c r="D144" s="12"/>
      <c r="E144" s="12"/>
      <c r="F144" s="12"/>
      <c r="G144" s="13"/>
      <c r="H144" s="21"/>
      <c r="I144" s="21"/>
      <c r="J144" s="21"/>
      <c r="K144" s="21"/>
      <c r="L144" s="21"/>
      <c r="M144" s="21"/>
      <c r="N144" s="21"/>
      <c r="O144" s="21"/>
      <c r="P144" s="21"/>
      <c r="Q144" s="21"/>
      <c r="R144" s="21"/>
      <c r="S144" s="21"/>
    </row>
    <row r="145" spans="1:19" ht="15.75" thickTop="1">
      <c r="A145" s="1929"/>
      <c r="B145" s="2231" t="s">
        <v>583</v>
      </c>
      <c r="C145" s="2228"/>
      <c r="D145" s="2228"/>
      <c r="E145" s="2228"/>
      <c r="F145" s="2228"/>
      <c r="G145" s="2229"/>
      <c r="H145" s="1936"/>
      <c r="I145" s="1936"/>
      <c r="J145" s="1936"/>
      <c r="K145" s="1936"/>
      <c r="L145" s="1936"/>
      <c r="M145" s="1936"/>
      <c r="N145" s="1936"/>
      <c r="O145" s="1936"/>
      <c r="P145" s="1936"/>
      <c r="Q145" s="1936"/>
      <c r="R145" s="1936"/>
      <c r="S145" s="1936"/>
    </row>
    <row r="146" spans="1:19">
      <c r="A146" s="2198"/>
      <c r="B146" s="2071" t="s">
        <v>584</v>
      </c>
      <c r="C146" s="2072"/>
      <c r="D146" s="2072"/>
      <c r="E146" s="2072"/>
      <c r="F146" s="2072"/>
      <c r="G146" s="1133"/>
      <c r="H146" s="2201"/>
      <c r="I146" s="2201"/>
      <c r="J146" s="2201"/>
      <c r="K146" s="2201"/>
      <c r="L146" s="2201"/>
      <c r="M146" s="2201"/>
      <c r="N146" s="2201"/>
      <c r="O146" s="2201"/>
      <c r="P146" s="2201"/>
      <c r="Q146" s="2201"/>
      <c r="R146" s="2201"/>
      <c r="S146" s="2201"/>
    </row>
    <row r="147" spans="1:19" ht="15.75" thickBot="1">
      <c r="A147" s="2177"/>
      <c r="B147" s="2178" t="s">
        <v>585</v>
      </c>
      <c r="C147" s="2179"/>
      <c r="D147" s="2179"/>
      <c r="E147" s="2179"/>
      <c r="F147" s="2179"/>
      <c r="G147" s="2180"/>
      <c r="H147" s="2181"/>
      <c r="I147" s="2181"/>
      <c r="J147" s="2181"/>
      <c r="K147" s="2181"/>
      <c r="L147" s="2181"/>
      <c r="M147" s="2181"/>
      <c r="N147" s="2181"/>
      <c r="O147" s="2181"/>
      <c r="P147" s="2181"/>
      <c r="Q147" s="2181"/>
      <c r="R147" s="2181"/>
      <c r="S147" s="2181"/>
    </row>
    <row r="148" spans="1:19" ht="16.5" thickTop="1" thickBot="1"/>
    <row r="149" spans="1:19" ht="16.5" thickTop="1" thickBot="1">
      <c r="A149" s="92" t="s">
        <v>586</v>
      </c>
      <c r="B149" s="94"/>
    </row>
    <row r="150" spans="1:19" ht="15.75" thickTop="1">
      <c r="A150" s="93" t="s">
        <v>487</v>
      </c>
      <c r="B150" s="2182"/>
    </row>
    <row r="151" spans="1:19">
      <c r="A151" s="2183" t="s">
        <v>491</v>
      </c>
      <c r="B151" s="2182"/>
    </row>
    <row r="152" spans="1:19">
      <c r="A152" s="2184" t="s">
        <v>494</v>
      </c>
      <c r="B152" s="2185"/>
    </row>
    <row r="153" spans="1:19">
      <c r="A153" s="2184" t="s">
        <v>497</v>
      </c>
      <c r="B153" s="2232"/>
    </row>
    <row r="154" spans="1:19" ht="15.75" thickBot="1">
      <c r="A154" s="2187" t="s">
        <v>587</v>
      </c>
      <c r="B154" s="2188">
        <f>H8</f>
        <v>53846.200000000004</v>
      </c>
    </row>
    <row r="155" spans="1:19" ht="15.75" thickTop="1"/>
    <row r="156" spans="1:19">
      <c r="A156" s="95"/>
      <c r="B156" s="1" t="s">
        <v>588</v>
      </c>
    </row>
    <row r="157" spans="1:19">
      <c r="A157" s="96"/>
      <c r="B157" s="1" t="s">
        <v>589</v>
      </c>
    </row>
  </sheetData>
  <mergeCells count="48">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 ref="P6:Q6"/>
    <mergeCell ref="H4:I4"/>
    <mergeCell ref="J4:K4"/>
    <mergeCell ref="L4:M4"/>
    <mergeCell ref="N4:O4"/>
    <mergeCell ref="P4:Q4"/>
    <mergeCell ref="H5:I5"/>
    <mergeCell ref="J5:K5"/>
    <mergeCell ref="L5:M5"/>
    <mergeCell ref="N5:O5"/>
    <mergeCell ref="P5:Q5"/>
    <mergeCell ref="A138:B138"/>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L1:M1"/>
    <mergeCell ref="A122:B122"/>
    <mergeCell ref="A126:B126"/>
    <mergeCell ref="A130:B130"/>
    <mergeCell ref="A134:B134"/>
  </mergeCells>
  <conditionalFormatting sqref="H21:H31 H33:H113 J33:J113 L33:L113 N33:N113 P33:P113 R33:R113">
    <cfRule type="cellIs" dxfId="991" priority="13" operator="equal">
      <formula>"X"</formula>
    </cfRule>
    <cfRule type="cellIs" dxfId="990" priority="14" operator="equal">
      <formula>"I"</formula>
    </cfRule>
  </conditionalFormatting>
  <conditionalFormatting sqref="J21:J31">
    <cfRule type="cellIs" dxfId="989" priority="15" operator="equal">
      <formula>"X"</formula>
    </cfRule>
    <cfRule type="cellIs" dxfId="988" priority="16" operator="equal">
      <formula>"I"</formula>
    </cfRule>
  </conditionalFormatting>
  <conditionalFormatting sqref="L21:L31">
    <cfRule type="cellIs" dxfId="987" priority="17" operator="equal">
      <formula>"X"</formula>
    </cfRule>
    <cfRule type="cellIs" dxfId="986" priority="18" operator="equal">
      <formula>"I"</formula>
    </cfRule>
  </conditionalFormatting>
  <conditionalFormatting sqref="N21:N31">
    <cfRule type="cellIs" dxfId="985" priority="19" operator="equal">
      <formula>"X"</formula>
    </cfRule>
    <cfRule type="cellIs" dxfId="984" priority="20" operator="equal">
      <formula>"I"</formula>
    </cfRule>
  </conditionalFormatting>
  <conditionalFormatting sqref="P21:P31">
    <cfRule type="cellIs" dxfId="983" priority="21" operator="equal">
      <formula>"X"</formula>
    </cfRule>
    <cfRule type="cellIs" dxfId="982" priority="22" operator="equal">
      <formula>"I"</formula>
    </cfRule>
  </conditionalFormatting>
  <conditionalFormatting sqref="R21:R31">
    <cfRule type="cellIs" dxfId="981" priority="23" operator="equal">
      <formula>"X"</formula>
    </cfRule>
    <cfRule type="cellIs" dxfId="980" priority="24" operator="equal">
      <formula>"I"</formula>
    </cfRule>
  </conditionalFormatting>
  <hyperlinks>
    <hyperlink ref="B3" location="'Cost Summary'!A1" display="BACK TO SUMMARY SHEET" xr:uid="{4DD872A1-1B37-49F4-95EF-6BFEE6B39F8F}"/>
    <hyperlink ref="H7:I7" r:id="rId1" display="mteitelbaum@consofloors.com" xr:uid="{B6D216E7-A713-405C-8204-46E137435DE8}"/>
  </hyperlinks>
  <pageMargins left="0.7" right="0.7" top="0.75" bottom="0.75" header="0.3" footer="0.3"/>
  <pageSetup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DE67-67FE-4A35-91B5-B73C3F115C1B}">
  <sheetPr>
    <tabColor rgb="FF92D050"/>
  </sheetPr>
  <dimension ref="A1:S106"/>
  <sheetViews>
    <sheetView zoomScale="85" zoomScaleNormal="85" workbookViewId="0">
      <pane xSplit="2" ySplit="9" topLeftCell="C39" activePane="bottomRight" state="frozen"/>
      <selection pane="bottomRight" activeCell="B44" sqref="B44:C45"/>
      <selection pane="bottomLeft" activeCell="A11" sqref="A11"/>
      <selection pane="topRight" activeCell="C1" sqref="C1"/>
    </sheetView>
  </sheetViews>
  <sheetFormatPr defaultRowHeight="15"/>
  <cols>
    <col min="1" max="1" width="11" customWidth="1"/>
    <col min="2" max="2" width="73.28515625" style="1" customWidth="1"/>
    <col min="3" max="3" width="13.42578125" style="2" customWidth="1"/>
    <col min="4" max="4" width="9.7109375" style="2"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32"/>
      <c r="I2" s="732"/>
      <c r="J2" s="766">
        <v>9544464105</v>
      </c>
      <c r="K2" s="766"/>
      <c r="L2" s="766">
        <v>2704855874</v>
      </c>
      <c r="M2" s="766"/>
      <c r="N2" s="766"/>
      <c r="O2" s="766"/>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customHeight="1">
      <c r="A4" s="3" t="s">
        <v>486</v>
      </c>
      <c r="B4" s="4" t="str">
        <f>'Area Calculations'!B4</f>
        <v>The Club at Ibis Conceptual Estimate</v>
      </c>
      <c r="C4" s="5"/>
      <c r="D4" s="5"/>
      <c r="E4" s="5"/>
      <c r="F4" s="5"/>
      <c r="G4" s="6" t="s">
        <v>487</v>
      </c>
      <c r="H4" s="728" t="s">
        <v>959</v>
      </c>
      <c r="I4" s="729"/>
      <c r="J4" s="728"/>
      <c r="K4" s="729"/>
      <c r="L4" s="728"/>
      <c r="M4" s="729"/>
      <c r="N4" s="728"/>
      <c r="O4" s="729"/>
      <c r="P4" s="728"/>
      <c r="Q4" s="729"/>
      <c r="R4" s="728"/>
      <c r="S4" s="729"/>
    </row>
    <row r="5" spans="1:19">
      <c r="A5" s="2189" t="s">
        <v>489</v>
      </c>
      <c r="B5" s="2071" t="s">
        <v>627</v>
      </c>
      <c r="C5" s="2072"/>
      <c r="D5" s="2072"/>
      <c r="E5" s="2072"/>
      <c r="F5" s="2072"/>
      <c r="G5" s="1125" t="s">
        <v>491</v>
      </c>
      <c r="H5" s="2190" t="s">
        <v>961</v>
      </c>
      <c r="I5" s="1126"/>
      <c r="J5" s="2190"/>
      <c r="K5" s="1126"/>
      <c r="L5" s="2190"/>
      <c r="M5" s="1126"/>
      <c r="N5" s="2190"/>
      <c r="O5" s="1126"/>
      <c r="P5" s="2190"/>
      <c r="Q5" s="1126"/>
      <c r="R5" s="2190"/>
      <c r="S5" s="1126"/>
    </row>
    <row r="6" spans="1:19">
      <c r="A6" s="2189" t="s">
        <v>493</v>
      </c>
      <c r="B6" s="2076" t="s">
        <v>626</v>
      </c>
      <c r="C6" s="2072"/>
      <c r="D6" s="2072"/>
      <c r="E6" s="2072"/>
      <c r="F6" s="2072"/>
      <c r="G6" s="1125" t="s">
        <v>494</v>
      </c>
      <c r="H6" s="2192" t="s">
        <v>962</v>
      </c>
      <c r="I6" s="1129"/>
      <c r="J6" s="2192"/>
      <c r="K6" s="1129"/>
      <c r="L6" s="2192"/>
      <c r="M6" s="1129"/>
      <c r="N6" s="2192"/>
      <c r="O6" s="1129"/>
      <c r="P6" s="2192"/>
      <c r="Q6" s="1129"/>
      <c r="R6" s="2192"/>
      <c r="S6" s="1129"/>
    </row>
    <row r="7" spans="1:19">
      <c r="A7" s="2189" t="s">
        <v>496</v>
      </c>
      <c r="B7" s="2079"/>
      <c r="C7" s="2072"/>
      <c r="D7" s="2072"/>
      <c r="E7" s="2072"/>
      <c r="F7" s="2072"/>
      <c r="G7" s="1125" t="s">
        <v>497</v>
      </c>
      <c r="H7" s="2194" t="s">
        <v>963</v>
      </c>
      <c r="I7" s="1131"/>
      <c r="J7" s="2194"/>
      <c r="K7" s="1131"/>
      <c r="L7" s="2194"/>
      <c r="M7" s="1131"/>
      <c r="N7" s="2194"/>
      <c r="O7" s="1131"/>
      <c r="P7" s="2194"/>
      <c r="Q7" s="1131"/>
      <c r="R7" s="2194"/>
      <c r="S7" s="1131"/>
    </row>
    <row r="8" spans="1:19">
      <c r="A8" s="414" t="s">
        <v>499</v>
      </c>
      <c r="B8" s="295"/>
      <c r="C8" s="184"/>
      <c r="D8" s="184"/>
      <c r="E8" s="184"/>
      <c r="F8" s="184"/>
      <c r="G8" s="419" t="s">
        <v>499</v>
      </c>
      <c r="H8" s="2196">
        <f>I67</f>
        <v>121912.25</v>
      </c>
      <c r="I8" s="2197"/>
      <c r="J8" s="2196"/>
      <c r="K8" s="2197"/>
      <c r="L8" s="2196"/>
      <c r="M8" s="2197"/>
      <c r="N8" s="2196"/>
      <c r="O8" s="2197"/>
      <c r="P8" s="2196"/>
      <c r="Q8" s="2197"/>
      <c r="R8" s="2196"/>
      <c r="S8" s="219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198"/>
      <c r="B10" s="2233" t="s">
        <v>508</v>
      </c>
      <c r="C10" s="2072"/>
      <c r="D10" s="2072"/>
      <c r="E10" s="2072"/>
      <c r="F10" s="2072"/>
      <c r="G10" s="1133"/>
      <c r="H10" s="2200"/>
      <c r="I10" s="2200"/>
      <c r="J10" s="2200"/>
      <c r="K10" s="2200"/>
      <c r="L10" s="2200"/>
      <c r="M10" s="2200"/>
      <c r="N10" s="2200"/>
      <c r="O10" s="2200"/>
      <c r="P10" s="2200"/>
      <c r="Q10" s="2200"/>
      <c r="R10" s="2200"/>
      <c r="S10" s="2200"/>
    </row>
    <row r="11" spans="1:19" hidden="1">
      <c r="A11" s="2198"/>
      <c r="B11" s="2071" t="str">
        <f>'Area Calculations'!M62</f>
        <v>Architectural Drawings  by</v>
      </c>
      <c r="C11" s="2087" t="s">
        <v>509</v>
      </c>
      <c r="D11" s="2072"/>
      <c r="E11" s="2072"/>
      <c r="F11" s="2072"/>
      <c r="G11" s="1133"/>
      <c r="H11" s="2200"/>
      <c r="I11" s="2200"/>
      <c r="J11" s="2200"/>
      <c r="K11" s="2200"/>
      <c r="L11" s="2200"/>
      <c r="M11" s="2200"/>
      <c r="N11" s="2200"/>
      <c r="O11" s="2200"/>
      <c r="P11" s="2200"/>
      <c r="Q11" s="2200"/>
      <c r="R11" s="2200"/>
      <c r="S11" s="2200"/>
    </row>
    <row r="12" spans="1:19" hidden="1">
      <c r="A12" s="2198"/>
      <c r="B12" s="2071" t="str">
        <f>'Area Calculations'!M63</f>
        <v>Structural Drawings by</v>
      </c>
      <c r="C12" s="2087" t="s">
        <v>509</v>
      </c>
      <c r="D12" s="2072"/>
      <c r="E12" s="2072"/>
      <c r="F12" s="2072"/>
      <c r="G12" s="1133"/>
      <c r="H12" s="2200"/>
      <c r="I12" s="2200"/>
      <c r="J12" s="2200"/>
      <c r="K12" s="2200"/>
      <c r="L12" s="2200"/>
      <c r="M12" s="2200"/>
      <c r="N12" s="2200"/>
      <c r="O12" s="2200"/>
      <c r="P12" s="2200"/>
      <c r="Q12" s="2200"/>
      <c r="R12" s="2200"/>
      <c r="S12" s="2200"/>
    </row>
    <row r="13" spans="1:19" hidden="1">
      <c r="A13" s="2198"/>
      <c r="B13" s="2071" t="str">
        <f>'Area Calculations'!M64</f>
        <v>MEP FA FP Drawings by</v>
      </c>
      <c r="C13" s="2087" t="s">
        <v>509</v>
      </c>
      <c r="D13" s="2072"/>
      <c r="E13" s="2072"/>
      <c r="F13" s="2072"/>
      <c r="G13" s="1133"/>
      <c r="H13" s="2200"/>
      <c r="I13" s="2200"/>
      <c r="J13" s="2200"/>
      <c r="K13" s="2200"/>
      <c r="L13" s="2200"/>
      <c r="M13" s="2200"/>
      <c r="N13" s="2200"/>
      <c r="O13" s="2200"/>
      <c r="P13" s="2200"/>
      <c r="Q13" s="2200"/>
      <c r="R13" s="2200"/>
      <c r="S13" s="2200"/>
    </row>
    <row r="14" spans="1:19" hidden="1">
      <c r="A14" s="2198"/>
      <c r="B14" s="2071" t="str">
        <f>'Area Calculations'!M65</f>
        <v xml:space="preserve">Civil Drawings by </v>
      </c>
      <c r="C14" s="2087" t="s">
        <v>509</v>
      </c>
      <c r="D14" s="2072"/>
      <c r="E14" s="2072"/>
      <c r="F14" s="2072"/>
      <c r="G14" s="1133"/>
      <c r="H14" s="2200"/>
      <c r="I14" s="2200"/>
      <c r="J14" s="2200"/>
      <c r="K14" s="2200"/>
      <c r="L14" s="2200"/>
      <c r="M14" s="2200"/>
      <c r="N14" s="2200"/>
      <c r="O14" s="2200"/>
      <c r="P14" s="2200"/>
      <c r="Q14" s="2200"/>
      <c r="R14" s="2200"/>
      <c r="S14" s="2200"/>
    </row>
    <row r="15" spans="1:19" hidden="1">
      <c r="A15" s="2198"/>
      <c r="B15" s="2071" t="str">
        <f>'Area Calculations'!M66</f>
        <v>Land scape Drawings by</v>
      </c>
      <c r="C15" s="2087" t="s">
        <v>509</v>
      </c>
      <c r="D15" s="2072"/>
      <c r="E15" s="2072"/>
      <c r="F15" s="2072"/>
      <c r="G15" s="1133"/>
      <c r="H15" s="2200"/>
      <c r="I15" s="2200"/>
      <c r="J15" s="2200"/>
      <c r="K15" s="2200"/>
      <c r="L15" s="2200"/>
      <c r="M15" s="2200"/>
      <c r="N15" s="2200"/>
      <c r="O15" s="2200"/>
      <c r="P15" s="2200"/>
      <c r="Q15" s="2200"/>
      <c r="R15" s="2200"/>
      <c r="S15" s="2200"/>
    </row>
    <row r="16" spans="1:19" hidden="1">
      <c r="A16" s="2198"/>
      <c r="B16" s="2071" t="str">
        <f>'Area Calculations'!M67</f>
        <v>Kitchen Drawings by</v>
      </c>
      <c r="C16" s="2087" t="s">
        <v>509</v>
      </c>
      <c r="D16" s="2072"/>
      <c r="E16" s="2072"/>
      <c r="F16" s="2072"/>
      <c r="G16" s="1133"/>
      <c r="H16" s="2200"/>
      <c r="I16" s="2200"/>
      <c r="J16" s="2200"/>
      <c r="K16" s="2200"/>
      <c r="L16" s="2200"/>
      <c r="M16" s="2200"/>
      <c r="N16" s="2200"/>
      <c r="O16" s="2200"/>
      <c r="P16" s="2200"/>
      <c r="Q16" s="2200"/>
      <c r="R16" s="2200"/>
      <c r="S16" s="2200"/>
    </row>
    <row r="17" spans="1:19" hidden="1">
      <c r="A17" s="2198"/>
      <c r="B17" s="2071" t="str">
        <f>'Area Calculations'!M68</f>
        <v>Storefront Designer by</v>
      </c>
      <c r="C17" s="2087" t="s">
        <v>509</v>
      </c>
      <c r="D17" s="2072"/>
      <c r="E17" s="2072"/>
      <c r="F17" s="2072"/>
      <c r="G17" s="1133"/>
      <c r="H17" s="2200"/>
      <c r="I17" s="2200"/>
      <c r="J17" s="2200"/>
      <c r="K17" s="2200"/>
      <c r="L17" s="2200"/>
      <c r="M17" s="2200"/>
      <c r="N17" s="2200"/>
      <c r="O17" s="2200"/>
      <c r="P17" s="2200"/>
      <c r="Q17" s="2200"/>
      <c r="R17" s="2200"/>
      <c r="S17" s="2200"/>
    </row>
    <row r="18" spans="1:19" hidden="1">
      <c r="A18" s="2198"/>
      <c r="B18" s="2071" t="str">
        <f>'Area Calculations'!M69</f>
        <v>Geotech report by</v>
      </c>
      <c r="C18" s="2087" t="s">
        <v>509</v>
      </c>
      <c r="D18" s="2072"/>
      <c r="E18" s="2072"/>
      <c r="F18" s="2072"/>
      <c r="G18" s="1133"/>
      <c r="H18" s="2200"/>
      <c r="I18" s="2200"/>
      <c r="J18" s="2200"/>
      <c r="K18" s="2200"/>
      <c r="L18" s="2200"/>
      <c r="M18" s="2200"/>
      <c r="N18" s="2200"/>
      <c r="O18" s="2200"/>
      <c r="P18" s="2200"/>
      <c r="Q18" s="2200"/>
      <c r="R18" s="2200"/>
      <c r="S18" s="2200"/>
    </row>
    <row r="19" spans="1:19" hidden="1">
      <c r="A19" s="2198"/>
      <c r="B19" s="2071" t="str">
        <f>'Area Calculations'!M70</f>
        <v>Specifications</v>
      </c>
      <c r="C19" s="2087" t="s">
        <v>509</v>
      </c>
      <c r="D19" s="2072"/>
      <c r="E19" s="2072"/>
      <c r="F19" s="2072"/>
      <c r="G19" s="1133"/>
      <c r="H19" s="2200"/>
      <c r="I19" s="2200"/>
      <c r="J19" s="2200"/>
      <c r="K19" s="2200"/>
      <c r="L19" s="2200"/>
      <c r="M19" s="2200"/>
      <c r="N19" s="2200"/>
      <c r="O19" s="2200"/>
      <c r="P19" s="2200"/>
      <c r="Q19" s="2200"/>
      <c r="R19" s="2200"/>
      <c r="S19" s="2200"/>
    </row>
    <row r="20" spans="1:19" ht="15.75" thickTop="1">
      <c r="A20" s="2198"/>
      <c r="B20" s="2071"/>
      <c r="C20" s="2087"/>
      <c r="D20" s="2072"/>
      <c r="E20" s="2072"/>
      <c r="F20" s="2072"/>
      <c r="G20" s="1133"/>
      <c r="H20" s="2146"/>
      <c r="I20" s="2200"/>
      <c r="J20" s="2146"/>
      <c r="K20" s="2200"/>
      <c r="L20" s="2146"/>
      <c r="M20" s="2200"/>
      <c r="N20" s="2146"/>
      <c r="O20" s="2200"/>
      <c r="P20" s="2146"/>
      <c r="Q20" s="2200"/>
      <c r="R20" s="2146"/>
      <c r="S20" s="2200"/>
    </row>
    <row r="21" spans="1:19" ht="15.75" thickBot="1">
      <c r="A21" s="2198"/>
      <c r="B21" s="2089" t="s">
        <v>1074</v>
      </c>
      <c r="C21" s="2087"/>
      <c r="D21" s="2072"/>
      <c r="E21" s="2072"/>
      <c r="F21" s="2072"/>
      <c r="G21" s="1133"/>
      <c r="H21" s="2146"/>
      <c r="I21" s="2200"/>
      <c r="J21" s="2146"/>
      <c r="K21" s="2200"/>
      <c r="L21" s="2146"/>
      <c r="M21" s="2200"/>
      <c r="N21" s="2146"/>
      <c r="O21" s="2200"/>
      <c r="P21" s="2146"/>
      <c r="Q21" s="2200"/>
      <c r="R21" s="2146"/>
      <c r="S21" s="2200"/>
    </row>
    <row r="22" spans="1:19" ht="15.75" thickBot="1">
      <c r="A22" s="2234"/>
      <c r="B22" s="374" t="s">
        <v>512</v>
      </c>
      <c r="C22" s="2087"/>
      <c r="D22" s="2072"/>
      <c r="E22" s="2072"/>
      <c r="F22" s="2072"/>
      <c r="G22" s="1133"/>
      <c r="H22" s="2146"/>
      <c r="I22" s="636"/>
      <c r="J22" s="2146"/>
      <c r="K22" s="636"/>
      <c r="L22" s="2146"/>
      <c r="M22" s="636"/>
      <c r="N22" s="2146"/>
      <c r="O22" s="636"/>
      <c r="P22" s="2146"/>
      <c r="Q22" s="636"/>
      <c r="R22" s="2146"/>
      <c r="S22" s="636"/>
    </row>
    <row r="23" spans="1:19">
      <c r="A23" s="640"/>
      <c r="B23" s="1422" t="s">
        <v>513</v>
      </c>
      <c r="C23" s="2092"/>
      <c r="D23" s="1426"/>
      <c r="E23" s="2072"/>
      <c r="F23" s="2072"/>
      <c r="G23" s="1133"/>
      <c r="H23" s="2146"/>
      <c r="I23" s="2235"/>
      <c r="J23" s="2146"/>
      <c r="K23" s="2235"/>
      <c r="L23" s="2146"/>
      <c r="M23" s="2235"/>
      <c r="N23" s="2146"/>
      <c r="O23" s="636"/>
      <c r="P23" s="2146"/>
      <c r="Q23" s="636"/>
      <c r="R23" s="2146"/>
      <c r="S23" s="636"/>
    </row>
    <row r="24" spans="1:19">
      <c r="A24" s="640"/>
      <c r="B24" s="2236" t="s">
        <v>514</v>
      </c>
      <c r="C24" s="2092"/>
      <c r="D24" s="1426"/>
      <c r="E24" s="2072"/>
      <c r="F24" s="2072"/>
      <c r="G24" s="1133"/>
      <c r="H24" s="2146"/>
      <c r="I24" s="636"/>
      <c r="J24" s="2146"/>
      <c r="K24" s="2235"/>
      <c r="L24" s="2146"/>
      <c r="M24" s="2235"/>
      <c r="N24" s="2146"/>
      <c r="O24" s="636"/>
      <c r="P24" s="2146"/>
      <c r="Q24" s="636"/>
      <c r="R24" s="2146"/>
      <c r="S24" s="636"/>
    </row>
    <row r="25" spans="1:19">
      <c r="A25" s="640"/>
      <c r="B25" s="2237" t="s">
        <v>515</v>
      </c>
      <c r="C25" s="1133"/>
      <c r="D25" s="2072"/>
      <c r="E25" s="2072"/>
      <c r="F25" s="2072"/>
      <c r="G25" s="1133"/>
      <c r="H25" s="2146"/>
      <c r="I25" s="636"/>
      <c r="J25" s="2146"/>
      <c r="K25" s="636"/>
      <c r="L25" s="2146"/>
      <c r="M25" s="2235"/>
      <c r="N25" s="2146"/>
      <c r="O25" s="636"/>
      <c r="P25" s="2146"/>
      <c r="Q25" s="636"/>
      <c r="R25" s="2146"/>
      <c r="S25" s="636"/>
    </row>
    <row r="26" spans="1:19">
      <c r="A26" s="640"/>
      <c r="B26" s="2237" t="s">
        <v>516</v>
      </c>
      <c r="C26" s="1133"/>
      <c r="D26" s="2072"/>
      <c r="E26" s="2072"/>
      <c r="F26" s="2072"/>
      <c r="G26" s="1133"/>
      <c r="H26" s="2146"/>
      <c r="I26" s="2235"/>
      <c r="J26" s="2146"/>
      <c r="K26" s="2235"/>
      <c r="L26" s="2146"/>
      <c r="M26" s="2235"/>
      <c r="N26" s="2146"/>
      <c r="O26" s="2235"/>
      <c r="P26" s="2146"/>
      <c r="Q26" s="2235"/>
      <c r="R26" s="2146"/>
      <c r="S26" s="2235"/>
    </row>
    <row r="27" spans="1:19" hidden="1">
      <c r="A27" s="640"/>
      <c r="B27" s="2237" t="s">
        <v>517</v>
      </c>
      <c r="C27" s="1133"/>
      <c r="D27" s="2072"/>
      <c r="E27" s="2072"/>
      <c r="F27" s="2072"/>
      <c r="G27" s="1133"/>
      <c r="H27" s="2146"/>
      <c r="I27" s="2235"/>
      <c r="J27" s="2146"/>
      <c r="K27" s="2235"/>
      <c r="L27" s="2146"/>
      <c r="M27" s="2235"/>
      <c r="N27" s="2146"/>
      <c r="O27" s="2235"/>
      <c r="P27" s="2146"/>
      <c r="Q27" s="2235"/>
      <c r="R27" s="2146"/>
      <c r="S27" s="2235"/>
    </row>
    <row r="28" spans="1:19">
      <c r="A28" s="640"/>
      <c r="B28" s="2237" t="s">
        <v>518</v>
      </c>
      <c r="C28" s="1133"/>
      <c r="D28" s="2072"/>
      <c r="E28" s="2072"/>
      <c r="F28" s="2072"/>
      <c r="G28" s="1133"/>
      <c r="H28" s="2146"/>
      <c r="I28" s="2235"/>
      <c r="J28" s="2146"/>
      <c r="K28" s="2235"/>
      <c r="L28" s="2146"/>
      <c r="M28" s="2235"/>
      <c r="N28" s="2146"/>
      <c r="O28" s="2235"/>
      <c r="P28" s="2146"/>
      <c r="Q28" s="2235"/>
      <c r="R28" s="2146"/>
      <c r="S28" s="2235"/>
    </row>
    <row r="29" spans="1:19">
      <c r="A29" s="640"/>
      <c r="B29" s="2237" t="s">
        <v>693</v>
      </c>
      <c r="C29" s="1133"/>
      <c r="D29" s="2072"/>
      <c r="E29" s="2072"/>
      <c r="F29" s="2072"/>
      <c r="G29" s="1133"/>
      <c r="H29" s="2146"/>
      <c r="I29" s="2235"/>
      <c r="J29" s="2146"/>
      <c r="K29" s="2235"/>
      <c r="L29" s="2146"/>
      <c r="M29" s="2235"/>
      <c r="N29" s="2146"/>
      <c r="O29" s="2235"/>
      <c r="P29" s="2146"/>
      <c r="Q29" s="2235"/>
      <c r="R29" s="2146"/>
      <c r="S29" s="2235"/>
    </row>
    <row r="30" spans="1:19">
      <c r="A30" s="640"/>
      <c r="B30" s="2238" t="s">
        <v>519</v>
      </c>
      <c r="C30" s="1133"/>
      <c r="D30" s="2072"/>
      <c r="E30" s="2072"/>
      <c r="F30" s="2072"/>
      <c r="G30" s="1133"/>
      <c r="H30" s="2146"/>
      <c r="I30" s="2235"/>
      <c r="J30" s="2146"/>
      <c r="K30" s="2235"/>
      <c r="L30" s="2146"/>
      <c r="M30" s="2235"/>
      <c r="N30" s="2146"/>
      <c r="O30" s="2235"/>
      <c r="P30" s="2146"/>
      <c r="Q30" s="2235"/>
      <c r="R30" s="2146"/>
      <c r="S30" s="2235"/>
    </row>
    <row r="31" spans="1:19">
      <c r="A31" s="640"/>
      <c r="B31" s="2116" t="s">
        <v>520</v>
      </c>
      <c r="C31" s="1147"/>
      <c r="D31" s="2117"/>
      <c r="E31" s="2117"/>
      <c r="F31" s="2117"/>
      <c r="G31" s="1147"/>
      <c r="H31" s="2207"/>
      <c r="I31" s="2239"/>
      <c r="J31" s="2207"/>
      <c r="K31" s="2239"/>
      <c r="L31" s="2207"/>
      <c r="M31" s="2239"/>
      <c r="N31" s="2207"/>
      <c r="O31" s="2239"/>
      <c r="P31" s="2207"/>
      <c r="Q31" s="2239"/>
      <c r="R31" s="2207"/>
      <c r="S31" s="2239"/>
    </row>
    <row r="32" spans="1:19">
      <c r="A32" s="640"/>
      <c r="B32" s="2240" t="s">
        <v>288</v>
      </c>
      <c r="C32" s="1133"/>
      <c r="D32" s="2072"/>
      <c r="E32" s="2072"/>
      <c r="F32" s="2072"/>
      <c r="G32" s="1133"/>
      <c r="H32" s="2146"/>
      <c r="I32" s="2235"/>
      <c r="J32" s="2146"/>
      <c r="K32" s="2235"/>
      <c r="L32" s="2146"/>
      <c r="M32" s="2235"/>
      <c r="N32" s="2146"/>
      <c r="O32" s="2235"/>
      <c r="P32" s="2146"/>
      <c r="Q32" s="2235"/>
      <c r="R32" s="2146"/>
      <c r="S32" s="2235"/>
    </row>
    <row r="33" spans="1:19">
      <c r="A33" s="640"/>
      <c r="B33" s="2241" t="s">
        <v>694</v>
      </c>
      <c r="C33" s="2242"/>
      <c r="D33" s="2243"/>
      <c r="E33" s="2244"/>
      <c r="F33" s="2245"/>
      <c r="G33" s="2246"/>
      <c r="H33" s="2211"/>
      <c r="I33" s="2247"/>
      <c r="J33" s="2211"/>
      <c r="K33" s="2248"/>
      <c r="L33" s="2211"/>
      <c r="M33" s="2248"/>
      <c r="N33" s="2211"/>
      <c r="O33" s="2248"/>
      <c r="P33" s="2211"/>
      <c r="Q33" s="2248"/>
      <c r="R33" s="2211"/>
      <c r="S33" s="2248"/>
    </row>
    <row r="34" spans="1:19">
      <c r="A34" s="640"/>
      <c r="B34" s="2249"/>
      <c r="C34" s="1449"/>
      <c r="D34" s="2250"/>
      <c r="E34" s="2251"/>
      <c r="F34" s="2252"/>
      <c r="G34" s="2253"/>
      <c r="H34" s="2146"/>
      <c r="I34" s="2235"/>
      <c r="J34" s="2146"/>
      <c r="K34" s="2254"/>
      <c r="L34" s="2146"/>
      <c r="M34" s="2254"/>
      <c r="N34" s="2146"/>
      <c r="O34" s="2254"/>
      <c r="P34" s="2146"/>
      <c r="Q34" s="2254"/>
      <c r="R34" s="2146"/>
      <c r="S34" s="2254"/>
    </row>
    <row r="35" spans="1:19">
      <c r="A35" s="640"/>
      <c r="B35" s="2255" t="s">
        <v>695</v>
      </c>
      <c r="C35" s="2256"/>
      <c r="D35" s="2257"/>
      <c r="E35" s="2258"/>
      <c r="F35" s="2259"/>
      <c r="G35" s="2260"/>
      <c r="H35" s="2214"/>
      <c r="I35" s="2261"/>
      <c r="J35" s="2214"/>
      <c r="K35" s="2262"/>
      <c r="L35" s="2214"/>
      <c r="M35" s="2262"/>
      <c r="N35" s="2214"/>
      <c r="O35" s="2262"/>
      <c r="P35" s="2214"/>
      <c r="Q35" s="2262"/>
      <c r="R35" s="2214"/>
      <c r="S35" s="2262"/>
    </row>
    <row r="36" spans="1:19">
      <c r="A36" s="640"/>
      <c r="B36" s="2249"/>
      <c r="C36" s="1449"/>
      <c r="D36" s="2250"/>
      <c r="E36" s="2251"/>
      <c r="F36" s="2252"/>
      <c r="G36" s="2253"/>
      <c r="H36" s="2146"/>
      <c r="I36" s="2235"/>
      <c r="J36" s="2146"/>
      <c r="K36" s="2254"/>
      <c r="L36" s="2146"/>
      <c r="M36" s="2254"/>
      <c r="N36" s="2146"/>
      <c r="O36" s="2254"/>
      <c r="P36" s="2146"/>
      <c r="Q36" s="2254"/>
      <c r="R36" s="2146"/>
      <c r="S36" s="2254"/>
    </row>
    <row r="37" spans="1:19">
      <c r="A37" s="640"/>
      <c r="B37" s="2241" t="s">
        <v>649</v>
      </c>
      <c r="C37" s="2242"/>
      <c r="D37" s="2243"/>
      <c r="E37" s="2244"/>
      <c r="F37" s="2245"/>
      <c r="G37" s="2246"/>
      <c r="H37" s="2211"/>
      <c r="I37" s="2247"/>
      <c r="J37" s="2211"/>
      <c r="K37" s="2248"/>
      <c r="L37" s="2211"/>
      <c r="M37" s="2248"/>
      <c r="N37" s="2211"/>
      <c r="O37" s="2248"/>
      <c r="P37" s="2211"/>
      <c r="Q37" s="2248"/>
      <c r="R37" s="2211"/>
      <c r="S37" s="2248"/>
    </row>
    <row r="38" spans="1:19">
      <c r="A38" s="640"/>
      <c r="B38" s="2249"/>
      <c r="C38" s="1449"/>
      <c r="D38" s="2250"/>
      <c r="E38" s="2251"/>
      <c r="F38" s="2252"/>
      <c r="G38" s="2253"/>
      <c r="H38" s="2146"/>
      <c r="I38" s="2235"/>
      <c r="J38" s="2146"/>
      <c r="K38" s="2254"/>
      <c r="L38" s="2146"/>
      <c r="M38" s="2254"/>
      <c r="N38" s="2146"/>
      <c r="O38" s="2254"/>
      <c r="P38" s="2146"/>
      <c r="Q38" s="2254"/>
      <c r="R38" s="2146"/>
      <c r="S38" s="2254"/>
    </row>
    <row r="39" spans="1:19">
      <c r="A39" s="640"/>
      <c r="B39" s="2255" t="s">
        <v>700</v>
      </c>
      <c r="C39" s="2256"/>
      <c r="D39" s="2257"/>
      <c r="E39" s="2258"/>
      <c r="F39" s="2259"/>
      <c r="G39" s="2260"/>
      <c r="H39" s="2214"/>
      <c r="I39" s="2261"/>
      <c r="J39" s="2214"/>
      <c r="K39" s="2262"/>
      <c r="L39" s="2214"/>
      <c r="M39" s="2262"/>
      <c r="N39" s="2214"/>
      <c r="O39" s="2262"/>
      <c r="P39" s="2214"/>
      <c r="Q39" s="2262"/>
      <c r="R39" s="2214"/>
      <c r="S39" s="2262"/>
    </row>
    <row r="40" spans="1:19">
      <c r="A40" s="640"/>
      <c r="B40" s="2249"/>
      <c r="C40" s="1449"/>
      <c r="D40" s="2250"/>
      <c r="E40" s="2251"/>
      <c r="F40" s="2252"/>
      <c r="G40" s="2253"/>
      <c r="H40" s="2146"/>
      <c r="I40" s="2235"/>
      <c r="J40" s="2146"/>
      <c r="K40" s="2254"/>
      <c r="L40" s="2146"/>
      <c r="M40" s="2254"/>
      <c r="N40" s="2146"/>
      <c r="O40" s="2254"/>
      <c r="P40" s="2146"/>
      <c r="Q40" s="2254"/>
      <c r="R40" s="2146"/>
      <c r="S40" s="2254"/>
    </row>
    <row r="41" spans="1:19">
      <c r="A41" s="640"/>
      <c r="B41" s="2241" t="s">
        <v>703</v>
      </c>
      <c r="C41" s="2242"/>
      <c r="D41" s="2243"/>
      <c r="E41" s="2244"/>
      <c r="F41" s="2245"/>
      <c r="G41" s="2246"/>
      <c r="H41" s="2211"/>
      <c r="I41" s="2247"/>
      <c r="J41" s="2211"/>
      <c r="K41" s="2248"/>
      <c r="L41" s="2211"/>
      <c r="M41" s="2248"/>
      <c r="N41" s="2211"/>
      <c r="O41" s="2248"/>
      <c r="P41" s="2211"/>
      <c r="Q41" s="2248"/>
      <c r="R41" s="2211"/>
      <c r="S41" s="2248"/>
    </row>
    <row r="42" spans="1:19">
      <c r="A42" s="640"/>
      <c r="B42" s="2249"/>
      <c r="C42" s="1449"/>
      <c r="D42" s="2250"/>
      <c r="E42" s="2251"/>
      <c r="F42" s="2252"/>
      <c r="G42" s="2253"/>
      <c r="H42" s="2146"/>
      <c r="I42" s="2235"/>
      <c r="J42" s="2146"/>
      <c r="K42" s="2254"/>
      <c r="L42" s="2146"/>
      <c r="M42" s="2254"/>
      <c r="N42" s="2146"/>
      <c r="O42" s="2254"/>
      <c r="P42" s="2146"/>
      <c r="Q42" s="2254"/>
      <c r="R42" s="2146"/>
      <c r="S42" s="2254"/>
    </row>
    <row r="43" spans="1:19">
      <c r="A43" s="640"/>
      <c r="B43" s="2255" t="s">
        <v>704</v>
      </c>
      <c r="C43" s="2256"/>
      <c r="D43" s="2257"/>
      <c r="E43" s="2258"/>
      <c r="F43" s="2259"/>
      <c r="G43" s="2260"/>
      <c r="H43" s="2214"/>
      <c r="I43" s="2261"/>
      <c r="J43" s="2214"/>
      <c r="K43" s="2262"/>
      <c r="L43" s="2214"/>
      <c r="M43" s="2262"/>
      <c r="N43" s="2214"/>
      <c r="O43" s="2262"/>
      <c r="P43" s="2214"/>
      <c r="Q43" s="2262"/>
      <c r="R43" s="2214"/>
      <c r="S43" s="2262"/>
    </row>
    <row r="44" spans="1:19" ht="25.5">
      <c r="A44" s="640"/>
      <c r="B44" s="2151" t="s">
        <v>1075</v>
      </c>
      <c r="C44" s="1133" t="s">
        <v>702</v>
      </c>
      <c r="D44" s="2121">
        <v>2188</v>
      </c>
      <c r="E44" s="2072" t="s">
        <v>723</v>
      </c>
      <c r="F44" s="2122">
        <v>30</v>
      </c>
      <c r="G44" s="2123">
        <f t="shared" ref="G44" si="0">D44*F44</f>
        <v>65640</v>
      </c>
      <c r="H44" s="2146" t="s">
        <v>710</v>
      </c>
      <c r="I44" s="2263">
        <v>69185.25</v>
      </c>
      <c r="J44" s="2146"/>
      <c r="K44" s="2254"/>
      <c r="L44" s="2146"/>
      <c r="M44" s="2254"/>
      <c r="N44" s="2146"/>
      <c r="O44" s="2254"/>
      <c r="P44" s="2146"/>
      <c r="Q44" s="2254"/>
      <c r="R44" s="2146"/>
      <c r="S44" s="2254"/>
    </row>
    <row r="45" spans="1:19">
      <c r="A45" s="640"/>
      <c r="B45" s="2151" t="s">
        <v>1076</v>
      </c>
      <c r="C45" s="1133" t="s">
        <v>826</v>
      </c>
      <c r="D45" s="2121">
        <v>2192</v>
      </c>
      <c r="E45" s="2072" t="s">
        <v>723</v>
      </c>
      <c r="F45" s="2122">
        <v>20</v>
      </c>
      <c r="G45" s="2123">
        <f t="shared" ref="G45" si="1">D45*F45</f>
        <v>43840</v>
      </c>
      <c r="H45" s="2146" t="s">
        <v>710</v>
      </c>
      <c r="I45" s="2263">
        <v>41112</v>
      </c>
      <c r="J45" s="2146"/>
      <c r="K45" s="2254"/>
      <c r="L45" s="2146"/>
      <c r="M45" s="2254"/>
      <c r="N45" s="2146"/>
      <c r="O45" s="2254"/>
      <c r="P45" s="2146"/>
      <c r="Q45" s="2254"/>
      <c r="R45" s="2146"/>
      <c r="S45" s="2254"/>
    </row>
    <row r="46" spans="1:19">
      <c r="A46" s="640" t="s">
        <v>969</v>
      </c>
      <c r="B46" s="2151" t="s">
        <v>1077</v>
      </c>
      <c r="C46" s="1133" t="s">
        <v>826</v>
      </c>
      <c r="D46" s="2121">
        <v>2192</v>
      </c>
      <c r="E46" s="2072" t="s">
        <v>723</v>
      </c>
      <c r="F46" s="2122">
        <v>5</v>
      </c>
      <c r="G46" s="2123">
        <f t="shared" ref="G46" si="2">D46*F46</f>
        <v>10960</v>
      </c>
      <c r="H46" s="2146" t="s">
        <v>710</v>
      </c>
      <c r="I46" s="2263">
        <v>11615</v>
      </c>
      <c r="J46" s="2146"/>
      <c r="K46" s="2254"/>
      <c r="L46" s="2146"/>
      <c r="M46" s="2254"/>
      <c r="N46" s="2146"/>
      <c r="O46" s="2254"/>
      <c r="P46" s="2146"/>
      <c r="Q46" s="2254"/>
      <c r="R46" s="2146"/>
      <c r="S46" s="2254"/>
    </row>
    <row r="47" spans="1:19">
      <c r="A47" s="640"/>
      <c r="B47" s="2249"/>
      <c r="C47" s="1449"/>
      <c r="D47" s="2250"/>
      <c r="E47" s="2251"/>
      <c r="F47" s="2252"/>
      <c r="G47" s="2253"/>
      <c r="H47" s="2146"/>
      <c r="I47" s="2235"/>
      <c r="J47" s="2146"/>
      <c r="K47" s="2254"/>
      <c r="L47" s="2146"/>
      <c r="M47" s="2254"/>
      <c r="N47" s="2146"/>
      <c r="O47" s="2254"/>
      <c r="P47" s="2146"/>
      <c r="Q47" s="2254"/>
      <c r="R47" s="2146"/>
      <c r="S47" s="2254"/>
    </row>
    <row r="48" spans="1:19">
      <c r="A48" s="640"/>
      <c r="B48" s="2241" t="s">
        <v>705</v>
      </c>
      <c r="C48" s="2242"/>
      <c r="D48" s="2243"/>
      <c r="E48" s="2244"/>
      <c r="F48" s="2245"/>
      <c r="G48" s="2246"/>
      <c r="H48" s="2211"/>
      <c r="I48" s="2247"/>
      <c r="J48" s="2211"/>
      <c r="K48" s="2248"/>
      <c r="L48" s="2211"/>
      <c r="M48" s="2248"/>
      <c r="N48" s="2211"/>
      <c r="O48" s="2248"/>
      <c r="P48" s="2211"/>
      <c r="Q48" s="2248"/>
      <c r="R48" s="2211"/>
      <c r="S48" s="2248"/>
    </row>
    <row r="49" spans="1:19">
      <c r="A49" s="640"/>
      <c r="B49" s="2249"/>
      <c r="C49" s="1449"/>
      <c r="D49" s="2250"/>
      <c r="E49" s="2251"/>
      <c r="F49" s="2252"/>
      <c r="G49" s="2253"/>
      <c r="H49" s="2146"/>
      <c r="I49" s="2235"/>
      <c r="J49" s="2146"/>
      <c r="K49" s="2254"/>
      <c r="L49" s="2146"/>
      <c r="M49" s="2254"/>
      <c r="N49" s="2146"/>
      <c r="O49" s="2254"/>
      <c r="P49" s="2146"/>
      <c r="Q49" s="2254"/>
      <c r="R49" s="2146"/>
      <c r="S49" s="2254"/>
    </row>
    <row r="50" spans="1:19">
      <c r="A50" s="640"/>
      <c r="B50" s="2255" t="s">
        <v>602</v>
      </c>
      <c r="C50" s="2256"/>
      <c r="D50" s="2257"/>
      <c r="E50" s="2258"/>
      <c r="F50" s="2259"/>
      <c r="G50" s="2260"/>
      <c r="H50" s="2214"/>
      <c r="I50" s="2261"/>
      <c r="J50" s="2214"/>
      <c r="K50" s="2262"/>
      <c r="L50" s="2214"/>
      <c r="M50" s="2262"/>
      <c r="N50" s="2214"/>
      <c r="O50" s="2262"/>
      <c r="P50" s="2214"/>
      <c r="Q50" s="2262"/>
      <c r="R50" s="2214"/>
      <c r="S50" s="2262"/>
    </row>
    <row r="51" spans="1:19">
      <c r="A51" s="640"/>
      <c r="B51" s="2264"/>
      <c r="C51" s="1133"/>
      <c r="D51" s="2072"/>
      <c r="E51" s="2072"/>
      <c r="F51" s="2072"/>
      <c r="G51" s="1133"/>
      <c r="H51" s="2146"/>
      <c r="I51" s="2235"/>
      <c r="J51" s="2146"/>
      <c r="K51" s="2235"/>
      <c r="L51" s="2146"/>
      <c r="M51" s="2235"/>
      <c r="N51" s="2146"/>
      <c r="O51" s="2235"/>
      <c r="P51" s="2146"/>
      <c r="Q51" s="2235"/>
      <c r="R51" s="2146"/>
      <c r="S51" s="2235"/>
    </row>
    <row r="52" spans="1:19">
      <c r="A52" s="640"/>
      <c r="B52" s="2265"/>
      <c r="C52" s="1133"/>
      <c r="D52" s="2072"/>
      <c r="E52" s="2072"/>
      <c r="F52" s="2072"/>
      <c r="G52" s="1133"/>
      <c r="H52" s="2146"/>
      <c r="I52" s="2235"/>
      <c r="J52" s="2146"/>
      <c r="K52" s="2235"/>
      <c r="L52" s="2146"/>
      <c r="M52" s="2235"/>
      <c r="N52" s="2146"/>
      <c r="O52" s="2235"/>
      <c r="P52" s="2146"/>
      <c r="Q52" s="2235"/>
      <c r="R52" s="2146"/>
      <c r="S52" s="2235"/>
    </row>
    <row r="53" spans="1:19">
      <c r="A53" s="640"/>
      <c r="B53" s="2266" t="s">
        <v>288</v>
      </c>
      <c r="C53" s="1133"/>
      <c r="D53" s="2072"/>
      <c r="E53" s="2072"/>
      <c r="F53" s="2072"/>
      <c r="G53" s="1133"/>
      <c r="H53" s="2146"/>
      <c r="I53" s="2235"/>
      <c r="J53" s="2146"/>
      <c r="K53" s="2235"/>
      <c r="L53" s="2146"/>
      <c r="M53" s="2235"/>
      <c r="N53" s="2146"/>
      <c r="O53" s="2235"/>
      <c r="P53" s="2146"/>
      <c r="Q53" s="2235"/>
      <c r="R53" s="2146"/>
      <c r="S53" s="2235"/>
    </row>
    <row r="54" spans="1:19">
      <c r="A54" s="640"/>
      <c r="B54" s="2265" t="s">
        <v>288</v>
      </c>
      <c r="C54" s="1133"/>
      <c r="D54" s="2072"/>
      <c r="E54" s="2072"/>
      <c r="F54" s="2072"/>
      <c r="G54" s="1133"/>
      <c r="H54" s="2146"/>
      <c r="I54" s="2235"/>
      <c r="J54" s="2146"/>
      <c r="K54" s="2235"/>
      <c r="L54" s="2146"/>
      <c r="M54" s="2235"/>
      <c r="N54" s="2146"/>
      <c r="O54" s="2235"/>
      <c r="P54" s="2146"/>
      <c r="Q54" s="2235"/>
      <c r="R54" s="2146"/>
      <c r="S54" s="2235"/>
    </row>
    <row r="55" spans="1:19">
      <c r="A55" s="640"/>
      <c r="B55" s="2266" t="s">
        <v>288</v>
      </c>
      <c r="C55" s="1133"/>
      <c r="D55" s="2072"/>
      <c r="E55" s="2072"/>
      <c r="F55" s="2072"/>
      <c r="G55" s="1133"/>
      <c r="H55" s="2146"/>
      <c r="I55" s="2235"/>
      <c r="J55" s="2146"/>
      <c r="K55" s="2235"/>
      <c r="L55" s="2146"/>
      <c r="M55" s="2235"/>
      <c r="N55" s="2146"/>
      <c r="O55" s="2235"/>
      <c r="P55" s="2146"/>
      <c r="Q55" s="2235"/>
      <c r="R55" s="2146"/>
      <c r="S55" s="2235"/>
    </row>
    <row r="56" spans="1:19">
      <c r="A56" s="640"/>
      <c r="B56" s="2265" t="s">
        <v>288</v>
      </c>
      <c r="C56" s="2227"/>
      <c r="D56" s="2072"/>
      <c r="E56" s="2072"/>
      <c r="F56" s="2072"/>
      <c r="G56" s="1133"/>
      <c r="H56" s="2146"/>
      <c r="I56" s="2235"/>
      <c r="J56" s="2146"/>
      <c r="K56" s="2235"/>
      <c r="L56" s="2146"/>
      <c r="M56" s="2235"/>
      <c r="N56" s="2146"/>
      <c r="O56" s="2235"/>
      <c r="P56" s="2146"/>
      <c r="Q56" s="2235"/>
      <c r="R56" s="2146"/>
      <c r="S56" s="2235"/>
    </row>
    <row r="57" spans="1:19">
      <c r="A57" s="640"/>
      <c r="B57" s="2266" t="s">
        <v>288</v>
      </c>
      <c r="C57" s="2092"/>
      <c r="D57" s="1426"/>
      <c r="E57" s="2072"/>
      <c r="F57" s="2072"/>
      <c r="G57" s="1133"/>
      <c r="H57" s="2146"/>
      <c r="I57" s="2235"/>
      <c r="J57" s="2146"/>
      <c r="K57" s="2235"/>
      <c r="L57" s="2146"/>
      <c r="M57" s="2235"/>
      <c r="N57" s="2146"/>
      <c r="O57" s="2235"/>
      <c r="P57" s="2146"/>
      <c r="Q57" s="2235"/>
      <c r="R57" s="2146"/>
      <c r="S57" s="2235"/>
    </row>
    <row r="58" spans="1:19">
      <c r="A58" s="640"/>
      <c r="B58" s="2267"/>
      <c r="C58" s="2092"/>
      <c r="D58" s="1426"/>
      <c r="E58" s="2072"/>
      <c r="F58" s="2072"/>
      <c r="G58" s="1133"/>
      <c r="H58" s="2146"/>
      <c r="I58" s="2235"/>
      <c r="J58" s="2146"/>
      <c r="K58" s="2235"/>
      <c r="L58" s="2146"/>
      <c r="M58" s="2235"/>
      <c r="N58" s="2146"/>
      <c r="O58" s="2235"/>
      <c r="P58" s="2146"/>
      <c r="Q58" s="2235"/>
      <c r="R58" s="2146"/>
      <c r="S58" s="2235"/>
    </row>
    <row r="59" spans="1:19">
      <c r="A59" s="640"/>
      <c r="B59" s="2264"/>
      <c r="C59" s="2092"/>
      <c r="D59" s="1426"/>
      <c r="E59" s="2072"/>
      <c r="F59" s="2072"/>
      <c r="G59" s="1133"/>
      <c r="H59" s="2146"/>
      <c r="I59" s="2235"/>
      <c r="J59" s="2146"/>
      <c r="K59" s="2235"/>
      <c r="L59" s="2146"/>
      <c r="M59" s="2235"/>
      <c r="N59" s="2146"/>
      <c r="O59" s="2235"/>
      <c r="P59" s="2146"/>
      <c r="Q59" s="2235"/>
      <c r="R59" s="2146"/>
      <c r="S59" s="2235"/>
    </row>
    <row r="60" spans="1:19">
      <c r="A60" s="640"/>
      <c r="B60" s="2268"/>
      <c r="C60" s="2092"/>
      <c r="D60" s="1426"/>
      <c r="E60" s="2072"/>
      <c r="F60" s="2072"/>
      <c r="G60" s="1133"/>
      <c r="H60" s="2146"/>
      <c r="I60" s="2235"/>
      <c r="J60" s="2146"/>
      <c r="K60" s="2235"/>
      <c r="L60" s="2146"/>
      <c r="M60" s="2235"/>
      <c r="N60" s="2146"/>
      <c r="O60" s="2235"/>
      <c r="P60" s="2146"/>
      <c r="Q60" s="2235"/>
      <c r="R60" s="2146"/>
      <c r="S60" s="2235"/>
    </row>
    <row r="61" spans="1:19">
      <c r="A61" s="640"/>
      <c r="B61" s="2264"/>
      <c r="C61" s="2092"/>
      <c r="D61" s="1426"/>
      <c r="E61" s="2072"/>
      <c r="F61" s="2072"/>
      <c r="G61" s="1133"/>
      <c r="H61" s="2146"/>
      <c r="I61" s="2235"/>
      <c r="J61" s="2146"/>
      <c r="K61" s="2235"/>
      <c r="L61" s="2146"/>
      <c r="M61" s="2235"/>
      <c r="N61" s="2146"/>
      <c r="O61" s="2235"/>
      <c r="P61" s="2146"/>
      <c r="Q61" s="2235"/>
      <c r="R61" s="2146"/>
      <c r="S61" s="2235"/>
    </row>
    <row r="62" spans="1:19" ht="15.75" thickBot="1">
      <c r="A62" s="2269"/>
      <c r="B62" s="2268"/>
      <c r="C62" s="2092"/>
      <c r="D62" s="1426"/>
      <c r="E62" s="2072"/>
      <c r="F62" s="2072"/>
      <c r="G62" s="1133"/>
      <c r="H62" s="2146"/>
      <c r="I62" s="2235"/>
      <c r="J62" s="2146"/>
      <c r="K62" s="2235"/>
      <c r="L62" s="2146"/>
      <c r="M62" s="636"/>
      <c r="N62" s="2146"/>
      <c r="O62" s="2235"/>
      <c r="P62" s="2146"/>
      <c r="Q62" s="2235"/>
      <c r="R62" s="2146"/>
      <c r="S62" s="2235"/>
    </row>
    <row r="63" spans="1:19" ht="15.75" thickTop="1">
      <c r="A63" s="14"/>
      <c r="B63" s="15"/>
      <c r="C63" s="16"/>
      <c r="D63" s="16"/>
      <c r="E63" s="17"/>
      <c r="F63" s="18" t="s">
        <v>567</v>
      </c>
      <c r="G63" s="19"/>
      <c r="H63" s="20"/>
      <c r="I63" s="61">
        <f>SUM(I23:I62)</f>
        <v>121912.25</v>
      </c>
      <c r="J63" s="20"/>
      <c r="K63" s="61">
        <f>SUM(K23:K62)</f>
        <v>0</v>
      </c>
      <c r="L63" s="20"/>
      <c r="M63" s="61">
        <f>SUM(M23:M62)</f>
        <v>0</v>
      </c>
      <c r="N63" s="20"/>
      <c r="O63" s="61">
        <f>SUM(O26:O62)</f>
        <v>0</v>
      </c>
      <c r="P63" s="20"/>
      <c r="Q63" s="61">
        <f>SUM(Q26:Q62)</f>
        <v>0</v>
      </c>
      <c r="R63" s="20"/>
      <c r="S63" s="61">
        <f>SUM(S26:S62)</f>
        <v>0</v>
      </c>
    </row>
    <row r="64" spans="1:19">
      <c r="A64" s="2270"/>
      <c r="B64" s="2030"/>
      <c r="C64" s="2031"/>
      <c r="D64" s="2031"/>
      <c r="E64" s="2032"/>
      <c r="F64" s="2033" t="s">
        <v>568</v>
      </c>
      <c r="G64" s="1160"/>
      <c r="H64" s="2271">
        <v>0</v>
      </c>
      <c r="I64" s="2272"/>
      <c r="J64" s="2273">
        <v>0</v>
      </c>
      <c r="K64" s="2272"/>
      <c r="L64" s="2273">
        <v>0</v>
      </c>
      <c r="M64" s="2272"/>
      <c r="N64" s="2271">
        <v>0</v>
      </c>
      <c r="O64" s="2272"/>
      <c r="P64" s="2271">
        <v>0</v>
      </c>
      <c r="Q64" s="2272"/>
      <c r="R64" s="2271">
        <v>0</v>
      </c>
      <c r="S64" s="2272"/>
    </row>
    <row r="65" spans="1:19">
      <c r="A65" s="2270"/>
      <c r="B65" s="2030"/>
      <c r="C65" s="2031"/>
      <c r="D65" s="2031"/>
      <c r="E65" s="2032"/>
      <c r="F65" s="2033" t="s">
        <v>569</v>
      </c>
      <c r="G65" s="1160"/>
      <c r="H65" s="2274"/>
      <c r="I65" s="2275">
        <f>H64*I63</f>
        <v>0</v>
      </c>
      <c r="J65" s="2274"/>
      <c r="K65" s="2275">
        <f>J64*K63</f>
        <v>0</v>
      </c>
      <c r="L65" s="2274"/>
      <c r="M65" s="2275">
        <f>L64*M63</f>
        <v>0</v>
      </c>
      <c r="N65" s="2274"/>
      <c r="O65" s="2275">
        <f>N64*O63</f>
        <v>0</v>
      </c>
      <c r="P65" s="2274"/>
      <c r="Q65" s="2275">
        <f>P64*Q63</f>
        <v>0</v>
      </c>
      <c r="R65" s="2274"/>
      <c r="S65" s="2275">
        <f>R64*S63</f>
        <v>0</v>
      </c>
    </row>
    <row r="66" spans="1:19">
      <c r="A66" s="2270"/>
      <c r="B66" s="2030"/>
      <c r="C66" s="2031"/>
      <c r="D66" s="2031"/>
      <c r="E66" s="2032"/>
      <c r="F66" s="2033"/>
      <c r="G66" s="1160"/>
      <c r="H66" s="2274"/>
      <c r="I66" s="2276"/>
      <c r="J66" s="2274"/>
      <c r="K66" s="2276"/>
      <c r="L66" s="2274"/>
      <c r="M66" s="2276"/>
      <c r="N66" s="2274"/>
      <c r="O66" s="2276"/>
      <c r="P66" s="2274"/>
      <c r="Q66" s="2276"/>
      <c r="R66" s="2274"/>
      <c r="S66" s="2276"/>
    </row>
    <row r="67" spans="1:19">
      <c r="A67" s="2270"/>
      <c r="B67" s="2030"/>
      <c r="C67" s="2031"/>
      <c r="D67" s="2031"/>
      <c r="E67" s="2032"/>
      <c r="F67" s="2033" t="s">
        <v>570</v>
      </c>
      <c r="G67" s="1160"/>
      <c r="H67" s="2277"/>
      <c r="I67" s="2278">
        <f>SUM(I63:I65)</f>
        <v>121912.25</v>
      </c>
      <c r="J67" s="2277"/>
      <c r="K67" s="2278">
        <f>SUM(K63:K65)</f>
        <v>0</v>
      </c>
      <c r="L67" s="2277"/>
      <c r="M67" s="2278">
        <f>SUM(M63:M65)</f>
        <v>0</v>
      </c>
      <c r="N67" s="2277"/>
      <c r="O67" s="2278">
        <f>SUM(O63:O65)</f>
        <v>0</v>
      </c>
      <c r="P67" s="2277"/>
      <c r="Q67" s="2278">
        <f>SUM(Q63:Q65)</f>
        <v>0</v>
      </c>
      <c r="R67" s="2277"/>
      <c r="S67" s="2278">
        <f>SUM(S63:S65)</f>
        <v>0</v>
      </c>
    </row>
    <row r="68" spans="1:19">
      <c r="A68" s="2270"/>
      <c r="B68" s="2030"/>
      <c r="C68" s="2031"/>
      <c r="D68" s="2031"/>
      <c r="E68" s="2032"/>
      <c r="F68" s="2043" t="s">
        <v>571</v>
      </c>
      <c r="G68" s="1162"/>
      <c r="H68" s="2279"/>
      <c r="I68" s="2280" t="e">
        <f>I67/'Area Calculations'!$J$4</f>
        <v>#DIV/0!</v>
      </c>
      <c r="J68" s="2279"/>
      <c r="K68" s="2280" t="e">
        <f>K67/'Area Calculations'!$J$4</f>
        <v>#DIV/0!</v>
      </c>
      <c r="L68" s="2279"/>
      <c r="M68" s="2280" t="e">
        <f>M67/'Area Calculations'!$J$4</f>
        <v>#DIV/0!</v>
      </c>
      <c r="N68" s="2279"/>
      <c r="O68" s="2280" t="e">
        <f>O67/'Area Calculations'!$J$4</f>
        <v>#DIV/0!</v>
      </c>
      <c r="P68" s="2279"/>
      <c r="Q68" s="2280" t="e">
        <f>Q67/'Area Calculations'!$J$4</f>
        <v>#DIV/0!</v>
      </c>
      <c r="R68" s="2279"/>
      <c r="S68" s="2280" t="e">
        <f>S67/'Area Calculations'!$J$4</f>
        <v>#DIV/0!</v>
      </c>
    </row>
    <row r="69" spans="1:19">
      <c r="A69" s="2270"/>
      <c r="B69" s="2030"/>
      <c r="C69" s="2031"/>
      <c r="D69" s="2031"/>
      <c r="E69" s="2032"/>
      <c r="F69" s="2043" t="s">
        <v>572</v>
      </c>
      <c r="G69" s="1163"/>
      <c r="H69" s="2279"/>
      <c r="I69" s="2280" t="e">
        <f>I67/'Area Calculations'!#REF!</f>
        <v>#REF!</v>
      </c>
      <c r="J69" s="2279"/>
      <c r="K69" s="2280" t="e">
        <f>K67/'Area Calculations'!#REF!</f>
        <v>#REF!</v>
      </c>
      <c r="L69" s="2279"/>
      <c r="M69" s="2280" t="e">
        <f>M67/'Area Calculations'!#REF!</f>
        <v>#REF!</v>
      </c>
      <c r="N69" s="2279"/>
      <c r="O69" s="2280" t="e">
        <f>O67/'Area Calculations'!#REF!</f>
        <v>#REF!</v>
      </c>
      <c r="P69" s="2279"/>
      <c r="Q69" s="2280" t="e">
        <f>Q67/'Area Calculations'!#REF!</f>
        <v>#REF!</v>
      </c>
      <c r="R69" s="2279"/>
      <c r="S69" s="2280" t="e">
        <f>S67/'Area Calculations'!#REF!</f>
        <v>#REF!</v>
      </c>
    </row>
    <row r="70" spans="1:19" ht="15.75" thickBot="1">
      <c r="A70" s="2270"/>
      <c r="B70" s="2030"/>
      <c r="C70" s="2031"/>
      <c r="D70" s="2031"/>
      <c r="E70" s="2032"/>
      <c r="F70" s="2033"/>
      <c r="G70" s="1533"/>
      <c r="H70" s="2281"/>
      <c r="I70" s="2282"/>
      <c r="J70" s="2283"/>
      <c r="K70" s="2283"/>
      <c r="L70" s="2283"/>
      <c r="M70" s="2283"/>
      <c r="N70" s="2283"/>
      <c r="O70" s="2284"/>
      <c r="P70" s="2283"/>
      <c r="Q70" s="2284"/>
      <c r="R70" s="2283"/>
      <c r="S70" s="2284"/>
    </row>
    <row r="71" spans="1:19" ht="16.5" thickTop="1" thickBot="1">
      <c r="A71" s="726" t="s">
        <v>573</v>
      </c>
      <c r="B71" s="727"/>
      <c r="C71" s="12"/>
      <c r="D71" s="12"/>
      <c r="E71" s="12"/>
      <c r="F71" s="12"/>
      <c r="G71" s="13"/>
      <c r="H71" s="21"/>
      <c r="I71" s="21"/>
      <c r="J71" s="21"/>
      <c r="K71" s="21"/>
      <c r="L71" s="21"/>
      <c r="M71" s="21"/>
      <c r="N71" s="21"/>
      <c r="O71" s="21"/>
      <c r="P71" s="21"/>
      <c r="Q71" s="21"/>
      <c r="R71" s="21"/>
      <c r="S71" s="21"/>
    </row>
    <row r="72" spans="1:19" ht="15.75" thickTop="1">
      <c r="A72" s="1929"/>
      <c r="B72" s="2071"/>
      <c r="C72" s="2228"/>
      <c r="D72" s="2228"/>
      <c r="E72" s="2228"/>
      <c r="F72" s="2228"/>
      <c r="G72" s="2229"/>
      <c r="H72" s="1932"/>
      <c r="I72" s="1932"/>
      <c r="J72" s="1932"/>
      <c r="K72" s="1932"/>
      <c r="L72" s="1932"/>
      <c r="M72" s="1932"/>
      <c r="N72" s="1932"/>
      <c r="O72" s="1932"/>
      <c r="P72" s="1932"/>
      <c r="Q72" s="1932"/>
      <c r="R72" s="1932"/>
      <c r="S72" s="1932"/>
    </row>
    <row r="73" spans="1:19">
      <c r="A73" s="1929"/>
      <c r="B73" s="2071"/>
      <c r="C73" s="2228"/>
      <c r="D73" s="2228"/>
      <c r="E73" s="2228"/>
      <c r="F73" s="2228"/>
      <c r="G73" s="2229"/>
      <c r="H73" s="1932"/>
      <c r="I73" s="1932"/>
      <c r="J73" s="1932"/>
      <c r="K73" s="1932"/>
      <c r="L73" s="1932"/>
      <c r="M73" s="1932"/>
      <c r="N73" s="1932"/>
      <c r="O73" s="1932"/>
      <c r="P73" s="1932"/>
      <c r="Q73" s="1932"/>
      <c r="R73" s="1932"/>
      <c r="S73" s="1932"/>
    </row>
    <row r="74" spans="1:19" ht="15.75" thickBot="1">
      <c r="A74" s="1929"/>
      <c r="B74" s="2071"/>
      <c r="C74" s="2228"/>
      <c r="D74" s="2228"/>
      <c r="E74" s="2228"/>
      <c r="F74" s="2228"/>
      <c r="G74" s="2229"/>
      <c r="H74" s="1932"/>
      <c r="I74" s="1932"/>
      <c r="J74" s="1932"/>
      <c r="K74" s="1932"/>
      <c r="L74" s="1932"/>
      <c r="M74" s="1932"/>
      <c r="N74" s="1932"/>
      <c r="O74" s="1932"/>
      <c r="P74" s="1932"/>
      <c r="Q74" s="1932"/>
      <c r="R74" s="1932"/>
      <c r="S74" s="1932"/>
    </row>
    <row r="75" spans="1:19" s="2" customFormat="1" ht="16.5" thickTop="1" thickBot="1">
      <c r="A75" s="726" t="s">
        <v>574</v>
      </c>
      <c r="B75" s="727"/>
      <c r="C75" s="12"/>
      <c r="D75" s="12"/>
      <c r="E75" s="12"/>
      <c r="F75" s="12"/>
      <c r="G75" s="13"/>
      <c r="H75" s="21"/>
      <c r="I75" s="21"/>
      <c r="J75" s="21"/>
      <c r="K75" s="21"/>
      <c r="L75" s="21"/>
      <c r="M75" s="21"/>
      <c r="N75" s="21"/>
      <c r="O75" s="21"/>
      <c r="P75" s="21"/>
      <c r="Q75" s="21"/>
      <c r="R75" s="21"/>
      <c r="S75" s="21"/>
    </row>
    <row r="76" spans="1:19" s="2" customFormat="1" ht="15.75" thickTop="1">
      <c r="A76" s="1929"/>
      <c r="B76" s="2071"/>
      <c r="C76" s="2228"/>
      <c r="D76" s="2228"/>
      <c r="E76" s="2228"/>
      <c r="F76" s="2228"/>
      <c r="G76" s="2229"/>
      <c r="H76" s="1932"/>
      <c r="I76" s="1932"/>
      <c r="J76" s="1932"/>
      <c r="K76" s="1932"/>
      <c r="L76" s="1932"/>
      <c r="M76" s="1932"/>
      <c r="N76" s="1932"/>
      <c r="O76" s="1932"/>
      <c r="P76" s="1932"/>
      <c r="Q76" s="1932"/>
      <c r="R76" s="1932"/>
      <c r="S76" s="1932"/>
    </row>
    <row r="77" spans="1:19" s="2" customFormat="1">
      <c r="A77" s="1929"/>
      <c r="B77" s="2071"/>
      <c r="C77" s="2228"/>
      <c r="D77" s="2228"/>
      <c r="E77" s="2228"/>
      <c r="F77" s="2228"/>
      <c r="G77" s="2229"/>
      <c r="H77" s="1932"/>
      <c r="I77" s="1932"/>
      <c r="J77" s="1932"/>
      <c r="K77" s="1932"/>
      <c r="L77" s="1932"/>
      <c r="M77" s="1932"/>
      <c r="N77" s="1932"/>
      <c r="O77" s="1932"/>
      <c r="P77" s="1932"/>
      <c r="Q77" s="1932"/>
      <c r="R77" s="1932"/>
      <c r="S77" s="1932"/>
    </row>
    <row r="78" spans="1:19" ht="15.75" thickBot="1">
      <c r="A78" s="1929"/>
      <c r="B78" s="2071"/>
      <c r="C78" s="2228"/>
      <c r="D78" s="2228"/>
      <c r="E78" s="2228"/>
      <c r="F78" s="2228"/>
      <c r="G78" s="2229"/>
      <c r="H78" s="1932"/>
      <c r="I78" s="1932"/>
      <c r="J78" s="1932"/>
      <c r="K78" s="1932"/>
      <c r="L78" s="1932"/>
      <c r="M78" s="1932"/>
      <c r="N78" s="1932"/>
      <c r="O78" s="1932"/>
      <c r="P78" s="1932"/>
      <c r="Q78" s="1932"/>
      <c r="R78" s="1932"/>
      <c r="S78" s="1932"/>
    </row>
    <row r="79" spans="1:19" s="2" customFormat="1" ht="16.5" thickTop="1" thickBot="1">
      <c r="A79" s="726" t="s">
        <v>575</v>
      </c>
      <c r="B79" s="727"/>
      <c r="C79" s="12"/>
      <c r="D79" s="12"/>
      <c r="E79" s="12"/>
      <c r="F79" s="12"/>
      <c r="G79" s="13"/>
      <c r="H79" s="21"/>
      <c r="I79" s="21"/>
      <c r="J79" s="21"/>
      <c r="K79" s="21"/>
      <c r="L79" s="21"/>
      <c r="M79" s="21"/>
      <c r="N79" s="21"/>
      <c r="O79" s="21"/>
      <c r="P79" s="21"/>
      <c r="Q79" s="21"/>
      <c r="R79" s="21"/>
      <c r="S79" s="21"/>
    </row>
    <row r="80" spans="1:19" s="2" customFormat="1" ht="15.75" thickTop="1">
      <c r="A80" s="1929"/>
      <c r="B80" s="2071"/>
      <c r="C80" s="2228"/>
      <c r="D80" s="2228"/>
      <c r="E80" s="2228"/>
      <c r="F80" s="2228"/>
      <c r="G80" s="2229"/>
      <c r="H80" s="1932"/>
      <c r="I80" s="1932"/>
      <c r="J80" s="1932"/>
      <c r="K80" s="1932"/>
      <c r="L80" s="1932"/>
      <c r="M80" s="1932"/>
      <c r="N80" s="1932"/>
      <c r="O80" s="1932"/>
      <c r="P80" s="1932"/>
      <c r="Q80" s="1932"/>
      <c r="R80" s="1932"/>
      <c r="S80" s="1932"/>
    </row>
    <row r="81" spans="1:19" s="2" customFormat="1">
      <c r="A81" s="2198"/>
      <c r="B81" s="2071"/>
      <c r="C81" s="2072"/>
      <c r="D81" s="2072"/>
      <c r="E81" s="2072"/>
      <c r="F81" s="2072"/>
      <c r="G81" s="1133"/>
      <c r="H81" s="2285"/>
      <c r="I81" s="2285"/>
      <c r="J81" s="2285"/>
      <c r="K81" s="2285"/>
      <c r="L81" s="2285"/>
      <c r="M81" s="2285"/>
      <c r="N81" s="2285"/>
      <c r="O81" s="2285"/>
      <c r="P81" s="2285"/>
      <c r="Q81" s="2285"/>
      <c r="R81" s="2285"/>
      <c r="S81" s="2285"/>
    </row>
    <row r="82" spans="1:19" s="2" customFormat="1" ht="15.75" thickBot="1">
      <c r="A82" s="2286"/>
      <c r="B82" s="2055"/>
      <c r="C82" s="2072"/>
      <c r="D82" s="2072"/>
      <c r="E82" s="2072"/>
      <c r="F82" s="2072"/>
      <c r="G82" s="1133"/>
      <c r="H82" s="2287"/>
      <c r="I82" s="2287"/>
      <c r="J82" s="2287"/>
      <c r="K82" s="2287"/>
      <c r="L82" s="2287"/>
      <c r="M82" s="2287"/>
      <c r="N82" s="2287"/>
      <c r="O82" s="2287"/>
      <c r="P82" s="2287"/>
      <c r="Q82" s="2287"/>
      <c r="R82" s="2287"/>
      <c r="S82" s="2287"/>
    </row>
    <row r="83" spans="1:19" s="2" customFormat="1" ht="16.5" thickTop="1" thickBot="1">
      <c r="A83" s="726" t="s">
        <v>576</v>
      </c>
      <c r="B83" s="727"/>
      <c r="C83" s="12"/>
      <c r="D83" s="12"/>
      <c r="E83" s="12"/>
      <c r="F83" s="12"/>
      <c r="G83" s="13"/>
      <c r="H83" s="21"/>
      <c r="I83" s="21"/>
      <c r="J83" s="21"/>
      <c r="K83" s="21"/>
      <c r="L83" s="21"/>
      <c r="M83" s="21"/>
      <c r="N83" s="21"/>
      <c r="O83" s="21"/>
      <c r="P83" s="21"/>
      <c r="Q83" s="21"/>
      <c r="R83" s="21"/>
      <c r="S83" s="21"/>
    </row>
    <row r="84" spans="1:19" ht="15.75" thickTop="1">
      <c r="A84" s="1933"/>
      <c r="B84" s="2230"/>
      <c r="C84" s="2228"/>
      <c r="D84" s="2228"/>
      <c r="E84" s="2228"/>
      <c r="F84" s="2228"/>
      <c r="G84" s="2229"/>
      <c r="H84" s="1932"/>
      <c r="I84" s="1932"/>
      <c r="J84" s="1932"/>
      <c r="K84" s="1932"/>
      <c r="L84" s="1932"/>
      <c r="M84" s="1932"/>
      <c r="N84" s="1932"/>
      <c r="O84" s="1932"/>
      <c r="P84" s="1932"/>
      <c r="Q84" s="1932"/>
      <c r="R84" s="1932"/>
      <c r="S84" s="1932"/>
    </row>
    <row r="85" spans="1:19">
      <c r="A85" s="2286"/>
      <c r="B85" s="2055"/>
      <c r="C85" s="2072"/>
      <c r="D85" s="2072"/>
      <c r="E85" s="2072"/>
      <c r="F85" s="2072"/>
      <c r="G85" s="1133"/>
      <c r="H85" s="2288"/>
      <c r="I85" s="2288"/>
      <c r="J85" s="2288"/>
      <c r="K85" s="2288"/>
      <c r="L85" s="2288"/>
      <c r="M85" s="2288"/>
      <c r="N85" s="2288"/>
      <c r="O85" s="2288"/>
      <c r="P85" s="2288"/>
      <c r="Q85" s="2288"/>
      <c r="R85" s="2288"/>
      <c r="S85" s="2288"/>
    </row>
    <row r="86" spans="1:19" ht="15.75" thickBot="1">
      <c r="A86" s="2286"/>
      <c r="B86" s="2055"/>
      <c r="C86" s="2072"/>
      <c r="D86" s="2072"/>
      <c r="E86" s="2072"/>
      <c r="F86" s="2072"/>
      <c r="G86" s="1133"/>
      <c r="H86" s="2288"/>
      <c r="I86" s="2288"/>
      <c r="J86" s="2288"/>
      <c r="K86" s="2288"/>
      <c r="L86" s="2288"/>
      <c r="M86" s="2288"/>
      <c r="N86" s="2288"/>
      <c r="O86" s="2288"/>
      <c r="P86" s="2288"/>
      <c r="Q86" s="2288"/>
      <c r="R86" s="2288"/>
      <c r="S86" s="2288"/>
    </row>
    <row r="87" spans="1:19" ht="16.5" thickTop="1" thickBot="1">
      <c r="A87" s="726" t="s">
        <v>577</v>
      </c>
      <c r="B87" s="727"/>
      <c r="C87" s="12"/>
      <c r="D87" s="12"/>
      <c r="E87" s="12"/>
      <c r="F87" s="12"/>
      <c r="G87" s="13"/>
      <c r="H87" s="21"/>
      <c r="I87" s="21"/>
      <c r="J87" s="21"/>
      <c r="K87" s="21"/>
      <c r="L87" s="21"/>
      <c r="M87" s="21"/>
      <c r="N87" s="21"/>
      <c r="O87" s="21"/>
      <c r="P87" s="21"/>
      <c r="Q87" s="21"/>
      <c r="R87" s="21"/>
      <c r="S87" s="21"/>
    </row>
    <row r="88" spans="1:19" ht="15.75" thickTop="1">
      <c r="A88" s="2198"/>
      <c r="B88" s="2071" t="s">
        <v>578</v>
      </c>
      <c r="C88" s="2072"/>
      <c r="D88" s="2072"/>
      <c r="E88" s="2072"/>
      <c r="F88" s="2072"/>
      <c r="G88" s="1133"/>
      <c r="H88" s="2288"/>
      <c r="I88" s="2288"/>
      <c r="J88" s="2288"/>
      <c r="K88" s="2288"/>
      <c r="L88" s="2288"/>
      <c r="M88" s="2288"/>
      <c r="N88" s="2288"/>
      <c r="O88" s="2288"/>
      <c r="P88" s="2288"/>
      <c r="Q88" s="2288"/>
      <c r="R88" s="2288"/>
      <c r="S88" s="2288"/>
    </row>
    <row r="89" spans="1:19">
      <c r="A89" s="2198"/>
      <c r="B89" s="2071" t="s">
        <v>579</v>
      </c>
      <c r="C89" s="2072"/>
      <c r="D89" s="2072"/>
      <c r="E89" s="2072"/>
      <c r="F89" s="2072"/>
      <c r="G89" s="1133"/>
      <c r="H89" s="2288"/>
      <c r="I89" s="2288"/>
      <c r="J89" s="2288"/>
      <c r="K89" s="2288"/>
      <c r="L89" s="2288"/>
      <c r="M89" s="2288"/>
      <c r="N89" s="2288"/>
      <c r="O89" s="2288"/>
      <c r="P89" s="2288"/>
      <c r="Q89" s="2288"/>
      <c r="R89" s="2288"/>
      <c r="S89" s="2288"/>
    </row>
    <row r="90" spans="1:19">
      <c r="A90" s="2198"/>
      <c r="B90" s="2071" t="s">
        <v>580</v>
      </c>
      <c r="C90" s="2072"/>
      <c r="D90" s="2072"/>
      <c r="E90" s="2072"/>
      <c r="F90" s="2072"/>
      <c r="G90" s="1133"/>
      <c r="H90" s="2288"/>
      <c r="I90" s="2288"/>
      <c r="J90" s="2288"/>
      <c r="K90" s="2288"/>
      <c r="L90" s="2288"/>
      <c r="M90" s="2288"/>
      <c r="N90" s="2288"/>
      <c r="O90" s="2288"/>
      <c r="P90" s="2288"/>
      <c r="Q90" s="2288"/>
      <c r="R90" s="2288"/>
      <c r="S90" s="2288"/>
    </row>
    <row r="91" spans="1:19">
      <c r="A91" s="2198"/>
      <c r="B91" s="2071" t="s">
        <v>581</v>
      </c>
      <c r="C91" s="2072"/>
      <c r="D91" s="2072"/>
      <c r="E91" s="2072"/>
      <c r="F91" s="2072"/>
      <c r="G91" s="1133"/>
      <c r="H91" s="2288"/>
      <c r="I91" s="2288"/>
      <c r="J91" s="2288"/>
      <c r="K91" s="2288"/>
      <c r="L91" s="2288"/>
      <c r="M91" s="2288"/>
      <c r="N91" s="2288"/>
      <c r="O91" s="2288"/>
      <c r="P91" s="2288"/>
      <c r="Q91" s="2288"/>
      <c r="R91" s="2288"/>
      <c r="S91" s="2288"/>
    </row>
    <row r="92" spans="1:19" ht="15.75" thickBot="1">
      <c r="A92" s="416"/>
      <c r="B92" s="295"/>
      <c r="C92" s="184"/>
      <c r="D92" s="184"/>
      <c r="E92" s="184"/>
      <c r="F92" s="184"/>
      <c r="G92" s="296"/>
      <c r="H92" s="418"/>
      <c r="I92" s="418"/>
      <c r="J92" s="418"/>
      <c r="K92" s="418"/>
      <c r="L92" s="418"/>
      <c r="M92" s="418"/>
      <c r="N92" s="418"/>
      <c r="O92" s="418"/>
      <c r="P92" s="418"/>
      <c r="Q92" s="418"/>
      <c r="R92" s="418"/>
      <c r="S92" s="418"/>
    </row>
    <row r="93" spans="1:19" ht="16.5" thickTop="1" thickBot="1">
      <c r="A93" s="7" t="s">
        <v>582</v>
      </c>
      <c r="B93" s="8"/>
      <c r="C93" s="12"/>
      <c r="D93" s="12"/>
      <c r="E93" s="12"/>
      <c r="F93" s="12"/>
      <c r="G93" s="13"/>
      <c r="H93" s="21"/>
      <c r="I93" s="21"/>
      <c r="J93" s="21"/>
      <c r="K93" s="21"/>
      <c r="L93" s="21"/>
      <c r="M93" s="21"/>
      <c r="N93" s="21"/>
      <c r="O93" s="21"/>
      <c r="P93" s="21"/>
      <c r="Q93" s="21"/>
      <c r="R93" s="21"/>
      <c r="S93" s="21"/>
    </row>
    <row r="94" spans="1:19" ht="15.75" thickTop="1">
      <c r="A94" s="1929"/>
      <c r="B94" s="2231" t="s">
        <v>583</v>
      </c>
      <c r="C94" s="2228"/>
      <c r="D94" s="2228"/>
      <c r="E94" s="2228"/>
      <c r="F94" s="2228"/>
      <c r="G94" s="2229"/>
      <c r="H94" s="1936"/>
      <c r="I94" s="1936"/>
      <c r="J94" s="1936"/>
      <c r="K94" s="1936"/>
      <c r="L94" s="1936"/>
      <c r="M94" s="1936"/>
      <c r="N94" s="1936"/>
      <c r="O94" s="1936"/>
      <c r="P94" s="1936"/>
      <c r="Q94" s="1936"/>
      <c r="R94" s="1936"/>
      <c r="S94" s="1936"/>
    </row>
    <row r="95" spans="1:19">
      <c r="A95" s="2198"/>
      <c r="B95" s="2071" t="s">
        <v>584</v>
      </c>
      <c r="C95" s="2072"/>
      <c r="D95" s="2072"/>
      <c r="E95" s="2072"/>
      <c r="F95" s="2072"/>
      <c r="G95" s="1133"/>
      <c r="H95" s="2289"/>
      <c r="I95" s="2289"/>
      <c r="J95" s="2289"/>
      <c r="K95" s="2289"/>
      <c r="L95" s="2289"/>
      <c r="M95" s="2289"/>
      <c r="N95" s="2289"/>
      <c r="O95" s="2289"/>
      <c r="P95" s="2289"/>
      <c r="Q95" s="2289"/>
      <c r="R95" s="2289"/>
      <c r="S95" s="2289"/>
    </row>
    <row r="96" spans="1:19" ht="15.75" thickBot="1">
      <c r="A96" s="2290"/>
      <c r="B96" s="2291" t="s">
        <v>585</v>
      </c>
      <c r="C96" s="2292"/>
      <c r="D96" s="2292"/>
      <c r="E96" s="2292"/>
      <c r="F96" s="2292"/>
      <c r="G96" s="2293"/>
      <c r="H96" s="2294"/>
      <c r="I96" s="2294"/>
      <c r="J96" s="2294"/>
      <c r="K96" s="2294"/>
      <c r="L96" s="2294"/>
      <c r="M96" s="2294"/>
      <c r="N96" s="2294"/>
      <c r="O96" s="2294"/>
      <c r="P96" s="2294"/>
      <c r="Q96" s="2294"/>
      <c r="R96" s="2294"/>
      <c r="S96" s="2294"/>
    </row>
    <row r="97" spans="1:2" ht="16.5" thickTop="1" thickBot="1"/>
    <row r="98" spans="1:2" ht="16.5" thickTop="1" thickBot="1">
      <c r="A98" s="92" t="s">
        <v>586</v>
      </c>
      <c r="B98" s="94"/>
    </row>
    <row r="99" spans="1:2" ht="15.75" thickTop="1">
      <c r="A99" s="93" t="s">
        <v>487</v>
      </c>
      <c r="B99" s="2295"/>
    </row>
    <row r="100" spans="1:2">
      <c r="A100" s="2296" t="s">
        <v>491</v>
      </c>
      <c r="B100" s="2295"/>
    </row>
    <row r="101" spans="1:2">
      <c r="A101" s="2297" t="s">
        <v>494</v>
      </c>
      <c r="B101" s="2298"/>
    </row>
    <row r="102" spans="1:2">
      <c r="A102" s="2297" t="s">
        <v>497</v>
      </c>
      <c r="B102" s="2299"/>
    </row>
    <row r="103" spans="1:2" ht="15.75" thickBot="1">
      <c r="A103" s="2300" t="s">
        <v>587</v>
      </c>
      <c r="B103" s="2301">
        <f>H8</f>
        <v>121912.25</v>
      </c>
    </row>
    <row r="104" spans="1:2" ht="15.75" thickTop="1"/>
    <row r="105" spans="1:2">
      <c r="A105" s="95"/>
      <c r="B105" s="1" t="s">
        <v>588</v>
      </c>
    </row>
    <row r="106" spans="1:2">
      <c r="A106" s="96"/>
      <c r="B106" s="1" t="s">
        <v>589</v>
      </c>
    </row>
  </sheetData>
  <mergeCells count="47">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 ref="H5:I5"/>
    <mergeCell ref="J5:K5"/>
    <mergeCell ref="L5:M5"/>
    <mergeCell ref="N5:O5"/>
    <mergeCell ref="P5:Q5"/>
    <mergeCell ref="H4:I4"/>
    <mergeCell ref="J4:K4"/>
    <mergeCell ref="L4:M4"/>
    <mergeCell ref="N4:O4"/>
    <mergeCell ref="P4:Q4"/>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A71:B71"/>
    <mergeCell ref="A75:B75"/>
    <mergeCell ref="A79:B79"/>
    <mergeCell ref="A83:B83"/>
    <mergeCell ref="A87:B87"/>
  </mergeCells>
  <conditionalFormatting sqref="H20:H30">
    <cfRule type="cellIs" dxfId="979" priority="17" operator="equal">
      <formula>"X"</formula>
    </cfRule>
    <cfRule type="cellIs" dxfId="978" priority="18" operator="equal">
      <formula>"I"</formula>
    </cfRule>
  </conditionalFormatting>
  <conditionalFormatting sqref="H32:H62">
    <cfRule type="cellIs" dxfId="977" priority="1" operator="equal">
      <formula>"X"</formula>
    </cfRule>
    <cfRule type="cellIs" dxfId="976" priority="2" operator="equal">
      <formula>"I"</formula>
    </cfRule>
  </conditionalFormatting>
  <conditionalFormatting sqref="J20:J30">
    <cfRule type="cellIs" dxfId="975" priority="19" operator="equal">
      <formula>"X"</formula>
    </cfRule>
    <cfRule type="cellIs" dxfId="974" priority="20" operator="equal">
      <formula>"I"</formula>
    </cfRule>
  </conditionalFormatting>
  <conditionalFormatting sqref="J32:J62">
    <cfRule type="cellIs" dxfId="973" priority="7" operator="equal">
      <formula>"X"</formula>
    </cfRule>
    <cfRule type="cellIs" dxfId="972" priority="8" operator="equal">
      <formula>"I"</formula>
    </cfRule>
  </conditionalFormatting>
  <conditionalFormatting sqref="L20:L30">
    <cfRule type="cellIs" dxfId="971" priority="21" operator="equal">
      <formula>"X"</formula>
    </cfRule>
    <cfRule type="cellIs" dxfId="970" priority="22" operator="equal">
      <formula>"I"</formula>
    </cfRule>
  </conditionalFormatting>
  <conditionalFormatting sqref="L32:L62">
    <cfRule type="cellIs" dxfId="969" priority="9" operator="equal">
      <formula>"X"</formula>
    </cfRule>
    <cfRule type="cellIs" dxfId="968" priority="10" operator="equal">
      <formula>"I"</formula>
    </cfRule>
  </conditionalFormatting>
  <conditionalFormatting sqref="N20:N30">
    <cfRule type="cellIs" dxfId="967" priority="23" operator="equal">
      <formula>"X"</formula>
    </cfRule>
    <cfRule type="cellIs" dxfId="966" priority="24" operator="equal">
      <formula>"I"</formula>
    </cfRule>
  </conditionalFormatting>
  <conditionalFormatting sqref="N32:N62">
    <cfRule type="cellIs" dxfId="965" priority="11" operator="equal">
      <formula>"X"</formula>
    </cfRule>
    <cfRule type="cellIs" dxfId="964" priority="12" operator="equal">
      <formula>"I"</formula>
    </cfRule>
  </conditionalFormatting>
  <conditionalFormatting sqref="P20:P30">
    <cfRule type="cellIs" dxfId="963" priority="25" operator="equal">
      <formula>"X"</formula>
    </cfRule>
    <cfRule type="cellIs" dxfId="962" priority="26" operator="equal">
      <formula>"I"</formula>
    </cfRule>
  </conditionalFormatting>
  <conditionalFormatting sqref="P32:P62">
    <cfRule type="cellIs" dxfId="961" priority="13" operator="equal">
      <formula>"X"</formula>
    </cfRule>
    <cfRule type="cellIs" dxfId="960" priority="14" operator="equal">
      <formula>"I"</formula>
    </cfRule>
  </conditionalFormatting>
  <conditionalFormatting sqref="R20:R30">
    <cfRule type="cellIs" dxfId="959" priority="27" operator="equal">
      <formula>"X"</formula>
    </cfRule>
    <cfRule type="cellIs" dxfId="958" priority="28" operator="equal">
      <formula>"I"</formula>
    </cfRule>
  </conditionalFormatting>
  <conditionalFormatting sqref="R32:R62">
    <cfRule type="cellIs" dxfId="957" priority="15" operator="equal">
      <formula>"X"</formula>
    </cfRule>
    <cfRule type="cellIs" dxfId="956" priority="16" operator="equal">
      <formula>"I"</formula>
    </cfRule>
  </conditionalFormatting>
  <hyperlinks>
    <hyperlink ref="B3" location="'Cost Summary'!A1" display="BACK TO SUMMARY SHEET" xr:uid="{BF280644-87DE-4828-8438-9274B90400A1}"/>
    <hyperlink ref="H7:I7" r:id="rId1" display="mteitelbaum@consofloors.com" xr:uid="{44CD1138-3703-430A-83CE-286718E78293}"/>
  </hyperlinks>
  <pageMargins left="0.7" right="0.7" top="0.75" bottom="0.75" header="0.3" footer="0.3"/>
  <pageSetup orientation="portrait"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2542-F97A-478D-B7BC-3D52A5CB35B1}">
  <sheetPr>
    <tabColor rgb="FF92D050"/>
  </sheetPr>
  <dimension ref="A1:S108"/>
  <sheetViews>
    <sheetView zoomScale="85" zoomScaleNormal="85" workbookViewId="0">
      <pane xSplit="2" ySplit="9" topLeftCell="C20" activePane="bottomRight" state="frozen"/>
      <selection pane="bottomRight" activeCell="B32" sqref="B32"/>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4" width="8.5703125" style="2"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5"/>
      <c r="F1" s="149"/>
      <c r="G1" s="147" t="s">
        <v>474</v>
      </c>
    </row>
    <row r="2" spans="1:19" ht="15.75" thickBot="1">
      <c r="E2" s="175"/>
      <c r="F2" s="146" t="s">
        <v>475</v>
      </c>
      <c r="G2" s="147" t="s">
        <v>476</v>
      </c>
      <c r="H2" s="732"/>
      <c r="I2" s="732"/>
      <c r="J2" s="766"/>
      <c r="K2" s="766"/>
      <c r="L2" s="766"/>
      <c r="M2" s="766"/>
      <c r="N2" s="766"/>
      <c r="O2" s="766"/>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302" t="s">
        <v>489</v>
      </c>
      <c r="B5" s="2071" t="s">
        <v>1078</v>
      </c>
      <c r="C5" s="2072"/>
      <c r="D5" s="2072"/>
      <c r="E5" s="2072"/>
      <c r="F5" s="2072"/>
      <c r="G5" s="1125" t="s">
        <v>491</v>
      </c>
      <c r="H5" s="2303"/>
      <c r="I5" s="1126"/>
      <c r="J5" s="2303"/>
      <c r="K5" s="1126"/>
      <c r="L5" s="2303"/>
      <c r="M5" s="1126"/>
      <c r="N5" s="2303"/>
      <c r="O5" s="1126"/>
      <c r="P5" s="2303"/>
      <c r="Q5" s="1126"/>
      <c r="R5" s="2303"/>
      <c r="S5" s="1126"/>
    </row>
    <row r="6" spans="1:19">
      <c r="A6" s="2302" t="s">
        <v>493</v>
      </c>
      <c r="B6" s="2076" t="s">
        <v>1079</v>
      </c>
      <c r="C6" s="2072"/>
      <c r="D6" s="2072"/>
      <c r="E6" s="2072"/>
      <c r="F6" s="2072"/>
      <c r="G6" s="1125" t="s">
        <v>494</v>
      </c>
      <c r="H6" s="2304"/>
      <c r="I6" s="1129"/>
      <c r="J6" s="2304"/>
      <c r="K6" s="1129"/>
      <c r="L6" s="2304"/>
      <c r="M6" s="1129"/>
      <c r="N6" s="2304"/>
      <c r="O6" s="1129"/>
      <c r="P6" s="2304"/>
      <c r="Q6" s="1129"/>
      <c r="R6" s="2304"/>
      <c r="S6" s="1129"/>
    </row>
    <row r="7" spans="1:19">
      <c r="A7" s="2302" t="s">
        <v>496</v>
      </c>
      <c r="B7" s="2079"/>
      <c r="C7" s="2072"/>
      <c r="D7" s="2072"/>
      <c r="E7" s="2072"/>
      <c r="F7" s="2072"/>
      <c r="G7" s="1125" t="s">
        <v>497</v>
      </c>
      <c r="H7" s="2305"/>
      <c r="I7" s="1131"/>
      <c r="J7" s="2305"/>
      <c r="K7" s="1131"/>
      <c r="L7" s="2305"/>
      <c r="M7" s="1131"/>
      <c r="N7" s="2305"/>
      <c r="O7" s="1131"/>
      <c r="P7" s="2305"/>
      <c r="Q7" s="1131"/>
      <c r="R7" s="2305"/>
      <c r="S7" s="1131"/>
    </row>
    <row r="8" spans="1:19" ht="15.75" thickBot="1">
      <c r="A8" s="414" t="s">
        <v>499</v>
      </c>
      <c r="B8" s="295"/>
      <c r="C8" s="184"/>
      <c r="D8" s="184"/>
      <c r="E8" s="184"/>
      <c r="F8" s="184"/>
      <c r="G8" s="419" t="s">
        <v>499</v>
      </c>
      <c r="H8" s="2306"/>
      <c r="I8" s="2307"/>
      <c r="J8" s="2306"/>
      <c r="K8" s="2307"/>
      <c r="L8" s="2306"/>
      <c r="M8" s="2307"/>
      <c r="N8" s="2306"/>
      <c r="O8" s="2307"/>
      <c r="P8" s="2306"/>
      <c r="Q8" s="2307"/>
      <c r="R8" s="2306"/>
      <c r="S8" s="230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308"/>
      <c r="B10" s="2233" t="s">
        <v>508</v>
      </c>
      <c r="C10" s="2072"/>
      <c r="D10" s="2072"/>
      <c r="E10" s="2072"/>
      <c r="F10" s="2072"/>
      <c r="G10" s="1133"/>
      <c r="H10" s="2309"/>
      <c r="I10" s="2309"/>
      <c r="J10" s="2309"/>
      <c r="K10" s="2309"/>
      <c r="L10" s="2309"/>
      <c r="M10" s="2309"/>
      <c r="N10" s="2309"/>
      <c r="O10" s="2309"/>
      <c r="P10" s="2309"/>
      <c r="Q10" s="2309"/>
      <c r="R10" s="2309"/>
      <c r="S10" s="2309"/>
    </row>
    <row r="11" spans="1:19" hidden="1">
      <c r="A11" s="2308"/>
      <c r="B11" s="2071" t="str">
        <f>'Area Calculations'!M62</f>
        <v>Architectural Drawings  by</v>
      </c>
      <c r="C11" s="2087" t="s">
        <v>509</v>
      </c>
      <c r="D11" s="2072"/>
      <c r="E11" s="2072"/>
      <c r="F11" s="2072"/>
      <c r="G11" s="1133"/>
      <c r="H11" s="2309"/>
      <c r="I11" s="2309"/>
      <c r="J11" s="2309"/>
      <c r="K11" s="2309"/>
      <c r="L11" s="2309"/>
      <c r="M11" s="2309"/>
      <c r="N11" s="2309"/>
      <c r="O11" s="2309"/>
      <c r="P11" s="2309"/>
      <c r="Q11" s="2309"/>
      <c r="R11" s="2309"/>
      <c r="S11" s="2309"/>
    </row>
    <row r="12" spans="1:19" hidden="1">
      <c r="A12" s="2308"/>
      <c r="B12" s="2071" t="str">
        <f>'Area Calculations'!M63</f>
        <v>Structural Drawings by</v>
      </c>
      <c r="C12" s="2087" t="s">
        <v>509</v>
      </c>
      <c r="D12" s="2072"/>
      <c r="E12" s="2072"/>
      <c r="F12" s="2072"/>
      <c r="G12" s="1133"/>
      <c r="H12" s="2309"/>
      <c r="I12" s="2309"/>
      <c r="J12" s="2309"/>
      <c r="K12" s="2309"/>
      <c r="L12" s="2309"/>
      <c r="M12" s="2309"/>
      <c r="N12" s="2309"/>
      <c r="O12" s="2309"/>
      <c r="P12" s="2309"/>
      <c r="Q12" s="2309"/>
      <c r="R12" s="2309"/>
      <c r="S12" s="2309"/>
    </row>
    <row r="13" spans="1:19" hidden="1">
      <c r="A13" s="2308"/>
      <c r="B13" s="2071" t="str">
        <f>'Area Calculations'!M64</f>
        <v>MEP FA FP Drawings by</v>
      </c>
      <c r="C13" s="2087" t="s">
        <v>509</v>
      </c>
      <c r="D13" s="2072"/>
      <c r="E13" s="2072"/>
      <c r="F13" s="2072"/>
      <c r="G13" s="1133"/>
      <c r="H13" s="2309"/>
      <c r="I13" s="2309"/>
      <c r="J13" s="2309"/>
      <c r="K13" s="2309"/>
      <c r="L13" s="2309"/>
      <c r="M13" s="2309"/>
      <c r="N13" s="2309"/>
      <c r="O13" s="2309"/>
      <c r="P13" s="2309"/>
      <c r="Q13" s="2309"/>
      <c r="R13" s="2309"/>
      <c r="S13" s="2309"/>
    </row>
    <row r="14" spans="1:19" hidden="1">
      <c r="A14" s="2308"/>
      <c r="B14" s="2071" t="str">
        <f>'Area Calculations'!M65</f>
        <v xml:space="preserve">Civil Drawings by </v>
      </c>
      <c r="C14" s="2087" t="s">
        <v>509</v>
      </c>
      <c r="D14" s="2072"/>
      <c r="E14" s="2072"/>
      <c r="F14" s="2072"/>
      <c r="G14" s="1133"/>
      <c r="H14" s="2309"/>
      <c r="I14" s="2309"/>
      <c r="J14" s="2309"/>
      <c r="K14" s="2309"/>
      <c r="L14" s="2309"/>
      <c r="M14" s="2309"/>
      <c r="N14" s="2309"/>
      <c r="O14" s="2309"/>
      <c r="P14" s="2309"/>
      <c r="Q14" s="2309"/>
      <c r="R14" s="2309"/>
      <c r="S14" s="2309"/>
    </row>
    <row r="15" spans="1:19" hidden="1">
      <c r="A15" s="2308"/>
      <c r="B15" s="2071" t="str">
        <f>'Area Calculations'!M66</f>
        <v>Land scape Drawings by</v>
      </c>
      <c r="C15" s="2087" t="s">
        <v>509</v>
      </c>
      <c r="D15" s="2072"/>
      <c r="E15" s="2072"/>
      <c r="F15" s="2072"/>
      <c r="G15" s="1133"/>
      <c r="H15" s="2309"/>
      <c r="I15" s="2309"/>
      <c r="J15" s="2309"/>
      <c r="K15" s="2309"/>
      <c r="L15" s="2309"/>
      <c r="M15" s="2309"/>
      <c r="N15" s="2309"/>
      <c r="O15" s="2309"/>
      <c r="P15" s="2309"/>
      <c r="Q15" s="2309"/>
      <c r="R15" s="2309"/>
      <c r="S15" s="2309"/>
    </row>
    <row r="16" spans="1:19" hidden="1">
      <c r="A16" s="2308"/>
      <c r="B16" s="2071" t="str">
        <f>'Area Calculations'!M67</f>
        <v>Kitchen Drawings by</v>
      </c>
      <c r="C16" s="2087" t="s">
        <v>509</v>
      </c>
      <c r="D16" s="2072"/>
      <c r="E16" s="2072"/>
      <c r="F16" s="2072"/>
      <c r="G16" s="1133"/>
      <c r="H16" s="2309"/>
      <c r="I16" s="2309"/>
      <c r="J16" s="2309"/>
      <c r="K16" s="2309"/>
      <c r="L16" s="2309"/>
      <c r="M16" s="2309"/>
      <c r="N16" s="2309"/>
      <c r="O16" s="2309"/>
      <c r="P16" s="2309"/>
      <c r="Q16" s="2309"/>
      <c r="R16" s="2309"/>
      <c r="S16" s="2309"/>
    </row>
    <row r="17" spans="1:19" hidden="1">
      <c r="A17" s="2308"/>
      <c r="B17" s="2071" t="str">
        <f>'Area Calculations'!M68</f>
        <v>Storefront Designer by</v>
      </c>
      <c r="C17" s="2087" t="s">
        <v>509</v>
      </c>
      <c r="D17" s="2072"/>
      <c r="E17" s="2072"/>
      <c r="F17" s="2072"/>
      <c r="G17" s="1133"/>
      <c r="H17" s="2309"/>
      <c r="I17" s="2309"/>
      <c r="J17" s="2309"/>
      <c r="K17" s="2309"/>
      <c r="L17" s="2309"/>
      <c r="M17" s="2309"/>
      <c r="N17" s="2309"/>
      <c r="O17" s="2309"/>
      <c r="P17" s="2309"/>
      <c r="Q17" s="2309"/>
      <c r="R17" s="2309"/>
      <c r="S17" s="2309"/>
    </row>
    <row r="18" spans="1:19" hidden="1">
      <c r="A18" s="2308"/>
      <c r="B18" s="2071" t="str">
        <f>'Area Calculations'!M69</f>
        <v>Geotech report by</v>
      </c>
      <c r="C18" s="2087" t="s">
        <v>509</v>
      </c>
      <c r="D18" s="2072"/>
      <c r="E18" s="2072"/>
      <c r="F18" s="2072"/>
      <c r="G18" s="1133"/>
      <c r="H18" s="2309"/>
      <c r="I18" s="2309"/>
      <c r="J18" s="2309"/>
      <c r="K18" s="2309"/>
      <c r="L18" s="2309"/>
      <c r="M18" s="2309"/>
      <c r="N18" s="2309"/>
      <c r="O18" s="2309"/>
      <c r="P18" s="2309"/>
      <c r="Q18" s="2309"/>
      <c r="R18" s="2309"/>
      <c r="S18" s="2309"/>
    </row>
    <row r="19" spans="1:19" hidden="1">
      <c r="A19" s="2308"/>
      <c r="B19" s="2071" t="str">
        <f>'Area Calculations'!M70</f>
        <v>Specifications</v>
      </c>
      <c r="C19" s="2087" t="s">
        <v>509</v>
      </c>
      <c r="D19" s="2072"/>
      <c r="E19" s="2072"/>
      <c r="F19" s="2072"/>
      <c r="G19" s="1133"/>
      <c r="H19" s="2309"/>
      <c r="I19" s="2309"/>
      <c r="J19" s="2309"/>
      <c r="K19" s="2309"/>
      <c r="L19" s="2309"/>
      <c r="M19" s="2309"/>
      <c r="N19" s="2309"/>
      <c r="O19" s="2309"/>
      <c r="P19" s="2309"/>
      <c r="Q19" s="2309"/>
      <c r="R19" s="2309"/>
      <c r="S19" s="2309"/>
    </row>
    <row r="20" spans="1:19" ht="15.75" thickTop="1">
      <c r="A20" s="2308"/>
      <c r="B20" s="2071"/>
      <c r="C20" s="2087"/>
      <c r="D20" s="2072"/>
      <c r="E20" s="2072"/>
      <c r="F20" s="2072"/>
      <c r="G20" s="1133"/>
      <c r="H20" s="2310"/>
      <c r="I20" s="2309"/>
      <c r="J20" s="2310"/>
      <c r="K20" s="2309"/>
      <c r="L20" s="2310"/>
      <c r="M20" s="2309"/>
      <c r="N20" s="2310"/>
      <c r="O20" s="2309"/>
      <c r="P20" s="2310"/>
      <c r="Q20" s="2309"/>
      <c r="R20" s="2310"/>
      <c r="S20" s="2309"/>
    </row>
    <row r="21" spans="1:19" ht="15.75" thickBot="1">
      <c r="A21" s="59"/>
      <c r="B21" s="2089" t="s">
        <v>1078</v>
      </c>
      <c r="C21" s="56"/>
      <c r="D21" s="57"/>
      <c r="E21" s="57"/>
      <c r="F21" s="57"/>
      <c r="G21" s="63"/>
      <c r="H21" s="2310"/>
      <c r="I21" s="2309"/>
      <c r="J21" s="2310"/>
      <c r="K21" s="2309"/>
      <c r="L21" s="2310"/>
      <c r="M21" s="2309"/>
      <c r="N21" s="2310"/>
      <c r="O21" s="2309"/>
      <c r="P21" s="2310"/>
      <c r="Q21" s="2309"/>
      <c r="R21" s="2310"/>
      <c r="S21" s="2309"/>
    </row>
    <row r="22" spans="1:19" ht="15.75" thickBot="1">
      <c r="A22" s="640"/>
      <c r="B22" s="374" t="s">
        <v>512</v>
      </c>
      <c r="C22" s="2087"/>
      <c r="D22" s="2072"/>
      <c r="E22" s="2072"/>
      <c r="F22" s="2072"/>
      <c r="G22" s="1133"/>
      <c r="H22" s="2310"/>
      <c r="I22" s="2289"/>
      <c r="J22" s="2310"/>
      <c r="K22" s="1178"/>
      <c r="L22" s="2310"/>
      <c r="M22" s="1178"/>
      <c r="N22" s="2310"/>
      <c r="O22" s="1178"/>
      <c r="P22" s="2310"/>
      <c r="Q22" s="1178"/>
      <c r="R22" s="2310"/>
      <c r="S22" s="1178"/>
    </row>
    <row r="23" spans="1:19">
      <c r="A23" s="640"/>
      <c r="B23" s="1422" t="s">
        <v>513</v>
      </c>
      <c r="C23" s="2092"/>
      <c r="D23" s="1426"/>
      <c r="E23" s="2072"/>
      <c r="F23" s="2072"/>
      <c r="G23" s="1133"/>
      <c r="H23" s="2310"/>
      <c r="I23" s="2311"/>
      <c r="J23" s="2310"/>
      <c r="K23" s="1982"/>
      <c r="L23" s="2310"/>
      <c r="M23" s="1982"/>
      <c r="N23" s="2310"/>
      <c r="O23" s="1178"/>
      <c r="P23" s="2310"/>
      <c r="Q23" s="1178"/>
      <c r="R23" s="2310"/>
      <c r="S23" s="1178"/>
    </row>
    <row r="24" spans="1:19">
      <c r="A24" s="640"/>
      <c r="B24" s="1963" t="s">
        <v>514</v>
      </c>
      <c r="C24" s="2092"/>
      <c r="D24" s="1426"/>
      <c r="E24" s="2072"/>
      <c r="F24" s="2072"/>
      <c r="G24" s="1133"/>
      <c r="H24" s="2310"/>
      <c r="I24" s="2202"/>
      <c r="J24" s="2310"/>
      <c r="K24" s="2148"/>
      <c r="L24" s="2310"/>
      <c r="M24" s="2148"/>
      <c r="N24" s="2310"/>
      <c r="O24" s="2202"/>
      <c r="P24" s="2310"/>
      <c r="Q24" s="2202"/>
      <c r="R24" s="2310"/>
      <c r="S24" s="2202"/>
    </row>
    <row r="25" spans="1:19">
      <c r="A25" s="640"/>
      <c r="B25" s="1965" t="s">
        <v>515</v>
      </c>
      <c r="C25" s="1133"/>
      <c r="D25" s="2072"/>
      <c r="E25" s="2072"/>
      <c r="F25" s="2072"/>
      <c r="G25" s="1133"/>
      <c r="H25" s="2310"/>
      <c r="I25" s="2202"/>
      <c r="J25" s="2310"/>
      <c r="K25" s="2202"/>
      <c r="L25" s="2310"/>
      <c r="M25" s="2148"/>
      <c r="N25" s="2310"/>
      <c r="O25" s="2202"/>
      <c r="P25" s="2310"/>
      <c r="Q25" s="2202"/>
      <c r="R25" s="2310"/>
      <c r="S25" s="2202"/>
    </row>
    <row r="26" spans="1:19">
      <c r="A26" s="640"/>
      <c r="B26" s="1965" t="s">
        <v>516</v>
      </c>
      <c r="C26" s="1133"/>
      <c r="D26" s="2072"/>
      <c r="E26" s="2072"/>
      <c r="F26" s="2072"/>
      <c r="G26" s="1133"/>
      <c r="H26" s="2310"/>
      <c r="I26" s="2148"/>
      <c r="J26" s="2310"/>
      <c r="K26" s="2148"/>
      <c r="L26" s="2310"/>
      <c r="M26" s="2148"/>
      <c r="N26" s="2310"/>
      <c r="O26" s="2148"/>
      <c r="P26" s="2310"/>
      <c r="Q26" s="2148"/>
      <c r="R26" s="2310"/>
      <c r="S26" s="2148"/>
    </row>
    <row r="27" spans="1:19" hidden="1">
      <c r="A27" s="640"/>
      <c r="B27" s="1965" t="s">
        <v>517</v>
      </c>
      <c r="C27" s="1133"/>
      <c r="D27" s="2072"/>
      <c r="E27" s="2072"/>
      <c r="F27" s="2072"/>
      <c r="G27" s="1133"/>
      <c r="H27" s="2310"/>
      <c r="I27" s="2148"/>
      <c r="J27" s="2310"/>
      <c r="K27" s="2148"/>
      <c r="L27" s="2310"/>
      <c r="M27" s="2148"/>
      <c r="N27" s="2310"/>
      <c r="O27" s="2148"/>
      <c r="P27" s="2310"/>
      <c r="Q27" s="2148"/>
      <c r="R27" s="2310"/>
      <c r="S27" s="2148"/>
    </row>
    <row r="28" spans="1:19">
      <c r="A28" s="640"/>
      <c r="B28" s="1965" t="s">
        <v>518</v>
      </c>
      <c r="C28" s="1133"/>
      <c r="D28" s="2072"/>
      <c r="E28" s="2072"/>
      <c r="F28" s="2072"/>
      <c r="G28" s="1133"/>
      <c r="H28" s="2310"/>
      <c r="I28" s="2148"/>
      <c r="J28" s="2310"/>
      <c r="K28" s="2148"/>
      <c r="L28" s="2310"/>
      <c r="M28" s="2148"/>
      <c r="N28" s="2310"/>
      <c r="O28" s="2148"/>
      <c r="P28" s="2310"/>
      <c r="Q28" s="2148"/>
      <c r="R28" s="2310"/>
      <c r="S28" s="2148"/>
    </row>
    <row r="29" spans="1:19">
      <c r="A29" s="640"/>
      <c r="B29" s="1965" t="s">
        <v>693</v>
      </c>
      <c r="C29" s="1133"/>
      <c r="D29" s="2072"/>
      <c r="E29" s="2072"/>
      <c r="F29" s="2072"/>
      <c r="G29" s="1133"/>
      <c r="H29" s="2310"/>
      <c r="I29" s="2148"/>
      <c r="J29" s="2310"/>
      <c r="K29" s="2148"/>
      <c r="L29" s="2310"/>
      <c r="M29" s="2148"/>
      <c r="N29" s="2310"/>
      <c r="O29" s="2148"/>
      <c r="P29" s="2310"/>
      <c r="Q29" s="2148"/>
      <c r="R29" s="2310"/>
      <c r="S29" s="2148"/>
    </row>
    <row r="30" spans="1:19">
      <c r="A30" s="640"/>
      <c r="B30" s="1966" t="s">
        <v>519</v>
      </c>
      <c r="C30" s="1133"/>
      <c r="D30" s="2072"/>
      <c r="E30" s="2072"/>
      <c r="F30" s="2072"/>
      <c r="G30" s="1133"/>
      <c r="H30" s="2310"/>
      <c r="I30" s="2148"/>
      <c r="J30" s="2310"/>
      <c r="K30" s="2148"/>
      <c r="L30" s="2310"/>
      <c r="M30" s="2148"/>
      <c r="N30" s="2310"/>
      <c r="O30" s="2148"/>
      <c r="P30" s="2310"/>
      <c r="Q30" s="2148"/>
      <c r="R30" s="2310"/>
      <c r="S30" s="2148"/>
    </row>
    <row r="31" spans="1:19">
      <c r="A31" s="640"/>
      <c r="B31" s="2312" t="s">
        <v>520</v>
      </c>
      <c r="C31" s="1147"/>
      <c r="D31" s="2117"/>
      <c r="E31" s="2117"/>
      <c r="F31" s="2117"/>
      <c r="G31" s="2118"/>
      <c r="H31" s="2313"/>
      <c r="I31" s="2208"/>
      <c r="J31" s="2313"/>
      <c r="K31" s="2208"/>
      <c r="L31" s="2313"/>
      <c r="M31" s="2208"/>
      <c r="N31" s="2313"/>
      <c r="O31" s="2208"/>
      <c r="P31" s="2313"/>
      <c r="Q31" s="2208"/>
      <c r="R31" s="2313"/>
      <c r="S31" s="2208"/>
    </row>
    <row r="32" spans="1:19">
      <c r="A32" s="640"/>
      <c r="B32" s="2266" t="s">
        <v>748</v>
      </c>
      <c r="C32" s="1133"/>
      <c r="D32" s="2072"/>
      <c r="E32" s="2072"/>
      <c r="F32" s="2072"/>
      <c r="G32" s="1133"/>
      <c r="H32" s="2310"/>
      <c r="I32" s="2148"/>
      <c r="J32" s="2310"/>
      <c r="K32" s="2148"/>
      <c r="L32" s="2310"/>
      <c r="M32" s="2148"/>
      <c r="N32" s="2310"/>
      <c r="O32" s="2148"/>
      <c r="P32" s="2310"/>
      <c r="Q32" s="2148"/>
      <c r="R32" s="2310"/>
      <c r="S32" s="2148"/>
    </row>
    <row r="33" spans="1:19">
      <c r="A33" s="640"/>
      <c r="B33" s="2209" t="s">
        <v>288</v>
      </c>
      <c r="C33" s="1133"/>
      <c r="D33" s="2072"/>
      <c r="E33" s="2072"/>
      <c r="F33" s="2072"/>
      <c r="G33" s="1133"/>
      <c r="H33" s="2310"/>
      <c r="I33" s="2148"/>
      <c r="J33" s="2310"/>
      <c r="K33" s="2148"/>
      <c r="L33" s="2310"/>
      <c r="M33" s="2148"/>
      <c r="N33" s="2310"/>
      <c r="O33" s="2148"/>
      <c r="P33" s="2310"/>
      <c r="Q33" s="2148"/>
      <c r="R33" s="2310"/>
      <c r="S33" s="2148"/>
    </row>
    <row r="34" spans="1:19">
      <c r="A34" s="640"/>
      <c r="B34" s="2314"/>
      <c r="D34" s="2121"/>
      <c r="E34" s="2072"/>
      <c r="F34" s="2122"/>
      <c r="G34" s="2123"/>
      <c r="H34" s="2310"/>
      <c r="I34" s="2148"/>
      <c r="J34" s="2310"/>
      <c r="K34" s="2148"/>
      <c r="L34" s="2310"/>
      <c r="M34" s="2148"/>
      <c r="N34" s="2310"/>
      <c r="O34" s="2148"/>
      <c r="P34" s="2310"/>
      <c r="Q34" s="2148"/>
      <c r="R34" s="2310"/>
      <c r="S34" s="2148"/>
    </row>
    <row r="35" spans="1:19">
      <c r="A35" s="640"/>
      <c r="B35" s="2314"/>
      <c r="C35" s="1133"/>
      <c r="D35" s="2072"/>
      <c r="E35" s="2072"/>
      <c r="F35" s="2122"/>
      <c r="G35" s="2123"/>
      <c r="H35" s="2310"/>
      <c r="I35" s="2148"/>
      <c r="J35" s="2310"/>
      <c r="K35" s="2148"/>
      <c r="L35" s="2310"/>
      <c r="M35" s="2148"/>
      <c r="N35" s="2310"/>
      <c r="O35" s="2148"/>
      <c r="P35" s="2310"/>
      <c r="Q35" s="2148"/>
      <c r="R35" s="2310"/>
      <c r="S35" s="2148"/>
    </row>
    <row r="36" spans="1:19">
      <c r="A36" s="640"/>
      <c r="B36" s="2314"/>
      <c r="C36" s="1133"/>
      <c r="D36" s="2072"/>
      <c r="E36" s="2072"/>
      <c r="F36" s="2072"/>
      <c r="G36" s="1133"/>
      <c r="H36" s="2310"/>
      <c r="I36" s="2148"/>
      <c r="J36" s="2310"/>
      <c r="K36" s="2148"/>
      <c r="L36" s="2310"/>
      <c r="M36" s="2148"/>
      <c r="N36" s="2310"/>
      <c r="O36" s="2148"/>
      <c r="P36" s="2310"/>
      <c r="Q36" s="2148"/>
      <c r="R36" s="2310"/>
      <c r="S36" s="2148"/>
    </row>
    <row r="37" spans="1:19">
      <c r="A37" s="640"/>
      <c r="B37" s="2314"/>
      <c r="C37" s="1133"/>
      <c r="D37" s="2072"/>
      <c r="E37" s="2072"/>
      <c r="F37" s="2072"/>
      <c r="G37" s="1133"/>
      <c r="H37" s="2310"/>
      <c r="I37" s="2148"/>
      <c r="J37" s="2310"/>
      <c r="K37" s="2148"/>
      <c r="L37" s="2310"/>
      <c r="M37" s="2148"/>
      <c r="N37" s="2310"/>
      <c r="O37" s="2148"/>
      <c r="P37" s="2310"/>
      <c r="Q37" s="2148"/>
      <c r="R37" s="2310"/>
      <c r="S37" s="2148"/>
    </row>
    <row r="38" spans="1:19">
      <c r="A38" s="640"/>
      <c r="B38" s="2314"/>
      <c r="C38" s="1133"/>
      <c r="D38" s="2072"/>
      <c r="E38" s="2072"/>
      <c r="F38" s="2072"/>
      <c r="G38" s="1133"/>
      <c r="H38" s="2310"/>
      <c r="I38" s="2148"/>
      <c r="J38" s="2310"/>
      <c r="K38" s="2148"/>
      <c r="L38" s="2310"/>
      <c r="M38" s="2148"/>
      <c r="N38" s="2310"/>
      <c r="O38" s="2148"/>
      <c r="P38" s="2310"/>
      <c r="Q38" s="2148"/>
      <c r="R38" s="2310"/>
      <c r="S38" s="2148"/>
    </row>
    <row r="39" spans="1:19">
      <c r="A39" s="640"/>
      <c r="B39" s="2225"/>
      <c r="C39" s="1133"/>
      <c r="D39" s="2072"/>
      <c r="E39" s="2072"/>
      <c r="F39" s="2072"/>
      <c r="G39" s="1133"/>
      <c r="H39" s="2310"/>
      <c r="I39" s="2148"/>
      <c r="J39" s="2310"/>
      <c r="K39" s="2148"/>
      <c r="L39" s="2310"/>
      <c r="M39" s="2148"/>
      <c r="N39" s="2310"/>
      <c r="O39" s="2148"/>
      <c r="P39" s="2310"/>
      <c r="Q39" s="2148"/>
      <c r="R39" s="2310"/>
      <c r="S39" s="2148"/>
    </row>
    <row r="40" spans="1:19">
      <c r="A40" s="640"/>
      <c r="B40" s="2268"/>
      <c r="C40" s="1133"/>
      <c r="D40" s="2072"/>
      <c r="E40" s="2072"/>
      <c r="F40" s="2072"/>
      <c r="G40" s="1133"/>
      <c r="H40" s="2310"/>
      <c r="I40" s="2148"/>
      <c r="J40" s="2310"/>
      <c r="K40" s="2148"/>
      <c r="L40" s="2310"/>
      <c r="M40" s="2148"/>
      <c r="N40" s="2310"/>
      <c r="O40" s="2148"/>
      <c r="P40" s="2310"/>
      <c r="Q40" s="2148"/>
      <c r="R40" s="2310"/>
      <c r="S40" s="2148"/>
    </row>
    <row r="41" spans="1:19">
      <c r="A41" s="640"/>
      <c r="B41" s="2268"/>
      <c r="C41" s="1133"/>
      <c r="D41" s="2072"/>
      <c r="E41" s="2072"/>
      <c r="F41" s="2072"/>
      <c r="G41" s="1133"/>
      <c r="H41" s="2310"/>
      <c r="I41" s="2148"/>
      <c r="J41" s="2310"/>
      <c r="K41" s="2148"/>
      <c r="L41" s="2310"/>
      <c r="M41" s="2148"/>
      <c r="N41" s="2310"/>
      <c r="O41" s="2148"/>
      <c r="P41" s="2310"/>
      <c r="Q41" s="2148"/>
      <c r="R41" s="2310"/>
      <c r="S41" s="2148"/>
    </row>
    <row r="42" spans="1:19">
      <c r="A42" s="640"/>
      <c r="B42" s="2266"/>
      <c r="C42" s="1133"/>
      <c r="D42" s="2072"/>
      <c r="E42" s="2072"/>
      <c r="F42" s="2072"/>
      <c r="G42" s="1133"/>
      <c r="H42" s="2310"/>
      <c r="I42" s="2148"/>
      <c r="J42" s="2310"/>
      <c r="K42" s="2148"/>
      <c r="L42" s="2310"/>
      <c r="M42" s="2148"/>
      <c r="N42" s="2310"/>
      <c r="O42" s="2148"/>
      <c r="P42" s="2310"/>
      <c r="Q42" s="2148"/>
      <c r="R42" s="2310"/>
      <c r="S42" s="2148"/>
    </row>
    <row r="43" spans="1:19">
      <c r="A43" s="640"/>
      <c r="B43" s="2266"/>
      <c r="C43" s="1133"/>
      <c r="D43" s="2072"/>
      <c r="E43" s="2072"/>
      <c r="F43" s="2072"/>
      <c r="G43" s="1133"/>
      <c r="H43" s="2310"/>
      <c r="I43" s="2148"/>
      <c r="J43" s="2310"/>
      <c r="K43" s="2148"/>
      <c r="L43" s="2310"/>
      <c r="M43" s="2148"/>
      <c r="N43" s="2310"/>
      <c r="O43" s="2148"/>
      <c r="P43" s="2310"/>
      <c r="Q43" s="2148"/>
      <c r="R43" s="2310"/>
      <c r="S43" s="2148"/>
    </row>
    <row r="44" spans="1:19">
      <c r="A44" s="640"/>
      <c r="B44" s="2209"/>
      <c r="C44" s="1133"/>
      <c r="D44" s="2072"/>
      <c r="E44" s="2072"/>
      <c r="F44" s="2072"/>
      <c r="G44" s="1133"/>
      <c r="H44" s="2310"/>
      <c r="I44" s="2148"/>
      <c r="J44" s="2310"/>
      <c r="K44" s="2148"/>
      <c r="L44" s="2310"/>
      <c r="M44" s="2148"/>
      <c r="N44" s="2310"/>
      <c r="O44" s="2148"/>
      <c r="P44" s="2310"/>
      <c r="Q44" s="2148"/>
      <c r="R44" s="2310"/>
      <c r="S44" s="2148"/>
    </row>
    <row r="45" spans="1:19">
      <c r="A45" s="640"/>
      <c r="B45" s="2267"/>
      <c r="C45" s="1133"/>
      <c r="D45" s="2072"/>
      <c r="E45" s="2072"/>
      <c r="F45" s="2072"/>
      <c r="G45" s="1133"/>
      <c r="H45" s="2310"/>
      <c r="I45" s="2148"/>
      <c r="J45" s="2310"/>
      <c r="K45" s="2148"/>
      <c r="L45" s="2310"/>
      <c r="M45" s="2148"/>
      <c r="N45" s="2310"/>
      <c r="O45" s="2148"/>
      <c r="P45" s="2310"/>
      <c r="Q45" s="2148"/>
      <c r="R45" s="2310"/>
      <c r="S45" s="2148"/>
    </row>
    <row r="46" spans="1:19">
      <c r="A46" s="640"/>
      <c r="B46" s="2225"/>
      <c r="C46" s="1133"/>
      <c r="D46" s="2072"/>
      <c r="E46" s="2072"/>
      <c r="F46" s="2072"/>
      <c r="G46" s="1133"/>
      <c r="H46" s="2310"/>
      <c r="I46" s="2148"/>
      <c r="J46" s="2310"/>
      <c r="K46" s="2148"/>
      <c r="L46" s="2310"/>
      <c r="M46" s="2148"/>
      <c r="N46" s="2310"/>
      <c r="O46" s="2148"/>
      <c r="P46" s="2310"/>
      <c r="Q46" s="2148"/>
      <c r="R46" s="2310"/>
      <c r="S46" s="2148"/>
    </row>
    <row r="47" spans="1:19">
      <c r="A47" s="640"/>
      <c r="B47" s="2268"/>
      <c r="C47" s="1133"/>
      <c r="D47" s="2072"/>
      <c r="E47" s="2072"/>
      <c r="F47" s="2072"/>
      <c r="G47" s="1133"/>
      <c r="H47" s="2310" t="s">
        <v>710</v>
      </c>
      <c r="I47" s="2148"/>
      <c r="J47" s="2310"/>
      <c r="K47" s="2148"/>
      <c r="L47" s="2310"/>
      <c r="M47" s="2148"/>
      <c r="N47" s="2310"/>
      <c r="O47" s="2148"/>
      <c r="P47" s="2310"/>
      <c r="Q47" s="2148"/>
      <c r="R47" s="2310"/>
      <c r="S47" s="2148"/>
    </row>
    <row r="48" spans="1:19">
      <c r="A48" s="640"/>
      <c r="B48" s="2225"/>
      <c r="C48" s="1133"/>
      <c r="D48" s="2072"/>
      <c r="E48" s="2072"/>
      <c r="F48" s="2072"/>
      <c r="G48" s="1133"/>
      <c r="H48" s="2310"/>
      <c r="I48" s="2148"/>
      <c r="J48" s="2310"/>
      <c r="K48" s="2148"/>
      <c r="L48" s="2310"/>
      <c r="M48" s="2148"/>
      <c r="N48" s="2310"/>
      <c r="O48" s="2148"/>
      <c r="P48" s="2310"/>
      <c r="Q48" s="2148"/>
      <c r="R48" s="2310"/>
      <c r="S48" s="2148"/>
    </row>
    <row r="49" spans="1:19">
      <c r="A49" s="640"/>
      <c r="B49" s="2225"/>
      <c r="C49" s="1133"/>
      <c r="D49" s="2072"/>
      <c r="E49" s="2072"/>
      <c r="F49" s="2072"/>
      <c r="G49" s="1133"/>
      <c r="H49" s="2310"/>
      <c r="I49" s="2148"/>
      <c r="J49" s="2310"/>
      <c r="K49" s="2148"/>
      <c r="L49" s="2310"/>
      <c r="M49" s="2148"/>
      <c r="N49" s="2310"/>
      <c r="O49" s="2148"/>
      <c r="P49" s="2310"/>
      <c r="Q49" s="2148"/>
      <c r="R49" s="2310"/>
      <c r="S49" s="2148"/>
    </row>
    <row r="50" spans="1:19">
      <c r="A50" s="640"/>
      <c r="B50" s="2268"/>
      <c r="C50" s="1133"/>
      <c r="D50" s="2072"/>
      <c r="E50" s="2072"/>
      <c r="F50" s="2072"/>
      <c r="G50" s="1133"/>
      <c r="H50" s="2310"/>
      <c r="I50" s="2148"/>
      <c r="J50" s="2310"/>
      <c r="K50" s="2148"/>
      <c r="L50" s="2310"/>
      <c r="M50" s="2148"/>
      <c r="N50" s="2310"/>
      <c r="O50" s="2148"/>
      <c r="P50" s="2310"/>
      <c r="Q50" s="2148"/>
      <c r="R50" s="2310"/>
      <c r="S50" s="2148"/>
    </row>
    <row r="51" spans="1:19">
      <c r="A51" s="640"/>
      <c r="B51" s="2225"/>
      <c r="C51" s="1133"/>
      <c r="D51" s="2072"/>
      <c r="E51" s="2072"/>
      <c r="F51" s="2072"/>
      <c r="G51" s="1133"/>
      <c r="H51" s="2310"/>
      <c r="I51" s="2148"/>
      <c r="J51" s="2310"/>
      <c r="K51" s="2148"/>
      <c r="L51" s="2310"/>
      <c r="M51" s="2148"/>
      <c r="N51" s="2310"/>
      <c r="O51" s="2148"/>
      <c r="P51" s="2310"/>
      <c r="Q51" s="2148"/>
      <c r="R51" s="2310"/>
      <c r="S51" s="2148"/>
    </row>
    <row r="52" spans="1:19">
      <c r="A52" s="640"/>
      <c r="B52" s="2209"/>
      <c r="C52" s="1133"/>
      <c r="D52" s="2072"/>
      <c r="E52" s="2072"/>
      <c r="F52" s="2072"/>
      <c r="G52" s="1133"/>
      <c r="H52" s="2310"/>
      <c r="I52" s="2148"/>
      <c r="J52" s="2310"/>
      <c r="K52" s="2148"/>
      <c r="L52" s="2310"/>
      <c r="M52" s="2148"/>
      <c r="N52" s="2310"/>
      <c r="O52" s="2148"/>
      <c r="P52" s="2310"/>
      <c r="Q52" s="2148"/>
      <c r="R52" s="2310"/>
      <c r="S52" s="2148"/>
    </row>
    <row r="53" spans="1:19">
      <c r="A53" s="640"/>
      <c r="B53" s="2266"/>
      <c r="C53" s="1133"/>
      <c r="D53" s="2072"/>
      <c r="E53" s="2072"/>
      <c r="F53" s="2072"/>
      <c r="G53" s="1133"/>
      <c r="H53" s="2310"/>
      <c r="I53" s="2148"/>
      <c r="J53" s="2310"/>
      <c r="K53" s="2148"/>
      <c r="L53" s="2310"/>
      <c r="M53" s="2148"/>
      <c r="N53" s="2310"/>
      <c r="O53" s="2148"/>
      <c r="P53" s="2310"/>
      <c r="Q53" s="2148"/>
      <c r="R53" s="2310"/>
      <c r="S53" s="2148"/>
    </row>
    <row r="54" spans="1:19">
      <c r="A54" s="640"/>
      <c r="B54" s="2209"/>
      <c r="C54" s="1133"/>
      <c r="D54" s="2072"/>
      <c r="E54" s="2072"/>
      <c r="F54" s="2072"/>
      <c r="G54" s="1133"/>
      <c r="H54" s="2310"/>
      <c r="I54" s="2148"/>
      <c r="J54" s="2310"/>
      <c r="K54" s="2148"/>
      <c r="L54" s="2310"/>
      <c r="M54" s="2148"/>
      <c r="N54" s="2310"/>
      <c r="O54" s="2148"/>
      <c r="P54" s="2310"/>
      <c r="Q54" s="2148"/>
      <c r="R54" s="2310"/>
      <c r="S54" s="2148"/>
    </row>
    <row r="55" spans="1:19">
      <c r="A55" s="640"/>
      <c r="B55" s="2266"/>
      <c r="C55" s="1133"/>
      <c r="D55" s="2072"/>
      <c r="E55" s="2072"/>
      <c r="F55" s="2072"/>
      <c r="G55" s="1133"/>
      <c r="H55" s="2310"/>
      <c r="I55" s="2148"/>
      <c r="J55" s="2310"/>
      <c r="K55" s="2148"/>
      <c r="L55" s="2310"/>
      <c r="M55" s="2148"/>
      <c r="N55" s="2310"/>
      <c r="O55" s="2148"/>
      <c r="P55" s="2310"/>
      <c r="Q55" s="2148"/>
      <c r="R55" s="2310"/>
      <c r="S55" s="2148"/>
    </row>
    <row r="56" spans="1:19">
      <c r="A56" s="640"/>
      <c r="B56" s="2209"/>
      <c r="C56" s="2227"/>
      <c r="D56" s="2072"/>
      <c r="E56" s="2072"/>
      <c r="F56" s="2072"/>
      <c r="G56" s="1133"/>
      <c r="H56" s="2310"/>
      <c r="I56" s="2148"/>
      <c r="J56" s="2310"/>
      <c r="K56" s="2148"/>
      <c r="L56" s="2310"/>
      <c r="M56" s="2148"/>
      <c r="N56" s="2310"/>
      <c r="O56" s="2148"/>
      <c r="P56" s="2310"/>
      <c r="Q56" s="2148"/>
      <c r="R56" s="2310"/>
      <c r="S56" s="2148"/>
    </row>
    <row r="57" spans="1:19">
      <c r="A57" s="640"/>
      <c r="B57" s="2266"/>
      <c r="C57" s="2092"/>
      <c r="D57" s="1426"/>
      <c r="E57" s="2072"/>
      <c r="F57" s="2072"/>
      <c r="G57" s="1133"/>
      <c r="H57" s="2310"/>
      <c r="I57" s="2148"/>
      <c r="J57" s="2310"/>
      <c r="K57" s="2148"/>
      <c r="L57" s="2310"/>
      <c r="M57" s="2148"/>
      <c r="N57" s="2310"/>
      <c r="O57" s="2148"/>
      <c r="P57" s="2310"/>
      <c r="Q57" s="2148"/>
      <c r="R57" s="2310"/>
      <c r="S57" s="2148"/>
    </row>
    <row r="58" spans="1:19">
      <c r="A58" s="640"/>
      <c r="B58" s="2267"/>
      <c r="C58" s="2092"/>
      <c r="D58" s="1426"/>
      <c r="E58" s="2072"/>
      <c r="F58" s="2072"/>
      <c r="G58" s="1133"/>
      <c r="H58" s="2310"/>
      <c r="I58" s="2148"/>
      <c r="J58" s="2310"/>
      <c r="K58" s="2148"/>
      <c r="L58" s="2310"/>
      <c r="M58" s="2148"/>
      <c r="N58" s="2310"/>
      <c r="O58" s="2148"/>
      <c r="P58" s="2310"/>
      <c r="Q58" s="2148"/>
      <c r="R58" s="2310"/>
      <c r="S58" s="2148"/>
    </row>
    <row r="59" spans="1:19">
      <c r="A59" s="640"/>
      <c r="B59" s="2225"/>
      <c r="C59" s="2092"/>
      <c r="D59" s="1426"/>
      <c r="E59" s="2072"/>
      <c r="F59" s="2072"/>
      <c r="G59" s="1133"/>
      <c r="H59" s="2310"/>
      <c r="I59" s="2148"/>
      <c r="J59" s="2310"/>
      <c r="K59" s="2148"/>
      <c r="L59" s="2310"/>
      <c r="M59" s="2148"/>
      <c r="N59" s="2310"/>
      <c r="O59" s="2148"/>
      <c r="P59" s="2310"/>
      <c r="Q59" s="2148"/>
      <c r="R59" s="2310"/>
      <c r="S59" s="2148"/>
    </row>
    <row r="60" spans="1:19">
      <c r="A60" s="640"/>
      <c r="B60" s="2268"/>
      <c r="C60" s="2092"/>
      <c r="D60" s="1426"/>
      <c r="E60" s="2072"/>
      <c r="F60" s="2072"/>
      <c r="G60" s="1133"/>
      <c r="H60" s="2310"/>
      <c r="I60" s="2148"/>
      <c r="J60" s="2310"/>
      <c r="K60" s="2148"/>
      <c r="L60" s="2310"/>
      <c r="M60" s="2148"/>
      <c r="N60" s="2310"/>
      <c r="O60" s="2148"/>
      <c r="P60" s="2310"/>
      <c r="Q60" s="2148"/>
      <c r="R60" s="2310"/>
      <c r="S60" s="2148"/>
    </row>
    <row r="61" spans="1:19">
      <c r="A61" s="640"/>
      <c r="B61" s="2225"/>
      <c r="C61" s="2092"/>
      <c r="D61" s="1426"/>
      <c r="E61" s="2072"/>
      <c r="F61" s="2072"/>
      <c r="G61" s="1133"/>
      <c r="H61" s="2310"/>
      <c r="I61" s="2148"/>
      <c r="J61" s="2310"/>
      <c r="K61" s="2148"/>
      <c r="L61" s="2310"/>
      <c r="M61" s="2148"/>
      <c r="N61" s="2310"/>
      <c r="O61" s="2148"/>
      <c r="P61" s="2310"/>
      <c r="Q61" s="2148"/>
      <c r="R61" s="2310"/>
      <c r="S61" s="2148"/>
    </row>
    <row r="62" spans="1:19">
      <c r="A62" s="2269"/>
      <c r="B62" s="2268"/>
      <c r="C62" s="2092"/>
      <c r="D62" s="1426"/>
      <c r="E62" s="2072"/>
      <c r="F62" s="2072"/>
      <c r="G62" s="1133"/>
      <c r="H62" s="2310"/>
      <c r="I62" s="2148"/>
      <c r="J62" s="2310"/>
      <c r="K62" s="2148"/>
      <c r="L62" s="2310"/>
      <c r="M62" s="2202"/>
      <c r="N62" s="2310"/>
      <c r="O62" s="2148"/>
      <c r="P62" s="2310"/>
      <c r="Q62" s="2148"/>
      <c r="R62" s="2310"/>
      <c r="S62" s="2148"/>
    </row>
    <row r="63" spans="1:19">
      <c r="A63" s="2269"/>
      <c r="B63" s="2315"/>
      <c r="C63" s="2092"/>
      <c r="D63" s="1426"/>
      <c r="E63" s="2072"/>
      <c r="F63" s="2072"/>
      <c r="G63" s="1133"/>
      <c r="H63" s="2310"/>
      <c r="I63" s="2148"/>
      <c r="J63" s="2310"/>
      <c r="K63" s="2202"/>
      <c r="L63" s="2310"/>
      <c r="M63" s="2202"/>
      <c r="N63" s="2310"/>
      <c r="O63" s="2148"/>
      <c r="P63" s="2310"/>
      <c r="Q63" s="2148"/>
      <c r="R63" s="2310"/>
      <c r="S63" s="2148"/>
    </row>
    <row r="64" spans="1:19" ht="15.75" thickBot="1">
      <c r="A64" s="2269"/>
      <c r="B64" s="2316"/>
      <c r="C64" s="2087"/>
      <c r="D64" s="2072"/>
      <c r="E64" s="2072"/>
      <c r="F64" s="2072"/>
      <c r="G64" s="1133"/>
      <c r="H64" s="2310"/>
      <c r="I64" s="2317"/>
      <c r="J64" s="2310"/>
      <c r="K64" s="2202"/>
      <c r="L64" s="2310"/>
      <c r="M64" s="2202"/>
      <c r="N64" s="2310"/>
      <c r="O64" s="2317"/>
      <c r="P64" s="2310"/>
      <c r="Q64" s="2317"/>
      <c r="R64" s="2310"/>
      <c r="S64" s="2317"/>
    </row>
    <row r="65" spans="1:19" ht="15.75" thickTop="1">
      <c r="A65" s="14"/>
      <c r="B65" s="15"/>
      <c r="C65" s="16"/>
      <c r="D65" s="16"/>
      <c r="E65" s="17"/>
      <c r="F65" s="18" t="s">
        <v>567</v>
      </c>
      <c r="G65" s="19"/>
      <c r="H65" s="20"/>
      <c r="I65" s="61">
        <f>SUM(I23:I64)</f>
        <v>0</v>
      </c>
      <c r="J65" s="20"/>
      <c r="K65" s="61">
        <f>SUM(K23:K64)</f>
        <v>0</v>
      </c>
      <c r="L65" s="20"/>
      <c r="M65" s="61">
        <f>SUM(M23:M64)</f>
        <v>0</v>
      </c>
      <c r="N65" s="20"/>
      <c r="O65" s="61">
        <f>SUM(O26:O64)</f>
        <v>0</v>
      </c>
      <c r="P65" s="20"/>
      <c r="Q65" s="61">
        <f>SUM(Q26:Q64)</f>
        <v>0</v>
      </c>
      <c r="R65" s="20"/>
      <c r="S65" s="61">
        <f>SUM(S26:S64)</f>
        <v>0</v>
      </c>
    </row>
    <row r="66" spans="1:19">
      <c r="A66" s="2270"/>
      <c r="B66" s="2030"/>
      <c r="C66" s="2031"/>
      <c r="D66" s="2031"/>
      <c r="E66" s="2032"/>
      <c r="F66" s="2033" t="s">
        <v>568</v>
      </c>
      <c r="G66" s="1160"/>
      <c r="H66" s="2271">
        <v>0</v>
      </c>
      <c r="I66" s="2272"/>
      <c r="J66" s="2273">
        <v>0</v>
      </c>
      <c r="K66" s="2272"/>
      <c r="L66" s="2273">
        <v>0</v>
      </c>
      <c r="M66" s="2272"/>
      <c r="N66" s="2271">
        <v>0</v>
      </c>
      <c r="O66" s="2272"/>
      <c r="P66" s="2271">
        <v>0</v>
      </c>
      <c r="Q66" s="2272"/>
      <c r="R66" s="2271">
        <v>0</v>
      </c>
      <c r="S66" s="2272"/>
    </row>
    <row r="67" spans="1:19">
      <c r="A67" s="2270"/>
      <c r="B67" s="2030"/>
      <c r="C67" s="2031"/>
      <c r="D67" s="2031"/>
      <c r="E67" s="2032"/>
      <c r="F67" s="2033" t="s">
        <v>569</v>
      </c>
      <c r="G67" s="1160"/>
      <c r="H67" s="2274"/>
      <c r="I67" s="2275">
        <f>H66*I65</f>
        <v>0</v>
      </c>
      <c r="J67" s="2274"/>
      <c r="K67" s="2275">
        <f>J66*K65</f>
        <v>0</v>
      </c>
      <c r="L67" s="2274"/>
      <c r="M67" s="2275">
        <f>L66*M65</f>
        <v>0</v>
      </c>
      <c r="N67" s="2274"/>
      <c r="O67" s="2275">
        <f>N66*O65</f>
        <v>0</v>
      </c>
      <c r="P67" s="2274"/>
      <c r="Q67" s="2275">
        <f>P66*Q65</f>
        <v>0</v>
      </c>
      <c r="R67" s="2274"/>
      <c r="S67" s="2275">
        <f>R66*S65</f>
        <v>0</v>
      </c>
    </row>
    <row r="68" spans="1:19">
      <c r="A68" s="2270"/>
      <c r="B68" s="2030"/>
      <c r="C68" s="2031"/>
      <c r="D68" s="2031"/>
      <c r="E68" s="2032"/>
      <c r="F68" s="2033"/>
      <c r="G68" s="1160"/>
      <c r="H68" s="2274"/>
      <c r="I68" s="2276"/>
      <c r="J68" s="2274"/>
      <c r="K68" s="2276"/>
      <c r="L68" s="2274"/>
      <c r="M68" s="2276"/>
      <c r="N68" s="2274"/>
      <c r="O68" s="2276"/>
      <c r="P68" s="2274"/>
      <c r="Q68" s="2276"/>
      <c r="R68" s="2274"/>
      <c r="S68" s="2276"/>
    </row>
    <row r="69" spans="1:19">
      <c r="A69" s="2270"/>
      <c r="B69" s="2030"/>
      <c r="C69" s="2031"/>
      <c r="D69" s="2031"/>
      <c r="E69" s="2032"/>
      <c r="F69" s="2033" t="s">
        <v>570</v>
      </c>
      <c r="G69" s="1160"/>
      <c r="H69" s="2277"/>
      <c r="I69" s="2278">
        <f>SUM(I65:I67)</f>
        <v>0</v>
      </c>
      <c r="J69" s="2277"/>
      <c r="K69" s="2278">
        <f>SUM(K65:K67)</f>
        <v>0</v>
      </c>
      <c r="L69" s="2277"/>
      <c r="M69" s="2278">
        <f>SUM(M65:M67)</f>
        <v>0</v>
      </c>
      <c r="N69" s="2277"/>
      <c r="O69" s="2278">
        <f>SUM(O65:O67)</f>
        <v>0</v>
      </c>
      <c r="P69" s="2277"/>
      <c r="Q69" s="2278">
        <f>SUM(Q65:Q67)</f>
        <v>0</v>
      </c>
      <c r="R69" s="2277"/>
      <c r="S69" s="2278">
        <f>SUM(S65:S67)</f>
        <v>0</v>
      </c>
    </row>
    <row r="70" spans="1:19">
      <c r="A70" s="2270"/>
      <c r="B70" s="2030"/>
      <c r="C70" s="2031"/>
      <c r="D70" s="2031"/>
      <c r="E70" s="2032"/>
      <c r="F70" s="2043" t="s">
        <v>571</v>
      </c>
      <c r="G70" s="1162"/>
      <c r="H70" s="2279"/>
      <c r="I70" s="2280" t="e">
        <f>I69/'Area Calculations'!$J$4</f>
        <v>#DIV/0!</v>
      </c>
      <c r="J70" s="2279"/>
      <c r="K70" s="2280" t="e">
        <f>K69/'Area Calculations'!$J$4</f>
        <v>#DIV/0!</v>
      </c>
      <c r="L70" s="2279"/>
      <c r="M70" s="2280" t="e">
        <f>M69/'Area Calculations'!$J$4</f>
        <v>#DIV/0!</v>
      </c>
      <c r="N70" s="2279"/>
      <c r="O70" s="2280" t="e">
        <f>O69/'Area Calculations'!$J$4</f>
        <v>#DIV/0!</v>
      </c>
      <c r="P70" s="2279"/>
      <c r="Q70" s="2280" t="e">
        <f>Q69/'Area Calculations'!$J$4</f>
        <v>#DIV/0!</v>
      </c>
      <c r="R70" s="2279"/>
      <c r="S70" s="2280" t="e">
        <f>S69/'Area Calculations'!$J$4</f>
        <v>#DIV/0!</v>
      </c>
    </row>
    <row r="71" spans="1:19">
      <c r="A71" s="2270"/>
      <c r="B71" s="2030"/>
      <c r="C71" s="2031"/>
      <c r="D71" s="2031"/>
      <c r="E71" s="2032"/>
      <c r="F71" s="2043" t="s">
        <v>572</v>
      </c>
      <c r="G71" s="1163"/>
      <c r="H71" s="2279"/>
      <c r="I71" s="2280" t="e">
        <f>I69/'Area Calculations'!#REF!</f>
        <v>#REF!</v>
      </c>
      <c r="J71" s="2279"/>
      <c r="K71" s="2280" t="e">
        <f>K69/'Area Calculations'!#REF!</f>
        <v>#REF!</v>
      </c>
      <c r="L71" s="2279"/>
      <c r="M71" s="2280" t="e">
        <f>M69/'Area Calculations'!#REF!</f>
        <v>#REF!</v>
      </c>
      <c r="N71" s="2279"/>
      <c r="O71" s="2280" t="e">
        <f>O69/'Area Calculations'!#REF!</f>
        <v>#REF!</v>
      </c>
      <c r="P71" s="2279"/>
      <c r="Q71" s="2280" t="e">
        <f>Q69/'Area Calculations'!#REF!</f>
        <v>#REF!</v>
      </c>
      <c r="R71" s="2279"/>
      <c r="S71" s="2280" t="e">
        <f>S69/'Area Calculations'!#REF!</f>
        <v>#REF!</v>
      </c>
    </row>
    <row r="72" spans="1:19" ht="15.75" thickBot="1">
      <c r="A72" s="2270"/>
      <c r="B72" s="2030"/>
      <c r="C72" s="2031"/>
      <c r="D72" s="2031"/>
      <c r="E72" s="2032"/>
      <c r="F72" s="2033"/>
      <c r="G72" s="1533"/>
      <c r="H72" s="2281"/>
      <c r="I72" s="2282"/>
      <c r="J72" s="2283"/>
      <c r="K72" s="2283"/>
      <c r="L72" s="2283"/>
      <c r="M72" s="2283"/>
      <c r="N72" s="2283"/>
      <c r="O72" s="2284"/>
      <c r="P72" s="2283"/>
      <c r="Q72" s="2284"/>
      <c r="R72" s="2283"/>
      <c r="S72" s="2284"/>
    </row>
    <row r="73" spans="1:19" ht="16.5" thickTop="1" thickBot="1">
      <c r="A73" s="726" t="s">
        <v>573</v>
      </c>
      <c r="B73" s="727"/>
      <c r="C73" s="12"/>
      <c r="D73" s="12"/>
      <c r="E73" s="12"/>
      <c r="F73" s="12"/>
      <c r="G73" s="13"/>
      <c r="H73" s="21"/>
      <c r="I73" s="21"/>
      <c r="J73" s="21"/>
      <c r="K73" s="21"/>
      <c r="L73" s="21"/>
      <c r="M73" s="21"/>
      <c r="N73" s="21"/>
      <c r="O73" s="21"/>
      <c r="P73" s="21"/>
      <c r="Q73" s="21"/>
      <c r="R73" s="21"/>
      <c r="S73" s="21"/>
    </row>
    <row r="74" spans="1:19" ht="15.75" thickTop="1">
      <c r="A74" s="2011"/>
      <c r="B74" s="2071"/>
      <c r="C74" s="2169"/>
      <c r="D74" s="2169"/>
      <c r="E74" s="2169"/>
      <c r="F74" s="2169"/>
      <c r="G74" s="2170"/>
      <c r="H74" s="2014"/>
      <c r="I74" s="2014"/>
      <c r="J74" s="2014"/>
      <c r="K74" s="2014"/>
      <c r="L74" s="2014"/>
      <c r="M74" s="2014"/>
      <c r="N74" s="2014"/>
      <c r="O74" s="2014"/>
      <c r="P74" s="2014"/>
      <c r="Q74" s="2014"/>
      <c r="R74" s="2014"/>
      <c r="S74" s="2014"/>
    </row>
    <row r="75" spans="1:19">
      <c r="A75" s="2011"/>
      <c r="B75" s="2071"/>
      <c r="C75" s="2169"/>
      <c r="D75" s="2169"/>
      <c r="E75" s="2169"/>
      <c r="F75" s="2169"/>
      <c r="G75" s="2170"/>
      <c r="H75" s="2014"/>
      <c r="I75" s="2014"/>
      <c r="J75" s="2014"/>
      <c r="K75" s="2014"/>
      <c r="L75" s="2014"/>
      <c r="M75" s="2014"/>
      <c r="N75" s="2014"/>
      <c r="O75" s="2014"/>
      <c r="P75" s="2014"/>
      <c r="Q75" s="2014"/>
      <c r="R75" s="2014"/>
      <c r="S75" s="2014"/>
    </row>
    <row r="76" spans="1:19" ht="15.75" thickBot="1">
      <c r="A76" s="2011"/>
      <c r="B76" s="2071"/>
      <c r="C76" s="2169"/>
      <c r="D76" s="2169"/>
      <c r="E76" s="2169"/>
      <c r="F76" s="2169"/>
      <c r="G76" s="2170"/>
      <c r="H76" s="2014"/>
      <c r="I76" s="2014"/>
      <c r="J76" s="2014"/>
      <c r="K76" s="2014"/>
      <c r="L76" s="2014"/>
      <c r="M76" s="2014"/>
      <c r="N76" s="2014"/>
      <c r="O76" s="2014"/>
      <c r="P76" s="2014"/>
      <c r="Q76" s="2014"/>
      <c r="R76" s="2014"/>
      <c r="S76" s="2014"/>
    </row>
    <row r="77" spans="1:19" s="2" customFormat="1" ht="16.5" thickTop="1" thickBot="1">
      <c r="A77" s="726" t="s">
        <v>574</v>
      </c>
      <c r="B77" s="727"/>
      <c r="C77" s="12"/>
      <c r="D77" s="12"/>
      <c r="E77" s="12"/>
      <c r="F77" s="12"/>
      <c r="G77" s="13"/>
      <c r="H77" s="21"/>
      <c r="I77" s="21"/>
      <c r="J77" s="21"/>
      <c r="K77" s="21"/>
      <c r="L77" s="21"/>
      <c r="M77" s="21"/>
      <c r="N77" s="21"/>
      <c r="O77" s="21"/>
      <c r="P77" s="21"/>
      <c r="Q77" s="21"/>
      <c r="R77" s="21"/>
      <c r="S77" s="21"/>
    </row>
    <row r="78" spans="1:19" s="2" customFormat="1" ht="15.75" thickTop="1">
      <c r="A78" s="2011"/>
      <c r="B78" s="2071"/>
      <c r="C78" s="2169"/>
      <c r="D78" s="2169"/>
      <c r="E78" s="2169"/>
      <c r="F78" s="2169"/>
      <c r="G78" s="2170"/>
      <c r="H78" s="2014"/>
      <c r="I78" s="2014"/>
      <c r="J78" s="2014"/>
      <c r="K78" s="2014"/>
      <c r="L78" s="2014"/>
      <c r="M78" s="2014"/>
      <c r="N78" s="2014"/>
      <c r="O78" s="2014"/>
      <c r="P78" s="2014"/>
      <c r="Q78" s="2014"/>
      <c r="R78" s="2014"/>
      <c r="S78" s="2014"/>
    </row>
    <row r="79" spans="1:19" s="2" customFormat="1">
      <c r="A79" s="2011"/>
      <c r="B79" s="2071"/>
      <c r="C79" s="2169"/>
      <c r="D79" s="2169"/>
      <c r="E79" s="2169"/>
      <c r="F79" s="2169"/>
      <c r="G79" s="2170"/>
      <c r="H79" s="2014"/>
      <c r="I79" s="2014"/>
      <c r="J79" s="2014"/>
      <c r="K79" s="2014"/>
      <c r="L79" s="2014"/>
      <c r="M79" s="2014"/>
      <c r="N79" s="2014"/>
      <c r="O79" s="2014"/>
      <c r="P79" s="2014"/>
      <c r="Q79" s="2014"/>
      <c r="R79" s="2014"/>
      <c r="S79" s="2014"/>
    </row>
    <row r="80" spans="1:19" ht="15.75" thickBot="1">
      <c r="A80" s="2011"/>
      <c r="B80" s="2071"/>
      <c r="C80" s="2169"/>
      <c r="D80" s="2169"/>
      <c r="E80" s="2169"/>
      <c r="F80" s="2169"/>
      <c r="G80" s="2170"/>
      <c r="H80" s="2014"/>
      <c r="I80" s="2014"/>
      <c r="J80" s="2014"/>
      <c r="K80" s="2014"/>
      <c r="L80" s="2014"/>
      <c r="M80" s="2014"/>
      <c r="N80" s="2014"/>
      <c r="O80" s="2014"/>
      <c r="P80" s="2014"/>
      <c r="Q80" s="2014"/>
      <c r="R80" s="2014"/>
      <c r="S80" s="2014"/>
    </row>
    <row r="81" spans="1:19" s="2" customFormat="1" ht="16.5" thickTop="1" thickBot="1">
      <c r="A81" s="726" t="s">
        <v>575</v>
      </c>
      <c r="B81" s="727"/>
      <c r="C81" s="12"/>
      <c r="D81" s="12"/>
      <c r="E81" s="12"/>
      <c r="F81" s="12"/>
      <c r="G81" s="13"/>
      <c r="H81" s="21"/>
      <c r="I81" s="21"/>
      <c r="J81" s="21"/>
      <c r="K81" s="21"/>
      <c r="L81" s="21"/>
      <c r="M81" s="21"/>
      <c r="N81" s="21"/>
      <c r="O81" s="21"/>
      <c r="P81" s="21"/>
      <c r="Q81" s="21"/>
      <c r="R81" s="21"/>
      <c r="S81" s="21"/>
    </row>
    <row r="82" spans="1:19" s="2" customFormat="1" ht="15.75" thickTop="1">
      <c r="A82" s="2011"/>
      <c r="B82" s="2071"/>
      <c r="C82" s="2169"/>
      <c r="D82" s="2169"/>
      <c r="E82" s="2169"/>
      <c r="F82" s="2169"/>
      <c r="G82" s="2170"/>
      <c r="H82" s="2014"/>
      <c r="I82" s="2014"/>
      <c r="J82" s="2014"/>
      <c r="K82" s="2014"/>
      <c r="L82" s="2014"/>
      <c r="M82" s="2014"/>
      <c r="N82" s="2014"/>
      <c r="O82" s="2014"/>
      <c r="P82" s="2014"/>
      <c r="Q82" s="2014"/>
      <c r="R82" s="2014"/>
      <c r="S82" s="2014"/>
    </row>
    <row r="83" spans="1:19" s="2" customFormat="1">
      <c r="A83" s="2308"/>
      <c r="B83" s="2071"/>
      <c r="C83" s="2072"/>
      <c r="D83" s="2072"/>
      <c r="E83" s="2072"/>
      <c r="F83" s="2072"/>
      <c r="G83" s="1133"/>
      <c r="H83" s="2285"/>
      <c r="I83" s="2285"/>
      <c r="J83" s="2285"/>
      <c r="K83" s="2285"/>
      <c r="L83" s="2285"/>
      <c r="M83" s="2285"/>
      <c r="N83" s="2285"/>
      <c r="O83" s="2285"/>
      <c r="P83" s="2285"/>
      <c r="Q83" s="2285"/>
      <c r="R83" s="2285"/>
      <c r="S83" s="2285"/>
    </row>
    <row r="84" spans="1:19" s="2" customFormat="1" ht="15.75" thickBot="1">
      <c r="A84" s="2286"/>
      <c r="B84" s="2055"/>
      <c r="C84" s="2072"/>
      <c r="D84" s="2072"/>
      <c r="E84" s="2072"/>
      <c r="F84" s="2072"/>
      <c r="G84" s="1133"/>
      <c r="H84" s="2287"/>
      <c r="I84" s="2287"/>
      <c r="J84" s="2287"/>
      <c r="K84" s="2287"/>
      <c r="L84" s="2287"/>
      <c r="M84" s="2287"/>
      <c r="N84" s="2287"/>
      <c r="O84" s="2287"/>
      <c r="P84" s="2287"/>
      <c r="Q84" s="2287"/>
      <c r="R84" s="2287"/>
      <c r="S84" s="2287"/>
    </row>
    <row r="85" spans="1:19" s="2" customFormat="1" ht="16.5" thickTop="1" thickBot="1">
      <c r="A85" s="726" t="s">
        <v>576</v>
      </c>
      <c r="B85" s="727"/>
      <c r="C85" s="12"/>
      <c r="D85" s="12"/>
      <c r="E85" s="12"/>
      <c r="F85" s="12"/>
      <c r="G85" s="13"/>
      <c r="H85" s="21"/>
      <c r="I85" s="21"/>
      <c r="J85" s="21"/>
      <c r="K85" s="21"/>
      <c r="L85" s="21"/>
      <c r="M85" s="21"/>
      <c r="N85" s="21"/>
      <c r="O85" s="21"/>
      <c r="P85" s="21"/>
      <c r="Q85" s="21"/>
      <c r="R85" s="21"/>
      <c r="S85" s="21"/>
    </row>
    <row r="86" spans="1:19" ht="15.75" thickTop="1">
      <c r="A86" s="2016"/>
      <c r="B86" s="2174"/>
      <c r="C86" s="2169"/>
      <c r="D86" s="2169"/>
      <c r="E86" s="2169"/>
      <c r="F86" s="2169"/>
      <c r="G86" s="2170"/>
      <c r="H86" s="2014"/>
      <c r="I86" s="2014"/>
      <c r="J86" s="2014"/>
      <c r="K86" s="2014"/>
      <c r="L86" s="2014"/>
      <c r="M86" s="2014"/>
      <c r="N86" s="2014"/>
      <c r="O86" s="2014"/>
      <c r="P86" s="2014"/>
      <c r="Q86" s="2014"/>
      <c r="R86" s="2014"/>
      <c r="S86" s="2014"/>
    </row>
    <row r="87" spans="1:19">
      <c r="A87" s="2286"/>
      <c r="B87" s="2055"/>
      <c r="C87" s="2072"/>
      <c r="D87" s="2072"/>
      <c r="E87" s="2072"/>
      <c r="F87" s="2072"/>
      <c r="G87" s="1133"/>
      <c r="H87" s="2288"/>
      <c r="I87" s="2288"/>
      <c r="J87" s="2288"/>
      <c r="K87" s="2288"/>
      <c r="L87" s="2288"/>
      <c r="M87" s="2288"/>
      <c r="N87" s="2288"/>
      <c r="O87" s="2288"/>
      <c r="P87" s="2288"/>
      <c r="Q87" s="2288"/>
      <c r="R87" s="2288"/>
      <c r="S87" s="2288"/>
    </row>
    <row r="88" spans="1:19" ht="15.75" thickBot="1">
      <c r="A88" s="2286"/>
      <c r="B88" s="2055"/>
      <c r="C88" s="2072"/>
      <c r="D88" s="2072"/>
      <c r="E88" s="2072"/>
      <c r="F88" s="2072"/>
      <c r="G88" s="1133"/>
      <c r="H88" s="2288"/>
      <c r="I88" s="2288"/>
      <c r="J88" s="2288"/>
      <c r="K88" s="2288"/>
      <c r="L88" s="2288"/>
      <c r="M88" s="2288"/>
      <c r="N88" s="2288"/>
      <c r="O88" s="2288"/>
      <c r="P88" s="2288"/>
      <c r="Q88" s="2288"/>
      <c r="R88" s="2288"/>
      <c r="S88" s="2288"/>
    </row>
    <row r="89" spans="1:19" ht="16.5" thickTop="1" thickBot="1">
      <c r="A89" s="726" t="s">
        <v>577</v>
      </c>
      <c r="B89" s="727"/>
      <c r="C89" s="12"/>
      <c r="D89" s="12"/>
      <c r="E89" s="12"/>
      <c r="F89" s="12"/>
      <c r="G89" s="13"/>
      <c r="H89" s="21"/>
      <c r="I89" s="21"/>
      <c r="J89" s="21"/>
      <c r="K89" s="21"/>
      <c r="L89" s="21"/>
      <c r="M89" s="21"/>
      <c r="N89" s="21"/>
      <c r="O89" s="21"/>
      <c r="P89" s="21"/>
      <c r="Q89" s="21"/>
      <c r="R89" s="21"/>
      <c r="S89" s="21"/>
    </row>
    <row r="90" spans="1:19" ht="15.75" thickTop="1">
      <c r="A90" s="2308"/>
      <c r="B90" s="2071" t="s">
        <v>578</v>
      </c>
      <c r="C90" s="2072"/>
      <c r="D90" s="2072"/>
      <c r="E90" s="2072"/>
      <c r="F90" s="2072"/>
      <c r="G90" s="1133"/>
      <c r="H90" s="2288"/>
      <c r="I90" s="2288"/>
      <c r="J90" s="2288"/>
      <c r="K90" s="2288"/>
      <c r="L90" s="2288"/>
      <c r="M90" s="2288"/>
      <c r="N90" s="2288"/>
      <c r="O90" s="2288"/>
      <c r="P90" s="2288"/>
      <c r="Q90" s="2288"/>
      <c r="R90" s="2288"/>
      <c r="S90" s="2288"/>
    </row>
    <row r="91" spans="1:19">
      <c r="A91" s="2308"/>
      <c r="B91" s="2071" t="s">
        <v>579</v>
      </c>
      <c r="C91" s="2072"/>
      <c r="D91" s="2072"/>
      <c r="E91" s="2072"/>
      <c r="F91" s="2072"/>
      <c r="G91" s="1133"/>
      <c r="H91" s="2288"/>
      <c r="I91" s="2288"/>
      <c r="J91" s="2288"/>
      <c r="K91" s="2288"/>
      <c r="L91" s="2288"/>
      <c r="M91" s="2288"/>
      <c r="N91" s="2288"/>
      <c r="O91" s="2288"/>
      <c r="P91" s="2288"/>
      <c r="Q91" s="2288"/>
      <c r="R91" s="2288"/>
      <c r="S91" s="2288"/>
    </row>
    <row r="92" spans="1:19">
      <c r="A92" s="2308"/>
      <c r="B92" s="2071" t="s">
        <v>580</v>
      </c>
      <c r="C92" s="2072"/>
      <c r="D92" s="2072"/>
      <c r="E92" s="2072"/>
      <c r="F92" s="2072"/>
      <c r="G92" s="1133"/>
      <c r="H92" s="2288"/>
      <c r="I92" s="2288"/>
      <c r="J92" s="2288"/>
      <c r="K92" s="2288"/>
      <c r="L92" s="2288"/>
      <c r="M92" s="2288"/>
      <c r="N92" s="2288"/>
      <c r="O92" s="2288"/>
      <c r="P92" s="2288"/>
      <c r="Q92" s="2288"/>
      <c r="R92" s="2288"/>
      <c r="S92" s="2288"/>
    </row>
    <row r="93" spans="1:19">
      <c r="A93" s="2308"/>
      <c r="B93" s="2071" t="s">
        <v>581</v>
      </c>
      <c r="C93" s="2072"/>
      <c r="D93" s="2072"/>
      <c r="E93" s="2072"/>
      <c r="F93" s="2072"/>
      <c r="G93" s="1133"/>
      <c r="H93" s="2288"/>
      <c r="I93" s="2288"/>
      <c r="J93" s="2288"/>
      <c r="K93" s="2288"/>
      <c r="L93" s="2288"/>
      <c r="M93" s="2288"/>
      <c r="N93" s="2288"/>
      <c r="O93" s="2288"/>
      <c r="P93" s="2288"/>
      <c r="Q93" s="2288"/>
      <c r="R93" s="2288"/>
      <c r="S93" s="2288"/>
    </row>
    <row r="94" spans="1:19" ht="15.75" thickBot="1">
      <c r="A94" s="416"/>
      <c r="B94" s="295"/>
      <c r="C94" s="184"/>
      <c r="D94" s="184"/>
      <c r="E94" s="184"/>
      <c r="F94" s="184"/>
      <c r="G94" s="296"/>
      <c r="H94" s="418"/>
      <c r="I94" s="418"/>
      <c r="J94" s="418"/>
      <c r="K94" s="418"/>
      <c r="L94" s="418"/>
      <c r="M94" s="418"/>
      <c r="N94" s="418"/>
      <c r="O94" s="418"/>
      <c r="P94" s="418"/>
      <c r="Q94" s="418"/>
      <c r="R94" s="418"/>
      <c r="S94" s="418"/>
    </row>
    <row r="95" spans="1:19" ht="16.5" thickTop="1" thickBot="1">
      <c r="A95" s="7" t="s">
        <v>582</v>
      </c>
      <c r="B95" s="8"/>
      <c r="C95" s="12"/>
      <c r="D95" s="12"/>
      <c r="E95" s="12"/>
      <c r="F95" s="12"/>
      <c r="G95" s="13"/>
      <c r="H95" s="21"/>
      <c r="I95" s="21"/>
      <c r="J95" s="21"/>
      <c r="K95" s="21"/>
      <c r="L95" s="21"/>
      <c r="M95" s="21"/>
      <c r="N95" s="21"/>
      <c r="O95" s="21"/>
      <c r="P95" s="21"/>
      <c r="Q95" s="21"/>
      <c r="R95" s="21"/>
      <c r="S95" s="21"/>
    </row>
    <row r="96" spans="1:19" ht="15.75" thickTop="1">
      <c r="A96" s="2011"/>
      <c r="B96" s="2176" t="s">
        <v>583</v>
      </c>
      <c r="C96" s="2169"/>
      <c r="D96" s="2169"/>
      <c r="E96" s="2169"/>
      <c r="F96" s="2169"/>
      <c r="G96" s="2170"/>
      <c r="H96" s="2019"/>
      <c r="I96" s="2019"/>
      <c r="J96" s="2019"/>
      <c r="K96" s="2019"/>
      <c r="L96" s="2019"/>
      <c r="M96" s="2019"/>
      <c r="N96" s="2019"/>
      <c r="O96" s="2019"/>
      <c r="P96" s="2019"/>
      <c r="Q96" s="2019"/>
      <c r="R96" s="2019"/>
      <c r="S96" s="2019"/>
    </row>
    <row r="97" spans="1:19">
      <c r="A97" s="2308"/>
      <c r="B97" s="2071" t="s">
        <v>584</v>
      </c>
      <c r="C97" s="2072"/>
      <c r="D97" s="2072"/>
      <c r="E97" s="2072"/>
      <c r="F97" s="2072"/>
      <c r="G97" s="1133"/>
      <c r="H97" s="2289"/>
      <c r="I97" s="2289"/>
      <c r="J97" s="2289"/>
      <c r="K97" s="2289"/>
      <c r="L97" s="2289"/>
      <c r="M97" s="2289"/>
      <c r="N97" s="2289"/>
      <c r="O97" s="2289"/>
      <c r="P97" s="2289"/>
      <c r="Q97" s="2289"/>
      <c r="R97" s="2289"/>
      <c r="S97" s="2289"/>
    </row>
    <row r="98" spans="1:19" ht="15.75" thickBot="1">
      <c r="A98" s="2290"/>
      <c r="B98" s="2291" t="s">
        <v>585</v>
      </c>
      <c r="C98" s="2292"/>
      <c r="D98" s="2292"/>
      <c r="E98" s="2292"/>
      <c r="F98" s="2292"/>
      <c r="G98" s="2293"/>
      <c r="H98" s="2294"/>
      <c r="I98" s="2294"/>
      <c r="J98" s="2294"/>
      <c r="K98" s="2294"/>
      <c r="L98" s="2294"/>
      <c r="M98" s="2294"/>
      <c r="N98" s="2294"/>
      <c r="O98" s="2294"/>
      <c r="P98" s="2294"/>
      <c r="Q98" s="2294"/>
      <c r="R98" s="2294"/>
      <c r="S98" s="2294"/>
    </row>
    <row r="99" spans="1:19" ht="16.5" thickTop="1" thickBot="1"/>
    <row r="100" spans="1:19" ht="16.5" thickTop="1" thickBot="1">
      <c r="A100" s="92" t="s">
        <v>586</v>
      </c>
      <c r="B100" s="94"/>
    </row>
    <row r="101" spans="1:19" ht="15.75" thickTop="1">
      <c r="A101" s="93" t="s">
        <v>487</v>
      </c>
      <c r="B101" s="2295"/>
    </row>
    <row r="102" spans="1:19">
      <c r="A102" s="2296" t="s">
        <v>491</v>
      </c>
      <c r="B102" s="2295"/>
    </row>
    <row r="103" spans="1:19">
      <c r="A103" s="2297" t="s">
        <v>494</v>
      </c>
      <c r="B103" s="2298"/>
    </row>
    <row r="104" spans="1:19">
      <c r="A104" s="2297" t="s">
        <v>497</v>
      </c>
      <c r="B104" s="2299"/>
    </row>
    <row r="105" spans="1:19" ht="15.75" thickBot="1">
      <c r="A105" s="2300" t="s">
        <v>587</v>
      </c>
      <c r="B105" s="2301"/>
    </row>
    <row r="106" spans="1:19" ht="15.75" thickTop="1"/>
    <row r="107" spans="1:19">
      <c r="A107" s="95"/>
      <c r="B107" s="1" t="s">
        <v>588</v>
      </c>
    </row>
    <row r="108" spans="1:19">
      <c r="A108" s="96"/>
      <c r="B108" s="1" t="s">
        <v>589</v>
      </c>
    </row>
  </sheetData>
  <mergeCells count="47">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 ref="H5:I5"/>
    <mergeCell ref="J5:K5"/>
    <mergeCell ref="L5:M5"/>
    <mergeCell ref="N5:O5"/>
    <mergeCell ref="P5:Q5"/>
    <mergeCell ref="H4:I4"/>
    <mergeCell ref="J4:K4"/>
    <mergeCell ref="L4:M4"/>
    <mergeCell ref="N4:O4"/>
    <mergeCell ref="P4:Q4"/>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A73:B73"/>
    <mergeCell ref="A77:B77"/>
    <mergeCell ref="A81:B81"/>
    <mergeCell ref="A85:B85"/>
    <mergeCell ref="A89:B89"/>
  </mergeCells>
  <conditionalFormatting sqref="H20:H30">
    <cfRule type="cellIs" dxfId="955" priority="13" operator="equal">
      <formula>"X"</formula>
    </cfRule>
    <cfRule type="cellIs" dxfId="954" priority="14" operator="equal">
      <formula>"I"</formula>
    </cfRule>
  </conditionalFormatting>
  <conditionalFormatting sqref="H32:H64">
    <cfRule type="cellIs" dxfId="953" priority="1" operator="equal">
      <formula>"X"</formula>
    </cfRule>
    <cfRule type="cellIs" dxfId="952" priority="2" operator="equal">
      <formula>"I"</formula>
    </cfRule>
  </conditionalFormatting>
  <conditionalFormatting sqref="J20:J30">
    <cfRule type="cellIs" dxfId="951" priority="15" operator="equal">
      <formula>"X"</formula>
    </cfRule>
    <cfRule type="cellIs" dxfId="950" priority="16" operator="equal">
      <formula>"I"</formula>
    </cfRule>
  </conditionalFormatting>
  <conditionalFormatting sqref="J32:J64">
    <cfRule type="cellIs" dxfId="949" priority="3" operator="equal">
      <formula>"X"</formula>
    </cfRule>
    <cfRule type="cellIs" dxfId="948" priority="4" operator="equal">
      <formula>"I"</formula>
    </cfRule>
  </conditionalFormatting>
  <conditionalFormatting sqref="L20:L30">
    <cfRule type="cellIs" dxfId="947" priority="17" operator="equal">
      <formula>"X"</formula>
    </cfRule>
    <cfRule type="cellIs" dxfId="946" priority="18" operator="equal">
      <formula>"I"</formula>
    </cfRule>
  </conditionalFormatting>
  <conditionalFormatting sqref="L32:L64">
    <cfRule type="cellIs" dxfId="945" priority="5" operator="equal">
      <formula>"X"</formula>
    </cfRule>
    <cfRule type="cellIs" dxfId="944" priority="6" operator="equal">
      <formula>"I"</formula>
    </cfRule>
  </conditionalFormatting>
  <conditionalFormatting sqref="N20:N30">
    <cfRule type="cellIs" dxfId="943" priority="19" operator="equal">
      <formula>"X"</formula>
    </cfRule>
    <cfRule type="cellIs" dxfId="942" priority="20" operator="equal">
      <formula>"I"</formula>
    </cfRule>
  </conditionalFormatting>
  <conditionalFormatting sqref="N32:N64">
    <cfRule type="cellIs" dxfId="941" priority="7" operator="equal">
      <formula>"X"</formula>
    </cfRule>
    <cfRule type="cellIs" dxfId="940" priority="8" operator="equal">
      <formula>"I"</formula>
    </cfRule>
  </conditionalFormatting>
  <conditionalFormatting sqref="P20:P30">
    <cfRule type="cellIs" dxfId="939" priority="21" operator="equal">
      <formula>"X"</formula>
    </cfRule>
    <cfRule type="cellIs" dxfId="938" priority="22" operator="equal">
      <formula>"I"</formula>
    </cfRule>
  </conditionalFormatting>
  <conditionalFormatting sqref="P32:P64">
    <cfRule type="cellIs" dxfId="937" priority="9" operator="equal">
      <formula>"X"</formula>
    </cfRule>
    <cfRule type="cellIs" dxfId="936" priority="10" operator="equal">
      <formula>"I"</formula>
    </cfRule>
  </conditionalFormatting>
  <conditionalFormatting sqref="R20:R30">
    <cfRule type="cellIs" dxfId="935" priority="23" operator="equal">
      <formula>"X"</formula>
    </cfRule>
    <cfRule type="cellIs" dxfId="934" priority="24" operator="equal">
      <formula>"I"</formula>
    </cfRule>
  </conditionalFormatting>
  <conditionalFormatting sqref="R32:R64">
    <cfRule type="cellIs" dxfId="933" priority="11" operator="equal">
      <formula>"X"</formula>
    </cfRule>
    <cfRule type="cellIs" dxfId="932" priority="12" operator="equal">
      <formula>"I"</formula>
    </cfRule>
  </conditionalFormatting>
  <hyperlinks>
    <hyperlink ref="B3" location="'Cost Summary'!A1" display="BACK TO SUMMARY SHEET" xr:uid="{DDB91A40-A8EB-4151-9158-219816034386}"/>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E337-0062-45FB-9729-B39A9F981BA1}">
  <sheetPr>
    <tabColor rgb="FF92D050"/>
  </sheetPr>
  <dimension ref="A1:S129"/>
  <sheetViews>
    <sheetView zoomScale="82" zoomScaleNormal="82" workbookViewId="0">
      <pane xSplit="2" ySplit="9" topLeftCell="C49" activePane="bottomRight" state="frozen"/>
      <selection pane="bottomRight" activeCell="F43" sqref="F43"/>
      <selection pane="bottomLeft" sqref="A1:B1"/>
      <selection pane="topRight" sqref="A1:B1"/>
    </sheetView>
  </sheetViews>
  <sheetFormatPr defaultRowHeight="15"/>
  <cols>
    <col min="1" max="1" width="11" customWidth="1"/>
    <col min="2" max="2" width="70.7109375" style="1" customWidth="1"/>
    <col min="3" max="3" width="13.140625" style="2"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50"/>
      <c r="I2" s="750"/>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customHeight="1">
      <c r="A4" s="3" t="s">
        <v>486</v>
      </c>
      <c r="B4" s="4" t="str">
        <f>'Area Calculations'!B4</f>
        <v>The Club at Ibis Conceptual Estimate</v>
      </c>
      <c r="C4" s="5"/>
      <c r="D4" s="5"/>
      <c r="E4" s="5"/>
      <c r="F4" s="5"/>
      <c r="G4" s="6" t="s">
        <v>487</v>
      </c>
      <c r="H4" s="728" t="s">
        <v>959</v>
      </c>
      <c r="I4" s="729"/>
      <c r="J4" s="728"/>
      <c r="K4" s="729"/>
      <c r="L4" s="728"/>
      <c r="M4" s="729"/>
      <c r="N4" s="728"/>
      <c r="O4" s="729"/>
      <c r="P4" s="728"/>
      <c r="Q4" s="729"/>
      <c r="R4" s="728"/>
      <c r="S4" s="729"/>
    </row>
    <row r="5" spans="1:19">
      <c r="A5" s="2302" t="s">
        <v>489</v>
      </c>
      <c r="B5" s="2071" t="s">
        <v>182</v>
      </c>
      <c r="C5" s="2072"/>
      <c r="D5" s="2072"/>
      <c r="E5" s="2072"/>
      <c r="F5" s="2072"/>
      <c r="G5" s="1125" t="s">
        <v>491</v>
      </c>
      <c r="H5" s="2303" t="s">
        <v>961</v>
      </c>
      <c r="I5" s="1126"/>
      <c r="J5" s="2303"/>
      <c r="K5" s="1126"/>
      <c r="L5" s="2303"/>
      <c r="M5" s="1126"/>
      <c r="N5" s="2303"/>
      <c r="O5" s="1126"/>
      <c r="P5" s="2303"/>
      <c r="Q5" s="1126"/>
      <c r="R5" s="2303"/>
      <c r="S5" s="1126"/>
    </row>
    <row r="6" spans="1:19">
      <c r="A6" s="2302" t="s">
        <v>493</v>
      </c>
      <c r="B6" s="2076" t="s">
        <v>181</v>
      </c>
      <c r="C6" s="2072"/>
      <c r="D6" s="2072"/>
      <c r="E6" s="2072"/>
      <c r="F6" s="2072"/>
      <c r="G6" s="1125" t="s">
        <v>494</v>
      </c>
      <c r="H6" s="2304" t="s">
        <v>962</v>
      </c>
      <c r="I6" s="1129"/>
      <c r="J6" s="2304"/>
      <c r="K6" s="1129"/>
      <c r="L6" s="2304"/>
      <c r="M6" s="1129"/>
      <c r="N6" s="2304"/>
      <c r="O6" s="1129"/>
      <c r="P6" s="2304"/>
      <c r="Q6" s="1129"/>
      <c r="R6" s="2304"/>
      <c r="S6" s="1129"/>
    </row>
    <row r="7" spans="1:19">
      <c r="A7" s="2302" t="s">
        <v>496</v>
      </c>
      <c r="B7" s="2079"/>
      <c r="C7" s="2072"/>
      <c r="D7" s="2072"/>
      <c r="E7" s="2072"/>
      <c r="F7" s="2072"/>
      <c r="G7" s="1125" t="s">
        <v>497</v>
      </c>
      <c r="H7" s="2305" t="s">
        <v>963</v>
      </c>
      <c r="I7" s="1131"/>
      <c r="J7" s="2305"/>
      <c r="K7" s="1131"/>
      <c r="L7" s="2305"/>
      <c r="M7" s="1131"/>
      <c r="N7" s="2305"/>
      <c r="O7" s="1131"/>
      <c r="P7" s="2305"/>
      <c r="Q7" s="1131"/>
      <c r="R7" s="2305"/>
      <c r="S7" s="1131"/>
    </row>
    <row r="8" spans="1:19">
      <c r="A8" s="414" t="s">
        <v>499</v>
      </c>
      <c r="B8" s="295"/>
      <c r="C8" s="184"/>
      <c r="D8" s="184"/>
      <c r="E8" s="184"/>
      <c r="F8" s="184"/>
      <c r="G8" s="419" t="s">
        <v>499</v>
      </c>
      <c r="H8" s="2306">
        <f>I90</f>
        <v>227808.6</v>
      </c>
      <c r="I8" s="2307"/>
      <c r="J8" s="2306">
        <f>K90</f>
        <v>0</v>
      </c>
      <c r="K8" s="2307"/>
      <c r="L8" s="2306">
        <f>M90</f>
        <v>0</v>
      </c>
      <c r="M8" s="2307"/>
      <c r="N8" s="2306"/>
      <c r="O8" s="2307"/>
      <c r="P8" s="2306"/>
      <c r="Q8" s="2307"/>
      <c r="R8" s="2306"/>
      <c r="S8" s="2307"/>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308"/>
      <c r="B10" s="2199" t="s">
        <v>508</v>
      </c>
      <c r="C10" s="2072"/>
      <c r="D10" s="2072"/>
      <c r="E10" s="2072"/>
      <c r="F10" s="2072"/>
      <c r="G10" s="1133"/>
      <c r="H10" s="2309"/>
      <c r="I10" s="2309"/>
      <c r="J10" s="2309"/>
      <c r="K10" s="2309"/>
      <c r="L10" s="2309"/>
      <c r="M10" s="2309"/>
      <c r="N10" s="2309"/>
      <c r="O10" s="2309"/>
      <c r="P10" s="2309"/>
      <c r="Q10" s="2309"/>
      <c r="R10" s="2309"/>
      <c r="S10" s="2309"/>
    </row>
    <row r="11" spans="1:19" hidden="1">
      <c r="A11" s="2308"/>
      <c r="B11" s="2071" t="str">
        <f>'Area Calculations'!M62</f>
        <v>Architectural Drawings  by</v>
      </c>
      <c r="C11" s="2087" t="s">
        <v>509</v>
      </c>
      <c r="D11" s="2072"/>
      <c r="E11" s="2072"/>
      <c r="F11" s="2072"/>
      <c r="G11" s="1133"/>
      <c r="H11" s="2309"/>
      <c r="I11" s="2309"/>
      <c r="J11" s="2309"/>
      <c r="K11" s="2309"/>
      <c r="L11" s="2309"/>
      <c r="M11" s="2309"/>
      <c r="N11" s="2309"/>
      <c r="O11" s="2309"/>
      <c r="P11" s="2309"/>
      <c r="Q11" s="2309"/>
      <c r="R11" s="2309"/>
      <c r="S11" s="2309"/>
    </row>
    <row r="12" spans="1:19" hidden="1">
      <c r="A12" s="2308"/>
      <c r="B12" s="2071" t="str">
        <f>'Area Calculations'!M63</f>
        <v>Structural Drawings by</v>
      </c>
      <c r="C12" s="2087" t="s">
        <v>509</v>
      </c>
      <c r="D12" s="2072"/>
      <c r="E12" s="2072"/>
      <c r="F12" s="2072"/>
      <c r="G12" s="1133"/>
      <c r="H12" s="2309"/>
      <c r="I12" s="2309"/>
      <c r="J12" s="2309"/>
      <c r="K12" s="2309"/>
      <c r="L12" s="2309"/>
      <c r="M12" s="2309"/>
      <c r="N12" s="2309"/>
      <c r="O12" s="2309"/>
      <c r="P12" s="2309"/>
      <c r="Q12" s="2309"/>
      <c r="R12" s="2309"/>
      <c r="S12" s="2309"/>
    </row>
    <row r="13" spans="1:19" hidden="1">
      <c r="A13" s="2308"/>
      <c r="B13" s="2071" t="str">
        <f>'Area Calculations'!M64</f>
        <v>MEP FA FP Drawings by</v>
      </c>
      <c r="C13" s="2087" t="s">
        <v>509</v>
      </c>
      <c r="D13" s="2072"/>
      <c r="E13" s="2072"/>
      <c r="F13" s="2072"/>
      <c r="G13" s="1133"/>
      <c r="H13" s="2309"/>
      <c r="I13" s="2309"/>
      <c r="J13" s="2309"/>
      <c r="K13" s="2309"/>
      <c r="L13" s="2309"/>
      <c r="M13" s="2309"/>
      <c r="N13" s="2309"/>
      <c r="O13" s="2309"/>
      <c r="P13" s="2309"/>
      <c r="Q13" s="2309"/>
      <c r="R13" s="2309"/>
      <c r="S13" s="2309"/>
    </row>
    <row r="14" spans="1:19" hidden="1">
      <c r="A14" s="2308"/>
      <c r="B14" s="2071" t="str">
        <f>'Area Calculations'!M65</f>
        <v xml:space="preserve">Civil Drawings by </v>
      </c>
      <c r="C14" s="2087" t="s">
        <v>509</v>
      </c>
      <c r="D14" s="2072"/>
      <c r="E14" s="2072"/>
      <c r="F14" s="2072"/>
      <c r="G14" s="1133"/>
      <c r="H14" s="2309"/>
      <c r="I14" s="2309"/>
      <c r="J14" s="2309"/>
      <c r="K14" s="2309"/>
      <c r="L14" s="2309"/>
      <c r="M14" s="2309"/>
      <c r="N14" s="2309"/>
      <c r="O14" s="2309"/>
      <c r="P14" s="2309"/>
      <c r="Q14" s="2309"/>
      <c r="R14" s="2309"/>
      <c r="S14" s="2309"/>
    </row>
    <row r="15" spans="1:19" hidden="1">
      <c r="A15" s="2308"/>
      <c r="B15" s="2071" t="str">
        <f>'Area Calculations'!M66</f>
        <v>Land scape Drawings by</v>
      </c>
      <c r="C15" s="2087" t="s">
        <v>509</v>
      </c>
      <c r="D15" s="2072"/>
      <c r="E15" s="2072"/>
      <c r="F15" s="2072"/>
      <c r="G15" s="1133"/>
      <c r="H15" s="2309"/>
      <c r="I15" s="2309"/>
      <c r="J15" s="2309"/>
      <c r="K15" s="2309"/>
      <c r="L15" s="2309"/>
      <c r="M15" s="2309"/>
      <c r="N15" s="2309"/>
      <c r="O15" s="2309"/>
      <c r="P15" s="2309"/>
      <c r="Q15" s="2309"/>
      <c r="R15" s="2309"/>
      <c r="S15" s="2309"/>
    </row>
    <row r="16" spans="1:19" hidden="1">
      <c r="A16" s="2308"/>
      <c r="B16" s="2071" t="str">
        <f>'Area Calculations'!M67</f>
        <v>Kitchen Drawings by</v>
      </c>
      <c r="C16" s="2087" t="s">
        <v>509</v>
      </c>
      <c r="D16" s="2072"/>
      <c r="E16" s="2072"/>
      <c r="F16" s="2072"/>
      <c r="G16" s="1133"/>
      <c r="H16" s="2309"/>
      <c r="I16" s="2309"/>
      <c r="J16" s="2309"/>
      <c r="K16" s="2309"/>
      <c r="L16" s="2309"/>
      <c r="M16" s="2309"/>
      <c r="N16" s="2309"/>
      <c r="O16" s="2309"/>
      <c r="P16" s="2309"/>
      <c r="Q16" s="2309"/>
      <c r="R16" s="2309"/>
      <c r="S16" s="2309"/>
    </row>
    <row r="17" spans="1:19" hidden="1">
      <c r="A17" s="2308"/>
      <c r="B17" s="2071" t="str">
        <f>'Area Calculations'!M68</f>
        <v>Storefront Designer by</v>
      </c>
      <c r="C17" s="2087" t="s">
        <v>509</v>
      </c>
      <c r="D17" s="2072"/>
      <c r="E17" s="2072"/>
      <c r="F17" s="2072"/>
      <c r="G17" s="1133"/>
      <c r="H17" s="2309"/>
      <c r="I17" s="2309"/>
      <c r="J17" s="2309"/>
      <c r="K17" s="2309"/>
      <c r="L17" s="2309"/>
      <c r="M17" s="2309"/>
      <c r="N17" s="2309"/>
      <c r="O17" s="2309"/>
      <c r="P17" s="2309"/>
      <c r="Q17" s="2309"/>
      <c r="R17" s="2309"/>
      <c r="S17" s="2309"/>
    </row>
    <row r="18" spans="1:19" hidden="1">
      <c r="A18" s="2308"/>
      <c r="B18" s="2071" t="str">
        <f>'Area Calculations'!M69</f>
        <v>Geotech report by</v>
      </c>
      <c r="C18" s="2087" t="s">
        <v>509</v>
      </c>
      <c r="D18" s="2072"/>
      <c r="E18" s="2072"/>
      <c r="F18" s="2072"/>
      <c r="G18" s="1133"/>
      <c r="H18" s="2309"/>
      <c r="I18" s="2309"/>
      <c r="J18" s="2309"/>
      <c r="K18" s="2309"/>
      <c r="L18" s="2309"/>
      <c r="M18" s="2309"/>
      <c r="N18" s="2309"/>
      <c r="O18" s="2309"/>
      <c r="P18" s="2309"/>
      <c r="Q18" s="2309"/>
      <c r="R18" s="2309"/>
      <c r="S18" s="2309"/>
    </row>
    <row r="19" spans="1:19" hidden="1">
      <c r="A19" s="2308"/>
      <c r="B19" s="2071" t="str">
        <f>'Area Calculations'!M70</f>
        <v>Specifications</v>
      </c>
      <c r="C19" s="2087" t="s">
        <v>509</v>
      </c>
      <c r="D19" s="2072"/>
      <c r="E19" s="2072"/>
      <c r="F19" s="2072"/>
      <c r="G19" s="1133"/>
      <c r="H19" s="2309"/>
      <c r="I19" s="2309"/>
      <c r="J19" s="2309"/>
      <c r="K19" s="2309"/>
      <c r="L19" s="2309"/>
      <c r="M19" s="2309"/>
      <c r="N19" s="2309"/>
      <c r="O19" s="2309"/>
      <c r="P19" s="2309"/>
      <c r="Q19" s="2309"/>
      <c r="R19" s="2309"/>
      <c r="S19" s="2309"/>
    </row>
    <row r="20" spans="1:19" hidden="1">
      <c r="A20" s="2308"/>
      <c r="B20" s="2071"/>
      <c r="C20" s="2087"/>
      <c r="D20" s="2072"/>
      <c r="E20" s="2072"/>
      <c r="F20" s="2072"/>
      <c r="G20" s="1133"/>
      <c r="H20" s="2309"/>
      <c r="I20" s="2309"/>
      <c r="J20" s="2309"/>
      <c r="K20" s="2309"/>
      <c r="L20" s="2309"/>
      <c r="M20" s="2309"/>
      <c r="N20" s="2309"/>
      <c r="O20" s="2309"/>
      <c r="P20" s="2309"/>
      <c r="Q20" s="2309"/>
      <c r="R20" s="2309"/>
      <c r="S20" s="2309"/>
    </row>
    <row r="21" spans="1:19" hidden="1">
      <c r="A21" s="2308"/>
      <c r="B21" s="2071"/>
      <c r="C21" s="2087"/>
      <c r="D21" s="2072"/>
      <c r="E21" s="2072"/>
      <c r="F21" s="2072"/>
      <c r="G21" s="1133"/>
      <c r="H21" s="2310"/>
      <c r="I21" s="2309"/>
      <c r="J21" s="2310"/>
      <c r="K21" s="2309"/>
      <c r="L21" s="2310"/>
      <c r="M21" s="2309"/>
      <c r="N21" s="2310"/>
      <c r="O21" s="2309"/>
      <c r="P21" s="2310"/>
      <c r="Q21" s="2309"/>
      <c r="R21" s="2310"/>
      <c r="S21" s="2309"/>
    </row>
    <row r="22" spans="1:19" ht="16.5" thickTop="1" thickBot="1">
      <c r="A22" s="2005"/>
      <c r="B22" s="2089" t="s">
        <v>182</v>
      </c>
      <c r="C22" s="56"/>
      <c r="D22" s="57"/>
      <c r="E22" s="57"/>
      <c r="F22" s="57"/>
      <c r="G22" s="63"/>
      <c r="H22" s="2310"/>
      <c r="I22" s="2148"/>
      <c r="J22" s="2310"/>
      <c r="K22" s="2148"/>
      <c r="L22" s="2310"/>
      <c r="M22" s="2148"/>
      <c r="N22" s="2310"/>
      <c r="O22" s="2148"/>
      <c r="P22" s="2310"/>
      <c r="Q22" s="2148"/>
      <c r="R22" s="2310"/>
      <c r="S22" s="2148"/>
    </row>
    <row r="23" spans="1:19">
      <c r="A23" s="2005"/>
      <c r="B23" s="2318" t="s">
        <v>512</v>
      </c>
      <c r="C23" s="2087"/>
      <c r="D23" s="2072"/>
      <c r="E23" s="2072"/>
      <c r="F23" s="2072"/>
      <c r="G23" s="1133"/>
      <c r="H23" s="2310"/>
      <c r="I23" s="2148"/>
      <c r="J23" s="2310"/>
      <c r="K23" s="2148"/>
      <c r="L23" s="2310"/>
      <c r="M23" s="2148"/>
      <c r="N23" s="2310"/>
      <c r="O23" s="2148"/>
      <c r="P23" s="2310"/>
      <c r="Q23" s="2148"/>
      <c r="R23" s="2310"/>
      <c r="S23" s="2148"/>
    </row>
    <row r="24" spans="1:19">
      <c r="A24" s="2005"/>
      <c r="B24" s="2319" t="s">
        <v>513</v>
      </c>
      <c r="C24" s="2087"/>
      <c r="D24" s="2072"/>
      <c r="E24" s="2072"/>
      <c r="F24" s="2072"/>
      <c r="G24" s="1133"/>
      <c r="H24" s="2310"/>
      <c r="I24" s="2148"/>
      <c r="J24" s="2310"/>
      <c r="K24" s="2148"/>
      <c r="L24" s="2310"/>
      <c r="M24" s="2148"/>
      <c r="N24" s="2310"/>
      <c r="O24" s="2148"/>
      <c r="P24" s="2310"/>
      <c r="Q24" s="2148"/>
      <c r="R24" s="2310"/>
      <c r="S24" s="2148"/>
    </row>
    <row r="25" spans="1:19">
      <c r="A25" s="2005"/>
      <c r="B25" s="2319" t="s">
        <v>514</v>
      </c>
      <c r="C25" s="2087"/>
      <c r="D25" s="2072"/>
      <c r="E25" s="2072"/>
      <c r="F25" s="2072"/>
      <c r="G25" s="1133"/>
      <c r="H25" s="2310"/>
      <c r="I25" s="2148"/>
      <c r="J25" s="2310"/>
      <c r="K25" s="2148"/>
      <c r="L25" s="2310"/>
      <c r="M25" s="2148"/>
      <c r="N25" s="2310"/>
      <c r="O25" s="2148"/>
      <c r="P25" s="2310"/>
      <c r="Q25" s="2148"/>
      <c r="R25" s="2310"/>
      <c r="S25" s="2148"/>
    </row>
    <row r="26" spans="1:19">
      <c r="A26" s="2005"/>
      <c r="B26" s="2320" t="s">
        <v>515</v>
      </c>
      <c r="C26" s="2087"/>
      <c r="D26" s="2072"/>
      <c r="E26" s="2072"/>
      <c r="F26" s="2072"/>
      <c r="G26" s="1133"/>
      <c r="H26" s="2310"/>
      <c r="I26" s="2148"/>
      <c r="J26" s="2310"/>
      <c r="K26" s="2148"/>
      <c r="L26" s="2310"/>
      <c r="M26" s="2148"/>
      <c r="N26" s="2310"/>
      <c r="O26" s="2148"/>
      <c r="P26" s="2310"/>
      <c r="Q26" s="2148"/>
      <c r="R26" s="2310"/>
      <c r="S26" s="2148"/>
    </row>
    <row r="27" spans="1:19">
      <c r="A27" s="2005"/>
      <c r="B27" s="2320" t="s">
        <v>516</v>
      </c>
      <c r="C27" s="2087"/>
      <c r="D27" s="2072"/>
      <c r="E27" s="2072"/>
      <c r="F27" s="2072"/>
      <c r="G27" s="1133"/>
      <c r="H27" s="2310"/>
      <c r="I27" s="2148"/>
      <c r="J27" s="2310"/>
      <c r="K27" s="2148"/>
      <c r="L27" s="2310"/>
      <c r="M27" s="2321"/>
      <c r="N27" s="2310"/>
      <c r="O27" s="2321"/>
      <c r="P27" s="2310"/>
      <c r="Q27" s="2321"/>
      <c r="R27" s="2310"/>
      <c r="S27" s="2321"/>
    </row>
    <row r="28" spans="1:19">
      <c r="A28" s="2005"/>
      <c r="B28" s="2320" t="s">
        <v>517</v>
      </c>
      <c r="C28" s="2087"/>
      <c r="D28" s="2072"/>
      <c r="E28" s="2072"/>
      <c r="F28" s="2072"/>
      <c r="G28" s="1133"/>
      <c r="H28" s="2310"/>
      <c r="I28" s="2148"/>
      <c r="J28" s="2310"/>
      <c r="K28" s="2148"/>
      <c r="L28" s="2310"/>
      <c r="M28" s="2321"/>
      <c r="N28" s="2310"/>
      <c r="O28" s="2321"/>
      <c r="P28" s="2310"/>
      <c r="Q28" s="2321"/>
      <c r="R28" s="2310"/>
      <c r="S28" s="2321"/>
    </row>
    <row r="29" spans="1:19">
      <c r="A29" s="2005"/>
      <c r="B29" s="2320" t="s">
        <v>518</v>
      </c>
      <c r="C29" s="2087"/>
      <c r="D29" s="2072"/>
      <c r="E29" s="2072"/>
      <c r="F29" s="2072"/>
      <c r="G29" s="1133"/>
      <c r="H29" s="2310"/>
      <c r="I29" s="2148"/>
      <c r="J29" s="2310"/>
      <c r="K29" s="2148"/>
      <c r="L29" s="2310"/>
      <c r="M29" s="2321"/>
      <c r="N29" s="2310"/>
      <c r="O29" s="2321"/>
      <c r="P29" s="2310"/>
      <c r="Q29" s="2321"/>
      <c r="R29" s="2310"/>
      <c r="S29" s="2321"/>
    </row>
    <row r="30" spans="1:19">
      <c r="A30" s="2005"/>
      <c r="B30" s="2320" t="s">
        <v>693</v>
      </c>
      <c r="C30" s="2087"/>
      <c r="D30" s="2072"/>
      <c r="E30" s="2072"/>
      <c r="F30" s="2072"/>
      <c r="G30" s="1133"/>
      <c r="H30" s="2310"/>
      <c r="I30" s="2148"/>
      <c r="J30" s="2310"/>
      <c r="K30" s="2148"/>
      <c r="L30" s="2310"/>
      <c r="M30" s="2321"/>
      <c r="N30" s="2310"/>
      <c r="O30" s="2321"/>
      <c r="P30" s="2310"/>
      <c r="Q30" s="2321"/>
      <c r="R30" s="2310"/>
      <c r="S30" s="2321"/>
    </row>
    <row r="31" spans="1:19">
      <c r="A31" s="2005"/>
      <c r="B31" s="2322" t="s">
        <v>519</v>
      </c>
      <c r="C31" s="2087"/>
      <c r="D31" s="2072"/>
      <c r="E31" s="2072"/>
      <c r="F31" s="2072"/>
      <c r="G31" s="1133"/>
      <c r="H31" s="2310"/>
      <c r="I31" s="2148"/>
      <c r="J31" s="2310"/>
      <c r="K31" s="2148"/>
      <c r="L31" s="2310"/>
      <c r="M31" s="2321"/>
      <c r="N31" s="2310"/>
      <c r="O31" s="2321"/>
      <c r="P31" s="2310"/>
      <c r="Q31" s="2321"/>
      <c r="R31" s="2310"/>
      <c r="S31" s="2321"/>
    </row>
    <row r="32" spans="1:19">
      <c r="A32" s="2005"/>
      <c r="B32" s="2323" t="s">
        <v>520</v>
      </c>
      <c r="C32" s="2324"/>
      <c r="D32" s="2117"/>
      <c r="E32" s="2117"/>
      <c r="F32" s="2325"/>
      <c r="G32" s="1599"/>
      <c r="H32" s="2326"/>
      <c r="I32" s="2327"/>
      <c r="J32" s="2326"/>
      <c r="K32" s="1599"/>
      <c r="L32" s="2326"/>
      <c r="M32" s="1599"/>
      <c r="N32" s="2326"/>
      <c r="O32" s="2328"/>
      <c r="P32" s="2326"/>
      <c r="Q32" s="2328"/>
      <c r="R32" s="2326"/>
      <c r="S32" s="2328"/>
    </row>
    <row r="33" spans="1:19">
      <c r="A33" s="2005"/>
      <c r="B33" s="2329"/>
      <c r="C33" s="1133"/>
      <c r="D33" s="2072"/>
      <c r="E33" s="2072"/>
      <c r="F33" s="2102"/>
      <c r="G33" s="1229"/>
      <c r="H33" s="2310"/>
      <c r="I33" s="2148"/>
      <c r="J33" s="2310"/>
      <c r="K33" s="2148"/>
      <c r="L33" s="2310"/>
      <c r="M33" s="2321"/>
      <c r="N33" s="2310"/>
      <c r="O33" s="2321"/>
      <c r="P33" s="2310"/>
      <c r="Q33" s="2321"/>
      <c r="R33" s="2310"/>
      <c r="S33" s="2321"/>
    </row>
    <row r="34" spans="1:19">
      <c r="A34" s="2005"/>
      <c r="B34" s="2329" t="s">
        <v>1080</v>
      </c>
      <c r="C34" s="1133"/>
      <c r="D34" s="2072"/>
      <c r="E34" s="2072"/>
      <c r="F34" s="2102"/>
      <c r="G34" s="1229"/>
      <c r="H34" s="2310"/>
      <c r="I34" s="2148"/>
      <c r="J34" s="2310"/>
      <c r="K34" s="2148"/>
      <c r="L34" s="2310"/>
      <c r="M34" s="2321"/>
      <c r="N34" s="2310"/>
      <c r="O34" s="2321"/>
      <c r="P34" s="2310"/>
      <c r="Q34" s="2321"/>
      <c r="R34" s="2310"/>
      <c r="S34" s="2321"/>
    </row>
    <row r="35" spans="1:19">
      <c r="A35" s="2005"/>
      <c r="B35" s="2329" t="s">
        <v>1081</v>
      </c>
      <c r="C35" s="1133"/>
      <c r="D35" s="2072"/>
      <c r="E35" s="2072"/>
      <c r="F35" s="2102"/>
      <c r="G35" s="1229"/>
      <c r="H35" s="2310"/>
      <c r="I35" s="2148"/>
      <c r="J35" s="2310"/>
      <c r="K35" s="2148"/>
      <c r="L35" s="2310"/>
      <c r="M35" s="2321"/>
      <c r="N35" s="2310"/>
      <c r="O35" s="2321"/>
      <c r="P35" s="2310"/>
      <c r="Q35" s="2321"/>
      <c r="R35" s="2310"/>
      <c r="S35" s="2321"/>
    </row>
    <row r="36" spans="1:19">
      <c r="A36" s="2005"/>
      <c r="B36" s="2329" t="s">
        <v>1082</v>
      </c>
      <c r="C36" s="1133"/>
      <c r="D36" s="2072"/>
      <c r="E36" s="2072"/>
      <c r="F36" s="2102"/>
      <c r="G36" s="1229"/>
      <c r="H36" s="2310"/>
      <c r="I36" s="2148"/>
      <c r="J36" s="2310"/>
      <c r="K36" s="2148"/>
      <c r="L36" s="2310"/>
      <c r="M36" s="2321"/>
      <c r="N36" s="2310"/>
      <c r="O36" s="2321"/>
      <c r="P36" s="2310"/>
      <c r="Q36" s="2321"/>
      <c r="R36" s="2310"/>
      <c r="S36" s="2321"/>
    </row>
    <row r="37" spans="1:19">
      <c r="A37" s="2005"/>
      <c r="B37" s="2329" t="s">
        <v>1083</v>
      </c>
      <c r="C37" s="1133"/>
      <c r="D37" s="2072"/>
      <c r="E37" s="2072"/>
      <c r="F37" s="2102"/>
      <c r="G37" s="1229"/>
      <c r="H37" s="2310"/>
      <c r="I37" s="2148"/>
      <c r="J37" s="2310"/>
      <c r="K37" s="2148"/>
      <c r="L37" s="2310"/>
      <c r="M37" s="2321"/>
      <c r="N37" s="2310"/>
      <c r="O37" s="2321"/>
      <c r="P37" s="2310"/>
      <c r="Q37" s="2321"/>
      <c r="R37" s="2310"/>
      <c r="S37" s="2321"/>
    </row>
    <row r="38" spans="1:19">
      <c r="A38" s="2005"/>
      <c r="B38" s="2329"/>
      <c r="C38" s="1133"/>
      <c r="D38" s="2072"/>
      <c r="E38" s="2072"/>
      <c r="F38" s="2102"/>
      <c r="G38" s="1229"/>
      <c r="H38" s="2310"/>
      <c r="I38" s="2148"/>
      <c r="J38" s="2310"/>
      <c r="K38" s="2148"/>
      <c r="L38" s="2310"/>
      <c r="M38" s="2321"/>
      <c r="N38" s="2310"/>
      <c r="O38" s="2321"/>
      <c r="P38" s="2310"/>
      <c r="Q38" s="2321"/>
      <c r="R38" s="2310"/>
      <c r="S38" s="2321"/>
    </row>
    <row r="39" spans="1:19">
      <c r="A39" s="2005"/>
      <c r="B39" s="2330" t="s">
        <v>694</v>
      </c>
      <c r="C39" s="1218"/>
      <c r="D39" s="2096"/>
      <c r="E39" s="2096"/>
      <c r="F39" s="2097"/>
      <c r="G39" s="1557"/>
      <c r="H39" s="2331"/>
      <c r="I39" s="2332"/>
      <c r="J39" s="2331"/>
      <c r="K39" s="2332"/>
      <c r="L39" s="2331"/>
      <c r="M39" s="2333"/>
      <c r="N39" s="2331"/>
      <c r="O39" s="2333"/>
      <c r="P39" s="2331"/>
      <c r="Q39" s="2333"/>
      <c r="R39" s="2331"/>
      <c r="S39" s="2333"/>
    </row>
    <row r="40" spans="1:19">
      <c r="A40" s="2005"/>
      <c r="B40" s="2329"/>
      <c r="C40" s="1133"/>
      <c r="D40" s="2072"/>
      <c r="E40" s="2072"/>
      <c r="F40" s="2102"/>
      <c r="G40" s="1229"/>
      <c r="H40" s="2310"/>
      <c r="I40" s="2148"/>
      <c r="J40" s="2310"/>
      <c r="K40" s="2148"/>
      <c r="L40" s="2310"/>
      <c r="M40" s="2321"/>
      <c r="N40" s="2310"/>
      <c r="O40" s="2321"/>
      <c r="P40" s="2310"/>
      <c r="Q40" s="2321"/>
      <c r="R40" s="2310"/>
      <c r="S40" s="2321"/>
    </row>
    <row r="41" spans="1:19">
      <c r="A41" s="2005"/>
      <c r="B41" s="2334" t="s">
        <v>695</v>
      </c>
      <c r="C41" s="1225"/>
      <c r="D41" s="2106"/>
      <c r="E41" s="2106"/>
      <c r="F41" s="2107"/>
      <c r="G41" s="1560"/>
      <c r="H41" s="2335"/>
      <c r="I41" s="2336"/>
      <c r="J41" s="2335"/>
      <c r="K41" s="2336"/>
      <c r="L41" s="2335"/>
      <c r="M41" s="2337"/>
      <c r="N41" s="2335"/>
      <c r="O41" s="2337"/>
      <c r="P41" s="2335"/>
      <c r="Q41" s="2337"/>
      <c r="R41" s="2335"/>
      <c r="S41" s="2337"/>
    </row>
    <row r="42" spans="1:19">
      <c r="A42" s="2005"/>
      <c r="B42" s="2329" t="s">
        <v>1084</v>
      </c>
      <c r="C42" s="1133" t="s">
        <v>697</v>
      </c>
      <c r="D42" s="2072">
        <f>'Cost Summary'!$J$7</f>
        <v>663</v>
      </c>
      <c r="E42" s="2072" t="s">
        <v>723</v>
      </c>
      <c r="F42" s="2102">
        <v>1.5</v>
      </c>
      <c r="G42" s="1229">
        <f>D42*F42</f>
        <v>994.5</v>
      </c>
      <c r="H42" s="2310" t="s">
        <v>709</v>
      </c>
      <c r="I42" s="2338">
        <f>G42</f>
        <v>994.5</v>
      </c>
      <c r="J42" s="2310"/>
      <c r="K42" s="2148"/>
      <c r="L42" s="2310"/>
      <c r="M42" s="2321"/>
      <c r="N42" s="2310"/>
      <c r="O42" s="2321"/>
      <c r="P42" s="2310"/>
      <c r="Q42" s="2321"/>
      <c r="R42" s="2310"/>
      <c r="S42" s="2321"/>
    </row>
    <row r="43" spans="1:19">
      <c r="A43" s="2005"/>
      <c r="B43" s="2329" t="s">
        <v>1085</v>
      </c>
      <c r="C43" s="1133" t="s">
        <v>697</v>
      </c>
      <c r="D43" s="2072">
        <f>'09A Stucco'!$D$37</f>
        <v>1276</v>
      </c>
      <c r="E43" s="2072" t="s">
        <v>723</v>
      </c>
      <c r="F43" s="2102">
        <v>1</v>
      </c>
      <c r="G43" s="1229">
        <f>D43*F43</f>
        <v>1276</v>
      </c>
      <c r="H43" s="2310" t="s">
        <v>709</v>
      </c>
      <c r="I43" s="2338">
        <f>G43</f>
        <v>1276</v>
      </c>
      <c r="J43" s="2310"/>
      <c r="K43" s="2148"/>
      <c r="L43" s="2310"/>
      <c r="M43" s="2321"/>
      <c r="N43" s="2310"/>
      <c r="O43" s="2321"/>
      <c r="P43" s="2310"/>
      <c r="Q43" s="2321"/>
      <c r="R43" s="2310"/>
      <c r="S43" s="2321"/>
    </row>
    <row r="44" spans="1:19">
      <c r="A44" s="2005"/>
      <c r="B44" s="2329"/>
      <c r="C44" s="1133"/>
      <c r="D44" s="2072"/>
      <c r="E44" s="2072"/>
      <c r="F44" s="2102"/>
      <c r="G44" s="1229"/>
      <c r="H44" s="2310"/>
      <c r="I44" s="2148"/>
      <c r="J44" s="2310"/>
      <c r="K44" s="2148"/>
      <c r="L44" s="2310"/>
      <c r="M44" s="2321"/>
      <c r="N44" s="2310"/>
      <c r="O44" s="2321"/>
      <c r="P44" s="2310"/>
      <c r="Q44" s="2321"/>
      <c r="R44" s="2310"/>
      <c r="S44" s="2321"/>
    </row>
    <row r="45" spans="1:19">
      <c r="A45" s="2005"/>
      <c r="B45" s="2330" t="s">
        <v>649</v>
      </c>
      <c r="C45" s="1218"/>
      <c r="D45" s="2096"/>
      <c r="E45" s="2096"/>
      <c r="F45" s="2097"/>
      <c r="G45" s="1557"/>
      <c r="H45" s="2331"/>
      <c r="I45" s="2332"/>
      <c r="J45" s="2331"/>
      <c r="K45" s="2332"/>
      <c r="L45" s="2331"/>
      <c r="M45" s="2333"/>
      <c r="N45" s="2331"/>
      <c r="O45" s="2333"/>
      <c r="P45" s="2331"/>
      <c r="Q45" s="2333"/>
      <c r="R45" s="2331"/>
      <c r="S45" s="2333"/>
    </row>
    <row r="46" spans="1:19">
      <c r="A46" s="2005"/>
      <c r="B46" s="2329"/>
      <c r="C46" s="1133"/>
      <c r="D46" s="2072"/>
      <c r="E46" s="2072"/>
      <c r="F46" s="2102"/>
      <c r="G46" s="1229"/>
      <c r="H46" s="2310"/>
      <c r="I46" s="2148"/>
      <c r="J46" s="2310"/>
      <c r="K46" s="2148"/>
      <c r="L46" s="2310"/>
      <c r="M46" s="2321"/>
      <c r="N46" s="2310"/>
      <c r="O46" s="2321"/>
      <c r="P46" s="2310"/>
      <c r="Q46" s="2321"/>
      <c r="R46" s="2310"/>
      <c r="S46" s="2321"/>
    </row>
    <row r="47" spans="1:19">
      <c r="A47" s="2005"/>
      <c r="B47" s="2334" t="s">
        <v>700</v>
      </c>
      <c r="C47" s="1225"/>
      <c r="D47" s="2106"/>
      <c r="E47" s="2106"/>
      <c r="F47" s="2107"/>
      <c r="G47" s="1560"/>
      <c r="H47" s="2335"/>
      <c r="I47" s="2336"/>
      <c r="J47" s="2335"/>
      <c r="K47" s="2336"/>
      <c r="L47" s="2335"/>
      <c r="M47" s="2337"/>
      <c r="N47" s="2335"/>
      <c r="O47" s="2337"/>
      <c r="P47" s="2335"/>
      <c r="Q47" s="2337"/>
      <c r="R47" s="2335"/>
      <c r="S47" s="2337"/>
    </row>
    <row r="48" spans="1:19">
      <c r="A48" s="2005"/>
      <c r="B48" s="2329" t="s">
        <v>701</v>
      </c>
      <c r="C48" s="1133" t="s">
        <v>702</v>
      </c>
      <c r="D48" s="2072">
        <f>'Cost Summary'!$N$7</f>
        <v>11678</v>
      </c>
      <c r="E48" s="2072" t="s">
        <v>723</v>
      </c>
      <c r="F48" s="2102">
        <v>5.5</v>
      </c>
      <c r="G48" s="1229">
        <f>D48*F48</f>
        <v>64229</v>
      </c>
      <c r="H48" s="2310" t="s">
        <v>709</v>
      </c>
      <c r="I48" s="2339">
        <f>G48</f>
        <v>64229</v>
      </c>
      <c r="J48" s="2310"/>
      <c r="K48" s="2148"/>
      <c r="L48" s="2310"/>
      <c r="M48" s="2321"/>
      <c r="N48" s="2310"/>
      <c r="O48" s="2321"/>
      <c r="P48" s="2310"/>
      <c r="Q48" s="2321"/>
      <c r="R48" s="2310"/>
      <c r="S48" s="2321"/>
    </row>
    <row r="49" spans="1:19">
      <c r="A49" s="2005"/>
      <c r="B49" s="2340" t="s">
        <v>1086</v>
      </c>
      <c r="C49" s="1133"/>
      <c r="D49" s="2072"/>
      <c r="E49" s="2072"/>
      <c r="F49" s="2102"/>
      <c r="G49" s="1229"/>
      <c r="H49" s="2310"/>
      <c r="I49" s="2148"/>
      <c r="J49" s="2310"/>
      <c r="K49" s="2148"/>
      <c r="L49" s="2310"/>
      <c r="M49" s="2321"/>
      <c r="N49" s="2310"/>
      <c r="O49" s="2321"/>
      <c r="P49" s="2310"/>
      <c r="Q49" s="2321"/>
      <c r="R49" s="2310"/>
      <c r="S49" s="2321"/>
    </row>
    <row r="50" spans="1:19">
      <c r="A50" s="2005"/>
      <c r="B50" s="2329" t="s">
        <v>1087</v>
      </c>
      <c r="C50" s="1133" t="s">
        <v>702</v>
      </c>
      <c r="D50" s="2072">
        <f>66*15/9</f>
        <v>110</v>
      </c>
      <c r="E50" s="2072" t="s">
        <v>1059</v>
      </c>
      <c r="F50" s="2102">
        <v>55</v>
      </c>
      <c r="G50" s="1229">
        <f t="shared" ref="G50:G55" si="0">D50*F50</f>
        <v>6050</v>
      </c>
      <c r="H50" s="2310" t="s">
        <v>709</v>
      </c>
      <c r="I50" s="2339">
        <f t="shared" ref="I50:I55" si="1">G50</f>
        <v>6050</v>
      </c>
      <c r="J50" s="2310"/>
      <c r="K50" s="2148"/>
      <c r="L50" s="2310"/>
      <c r="M50" s="2321"/>
      <c r="N50" s="2310"/>
      <c r="O50" s="2321"/>
      <c r="P50" s="2310"/>
      <c r="Q50" s="2321"/>
      <c r="R50" s="2310"/>
      <c r="S50" s="2321"/>
    </row>
    <row r="51" spans="1:19">
      <c r="A51" s="2005"/>
      <c r="B51" s="2329" t="s">
        <v>1088</v>
      </c>
      <c r="C51" s="1133" t="s">
        <v>702</v>
      </c>
      <c r="D51" s="2072">
        <f>164*15/9</f>
        <v>273.33333333333331</v>
      </c>
      <c r="E51" s="2072" t="s">
        <v>1059</v>
      </c>
      <c r="F51" s="2102">
        <f>F50</f>
        <v>55</v>
      </c>
      <c r="G51" s="1229">
        <f t="shared" si="0"/>
        <v>15033.333333333332</v>
      </c>
      <c r="H51" s="2310" t="s">
        <v>709</v>
      </c>
      <c r="I51" s="2339">
        <f t="shared" si="1"/>
        <v>15033.333333333332</v>
      </c>
      <c r="J51" s="2310"/>
      <c r="K51" s="2148"/>
      <c r="L51" s="2310"/>
      <c r="M51" s="2321"/>
      <c r="N51" s="2310"/>
      <c r="O51" s="2321"/>
      <c r="P51" s="2310"/>
      <c r="Q51" s="2321"/>
      <c r="R51" s="2310"/>
      <c r="S51" s="2321"/>
    </row>
    <row r="52" spans="1:19">
      <c r="A52" s="2005"/>
      <c r="B52" s="2329" t="s">
        <v>1089</v>
      </c>
      <c r="C52" s="1133" t="s">
        <v>702</v>
      </c>
      <c r="D52" s="2072">
        <f>19*15/9</f>
        <v>31.666666666666668</v>
      </c>
      <c r="E52" s="2072" t="s">
        <v>1059</v>
      </c>
      <c r="F52" s="2102">
        <f>F50</f>
        <v>55</v>
      </c>
      <c r="G52" s="1229">
        <f t="shared" si="0"/>
        <v>1741.6666666666667</v>
      </c>
      <c r="H52" s="2310" t="s">
        <v>709</v>
      </c>
      <c r="I52" s="2339">
        <f t="shared" si="1"/>
        <v>1741.6666666666667</v>
      </c>
      <c r="J52" s="2310"/>
      <c r="K52" s="2148"/>
      <c r="L52" s="2310"/>
      <c r="M52" s="2321"/>
      <c r="N52" s="2310"/>
      <c r="O52" s="2321"/>
      <c r="P52" s="2310"/>
      <c r="Q52" s="2321"/>
      <c r="R52" s="2310"/>
      <c r="S52" s="2321"/>
    </row>
    <row r="53" spans="1:19" ht="26.25">
      <c r="A53" s="2005"/>
      <c r="B53" s="2341" t="s">
        <v>1090</v>
      </c>
      <c r="C53" s="1133" t="s">
        <v>702</v>
      </c>
      <c r="D53" s="2072">
        <f>291*15/9</f>
        <v>485</v>
      </c>
      <c r="E53" s="2072" t="s">
        <v>723</v>
      </c>
      <c r="F53" s="2072">
        <v>8</v>
      </c>
      <c r="G53" s="1133">
        <f t="shared" si="0"/>
        <v>3880</v>
      </c>
      <c r="H53" s="2310" t="s">
        <v>709</v>
      </c>
      <c r="I53" s="2339">
        <f t="shared" si="1"/>
        <v>3880</v>
      </c>
      <c r="J53" s="2310"/>
      <c r="K53" s="2148"/>
      <c r="L53" s="2310"/>
      <c r="M53" s="2321"/>
      <c r="N53" s="2310"/>
      <c r="O53" s="2321"/>
      <c r="P53" s="2310"/>
      <c r="Q53" s="2321"/>
      <c r="R53" s="2310"/>
      <c r="S53" s="2321"/>
    </row>
    <row r="54" spans="1:19">
      <c r="A54" s="2005"/>
      <c r="B54" s="2329" t="s">
        <v>1091</v>
      </c>
      <c r="C54" s="1133" t="s">
        <v>702</v>
      </c>
      <c r="D54" s="2072">
        <f>72*15/9</f>
        <v>120</v>
      </c>
      <c r="E54" s="2072" t="s">
        <v>1059</v>
      </c>
      <c r="F54" s="2102">
        <f>F50</f>
        <v>55</v>
      </c>
      <c r="G54" s="1229">
        <f t="shared" si="0"/>
        <v>6600</v>
      </c>
      <c r="H54" s="2310" t="s">
        <v>709</v>
      </c>
      <c r="I54" s="2339">
        <f t="shared" si="1"/>
        <v>6600</v>
      </c>
      <c r="J54" s="2310"/>
      <c r="K54" s="2148"/>
      <c r="L54" s="2310"/>
      <c r="M54" s="2321"/>
      <c r="N54" s="2310"/>
      <c r="O54" s="2321"/>
      <c r="P54" s="2310"/>
      <c r="Q54" s="2321"/>
      <c r="R54" s="2310"/>
      <c r="S54" s="2321"/>
    </row>
    <row r="55" spans="1:19">
      <c r="A55" s="2005"/>
      <c r="B55" s="2329" t="s">
        <v>1092</v>
      </c>
      <c r="C55" s="1133" t="s">
        <v>702</v>
      </c>
      <c r="D55" s="2072">
        <f>72*15/9</f>
        <v>120</v>
      </c>
      <c r="E55" s="2072" t="s">
        <v>1059</v>
      </c>
      <c r="F55" s="2102">
        <f>F50</f>
        <v>55</v>
      </c>
      <c r="G55" s="1229">
        <f t="shared" si="0"/>
        <v>6600</v>
      </c>
      <c r="H55" s="2310" t="s">
        <v>709</v>
      </c>
      <c r="I55" s="2339">
        <f t="shared" si="1"/>
        <v>6600</v>
      </c>
      <c r="J55" s="2310"/>
      <c r="K55" s="2148"/>
      <c r="L55" s="2310"/>
      <c r="M55" s="2321"/>
      <c r="N55" s="2310"/>
      <c r="O55" s="2321"/>
      <c r="P55" s="2310"/>
      <c r="Q55" s="2321"/>
      <c r="R55" s="2310"/>
      <c r="S55" s="2321"/>
    </row>
    <row r="56" spans="1:19">
      <c r="A56" s="2005"/>
      <c r="B56" s="2342" t="s">
        <v>1093</v>
      </c>
      <c r="C56" s="1133" t="s">
        <v>702</v>
      </c>
      <c r="D56" s="2072">
        <f>52*15/9</f>
        <v>86.666666666666671</v>
      </c>
      <c r="E56" s="2072" t="s">
        <v>1059</v>
      </c>
      <c r="F56" s="2102">
        <f>F50</f>
        <v>55</v>
      </c>
      <c r="G56" s="1229">
        <f t="shared" ref="G56:G57" si="2">D56*F56</f>
        <v>4766.666666666667</v>
      </c>
      <c r="H56" s="2310" t="s">
        <v>709</v>
      </c>
      <c r="I56" s="2339">
        <f t="shared" ref="I56:I57" si="3">G56</f>
        <v>4766.666666666667</v>
      </c>
      <c r="J56" s="2310"/>
      <c r="K56" s="2148"/>
      <c r="L56" s="2310"/>
      <c r="M56" s="2321"/>
      <c r="N56" s="2310"/>
      <c r="O56" s="2321"/>
      <c r="P56" s="2310"/>
      <c r="Q56" s="2321"/>
      <c r="R56" s="2310"/>
      <c r="S56" s="2321"/>
    </row>
    <row r="57" spans="1:19">
      <c r="A57" s="2005"/>
      <c r="B57" s="2342" t="s">
        <v>1094</v>
      </c>
      <c r="C57" s="1133" t="s">
        <v>702</v>
      </c>
      <c r="D57" s="2072">
        <f>69*15/9</f>
        <v>115</v>
      </c>
      <c r="E57" s="2072" t="s">
        <v>1059</v>
      </c>
      <c r="F57" s="2102">
        <f>F50</f>
        <v>55</v>
      </c>
      <c r="G57" s="1229">
        <f t="shared" si="2"/>
        <v>6325</v>
      </c>
      <c r="H57" s="2310" t="s">
        <v>709</v>
      </c>
      <c r="I57" s="2339">
        <f t="shared" si="3"/>
        <v>6325</v>
      </c>
      <c r="J57" s="2310"/>
      <c r="K57" s="2148"/>
      <c r="L57" s="2310"/>
      <c r="M57" s="2321"/>
      <c r="N57" s="2310"/>
      <c r="O57" s="2321"/>
      <c r="P57" s="2310"/>
      <c r="Q57" s="2321"/>
      <c r="R57" s="2310"/>
      <c r="S57" s="2321"/>
    </row>
    <row r="58" spans="1:19">
      <c r="A58" s="2005"/>
      <c r="B58" s="2342"/>
      <c r="C58" s="1133"/>
      <c r="D58" s="2072"/>
      <c r="E58" s="2072"/>
      <c r="F58" s="2102"/>
      <c r="G58" s="1229"/>
      <c r="H58" s="2310"/>
      <c r="I58" s="2148"/>
      <c r="J58" s="2310"/>
      <c r="K58" s="2148"/>
      <c r="L58" s="2310"/>
      <c r="M58" s="2321"/>
      <c r="N58" s="2310"/>
      <c r="O58" s="2321"/>
      <c r="P58" s="2310"/>
      <c r="Q58" s="2321"/>
      <c r="R58" s="2310"/>
      <c r="S58" s="2321"/>
    </row>
    <row r="59" spans="1:19">
      <c r="A59" s="2005"/>
      <c r="B59" s="2343" t="s">
        <v>1095</v>
      </c>
      <c r="C59" s="1133"/>
      <c r="D59" s="2072"/>
      <c r="E59" s="2072"/>
      <c r="F59" s="2102"/>
      <c r="G59" s="1229"/>
      <c r="H59" s="2310"/>
      <c r="I59" s="2336">
        <v>854.1</v>
      </c>
      <c r="J59" s="2310"/>
      <c r="K59" s="2148"/>
      <c r="L59" s="2310"/>
      <c r="M59" s="2321"/>
      <c r="N59" s="2310"/>
      <c r="O59" s="2321"/>
      <c r="P59" s="2310"/>
      <c r="Q59" s="2321"/>
      <c r="R59" s="2310"/>
      <c r="S59" s="2321"/>
    </row>
    <row r="60" spans="1:19">
      <c r="A60" s="2005"/>
      <c r="B60" s="2342" t="s">
        <v>1096</v>
      </c>
      <c r="C60" s="1133" t="s">
        <v>702</v>
      </c>
      <c r="D60" s="2072">
        <v>36</v>
      </c>
      <c r="E60" s="2072" t="s">
        <v>723</v>
      </c>
      <c r="F60" s="2102">
        <v>4</v>
      </c>
      <c r="G60" s="1229">
        <f>D60*F60</f>
        <v>144</v>
      </c>
      <c r="H60" s="2310" t="s">
        <v>710</v>
      </c>
      <c r="I60" s="2148"/>
      <c r="J60" s="2310"/>
      <c r="K60" s="2148"/>
      <c r="L60" s="2310"/>
      <c r="M60" s="2321"/>
      <c r="N60" s="2310"/>
      <c r="O60" s="2321"/>
      <c r="P60" s="2310"/>
      <c r="Q60" s="2321"/>
      <c r="R60" s="2310"/>
      <c r="S60" s="2321"/>
    </row>
    <row r="61" spans="1:19">
      <c r="A61" s="2005"/>
      <c r="B61" s="2342" t="s">
        <v>1097</v>
      </c>
      <c r="C61" s="1133" t="s">
        <v>702</v>
      </c>
      <c r="D61" s="2072">
        <v>79</v>
      </c>
      <c r="E61" s="2072" t="s">
        <v>723</v>
      </c>
      <c r="F61" s="2102">
        <f>F60</f>
        <v>4</v>
      </c>
      <c r="G61" s="1229">
        <f t="shared" ref="G61:G63" si="4">D61*F61</f>
        <v>316</v>
      </c>
      <c r="H61" s="2310" t="s">
        <v>710</v>
      </c>
      <c r="I61" s="2148"/>
      <c r="J61" s="2310"/>
      <c r="K61" s="2148"/>
      <c r="L61" s="2310"/>
      <c r="M61" s="2321"/>
      <c r="N61" s="2310"/>
      <c r="O61" s="2321"/>
      <c r="P61" s="2310"/>
      <c r="Q61" s="2321"/>
      <c r="R61" s="2310"/>
      <c r="S61" s="2321"/>
    </row>
    <row r="62" spans="1:19">
      <c r="A62" s="2005"/>
      <c r="B62" s="2342" t="s">
        <v>1098</v>
      </c>
      <c r="C62" s="1133" t="s">
        <v>702</v>
      </c>
      <c r="D62" s="2072">
        <v>50</v>
      </c>
      <c r="E62" s="2072" t="s">
        <v>723</v>
      </c>
      <c r="F62" s="2102">
        <f t="shared" ref="F62:F63" si="5">F61</f>
        <v>4</v>
      </c>
      <c r="G62" s="1229">
        <f t="shared" si="4"/>
        <v>200</v>
      </c>
      <c r="H62" s="2310" t="s">
        <v>710</v>
      </c>
      <c r="I62" s="2148"/>
      <c r="J62" s="2310"/>
      <c r="K62" s="2148"/>
      <c r="L62" s="2310"/>
      <c r="M62" s="2321"/>
      <c r="N62" s="2310"/>
      <c r="O62" s="2321"/>
      <c r="P62" s="2310"/>
      <c r="Q62" s="2321"/>
      <c r="R62" s="2310"/>
      <c r="S62" s="2321"/>
    </row>
    <row r="63" spans="1:19">
      <c r="A63" s="2005"/>
      <c r="B63" s="2342" t="s">
        <v>1099</v>
      </c>
      <c r="C63" s="1133" t="s">
        <v>702</v>
      </c>
      <c r="D63" s="2072">
        <v>36</v>
      </c>
      <c r="E63" s="2072" t="s">
        <v>723</v>
      </c>
      <c r="F63" s="2102">
        <f t="shared" si="5"/>
        <v>4</v>
      </c>
      <c r="G63" s="1229">
        <f t="shared" si="4"/>
        <v>144</v>
      </c>
      <c r="H63" s="2310" t="s">
        <v>710</v>
      </c>
      <c r="I63" s="2148"/>
      <c r="J63" s="2310"/>
      <c r="K63" s="2148"/>
      <c r="L63" s="2310"/>
      <c r="M63" s="2321"/>
      <c r="N63" s="2310"/>
      <c r="O63" s="2321"/>
      <c r="P63" s="2310"/>
      <c r="Q63" s="2321"/>
      <c r="R63" s="2310"/>
      <c r="S63" s="2321"/>
    </row>
    <row r="64" spans="1:19">
      <c r="A64" s="2005"/>
      <c r="B64" s="2342"/>
      <c r="C64" s="1133"/>
      <c r="D64" s="2072"/>
      <c r="E64" s="2072"/>
      <c r="F64" s="2102"/>
      <c r="G64" s="1229"/>
      <c r="H64" s="2310"/>
      <c r="I64" s="2148"/>
      <c r="J64" s="2310"/>
      <c r="K64" s="2148"/>
      <c r="L64" s="2310"/>
      <c r="M64" s="2321"/>
      <c r="N64" s="2310"/>
      <c r="O64" s="2321"/>
      <c r="P64" s="2310"/>
      <c r="Q64" s="2321"/>
      <c r="R64" s="2310"/>
      <c r="S64" s="2321"/>
    </row>
    <row r="65" spans="1:19">
      <c r="A65" s="2005"/>
      <c r="B65" s="2343" t="s">
        <v>1100</v>
      </c>
      <c r="C65" s="1133"/>
      <c r="D65" s="2072"/>
      <c r="E65" s="2072"/>
      <c r="F65" s="2102"/>
      <c r="G65" s="1229"/>
      <c r="H65" s="2310"/>
      <c r="I65" s="2336">
        <v>5800</v>
      </c>
      <c r="J65" s="2310"/>
      <c r="K65" s="2148"/>
      <c r="L65" s="2310"/>
      <c r="M65" s="2321"/>
      <c r="N65" s="2310"/>
      <c r="O65" s="2321"/>
      <c r="P65" s="2310"/>
      <c r="Q65" s="2321"/>
      <c r="R65" s="2310"/>
      <c r="S65" s="2321"/>
    </row>
    <row r="66" spans="1:19">
      <c r="A66" s="2005"/>
      <c r="B66" s="2342" t="s">
        <v>1101</v>
      </c>
      <c r="C66" s="1133" t="s">
        <v>702</v>
      </c>
      <c r="D66" s="2072">
        <v>42</v>
      </c>
      <c r="E66" s="2072" t="s">
        <v>723</v>
      </c>
      <c r="F66" s="2102">
        <v>20</v>
      </c>
      <c r="G66" s="1229">
        <f t="shared" ref="G66" si="6">D66*F66</f>
        <v>840</v>
      </c>
      <c r="H66" s="2310" t="s">
        <v>710</v>
      </c>
      <c r="I66" s="2148"/>
      <c r="J66" s="2310"/>
      <c r="K66" s="2148"/>
      <c r="L66" s="2310"/>
      <c r="M66" s="2321"/>
      <c r="N66" s="2310"/>
      <c r="O66" s="2321"/>
      <c r="P66" s="2310"/>
      <c r="Q66" s="2321"/>
      <c r="R66" s="2310"/>
      <c r="S66" s="2321"/>
    </row>
    <row r="67" spans="1:19">
      <c r="A67" s="2005"/>
      <c r="B67" s="2342" t="s">
        <v>1102</v>
      </c>
      <c r="C67" s="1133" t="s">
        <v>702</v>
      </c>
      <c r="D67" s="2072">
        <v>173</v>
      </c>
      <c r="E67" s="2072" t="s">
        <v>723</v>
      </c>
      <c r="F67" s="2102">
        <f>F66</f>
        <v>20</v>
      </c>
      <c r="G67" s="1229">
        <f t="shared" ref="G67" si="7">D67*F67</f>
        <v>3460</v>
      </c>
      <c r="H67" s="2310" t="s">
        <v>710</v>
      </c>
      <c r="I67" s="2148"/>
      <c r="J67" s="2310"/>
      <c r="K67" s="2148"/>
      <c r="L67" s="2310"/>
      <c r="M67" s="2321"/>
      <c r="N67" s="2310"/>
      <c r="O67" s="2321"/>
      <c r="P67" s="2310"/>
      <c r="Q67" s="2321"/>
      <c r="R67" s="2310"/>
      <c r="S67" s="2321"/>
    </row>
    <row r="68" spans="1:19">
      <c r="A68" s="2005"/>
      <c r="B68" s="2342" t="s">
        <v>1103</v>
      </c>
      <c r="C68" s="1133" t="s">
        <v>702</v>
      </c>
      <c r="D68" s="2072">
        <v>73</v>
      </c>
      <c r="E68" s="2072" t="s">
        <v>723</v>
      </c>
      <c r="F68" s="2102">
        <f>F67</f>
        <v>20</v>
      </c>
      <c r="G68" s="1229">
        <f t="shared" ref="G68" si="8">D68*F68</f>
        <v>1460</v>
      </c>
      <c r="H68" s="2310" t="s">
        <v>710</v>
      </c>
      <c r="I68" s="2148"/>
      <c r="J68" s="2310"/>
      <c r="K68" s="2148"/>
      <c r="L68" s="2310"/>
      <c r="M68" s="2321"/>
      <c r="N68" s="2310"/>
      <c r="O68" s="2321"/>
      <c r="P68" s="2310"/>
      <c r="Q68" s="2321"/>
      <c r="R68" s="2310"/>
      <c r="S68" s="2321"/>
    </row>
    <row r="69" spans="1:19">
      <c r="A69" s="2005"/>
      <c r="B69" s="2342"/>
      <c r="C69" s="1133"/>
      <c r="D69" s="2072"/>
      <c r="E69" s="2072"/>
      <c r="F69" s="2102"/>
      <c r="G69" s="1229"/>
      <c r="H69" s="2310"/>
      <c r="I69" s="2148"/>
      <c r="J69" s="2310"/>
      <c r="K69" s="2148"/>
      <c r="L69" s="2310"/>
      <c r="M69" s="2321"/>
      <c r="N69" s="2310"/>
      <c r="O69" s="2321"/>
      <c r="P69" s="2310"/>
      <c r="Q69" s="2321"/>
      <c r="R69" s="2310"/>
      <c r="S69" s="2321"/>
    </row>
    <row r="70" spans="1:19">
      <c r="A70" s="2005"/>
      <c r="B70" s="2330" t="s">
        <v>703</v>
      </c>
      <c r="C70" s="1218"/>
      <c r="D70" s="2096"/>
      <c r="E70" s="2096"/>
      <c r="F70" s="2097"/>
      <c r="G70" s="1557"/>
      <c r="H70" s="2331"/>
      <c r="I70" s="2332"/>
      <c r="J70" s="2331"/>
      <c r="K70" s="2332"/>
      <c r="L70" s="2331"/>
      <c r="M70" s="2333"/>
      <c r="N70" s="2331"/>
      <c r="O70" s="2333"/>
      <c r="P70" s="2331"/>
      <c r="Q70" s="2333"/>
      <c r="R70" s="2331"/>
      <c r="S70" s="2333"/>
    </row>
    <row r="71" spans="1:19">
      <c r="A71" s="2005"/>
      <c r="B71" s="2329"/>
      <c r="C71" s="1133"/>
      <c r="D71" s="2072"/>
      <c r="E71" s="2072"/>
      <c r="F71" s="2102"/>
      <c r="G71" s="1229"/>
      <c r="H71" s="2310"/>
      <c r="I71" s="2148"/>
      <c r="J71" s="2310"/>
      <c r="K71" s="2148"/>
      <c r="L71" s="2310"/>
      <c r="M71" s="2321"/>
      <c r="N71" s="2310"/>
      <c r="O71" s="2321"/>
      <c r="P71" s="2310"/>
      <c r="Q71" s="2321"/>
      <c r="R71" s="2310"/>
      <c r="S71" s="2321"/>
    </row>
    <row r="72" spans="1:19">
      <c r="A72" s="2005"/>
      <c r="B72" s="2334" t="s">
        <v>704</v>
      </c>
      <c r="C72" s="1225"/>
      <c r="D72" s="2106"/>
      <c r="E72" s="2106"/>
      <c r="F72" s="2107"/>
      <c r="G72" s="1560"/>
      <c r="H72" s="2335"/>
      <c r="I72" s="2336"/>
      <c r="J72" s="2335"/>
      <c r="K72" s="2336"/>
      <c r="L72" s="2335"/>
      <c r="M72" s="2337"/>
      <c r="N72" s="2335"/>
      <c r="O72" s="2337"/>
      <c r="P72" s="2335"/>
      <c r="Q72" s="2337"/>
      <c r="R72" s="2335"/>
      <c r="S72" s="2337"/>
    </row>
    <row r="73" spans="1:19">
      <c r="A73" s="2005"/>
      <c r="B73" s="2329" t="s">
        <v>701</v>
      </c>
      <c r="C73" s="1133" t="s">
        <v>741</v>
      </c>
      <c r="D73" s="2072">
        <f>'Cost Summary'!$R$7</f>
        <v>11225</v>
      </c>
      <c r="E73" s="2072" t="s">
        <v>723</v>
      </c>
      <c r="F73" s="2102">
        <v>6.5</v>
      </c>
      <c r="G73" s="1229">
        <f>D73*F73</f>
        <v>72962.5</v>
      </c>
      <c r="H73" s="2310" t="s">
        <v>709</v>
      </c>
      <c r="I73" s="2339">
        <f>G73</f>
        <v>72962.5</v>
      </c>
      <c r="J73" s="2310"/>
      <c r="K73" s="2148"/>
      <c r="L73" s="2310"/>
      <c r="M73" s="2321"/>
      <c r="N73" s="2310"/>
      <c r="O73" s="2321"/>
      <c r="P73" s="2310"/>
      <c r="Q73" s="2321"/>
      <c r="R73" s="2310"/>
      <c r="S73" s="2321"/>
    </row>
    <row r="74" spans="1:19">
      <c r="A74" s="2005"/>
      <c r="B74" s="2340" t="s">
        <v>1086</v>
      </c>
      <c r="C74" s="1133"/>
      <c r="D74" s="2072"/>
      <c r="E74" s="2072"/>
      <c r="F74" s="2102"/>
      <c r="G74" s="1229"/>
      <c r="H74" s="2310"/>
      <c r="I74" s="2148"/>
      <c r="J74" s="2310"/>
      <c r="K74" s="2148"/>
      <c r="L74" s="2310"/>
      <c r="M74" s="2321"/>
      <c r="N74" s="2310"/>
      <c r="O74" s="2321"/>
      <c r="P74" s="2310"/>
      <c r="Q74" s="2321"/>
      <c r="R74" s="2310"/>
      <c r="S74" s="2321"/>
    </row>
    <row r="75" spans="1:19">
      <c r="A75" s="2005"/>
      <c r="B75" s="2329" t="s">
        <v>1104</v>
      </c>
      <c r="C75" s="1133" t="s">
        <v>702</v>
      </c>
      <c r="D75" s="2072">
        <f>2188/9</f>
        <v>243.11111111111111</v>
      </c>
      <c r="E75" s="2072" t="s">
        <v>1059</v>
      </c>
      <c r="F75" s="2102">
        <v>120</v>
      </c>
      <c r="G75" s="1229">
        <f t="shared" ref="G75" si="9">D75*F75</f>
        <v>29173.333333333332</v>
      </c>
      <c r="H75" s="2310" t="s">
        <v>709</v>
      </c>
      <c r="I75" s="2339">
        <f t="shared" ref="I75" si="10">G75</f>
        <v>29173.333333333332</v>
      </c>
      <c r="J75" s="2310"/>
      <c r="K75" s="2148"/>
      <c r="L75" s="2310"/>
      <c r="M75" s="2321"/>
      <c r="N75" s="2310"/>
      <c r="O75" s="2321"/>
      <c r="P75" s="2310"/>
      <c r="Q75" s="2321"/>
      <c r="R75" s="2310"/>
      <c r="S75" s="2321"/>
    </row>
    <row r="76" spans="1:19">
      <c r="A76" s="2005"/>
      <c r="B76" s="2329"/>
      <c r="C76" s="1133"/>
      <c r="D76" s="2072"/>
      <c r="E76" s="2072"/>
      <c r="F76" s="2102"/>
      <c r="G76" s="1229"/>
      <c r="H76" s="2310"/>
      <c r="I76" s="2148"/>
      <c r="J76" s="2310"/>
      <c r="K76" s="2148"/>
      <c r="L76" s="2310"/>
      <c r="M76" s="2321"/>
      <c r="N76" s="2310"/>
      <c r="O76" s="2321"/>
      <c r="P76" s="2310"/>
      <c r="Q76" s="2321"/>
      <c r="R76" s="2310"/>
      <c r="S76" s="2321"/>
    </row>
    <row r="77" spans="1:19">
      <c r="A77" s="2005"/>
      <c r="B77" s="2343" t="s">
        <v>1095</v>
      </c>
      <c r="C77" s="1133"/>
      <c r="D77" s="2072"/>
      <c r="E77" s="2072"/>
      <c r="F77" s="2102"/>
      <c r="G77" s="1229"/>
      <c r="H77" s="2310"/>
      <c r="I77" s="2148"/>
      <c r="J77" s="2310"/>
      <c r="K77" s="2148"/>
      <c r="L77" s="2310"/>
      <c r="M77" s="2321"/>
      <c r="N77" s="2310"/>
      <c r="O77" s="2321"/>
      <c r="P77" s="2310"/>
      <c r="Q77" s="2321"/>
      <c r="R77" s="2310"/>
      <c r="S77" s="2321"/>
    </row>
    <row r="78" spans="1:19">
      <c r="A78" s="2005"/>
      <c r="B78" s="2329" t="s">
        <v>1105</v>
      </c>
      <c r="C78" s="1133" t="s">
        <v>905</v>
      </c>
      <c r="D78" s="2072">
        <v>203</v>
      </c>
      <c r="E78" s="2072" t="s">
        <v>723</v>
      </c>
      <c r="F78" s="2102">
        <v>7.5</v>
      </c>
      <c r="G78" s="1229">
        <f>D78*F78</f>
        <v>1522.5</v>
      </c>
      <c r="H78" s="2310" t="s">
        <v>709</v>
      </c>
      <c r="I78" s="2339">
        <f>G78</f>
        <v>1522.5</v>
      </c>
      <c r="J78" s="2310"/>
      <c r="K78" s="2148"/>
      <c r="L78" s="2310"/>
      <c r="M78" s="2321"/>
      <c r="N78" s="2310"/>
      <c r="O78" s="2321"/>
      <c r="P78" s="2310"/>
      <c r="Q78" s="2321"/>
      <c r="R78" s="2310"/>
      <c r="S78" s="2321"/>
    </row>
    <row r="79" spans="1:19">
      <c r="A79" s="2005"/>
      <c r="B79" s="2329"/>
      <c r="C79" s="1133"/>
      <c r="D79" s="2072"/>
      <c r="E79" s="2072"/>
      <c r="F79" s="2102"/>
      <c r="G79" s="1229"/>
      <c r="H79" s="2310"/>
      <c r="I79" s="2148"/>
      <c r="J79" s="2310"/>
      <c r="K79" s="2148"/>
      <c r="L79" s="2310"/>
      <c r="M79" s="2321"/>
      <c r="N79" s="2310"/>
      <c r="O79" s="2321"/>
      <c r="P79" s="2310"/>
      <c r="Q79" s="2321"/>
      <c r="R79" s="2310"/>
      <c r="S79" s="2321"/>
    </row>
    <row r="80" spans="1:19">
      <c r="A80" s="2005"/>
      <c r="B80" s="2330" t="s">
        <v>705</v>
      </c>
      <c r="C80" s="1218"/>
      <c r="D80" s="2096"/>
      <c r="E80" s="2096"/>
      <c r="F80" s="2097"/>
      <c r="G80" s="1557"/>
      <c r="H80" s="2331"/>
      <c r="I80" s="2332"/>
      <c r="J80" s="2331"/>
      <c r="K80" s="2332"/>
      <c r="L80" s="2331"/>
      <c r="M80" s="2333"/>
      <c r="N80" s="2331"/>
      <c r="O80" s="2333"/>
      <c r="P80" s="2331"/>
      <c r="Q80" s="2333"/>
      <c r="R80" s="2331"/>
      <c r="S80" s="2333"/>
    </row>
    <row r="81" spans="1:19">
      <c r="A81" s="2005"/>
      <c r="B81" s="2329"/>
      <c r="C81" s="1133"/>
      <c r="D81" s="2072"/>
      <c r="E81" s="2072"/>
      <c r="F81" s="2102"/>
      <c r="G81" s="1229"/>
      <c r="H81" s="2310"/>
      <c r="I81" s="2148"/>
      <c r="J81" s="2310"/>
      <c r="K81" s="2148"/>
      <c r="L81" s="2310"/>
      <c r="M81" s="2321"/>
      <c r="N81" s="2310"/>
      <c r="O81" s="2321"/>
      <c r="P81" s="2310"/>
      <c r="Q81" s="2321"/>
      <c r="R81" s="2310"/>
      <c r="S81" s="2321"/>
    </row>
    <row r="82" spans="1:19">
      <c r="A82" s="2005"/>
      <c r="B82" s="2334" t="s">
        <v>602</v>
      </c>
      <c r="C82" s="1225"/>
      <c r="D82" s="2106"/>
      <c r="E82" s="2106"/>
      <c r="F82" s="2107"/>
      <c r="G82" s="1560"/>
      <c r="H82" s="2335"/>
      <c r="I82" s="2336"/>
      <c r="J82" s="2335"/>
      <c r="K82" s="2336"/>
      <c r="L82" s="2335"/>
      <c r="M82" s="2337"/>
      <c r="N82" s="2335"/>
      <c r="O82" s="2337"/>
      <c r="P82" s="2335"/>
      <c r="Q82" s="2337"/>
      <c r="R82" s="2335"/>
      <c r="S82" s="2337"/>
    </row>
    <row r="83" spans="1:19">
      <c r="A83" s="2005"/>
      <c r="B83" s="2329"/>
      <c r="C83" s="1133"/>
      <c r="D83" s="2072"/>
      <c r="E83" s="2072"/>
      <c r="F83" s="2102"/>
      <c r="G83" s="1229"/>
      <c r="H83" s="2310"/>
      <c r="I83" s="2148"/>
      <c r="J83" s="2310"/>
      <c r="K83" s="2148"/>
      <c r="L83" s="2310"/>
      <c r="M83" s="2321"/>
      <c r="N83" s="2310"/>
      <c r="O83" s="2321"/>
      <c r="P83" s="2310"/>
      <c r="Q83" s="2321"/>
      <c r="R83" s="2310"/>
      <c r="S83" s="2321"/>
    </row>
    <row r="84" spans="1:19">
      <c r="A84" s="2005"/>
      <c r="B84" s="2329"/>
      <c r="C84" s="1133"/>
      <c r="D84" s="2072"/>
      <c r="E84" s="2072"/>
      <c r="F84" s="2102"/>
      <c r="G84" s="1229"/>
      <c r="H84" s="2310"/>
      <c r="I84" s="2148"/>
      <c r="J84" s="2310"/>
      <c r="K84" s="2148"/>
      <c r="L84" s="2310"/>
      <c r="M84" s="2321"/>
      <c r="N84" s="2310"/>
      <c r="O84" s="2321"/>
      <c r="P84" s="2310"/>
      <c r="Q84" s="2321"/>
      <c r="R84" s="2310"/>
      <c r="S84" s="2321"/>
    </row>
    <row r="85" spans="1:19" ht="15.75" thickBot="1">
      <c r="A85" s="2005"/>
      <c r="B85" s="2344"/>
      <c r="C85" s="2087"/>
      <c r="D85" s="2072"/>
      <c r="E85" s="2072"/>
      <c r="F85" s="2102"/>
      <c r="G85" s="1229"/>
      <c r="H85" s="2310"/>
      <c r="I85" s="2148"/>
      <c r="J85" s="2310"/>
      <c r="K85" s="2148"/>
      <c r="L85" s="2310"/>
      <c r="M85" s="2148"/>
      <c r="N85" s="2310"/>
      <c r="O85" s="2148"/>
      <c r="P85" s="2310"/>
      <c r="Q85" s="2321"/>
      <c r="R85" s="2310"/>
      <c r="S85" s="2321"/>
    </row>
    <row r="86" spans="1:19" ht="15.75" thickTop="1">
      <c r="A86" s="14"/>
      <c r="B86" s="15"/>
      <c r="C86" s="16"/>
      <c r="D86" s="16"/>
      <c r="E86" s="17"/>
      <c r="F86" s="18" t="s">
        <v>567</v>
      </c>
      <c r="G86" s="19"/>
      <c r="H86" s="20"/>
      <c r="I86" s="64">
        <f>SUM(I24:I85)</f>
        <v>227808.6</v>
      </c>
      <c r="J86" s="20"/>
      <c r="K86" s="64">
        <f>SUM(K24:K85)</f>
        <v>0</v>
      </c>
      <c r="L86" s="20"/>
      <c r="M86" s="64">
        <f>SUM(M24:M85)</f>
        <v>0</v>
      </c>
      <c r="N86" s="20"/>
      <c r="O86" s="64">
        <f>SUM(O24:O85)</f>
        <v>0</v>
      </c>
      <c r="P86" s="20"/>
      <c r="Q86" s="64">
        <f>SUM(Q24:Q85)</f>
        <v>0</v>
      </c>
      <c r="R86" s="20"/>
      <c r="S86" s="64">
        <f>SUM(S24:S85)</f>
        <v>0</v>
      </c>
    </row>
    <row r="87" spans="1:19">
      <c r="A87" s="2270"/>
      <c r="B87" s="2030"/>
      <c r="C87" s="2031"/>
      <c r="D87" s="2031"/>
      <c r="E87" s="2032"/>
      <c r="F87" s="2033" t="s">
        <v>568</v>
      </c>
      <c r="G87" s="1160"/>
      <c r="H87" s="2273">
        <v>0</v>
      </c>
      <c r="I87" s="2345"/>
      <c r="J87" s="2273">
        <v>0</v>
      </c>
      <c r="K87" s="2345"/>
      <c r="L87" s="2273">
        <v>0</v>
      </c>
      <c r="M87" s="2345"/>
      <c r="N87" s="2273">
        <v>0</v>
      </c>
      <c r="O87" s="2345"/>
      <c r="P87" s="2273">
        <v>0</v>
      </c>
      <c r="Q87" s="2345"/>
      <c r="R87" s="2273">
        <v>0</v>
      </c>
      <c r="S87" s="2345"/>
    </row>
    <row r="88" spans="1:19">
      <c r="A88" s="2270"/>
      <c r="B88" s="2030"/>
      <c r="C88" s="2031"/>
      <c r="D88" s="2031"/>
      <c r="E88" s="2032"/>
      <c r="F88" s="2033" t="s">
        <v>569</v>
      </c>
      <c r="G88" s="1160"/>
      <c r="H88" s="2274"/>
      <c r="I88" s="2346">
        <f>I86*H87</f>
        <v>0</v>
      </c>
      <c r="J88" s="2274"/>
      <c r="K88" s="2346">
        <f>K86*J87</f>
        <v>0</v>
      </c>
      <c r="L88" s="2274"/>
      <c r="M88" s="2346">
        <f>M86*L87</f>
        <v>0</v>
      </c>
      <c r="N88" s="2274"/>
      <c r="O88" s="2346">
        <f>O86*N87</f>
        <v>0</v>
      </c>
      <c r="P88" s="2274"/>
      <c r="Q88" s="2346">
        <f>Q86*P87</f>
        <v>0</v>
      </c>
      <c r="R88" s="2274"/>
      <c r="S88" s="2346">
        <f>S86*R87</f>
        <v>0</v>
      </c>
    </row>
    <row r="89" spans="1:19">
      <c r="A89" s="2270"/>
      <c r="B89" s="2030"/>
      <c r="C89" s="2031"/>
      <c r="D89" s="2031"/>
      <c r="E89" s="2032"/>
      <c r="F89" s="2033"/>
      <c r="G89" s="1160"/>
      <c r="H89" s="2274"/>
      <c r="I89" s="2274"/>
      <c r="J89" s="2274"/>
      <c r="K89" s="2274"/>
      <c r="L89" s="2274"/>
      <c r="M89" s="2274"/>
      <c r="N89" s="2274"/>
      <c r="O89" s="2274"/>
      <c r="P89" s="2274"/>
      <c r="Q89" s="2274"/>
      <c r="R89" s="2274"/>
      <c r="S89" s="2274"/>
    </row>
    <row r="90" spans="1:19">
      <c r="A90" s="2270"/>
      <c r="B90" s="2030"/>
      <c r="C90" s="2031"/>
      <c r="D90" s="2031"/>
      <c r="E90" s="2032"/>
      <c r="F90" s="2033" t="s">
        <v>570</v>
      </c>
      <c r="G90" s="1160"/>
      <c r="H90" s="2277"/>
      <c r="I90" s="2347">
        <f>SUM(I86:I88)</f>
        <v>227808.6</v>
      </c>
      <c r="J90" s="2277"/>
      <c r="K90" s="2347">
        <f>SUM(K86:K88)</f>
        <v>0</v>
      </c>
      <c r="L90" s="2277"/>
      <c r="M90" s="2347">
        <f>SUM(M86:M88)</f>
        <v>0</v>
      </c>
      <c r="N90" s="2277"/>
      <c r="O90" s="2347">
        <f>SUM(O86:O88)</f>
        <v>0</v>
      </c>
      <c r="P90" s="2277"/>
      <c r="Q90" s="2347">
        <f>SUM(Q86:Q88)</f>
        <v>0</v>
      </c>
      <c r="R90" s="2277"/>
      <c r="S90" s="2347">
        <f>SUM(S86:S88)</f>
        <v>0</v>
      </c>
    </row>
    <row r="91" spans="1:19">
      <c r="A91" s="2270"/>
      <c r="B91" s="2030"/>
      <c r="C91" s="2031"/>
      <c r="D91" s="2031"/>
      <c r="E91" s="2032"/>
      <c r="F91" s="2043" t="s">
        <v>571</v>
      </c>
      <c r="G91" s="1162"/>
      <c r="H91" s="2279"/>
      <c r="I91" s="2280" t="e">
        <f>I90/'Area Calculations'!$J$4</f>
        <v>#DIV/0!</v>
      </c>
      <c r="J91" s="2279"/>
      <c r="K91" s="2280" t="e">
        <f>K90/'Area Calculations'!$J$4</f>
        <v>#DIV/0!</v>
      </c>
      <c r="L91" s="2279"/>
      <c r="M91" s="2280" t="e">
        <f>M90/'Area Calculations'!$J$4</f>
        <v>#DIV/0!</v>
      </c>
      <c r="N91" s="2279"/>
      <c r="O91" s="2280" t="e">
        <f>O90/'Area Calculations'!$J$4</f>
        <v>#DIV/0!</v>
      </c>
      <c r="P91" s="2279"/>
      <c r="Q91" s="2280" t="e">
        <f>Q90/'Area Calculations'!$J$4</f>
        <v>#DIV/0!</v>
      </c>
      <c r="R91" s="2279"/>
      <c r="S91" s="2280" t="e">
        <f>S90/'Area Calculations'!$J$4</f>
        <v>#DIV/0!</v>
      </c>
    </row>
    <row r="92" spans="1:19">
      <c r="A92" s="2270"/>
      <c r="B92" s="2030"/>
      <c r="C92" s="2031"/>
      <c r="D92" s="2031"/>
      <c r="E92" s="2032"/>
      <c r="F92" s="2043" t="s">
        <v>572</v>
      </c>
      <c r="G92" s="1163"/>
      <c r="H92" s="2279"/>
      <c r="I92" s="2280" t="e">
        <f>I90/'Area Calculations'!#REF!</f>
        <v>#REF!</v>
      </c>
      <c r="J92" s="2279"/>
      <c r="K92" s="2280" t="e">
        <f>K90/'Area Calculations'!#REF!</f>
        <v>#REF!</v>
      </c>
      <c r="L92" s="2279"/>
      <c r="M92" s="2280" t="e">
        <f>M90/'Area Calculations'!#REF!</f>
        <v>#REF!</v>
      </c>
      <c r="N92" s="2279"/>
      <c r="O92" s="2280" t="e">
        <f>O90/'Area Calculations'!#REF!</f>
        <v>#REF!</v>
      </c>
      <c r="P92" s="2279"/>
      <c r="Q92" s="2280" t="e">
        <f>Q90/'Area Calculations'!#REF!</f>
        <v>#REF!</v>
      </c>
      <c r="R92" s="2279"/>
      <c r="S92" s="2280" t="e">
        <f>S90/'Area Calculations'!#REF!</f>
        <v>#REF!</v>
      </c>
    </row>
    <row r="93" spans="1:19" ht="15.75" thickBot="1">
      <c r="A93" s="2270"/>
      <c r="B93" s="2030"/>
      <c r="C93" s="2031"/>
      <c r="D93" s="2031"/>
      <c r="E93" s="2032"/>
      <c r="F93" s="2033"/>
      <c r="G93" s="1533"/>
      <c r="H93" s="2281"/>
      <c r="I93" s="2282"/>
      <c r="J93" s="2283"/>
      <c r="K93" s="2283"/>
      <c r="L93" s="2283"/>
      <c r="M93" s="2283"/>
      <c r="N93" s="2283"/>
      <c r="O93" s="2283"/>
      <c r="P93" s="2283"/>
      <c r="Q93" s="2283"/>
      <c r="R93" s="2283"/>
      <c r="S93" s="2283"/>
    </row>
    <row r="94" spans="1:19" ht="16.5" thickTop="1" thickBot="1">
      <c r="A94" s="726" t="s">
        <v>573</v>
      </c>
      <c r="B94" s="727"/>
      <c r="C94" s="12"/>
      <c r="D94" s="12"/>
      <c r="E94" s="12"/>
      <c r="F94" s="12"/>
      <c r="G94" s="13"/>
      <c r="H94" s="21"/>
      <c r="I94" s="21"/>
      <c r="J94" s="21"/>
      <c r="K94" s="21"/>
      <c r="L94" s="21"/>
      <c r="M94" s="21"/>
      <c r="N94" s="21"/>
      <c r="O94" s="21"/>
      <c r="P94" s="21"/>
      <c r="Q94" s="21"/>
      <c r="R94" s="21"/>
      <c r="S94" s="21"/>
    </row>
    <row r="95" spans="1:19" ht="15.75" thickTop="1">
      <c r="A95" s="2011"/>
      <c r="B95" s="2071"/>
      <c r="C95" s="2169"/>
      <c r="D95" s="2169"/>
      <c r="E95" s="2169"/>
      <c r="F95" s="2169"/>
      <c r="G95" s="2170"/>
      <c r="H95" s="2014"/>
      <c r="I95" s="2014"/>
      <c r="J95" s="2014"/>
      <c r="K95" s="2014"/>
      <c r="L95" s="2014"/>
      <c r="M95" s="2014"/>
      <c r="N95" s="2014"/>
      <c r="O95" s="2014"/>
      <c r="P95" s="2014"/>
      <c r="Q95" s="2014"/>
      <c r="R95" s="2014"/>
      <c r="S95" s="2014"/>
    </row>
    <row r="96" spans="1:19">
      <c r="A96" s="2011"/>
      <c r="B96" s="2071"/>
      <c r="C96" s="2169"/>
      <c r="D96" s="2169"/>
      <c r="E96" s="2169"/>
      <c r="F96" s="2169"/>
      <c r="G96" s="2170"/>
      <c r="H96" s="2014"/>
      <c r="I96" s="2014"/>
      <c r="J96" s="2014"/>
      <c r="K96" s="2014"/>
      <c r="L96" s="2014"/>
      <c r="M96" s="2014"/>
      <c r="N96" s="2014"/>
      <c r="O96" s="2014"/>
      <c r="P96" s="2014"/>
      <c r="Q96" s="2014"/>
      <c r="R96" s="2014"/>
      <c r="S96" s="2014"/>
    </row>
    <row r="97" spans="1:19" ht="15.75" thickBot="1">
      <c r="A97" s="2011"/>
      <c r="B97" s="2071"/>
      <c r="C97" s="2169"/>
      <c r="D97" s="2169"/>
      <c r="E97" s="2169"/>
      <c r="F97" s="2169"/>
      <c r="G97" s="2170"/>
      <c r="H97" s="2014"/>
      <c r="I97" s="2014"/>
      <c r="J97" s="2014"/>
      <c r="K97" s="2014"/>
      <c r="L97" s="2014"/>
      <c r="M97" s="2014"/>
      <c r="N97" s="2014"/>
      <c r="O97" s="2014"/>
      <c r="P97" s="2014"/>
      <c r="Q97" s="2014"/>
      <c r="R97" s="2014"/>
      <c r="S97" s="2014"/>
    </row>
    <row r="98" spans="1:19" s="2" customFormat="1" ht="16.5" thickTop="1" thickBot="1">
      <c r="A98" s="726" t="s">
        <v>574</v>
      </c>
      <c r="B98" s="727"/>
      <c r="C98" s="12"/>
      <c r="D98" s="12"/>
      <c r="E98" s="12"/>
      <c r="F98" s="12"/>
      <c r="G98" s="13"/>
      <c r="H98" s="21"/>
      <c r="I98" s="21"/>
      <c r="J98" s="21"/>
      <c r="K98" s="21"/>
      <c r="L98" s="21"/>
      <c r="M98" s="21"/>
      <c r="N98" s="21"/>
      <c r="O98" s="21"/>
      <c r="P98" s="21"/>
      <c r="Q98" s="21"/>
      <c r="R98" s="21"/>
      <c r="S98" s="21"/>
    </row>
    <row r="99" spans="1:19" s="2" customFormat="1" ht="15.75" thickTop="1">
      <c r="A99" s="2011"/>
      <c r="B99" s="2071"/>
      <c r="C99" s="2169"/>
      <c r="D99" s="2169"/>
      <c r="E99" s="2169"/>
      <c r="F99" s="2169"/>
      <c r="G99" s="2170"/>
      <c r="H99" s="2014"/>
      <c r="I99" s="2014"/>
      <c r="J99" s="2014"/>
      <c r="K99" s="2014"/>
      <c r="L99" s="2014"/>
      <c r="M99" s="2014"/>
      <c r="N99" s="2014"/>
      <c r="O99" s="2014"/>
      <c r="P99" s="2014"/>
      <c r="Q99" s="2014"/>
      <c r="R99" s="2014"/>
      <c r="S99" s="2014"/>
    </row>
    <row r="100" spans="1:19" s="2" customFormat="1">
      <c r="A100" s="2011"/>
      <c r="B100" s="2071"/>
      <c r="C100" s="2169"/>
      <c r="D100" s="2169"/>
      <c r="E100" s="2169"/>
      <c r="F100" s="2169"/>
      <c r="G100" s="2170"/>
      <c r="H100" s="2014"/>
      <c r="I100" s="2014"/>
      <c r="J100" s="2014"/>
      <c r="K100" s="2014"/>
      <c r="L100" s="2014"/>
      <c r="M100" s="2014"/>
      <c r="N100" s="2014"/>
      <c r="O100" s="2014"/>
      <c r="P100" s="2014"/>
      <c r="Q100" s="2014"/>
      <c r="R100" s="2014"/>
      <c r="S100" s="2014"/>
    </row>
    <row r="101" spans="1:19" ht="15.75" thickBot="1">
      <c r="A101" s="2011"/>
      <c r="B101" s="2071"/>
      <c r="C101" s="2169"/>
      <c r="D101" s="2169"/>
      <c r="E101" s="2169"/>
      <c r="F101" s="2169"/>
      <c r="G101" s="2170"/>
      <c r="H101" s="2014"/>
      <c r="I101" s="2014"/>
      <c r="J101" s="2014"/>
      <c r="K101" s="2014"/>
      <c r="L101" s="2014"/>
      <c r="M101" s="2014"/>
      <c r="N101" s="2014"/>
      <c r="O101" s="2014"/>
      <c r="P101" s="2014"/>
      <c r="Q101" s="2014"/>
      <c r="R101" s="2014"/>
      <c r="S101" s="2014"/>
    </row>
    <row r="102" spans="1:19" s="2" customFormat="1" ht="16.5" thickTop="1" thickBot="1">
      <c r="A102" s="726" t="s">
        <v>575</v>
      </c>
      <c r="B102" s="727"/>
      <c r="C102" s="12"/>
      <c r="D102" s="12"/>
      <c r="E102" s="12"/>
      <c r="F102" s="12"/>
      <c r="G102" s="13"/>
      <c r="H102" s="21"/>
      <c r="I102" s="21"/>
      <c r="J102" s="21"/>
      <c r="K102" s="21"/>
      <c r="L102" s="21"/>
      <c r="M102" s="21"/>
      <c r="N102" s="21"/>
      <c r="O102" s="21"/>
      <c r="P102" s="21"/>
      <c r="Q102" s="21"/>
      <c r="R102" s="21"/>
      <c r="S102" s="21"/>
    </row>
    <row r="103" spans="1:19" s="2" customFormat="1" ht="15.75" thickTop="1">
      <c r="A103" s="2011"/>
      <c r="B103" s="2071"/>
      <c r="C103" s="2169"/>
      <c r="D103" s="2169"/>
      <c r="E103" s="2169"/>
      <c r="F103" s="2169"/>
      <c r="G103" s="2170"/>
      <c r="H103" s="2014"/>
      <c r="I103" s="2014"/>
      <c r="J103" s="2014"/>
      <c r="K103" s="2014"/>
      <c r="L103" s="2014"/>
      <c r="M103" s="2014"/>
      <c r="N103" s="2014"/>
      <c r="O103" s="2014"/>
      <c r="P103" s="2014"/>
      <c r="Q103" s="2014"/>
      <c r="R103" s="2014"/>
      <c r="S103" s="2014"/>
    </row>
    <row r="104" spans="1:19" s="2" customFormat="1">
      <c r="A104" s="2308"/>
      <c r="B104" s="2071"/>
      <c r="C104" s="2072"/>
      <c r="D104" s="2072"/>
      <c r="E104" s="2072"/>
      <c r="F104" s="2072"/>
      <c r="G104" s="1133"/>
      <c r="H104" s="2285"/>
      <c r="I104" s="2285"/>
      <c r="J104" s="2285"/>
      <c r="K104" s="2285"/>
      <c r="L104" s="2285"/>
      <c r="M104" s="2285"/>
      <c r="N104" s="2285"/>
      <c r="O104" s="2285"/>
      <c r="P104" s="2285"/>
      <c r="Q104" s="2285"/>
      <c r="R104" s="2285"/>
      <c r="S104" s="2285"/>
    </row>
    <row r="105" spans="1:19" s="2" customFormat="1" ht="15.75" thickBot="1">
      <c r="A105" s="2286"/>
      <c r="B105" s="2055"/>
      <c r="C105" s="2072"/>
      <c r="D105" s="2072"/>
      <c r="E105" s="2072"/>
      <c r="F105" s="2072"/>
      <c r="G105" s="1133"/>
      <c r="H105" s="2287"/>
      <c r="I105" s="2287"/>
      <c r="J105" s="2287"/>
      <c r="K105" s="2287"/>
      <c r="L105" s="2287"/>
      <c r="M105" s="2287"/>
      <c r="N105" s="2287"/>
      <c r="O105" s="2287"/>
      <c r="P105" s="2287"/>
      <c r="Q105" s="2287"/>
      <c r="R105" s="2287"/>
      <c r="S105" s="2287"/>
    </row>
    <row r="106" spans="1:19" s="2" customFormat="1" ht="16.5" thickTop="1" thickBot="1">
      <c r="A106" s="726" t="s">
        <v>576</v>
      </c>
      <c r="B106" s="727"/>
      <c r="C106" s="12"/>
      <c r="D106" s="12"/>
      <c r="E106" s="12"/>
      <c r="F106" s="12"/>
      <c r="G106" s="13"/>
      <c r="H106" s="21"/>
      <c r="I106" s="21"/>
      <c r="J106" s="21"/>
      <c r="K106" s="21"/>
      <c r="L106" s="21"/>
      <c r="M106" s="21"/>
      <c r="N106" s="21"/>
      <c r="O106" s="21"/>
      <c r="P106" s="21"/>
      <c r="Q106" s="21"/>
      <c r="R106" s="21"/>
      <c r="S106" s="21"/>
    </row>
    <row r="107" spans="1:19" ht="15.75" thickTop="1">
      <c r="A107" s="2016"/>
      <c r="B107" s="2174"/>
      <c r="C107" s="2169"/>
      <c r="D107" s="2169"/>
      <c r="E107" s="2169"/>
      <c r="F107" s="2169"/>
      <c r="G107" s="2170"/>
      <c r="H107" s="2014"/>
      <c r="I107" s="2014"/>
      <c r="J107" s="2014"/>
      <c r="K107" s="2014"/>
      <c r="L107" s="2014"/>
      <c r="M107" s="2014"/>
      <c r="N107" s="2014"/>
      <c r="O107" s="2014"/>
      <c r="P107" s="2014"/>
      <c r="Q107" s="2014"/>
      <c r="R107" s="2014"/>
      <c r="S107" s="2014"/>
    </row>
    <row r="108" spans="1:19">
      <c r="A108" s="2286"/>
      <c r="B108" s="2055"/>
      <c r="C108" s="2072"/>
      <c r="D108" s="2072"/>
      <c r="E108" s="2072"/>
      <c r="F108" s="2072"/>
      <c r="G108" s="1133"/>
      <c r="H108" s="2288"/>
      <c r="I108" s="2288"/>
      <c r="J108" s="2288"/>
      <c r="K108" s="2288"/>
      <c r="L108" s="2288"/>
      <c r="M108" s="2288"/>
      <c r="N108" s="2288"/>
      <c r="O108" s="2288"/>
      <c r="P108" s="2288"/>
      <c r="Q108" s="2288"/>
      <c r="R108" s="2288"/>
      <c r="S108" s="2288"/>
    </row>
    <row r="109" spans="1:19" ht="15.75" thickBot="1">
      <c r="A109" s="2286"/>
      <c r="B109" s="2055"/>
      <c r="C109" s="2072"/>
      <c r="D109" s="2072"/>
      <c r="E109" s="2072"/>
      <c r="F109" s="2072"/>
      <c r="G109" s="1133"/>
      <c r="H109" s="2288"/>
      <c r="I109" s="2288"/>
      <c r="J109" s="2288"/>
      <c r="K109" s="2288"/>
      <c r="L109" s="2288"/>
      <c r="M109" s="2288"/>
      <c r="N109" s="2288"/>
      <c r="O109" s="2288"/>
      <c r="P109" s="2288"/>
      <c r="Q109" s="2288"/>
      <c r="R109" s="2288"/>
      <c r="S109" s="2288"/>
    </row>
    <row r="110" spans="1:19" ht="16.5" thickTop="1" thickBot="1">
      <c r="A110" s="726" t="s">
        <v>577</v>
      </c>
      <c r="B110" s="727"/>
      <c r="C110" s="12"/>
      <c r="D110" s="12"/>
      <c r="E110" s="12"/>
      <c r="F110" s="12"/>
      <c r="G110" s="13"/>
      <c r="H110" s="21"/>
      <c r="I110" s="21"/>
      <c r="J110" s="21"/>
      <c r="K110" s="21"/>
      <c r="L110" s="21"/>
      <c r="M110" s="21"/>
      <c r="N110" s="21"/>
      <c r="O110" s="21"/>
      <c r="P110" s="21"/>
      <c r="Q110" s="21"/>
      <c r="R110" s="21"/>
      <c r="S110" s="21"/>
    </row>
    <row r="111" spans="1:19" ht="15.75" thickTop="1">
      <c r="A111" s="2308"/>
      <c r="B111" s="2071" t="s">
        <v>578</v>
      </c>
      <c r="C111" s="2072"/>
      <c r="D111" s="2072"/>
      <c r="E111" s="2072"/>
      <c r="F111" s="2072"/>
      <c r="G111" s="1133"/>
      <c r="H111" s="2288"/>
      <c r="I111" s="2288"/>
      <c r="J111" s="2288"/>
      <c r="K111" s="2288"/>
      <c r="L111" s="2288"/>
      <c r="M111" s="2288"/>
      <c r="N111" s="2288"/>
      <c r="O111" s="2288"/>
      <c r="P111" s="2288"/>
      <c r="Q111" s="2288"/>
      <c r="R111" s="2288"/>
      <c r="S111" s="2288"/>
    </row>
    <row r="112" spans="1:19">
      <c r="A112" s="2308"/>
      <c r="B112" s="2071" t="s">
        <v>579</v>
      </c>
      <c r="C112" s="2072"/>
      <c r="D112" s="2072"/>
      <c r="E112" s="2072"/>
      <c r="F112" s="2072"/>
      <c r="G112" s="1133"/>
      <c r="H112" s="2288"/>
      <c r="I112" s="2288"/>
      <c r="J112" s="2288"/>
      <c r="K112" s="2288"/>
      <c r="L112" s="2288"/>
      <c r="M112" s="2288"/>
      <c r="N112" s="2288"/>
      <c r="O112" s="2288"/>
      <c r="P112" s="2288"/>
      <c r="Q112" s="2288"/>
      <c r="R112" s="2288"/>
      <c r="S112" s="2288"/>
    </row>
    <row r="113" spans="1:19">
      <c r="A113" s="2308"/>
      <c r="B113" s="2071" t="s">
        <v>580</v>
      </c>
      <c r="C113" s="2072"/>
      <c r="D113" s="2072"/>
      <c r="E113" s="2072"/>
      <c r="F113" s="2072"/>
      <c r="G113" s="1133"/>
      <c r="H113" s="2288"/>
      <c r="I113" s="2288"/>
      <c r="J113" s="2288"/>
      <c r="K113" s="2288"/>
      <c r="L113" s="2288"/>
      <c r="M113" s="2288"/>
      <c r="N113" s="2288"/>
      <c r="O113" s="2288"/>
      <c r="P113" s="2288"/>
      <c r="Q113" s="2288"/>
      <c r="R113" s="2288"/>
      <c r="S113" s="2288"/>
    </row>
    <row r="114" spans="1:19">
      <c r="A114" s="2308"/>
      <c r="B114" s="2071" t="s">
        <v>581</v>
      </c>
      <c r="C114" s="2072"/>
      <c r="D114" s="2072"/>
      <c r="E114" s="2072"/>
      <c r="F114" s="2072"/>
      <c r="G114" s="1133"/>
      <c r="H114" s="2288"/>
      <c r="I114" s="2288"/>
      <c r="J114" s="2288"/>
      <c r="K114" s="2288"/>
      <c r="L114" s="2288"/>
      <c r="M114" s="2288"/>
      <c r="N114" s="2288"/>
      <c r="O114" s="2288"/>
      <c r="P114" s="2288"/>
      <c r="Q114" s="2288"/>
      <c r="R114" s="2288"/>
      <c r="S114" s="2288"/>
    </row>
    <row r="115" spans="1:19" ht="15.75" thickBot="1">
      <c r="A115" s="416"/>
      <c r="B115" s="295"/>
      <c r="C115" s="184"/>
      <c r="D115" s="184"/>
      <c r="E115" s="184"/>
      <c r="F115" s="184"/>
      <c r="G115" s="296"/>
      <c r="H115" s="418"/>
      <c r="I115" s="418"/>
      <c r="J115" s="418"/>
      <c r="K115" s="418"/>
      <c r="L115" s="418"/>
      <c r="M115" s="418"/>
      <c r="N115" s="418"/>
      <c r="O115" s="418"/>
      <c r="P115" s="418"/>
      <c r="Q115" s="418"/>
      <c r="R115" s="418"/>
      <c r="S115" s="418"/>
    </row>
    <row r="116" spans="1:19" ht="16.5" thickTop="1" thickBot="1">
      <c r="A116" s="7" t="s">
        <v>582</v>
      </c>
      <c r="B116" s="8"/>
      <c r="C116" s="12"/>
      <c r="D116" s="12"/>
      <c r="E116" s="12"/>
      <c r="F116" s="12"/>
      <c r="G116" s="13"/>
      <c r="H116" s="21"/>
      <c r="I116" s="21"/>
      <c r="J116" s="21"/>
      <c r="K116" s="21"/>
      <c r="L116" s="21"/>
      <c r="M116" s="21"/>
      <c r="N116" s="21"/>
      <c r="O116" s="21"/>
      <c r="P116" s="21"/>
      <c r="Q116" s="21"/>
      <c r="R116" s="21"/>
      <c r="S116" s="21"/>
    </row>
    <row r="117" spans="1:19" ht="15.75" thickTop="1">
      <c r="A117" s="2011"/>
      <c r="B117" s="2176" t="s">
        <v>583</v>
      </c>
      <c r="C117" s="2169"/>
      <c r="D117" s="2169"/>
      <c r="E117" s="2169"/>
      <c r="F117" s="2169"/>
      <c r="G117" s="2170"/>
      <c r="H117" s="2019"/>
      <c r="I117" s="2019"/>
      <c r="J117" s="2019"/>
      <c r="K117" s="2019"/>
      <c r="L117" s="2019"/>
      <c r="M117" s="2019"/>
      <c r="N117" s="2019"/>
      <c r="O117" s="2019"/>
      <c r="P117" s="2019"/>
      <c r="Q117" s="2019"/>
      <c r="R117" s="2019"/>
      <c r="S117" s="2019"/>
    </row>
    <row r="118" spans="1:19">
      <c r="A118" s="2308"/>
      <c r="B118" s="2071" t="s">
        <v>584</v>
      </c>
      <c r="C118" s="2072"/>
      <c r="D118" s="2072"/>
      <c r="E118" s="2072"/>
      <c r="F118" s="2072"/>
      <c r="G118" s="1133"/>
      <c r="H118" s="2289"/>
      <c r="I118" s="2289"/>
      <c r="J118" s="2289"/>
      <c r="K118" s="2289"/>
      <c r="L118" s="2289"/>
      <c r="M118" s="2289"/>
      <c r="N118" s="2289"/>
      <c r="O118" s="2289"/>
      <c r="P118" s="2289"/>
      <c r="Q118" s="2289"/>
      <c r="R118" s="2289"/>
      <c r="S118" s="2289"/>
    </row>
    <row r="119" spans="1:19" ht="15.75" thickBot="1">
      <c r="A119" s="2290"/>
      <c r="B119" s="2291" t="s">
        <v>585</v>
      </c>
      <c r="C119" s="2292"/>
      <c r="D119" s="2292"/>
      <c r="E119" s="2292"/>
      <c r="F119" s="2292"/>
      <c r="G119" s="2293"/>
      <c r="H119" s="2294"/>
      <c r="I119" s="2294"/>
      <c r="J119" s="2294"/>
      <c r="K119" s="2294"/>
      <c r="L119" s="2294"/>
      <c r="M119" s="2294"/>
      <c r="N119" s="2294"/>
      <c r="O119" s="2294"/>
      <c r="P119" s="2294"/>
      <c r="Q119" s="2294"/>
      <c r="R119" s="2294"/>
      <c r="S119" s="2294"/>
    </row>
    <row r="120" spans="1:19" ht="16.5" thickTop="1" thickBot="1"/>
    <row r="121" spans="1:19" ht="16.5" thickTop="1" thickBot="1">
      <c r="A121" s="92" t="s">
        <v>586</v>
      </c>
      <c r="B121" s="94"/>
    </row>
    <row r="122" spans="1:19" ht="15.75" thickTop="1">
      <c r="A122" s="93" t="s">
        <v>487</v>
      </c>
      <c r="B122" s="2295"/>
    </row>
    <row r="123" spans="1:19">
      <c r="A123" s="2296" t="s">
        <v>491</v>
      </c>
      <c r="B123" s="2295"/>
    </row>
    <row r="124" spans="1:19">
      <c r="A124" s="2297" t="s">
        <v>494</v>
      </c>
      <c r="B124" s="2298"/>
    </row>
    <row r="125" spans="1:19">
      <c r="A125" s="2297" t="s">
        <v>497</v>
      </c>
      <c r="B125" s="2299"/>
    </row>
    <row r="126" spans="1:19" ht="15.75" thickBot="1">
      <c r="A126" s="2300" t="s">
        <v>587</v>
      </c>
      <c r="B126" s="2301">
        <f>H8</f>
        <v>227808.6</v>
      </c>
    </row>
    <row r="127" spans="1:19" ht="15.75" thickTop="1"/>
    <row r="128" spans="1:19">
      <c r="A128" s="95"/>
      <c r="B128" s="1" t="s">
        <v>588</v>
      </c>
    </row>
    <row r="129" spans="1:2">
      <c r="A129" s="96"/>
      <c r="B129" s="1" t="s">
        <v>589</v>
      </c>
    </row>
  </sheetData>
  <mergeCells count="47">
    <mergeCell ref="R4:S4"/>
    <mergeCell ref="R5:S5"/>
    <mergeCell ref="R6:S6"/>
    <mergeCell ref="R7:S7"/>
    <mergeCell ref="R8:S8"/>
    <mergeCell ref="P4:Q4"/>
    <mergeCell ref="P5:Q5"/>
    <mergeCell ref="P6:Q6"/>
    <mergeCell ref="P7:Q7"/>
    <mergeCell ref="P8:Q8"/>
    <mergeCell ref="N4:O4"/>
    <mergeCell ref="N5:O5"/>
    <mergeCell ref="N6:O6"/>
    <mergeCell ref="N7:O7"/>
    <mergeCell ref="N8:O8"/>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J4:K4"/>
    <mergeCell ref="J5:K5"/>
    <mergeCell ref="J6:K6"/>
    <mergeCell ref="J7:K7"/>
    <mergeCell ref="J8:K8"/>
    <mergeCell ref="L4:M4"/>
    <mergeCell ref="L5:M5"/>
    <mergeCell ref="L6:M6"/>
    <mergeCell ref="L7:M7"/>
    <mergeCell ref="L8:M8"/>
    <mergeCell ref="A94:B94"/>
    <mergeCell ref="A98:B98"/>
    <mergeCell ref="A102:B102"/>
    <mergeCell ref="A106:B106"/>
    <mergeCell ref="A110:B110"/>
  </mergeCells>
  <conditionalFormatting sqref="H21:H31 H33:H85 J33:J85 L33:L85 N33:N85 P33:P85 R33:R85">
    <cfRule type="cellIs" dxfId="931" priority="19" operator="equal">
      <formula>"X"</formula>
    </cfRule>
    <cfRule type="cellIs" dxfId="930" priority="20" operator="equal">
      <formula>"I"</formula>
    </cfRule>
  </conditionalFormatting>
  <conditionalFormatting sqref="J21:J31">
    <cfRule type="cellIs" dxfId="929" priority="21" operator="equal">
      <formula>"X"</formula>
    </cfRule>
    <cfRule type="cellIs" dxfId="928" priority="22" operator="equal">
      <formula>"I"</formula>
    </cfRule>
  </conditionalFormatting>
  <conditionalFormatting sqref="L21:L31">
    <cfRule type="cellIs" dxfId="927" priority="23" operator="equal">
      <formula>"X"</formula>
    </cfRule>
    <cfRule type="cellIs" dxfId="926" priority="24" operator="equal">
      <formula>"I"</formula>
    </cfRule>
  </conditionalFormatting>
  <conditionalFormatting sqref="N21:N31">
    <cfRule type="cellIs" dxfId="925" priority="25" operator="equal">
      <formula>"X"</formula>
    </cfRule>
    <cfRule type="cellIs" dxfId="924" priority="26" operator="equal">
      <formula>"I"</formula>
    </cfRule>
  </conditionalFormatting>
  <conditionalFormatting sqref="P21:P31">
    <cfRule type="cellIs" dxfId="923" priority="27" operator="equal">
      <formula>"X"</formula>
    </cfRule>
    <cfRule type="cellIs" dxfId="922" priority="28" operator="equal">
      <formula>"I"</formula>
    </cfRule>
  </conditionalFormatting>
  <conditionalFormatting sqref="R21:R31">
    <cfRule type="cellIs" dxfId="921" priority="29" operator="equal">
      <formula>"X"</formula>
    </cfRule>
    <cfRule type="cellIs" dxfId="920" priority="30" operator="equal">
      <formula>"I"</formula>
    </cfRule>
  </conditionalFormatting>
  <hyperlinks>
    <hyperlink ref="B3" location="'Cost Summary'!A1" display="BACK TO SUMMARY SHEET" xr:uid="{68A35B1B-FC94-46AD-BF47-66DFC833CCA1}"/>
    <hyperlink ref="H7:I7" r:id="rId1" display="mteitelbaum@consofloors.com" xr:uid="{D6EE80AD-61D5-4753-A463-E095EE687CD7}"/>
  </hyperlinks>
  <pageMargins left="0.7" right="0.7" top="0.75" bottom="0.75" header="0.3" footer="0.3"/>
  <pageSetup orientation="portrait" r:id="rId2"/>
  <legacy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B2CC-7311-4585-BE84-AEBD5CDB3669}">
  <sheetPr>
    <tabColor rgb="FF92D050"/>
  </sheetPr>
  <dimension ref="A1:S107"/>
  <sheetViews>
    <sheetView zoomScale="82" zoomScaleNormal="82" workbookViewId="0">
      <pane xSplit="2" ySplit="9" topLeftCell="C20" activePane="bottomRight" state="frozen"/>
      <selection pane="bottomRight" activeCell="D33" sqref="D33"/>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50"/>
      <c r="I2" s="750"/>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302" t="s">
        <v>489</v>
      </c>
      <c r="B5" s="2071" t="s">
        <v>1106</v>
      </c>
      <c r="C5" s="2072"/>
      <c r="D5" s="2072"/>
      <c r="E5" s="2072"/>
      <c r="F5" s="2072"/>
      <c r="G5" s="1125" t="s">
        <v>491</v>
      </c>
      <c r="H5" s="2303"/>
      <c r="I5" s="1126"/>
      <c r="J5" s="2303"/>
      <c r="K5" s="1126"/>
      <c r="L5" s="2303"/>
      <c r="M5" s="1126"/>
      <c r="N5" s="2303"/>
      <c r="O5" s="1126"/>
      <c r="P5" s="2303"/>
      <c r="Q5" s="1126"/>
      <c r="R5" s="2303"/>
      <c r="S5" s="1126"/>
    </row>
    <row r="6" spans="1:19">
      <c r="A6" s="2302" t="s">
        <v>493</v>
      </c>
      <c r="B6" s="2076" t="s">
        <v>1107</v>
      </c>
      <c r="C6" s="2072"/>
      <c r="D6" s="2072"/>
      <c r="E6" s="2072"/>
      <c r="F6" s="2072"/>
      <c r="G6" s="1125" t="s">
        <v>494</v>
      </c>
      <c r="H6" s="2304"/>
      <c r="I6" s="1129"/>
      <c r="J6" s="2304"/>
      <c r="K6" s="1129"/>
      <c r="L6" s="2304"/>
      <c r="M6" s="1129"/>
      <c r="N6" s="2304"/>
      <c r="O6" s="1129"/>
      <c r="P6" s="2304"/>
      <c r="Q6" s="1129"/>
      <c r="R6" s="2304"/>
      <c r="S6" s="1129"/>
    </row>
    <row r="7" spans="1:19">
      <c r="A7" s="2302" t="s">
        <v>496</v>
      </c>
      <c r="B7" s="2079"/>
      <c r="C7" s="2072"/>
      <c r="D7" s="2072"/>
      <c r="E7" s="2072"/>
      <c r="F7" s="2072"/>
      <c r="G7" s="1125" t="s">
        <v>497</v>
      </c>
      <c r="H7" s="2305"/>
      <c r="I7" s="1131"/>
      <c r="J7" s="2305"/>
      <c r="K7" s="1131"/>
      <c r="L7" s="2305"/>
      <c r="M7" s="1131"/>
      <c r="N7" s="2305"/>
      <c r="O7" s="1131"/>
      <c r="P7" s="2305"/>
      <c r="Q7" s="1131"/>
      <c r="R7" s="2305"/>
      <c r="S7" s="1131"/>
    </row>
    <row r="8" spans="1:19">
      <c r="A8" s="414" t="s">
        <v>499</v>
      </c>
      <c r="B8" s="295"/>
      <c r="C8" s="184"/>
      <c r="D8" s="184"/>
      <c r="E8" s="184"/>
      <c r="F8" s="184"/>
      <c r="G8" s="419" t="s">
        <v>499</v>
      </c>
      <c r="H8" s="2306">
        <f>I68</f>
        <v>0</v>
      </c>
      <c r="I8" s="2307"/>
      <c r="J8" s="2306">
        <f>K68</f>
        <v>0</v>
      </c>
      <c r="K8" s="2307"/>
      <c r="L8" s="2306">
        <f>M68</f>
        <v>0</v>
      </c>
      <c r="M8" s="2307"/>
      <c r="N8" s="2306"/>
      <c r="O8" s="2307"/>
      <c r="P8" s="2306"/>
      <c r="Q8" s="2307"/>
      <c r="R8" s="2306"/>
      <c r="S8" s="2307"/>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308"/>
      <c r="B10" s="2199" t="s">
        <v>508</v>
      </c>
      <c r="C10" s="2072"/>
      <c r="D10" s="2072"/>
      <c r="E10" s="2072"/>
      <c r="F10" s="2072"/>
      <c r="G10" s="1133"/>
      <c r="H10" s="2309"/>
      <c r="I10" s="2309"/>
      <c r="J10" s="2309"/>
      <c r="K10" s="2309"/>
      <c r="L10" s="2309"/>
      <c r="M10" s="2309"/>
      <c r="N10" s="2309"/>
      <c r="O10" s="2309"/>
      <c r="P10" s="2309"/>
      <c r="Q10" s="2309"/>
      <c r="R10" s="2309"/>
      <c r="S10" s="2309"/>
    </row>
    <row r="11" spans="1:19" hidden="1">
      <c r="A11" s="2308"/>
      <c r="B11" s="2071" t="str">
        <f>'Area Calculations'!M62</f>
        <v>Architectural Drawings  by</v>
      </c>
      <c r="C11" s="2087" t="s">
        <v>509</v>
      </c>
      <c r="D11" s="2072"/>
      <c r="E11" s="2072"/>
      <c r="F11" s="2072"/>
      <c r="G11" s="1133"/>
      <c r="H11" s="2309"/>
      <c r="I11" s="2309"/>
      <c r="J11" s="2309"/>
      <c r="K11" s="2309"/>
      <c r="L11" s="2309"/>
      <c r="M11" s="2309"/>
      <c r="N11" s="2309"/>
      <c r="O11" s="2309"/>
      <c r="P11" s="2309"/>
      <c r="Q11" s="2309"/>
      <c r="R11" s="2309"/>
      <c r="S11" s="2309"/>
    </row>
    <row r="12" spans="1:19" hidden="1">
      <c r="A12" s="2308"/>
      <c r="B12" s="2071" t="str">
        <f>'Area Calculations'!M63</f>
        <v>Structural Drawings by</v>
      </c>
      <c r="C12" s="2087" t="s">
        <v>509</v>
      </c>
      <c r="D12" s="2072"/>
      <c r="E12" s="2072"/>
      <c r="F12" s="2072"/>
      <c r="G12" s="1133"/>
      <c r="H12" s="2309"/>
      <c r="I12" s="2309"/>
      <c r="J12" s="2309"/>
      <c r="K12" s="2309"/>
      <c r="L12" s="2309"/>
      <c r="M12" s="2309"/>
      <c r="N12" s="2309"/>
      <c r="O12" s="2309"/>
      <c r="P12" s="2309"/>
      <c r="Q12" s="2309"/>
      <c r="R12" s="2309"/>
      <c r="S12" s="2309"/>
    </row>
    <row r="13" spans="1:19" hidden="1">
      <c r="A13" s="2308"/>
      <c r="B13" s="2071" t="str">
        <f>'Area Calculations'!M64</f>
        <v>MEP FA FP Drawings by</v>
      </c>
      <c r="C13" s="2087" t="s">
        <v>509</v>
      </c>
      <c r="D13" s="2072"/>
      <c r="E13" s="2072"/>
      <c r="F13" s="2072"/>
      <c r="G13" s="1133"/>
      <c r="H13" s="2309"/>
      <c r="I13" s="2309"/>
      <c r="J13" s="2309"/>
      <c r="K13" s="2309"/>
      <c r="L13" s="2309"/>
      <c r="M13" s="2309"/>
      <c r="N13" s="2309"/>
      <c r="O13" s="2309"/>
      <c r="P13" s="2309"/>
      <c r="Q13" s="2309"/>
      <c r="R13" s="2309"/>
      <c r="S13" s="2309"/>
    </row>
    <row r="14" spans="1:19" hidden="1">
      <c r="A14" s="2308"/>
      <c r="B14" s="2071" t="str">
        <f>'Area Calculations'!M65</f>
        <v xml:space="preserve">Civil Drawings by </v>
      </c>
      <c r="C14" s="2087" t="s">
        <v>509</v>
      </c>
      <c r="D14" s="2072"/>
      <c r="E14" s="2072"/>
      <c r="F14" s="2072"/>
      <c r="G14" s="1133"/>
      <c r="H14" s="2309"/>
      <c r="I14" s="2309"/>
      <c r="J14" s="2309"/>
      <c r="K14" s="2309"/>
      <c r="L14" s="2309"/>
      <c r="M14" s="2309"/>
      <c r="N14" s="2309"/>
      <c r="O14" s="2309"/>
      <c r="P14" s="2309"/>
      <c r="Q14" s="2309"/>
      <c r="R14" s="2309"/>
      <c r="S14" s="2309"/>
    </row>
    <row r="15" spans="1:19" hidden="1">
      <c r="A15" s="2308"/>
      <c r="B15" s="2071" t="str">
        <f>'Area Calculations'!M66</f>
        <v>Land scape Drawings by</v>
      </c>
      <c r="C15" s="2087" t="s">
        <v>509</v>
      </c>
      <c r="D15" s="2072"/>
      <c r="E15" s="2072"/>
      <c r="F15" s="2072"/>
      <c r="G15" s="1133"/>
      <c r="H15" s="2309"/>
      <c r="I15" s="2309"/>
      <c r="J15" s="2309"/>
      <c r="K15" s="2309"/>
      <c r="L15" s="2309"/>
      <c r="M15" s="2309"/>
      <c r="N15" s="2309"/>
      <c r="O15" s="2309"/>
      <c r="P15" s="2309"/>
      <c r="Q15" s="2309"/>
      <c r="R15" s="2309"/>
      <c r="S15" s="2309"/>
    </row>
    <row r="16" spans="1:19" hidden="1">
      <c r="A16" s="2308"/>
      <c r="B16" s="2071" t="str">
        <f>'Area Calculations'!M67</f>
        <v>Kitchen Drawings by</v>
      </c>
      <c r="C16" s="2087" t="s">
        <v>509</v>
      </c>
      <c r="D16" s="2072"/>
      <c r="E16" s="2072"/>
      <c r="F16" s="2072"/>
      <c r="G16" s="1133"/>
      <c r="H16" s="2309"/>
      <c r="I16" s="2309"/>
      <c r="J16" s="2309"/>
      <c r="K16" s="2309"/>
      <c r="L16" s="2309"/>
      <c r="M16" s="2309"/>
      <c r="N16" s="2309"/>
      <c r="O16" s="2309"/>
      <c r="P16" s="2309"/>
      <c r="Q16" s="2309"/>
      <c r="R16" s="2309"/>
      <c r="S16" s="2309"/>
    </row>
    <row r="17" spans="1:19" hidden="1">
      <c r="A17" s="2308"/>
      <c r="B17" s="2071" t="str">
        <f>'Area Calculations'!M68</f>
        <v>Storefront Designer by</v>
      </c>
      <c r="C17" s="2087" t="s">
        <v>509</v>
      </c>
      <c r="D17" s="2072"/>
      <c r="E17" s="2072"/>
      <c r="F17" s="2072"/>
      <c r="G17" s="1133"/>
      <c r="H17" s="2309"/>
      <c r="I17" s="2309"/>
      <c r="J17" s="2309"/>
      <c r="K17" s="2309"/>
      <c r="L17" s="2309"/>
      <c r="M17" s="2309"/>
      <c r="N17" s="2309"/>
      <c r="O17" s="2309"/>
      <c r="P17" s="2309"/>
      <c r="Q17" s="2309"/>
      <c r="R17" s="2309"/>
      <c r="S17" s="2309"/>
    </row>
    <row r="18" spans="1:19" hidden="1">
      <c r="A18" s="2308"/>
      <c r="B18" s="2071" t="str">
        <f>'Area Calculations'!M69</f>
        <v>Geotech report by</v>
      </c>
      <c r="C18" s="2087" t="s">
        <v>509</v>
      </c>
      <c r="D18" s="2072"/>
      <c r="E18" s="2072"/>
      <c r="F18" s="2072"/>
      <c r="G18" s="1133"/>
      <c r="H18" s="2309"/>
      <c r="I18" s="2309"/>
      <c r="J18" s="2309"/>
      <c r="K18" s="2309"/>
      <c r="L18" s="2309"/>
      <c r="M18" s="2309"/>
      <c r="N18" s="2309"/>
      <c r="O18" s="2309"/>
      <c r="P18" s="2309"/>
      <c r="Q18" s="2309"/>
      <c r="R18" s="2309"/>
      <c r="S18" s="2309"/>
    </row>
    <row r="19" spans="1:19" hidden="1">
      <c r="A19" s="2308"/>
      <c r="B19" s="2071" t="str">
        <f>'Area Calculations'!M70</f>
        <v>Specifications</v>
      </c>
      <c r="C19" s="2087" t="s">
        <v>509</v>
      </c>
      <c r="D19" s="2072"/>
      <c r="E19" s="2072"/>
      <c r="F19" s="2072"/>
      <c r="G19" s="1133"/>
      <c r="H19" s="2309"/>
      <c r="I19" s="2309"/>
      <c r="J19" s="2309"/>
      <c r="K19" s="2309"/>
      <c r="L19" s="2309"/>
      <c r="M19" s="2309"/>
      <c r="N19" s="2309"/>
      <c r="O19" s="2309"/>
      <c r="P19" s="2309"/>
      <c r="Q19" s="2309"/>
      <c r="R19" s="2309"/>
      <c r="S19" s="2309"/>
    </row>
    <row r="20" spans="1:19">
      <c r="A20" s="2308"/>
      <c r="B20" s="2071"/>
      <c r="C20" s="2087"/>
      <c r="D20" s="2072"/>
      <c r="E20" s="2072"/>
      <c r="F20" s="2072"/>
      <c r="G20" s="1133"/>
      <c r="H20" s="2310"/>
      <c r="I20" s="2309"/>
      <c r="J20" s="2310"/>
      <c r="K20" s="2309"/>
      <c r="L20" s="2310"/>
      <c r="M20" s="2309"/>
      <c r="N20" s="2310"/>
      <c r="O20" s="2309"/>
      <c r="P20" s="2310"/>
      <c r="Q20" s="2309"/>
      <c r="R20" s="2310"/>
      <c r="S20" s="2309"/>
    </row>
    <row r="21" spans="1:19">
      <c r="A21" s="2005"/>
      <c r="B21" s="2089" t="s">
        <v>1106</v>
      </c>
      <c r="C21" s="56"/>
      <c r="D21" s="57"/>
      <c r="E21" s="57"/>
      <c r="F21" s="57"/>
      <c r="G21" s="63"/>
      <c r="H21" s="2310"/>
      <c r="I21" s="58"/>
      <c r="J21" s="2310"/>
      <c r="K21" s="58"/>
      <c r="L21" s="2310"/>
      <c r="M21" s="58"/>
      <c r="N21" s="2310"/>
      <c r="O21" s="58"/>
      <c r="P21" s="2310"/>
      <c r="Q21" s="58"/>
      <c r="R21" s="2310"/>
      <c r="S21" s="58"/>
    </row>
    <row r="22" spans="1:19">
      <c r="A22" s="2005"/>
      <c r="B22" s="2318" t="s">
        <v>512</v>
      </c>
      <c r="C22" s="2087"/>
      <c r="D22" s="2072"/>
      <c r="E22" s="2072"/>
      <c r="F22" s="2072"/>
      <c r="G22" s="1133"/>
      <c r="H22" s="2310"/>
      <c r="I22" s="2148"/>
      <c r="J22" s="2310"/>
      <c r="K22" s="2148"/>
      <c r="L22" s="2310"/>
      <c r="M22" s="2202"/>
      <c r="N22" s="2310"/>
      <c r="O22" s="2202"/>
      <c r="P22" s="2310"/>
      <c r="Q22" s="2202"/>
      <c r="R22" s="2310"/>
      <c r="S22" s="2202"/>
    </row>
    <row r="23" spans="1:19">
      <c r="A23" s="2005"/>
      <c r="B23" s="1963" t="s">
        <v>513</v>
      </c>
      <c r="C23" s="2087"/>
      <c r="D23" s="2072"/>
      <c r="E23" s="2072"/>
      <c r="F23" s="2072"/>
      <c r="G23" s="1133"/>
      <c r="H23" s="2310"/>
      <c r="I23" s="2148"/>
      <c r="J23" s="2310"/>
      <c r="K23" s="2148"/>
      <c r="L23" s="2310"/>
      <c r="M23" s="2148"/>
      <c r="N23" s="2310"/>
      <c r="O23" s="2148"/>
      <c r="P23" s="2310"/>
      <c r="Q23" s="2148"/>
      <c r="R23" s="2310"/>
      <c r="S23" s="2148"/>
    </row>
    <row r="24" spans="1:19">
      <c r="A24" s="2005"/>
      <c r="B24" s="1963" t="s">
        <v>514</v>
      </c>
      <c r="C24" s="2087"/>
      <c r="D24" s="2072"/>
      <c r="E24" s="2072"/>
      <c r="F24" s="2072"/>
      <c r="G24" s="1133"/>
      <c r="H24" s="2310"/>
      <c r="I24" s="2148"/>
      <c r="J24" s="2310"/>
      <c r="K24" s="2148"/>
      <c r="L24" s="2310"/>
      <c r="M24" s="2148"/>
      <c r="N24" s="2310"/>
      <c r="O24" s="2148"/>
      <c r="P24" s="2310"/>
      <c r="Q24" s="2148"/>
      <c r="R24" s="2310"/>
      <c r="S24" s="2148"/>
    </row>
    <row r="25" spans="1:19">
      <c r="A25" s="2005"/>
      <c r="B25" s="1965" t="s">
        <v>515</v>
      </c>
      <c r="C25" s="2087"/>
      <c r="D25" s="2072"/>
      <c r="E25" s="2072"/>
      <c r="F25" s="2072"/>
      <c r="G25" s="1133"/>
      <c r="H25" s="2310"/>
      <c r="I25" s="2148"/>
      <c r="J25" s="2310"/>
      <c r="K25" s="2148"/>
      <c r="L25" s="2310"/>
      <c r="M25" s="2148"/>
      <c r="N25" s="2310"/>
      <c r="O25" s="2148"/>
      <c r="P25" s="2310"/>
      <c r="Q25" s="2148"/>
      <c r="R25" s="2310"/>
      <c r="S25" s="2148"/>
    </row>
    <row r="26" spans="1:19">
      <c r="A26" s="2005"/>
      <c r="B26" s="1965" t="s">
        <v>516</v>
      </c>
      <c r="C26" s="2087"/>
      <c r="D26" s="2072"/>
      <c r="E26" s="2072"/>
      <c r="F26" s="2072"/>
      <c r="G26" s="1133"/>
      <c r="H26" s="2310"/>
      <c r="I26" s="2148"/>
      <c r="J26" s="2310"/>
      <c r="K26" s="2148"/>
      <c r="L26" s="2310"/>
      <c r="M26" s="2202"/>
      <c r="N26" s="2310"/>
      <c r="O26" s="2202"/>
      <c r="P26" s="2310"/>
      <c r="Q26" s="2202"/>
      <c r="R26" s="2310"/>
      <c r="S26" s="2202"/>
    </row>
    <row r="27" spans="1:19">
      <c r="A27" s="2005"/>
      <c r="B27" s="1965" t="s">
        <v>517</v>
      </c>
      <c r="C27" s="2087"/>
      <c r="D27" s="2072"/>
      <c r="E27" s="2072"/>
      <c r="F27" s="2072"/>
      <c r="G27" s="1133"/>
      <c r="H27" s="2310"/>
      <c r="I27" s="2148"/>
      <c r="J27" s="2310"/>
      <c r="K27" s="2148"/>
      <c r="L27" s="2310"/>
      <c r="M27" s="2202"/>
      <c r="N27" s="2310"/>
      <c r="O27" s="2202"/>
      <c r="P27" s="2310"/>
      <c r="Q27" s="2202"/>
      <c r="R27" s="2310"/>
      <c r="S27" s="2202"/>
    </row>
    <row r="28" spans="1:19">
      <c r="A28" s="2005"/>
      <c r="B28" s="1965" t="s">
        <v>518</v>
      </c>
      <c r="C28" s="2087"/>
      <c r="D28" s="2072"/>
      <c r="E28" s="2072"/>
      <c r="F28" s="2072"/>
      <c r="G28" s="1133"/>
      <c r="H28" s="2310"/>
      <c r="I28" s="2148"/>
      <c r="J28" s="2310"/>
      <c r="K28" s="2148"/>
      <c r="L28" s="2310"/>
      <c r="M28" s="2202"/>
      <c r="N28" s="2310"/>
      <c r="O28" s="2202"/>
      <c r="P28" s="2310"/>
      <c r="Q28" s="2202"/>
      <c r="R28" s="2310"/>
      <c r="S28" s="2202"/>
    </row>
    <row r="29" spans="1:19">
      <c r="A29" s="2005"/>
      <c r="B29" s="1965" t="s">
        <v>693</v>
      </c>
      <c r="C29" s="2087"/>
      <c r="D29" s="2072"/>
      <c r="E29" s="2072"/>
      <c r="F29" s="2072"/>
      <c r="G29" s="1133"/>
      <c r="H29" s="2310"/>
      <c r="I29" s="2148"/>
      <c r="J29" s="2310"/>
      <c r="K29" s="2148"/>
      <c r="L29" s="2310"/>
      <c r="M29" s="2202"/>
      <c r="N29" s="2310"/>
      <c r="O29" s="2202"/>
      <c r="P29" s="2310"/>
      <c r="Q29" s="2202"/>
      <c r="R29" s="2310"/>
      <c r="S29" s="2202"/>
    </row>
    <row r="30" spans="1:19">
      <c r="A30" s="2005"/>
      <c r="B30" s="1966" t="s">
        <v>519</v>
      </c>
      <c r="C30" s="2087"/>
      <c r="D30" s="2072"/>
      <c r="E30" s="2072"/>
      <c r="F30" s="2072"/>
      <c r="G30" s="1133"/>
      <c r="H30" s="2310"/>
      <c r="I30" s="2148"/>
      <c r="J30" s="2310"/>
      <c r="K30" s="2148"/>
      <c r="L30" s="2310"/>
      <c r="M30" s="2202"/>
      <c r="N30" s="2310"/>
      <c r="O30" s="2202"/>
      <c r="P30" s="2310"/>
      <c r="Q30" s="2202"/>
      <c r="R30" s="2310"/>
      <c r="S30" s="2202"/>
    </row>
    <row r="31" spans="1:19">
      <c r="A31" s="2005"/>
      <c r="B31" s="1967" t="s">
        <v>520</v>
      </c>
      <c r="C31" s="2324"/>
      <c r="D31" s="2117"/>
      <c r="E31" s="2117"/>
      <c r="F31" s="2325"/>
      <c r="G31" s="1599"/>
      <c r="H31" s="2348"/>
      <c r="I31" s="2327"/>
      <c r="J31" s="2348"/>
      <c r="K31" s="1599"/>
      <c r="L31" s="2348"/>
      <c r="M31" s="1599"/>
      <c r="N31" s="2348"/>
      <c r="O31" s="2349"/>
      <c r="P31" s="2348"/>
      <c r="Q31" s="2349"/>
      <c r="R31" s="2348"/>
      <c r="S31" s="2349"/>
    </row>
    <row r="32" spans="1:19">
      <c r="A32" s="2005"/>
      <c r="B32" s="1921" t="s">
        <v>748</v>
      </c>
      <c r="C32" s="2087"/>
      <c r="D32" s="2072"/>
      <c r="E32" s="2072"/>
      <c r="F32" s="2102"/>
      <c r="G32" s="1229"/>
      <c r="H32" s="2310"/>
      <c r="I32" s="2148"/>
      <c r="J32" s="2310"/>
      <c r="K32" s="2148"/>
      <c r="L32" s="2310"/>
      <c r="M32" s="2202"/>
      <c r="N32" s="2310"/>
      <c r="O32" s="2202"/>
      <c r="P32" s="2310"/>
      <c r="Q32" s="2202"/>
      <c r="R32" s="2310"/>
      <c r="S32" s="2202"/>
    </row>
    <row r="33" spans="1:19">
      <c r="A33" s="2005"/>
      <c r="B33" s="2350"/>
      <c r="C33" s="1133"/>
      <c r="D33" s="2072"/>
      <c r="E33" s="2072"/>
      <c r="F33" s="2102"/>
      <c r="G33" s="1229"/>
      <c r="H33" s="2310"/>
      <c r="I33" s="2148"/>
      <c r="J33" s="2310"/>
      <c r="K33" s="2148"/>
      <c r="L33" s="2310"/>
      <c r="M33" s="2202"/>
      <c r="N33" s="2310"/>
      <c r="O33" s="2202"/>
      <c r="P33" s="2310"/>
      <c r="Q33" s="2202"/>
      <c r="R33" s="2310"/>
      <c r="S33" s="2202"/>
    </row>
    <row r="34" spans="1:19">
      <c r="A34" s="2005"/>
      <c r="B34" s="2351" t="s">
        <v>1108</v>
      </c>
      <c r="C34" s="1133"/>
      <c r="D34" s="2072"/>
      <c r="E34" s="2072"/>
      <c r="F34" s="2102"/>
      <c r="G34" s="1229"/>
      <c r="H34" s="2310"/>
      <c r="I34" s="2148"/>
      <c r="J34" s="2310"/>
      <c r="K34" s="2148"/>
      <c r="L34" s="2310"/>
      <c r="M34" s="2202"/>
      <c r="N34" s="2310"/>
      <c r="O34" s="2202"/>
      <c r="P34" s="2310"/>
      <c r="Q34" s="2202"/>
      <c r="R34" s="2310"/>
      <c r="S34" s="2202"/>
    </row>
    <row r="35" spans="1:19">
      <c r="A35" s="2005"/>
      <c r="B35" s="2352" t="s">
        <v>1109</v>
      </c>
      <c r="C35" s="1133"/>
      <c r="D35" s="2072"/>
      <c r="E35" s="2072"/>
      <c r="F35" s="2102"/>
      <c r="G35" s="1229"/>
      <c r="H35" s="2310" t="s">
        <v>710</v>
      </c>
      <c r="I35" s="2148"/>
      <c r="J35" s="2310"/>
      <c r="K35" s="2148"/>
      <c r="L35" s="2310"/>
      <c r="M35" s="2202"/>
      <c r="N35" s="2310"/>
      <c r="O35" s="2202"/>
      <c r="P35" s="2310"/>
      <c r="Q35" s="2202"/>
      <c r="R35" s="2310"/>
      <c r="S35" s="2202"/>
    </row>
    <row r="36" spans="1:19">
      <c r="A36" s="2005"/>
      <c r="B36" s="2352" t="s">
        <v>916</v>
      </c>
      <c r="C36" s="2087"/>
      <c r="D36" s="2072"/>
      <c r="E36" s="2072"/>
      <c r="F36" s="2102"/>
      <c r="G36" s="1229"/>
      <c r="H36" s="2310"/>
      <c r="I36" s="2148"/>
      <c r="J36" s="2310"/>
      <c r="K36" s="2148"/>
      <c r="L36" s="2310"/>
      <c r="M36" s="2148"/>
      <c r="N36" s="2310"/>
      <c r="O36" s="2148"/>
      <c r="P36" s="2310"/>
      <c r="Q36" s="2202"/>
      <c r="R36" s="2310"/>
      <c r="S36" s="2202"/>
    </row>
    <row r="37" spans="1:19">
      <c r="A37" s="2005"/>
      <c r="B37" s="2352" t="s">
        <v>1110</v>
      </c>
      <c r="C37" s="2087"/>
      <c r="D37" s="2072"/>
      <c r="E37" s="2072"/>
      <c r="F37" s="2102"/>
      <c r="G37" s="1229"/>
      <c r="H37" s="2310"/>
      <c r="I37" s="2148"/>
      <c r="J37" s="2310"/>
      <c r="K37" s="2148"/>
      <c r="L37" s="2310"/>
      <c r="M37" s="2202"/>
      <c r="N37" s="2310"/>
      <c r="O37" s="2202"/>
      <c r="P37" s="2310"/>
      <c r="Q37" s="2202"/>
      <c r="R37" s="2310"/>
      <c r="S37" s="2202"/>
    </row>
    <row r="38" spans="1:19">
      <c r="A38" s="2005"/>
      <c r="B38" s="2352" t="s">
        <v>1111</v>
      </c>
      <c r="C38" s="2087"/>
      <c r="D38" s="2072"/>
      <c r="E38" s="2072"/>
      <c r="F38" s="2102"/>
      <c r="G38" s="1229"/>
      <c r="H38" s="2310"/>
      <c r="I38" s="2148"/>
      <c r="J38" s="2310"/>
      <c r="K38" s="2148"/>
      <c r="L38" s="2310"/>
      <c r="M38" s="2202"/>
      <c r="N38" s="2310"/>
      <c r="O38" s="2202"/>
      <c r="P38" s="2310"/>
      <c r="Q38" s="2202"/>
      <c r="R38" s="2310"/>
      <c r="S38" s="2202"/>
    </row>
    <row r="39" spans="1:19">
      <c r="A39" s="2005"/>
      <c r="B39" s="2352" t="s">
        <v>919</v>
      </c>
      <c r="C39" s="2087"/>
      <c r="D39" s="2072"/>
      <c r="E39" s="2072"/>
      <c r="F39" s="2102"/>
      <c r="G39" s="1229"/>
      <c r="H39" s="2310"/>
      <c r="I39" s="2148"/>
      <c r="J39" s="2310"/>
      <c r="K39" s="2148"/>
      <c r="L39" s="2310"/>
      <c r="M39" s="2353"/>
      <c r="N39" s="2310"/>
      <c r="O39" s="2202"/>
      <c r="P39" s="2310"/>
      <c r="Q39" s="2202"/>
      <c r="R39" s="2310"/>
      <c r="S39" s="2202"/>
    </row>
    <row r="40" spans="1:19">
      <c r="A40" s="2005"/>
      <c r="B40" s="2352" t="s">
        <v>920</v>
      </c>
      <c r="C40" s="2087"/>
      <c r="D40" s="2072"/>
      <c r="E40" s="2072"/>
      <c r="F40" s="2102"/>
      <c r="G40" s="1229"/>
      <c r="H40" s="2310"/>
      <c r="I40" s="2148"/>
      <c r="J40" s="2310"/>
      <c r="K40" s="2148"/>
      <c r="L40" s="2310"/>
      <c r="M40" s="2353"/>
      <c r="N40" s="2310"/>
      <c r="O40" s="2202"/>
      <c r="P40" s="2310"/>
      <c r="Q40" s="2202"/>
      <c r="R40" s="2310"/>
      <c r="S40" s="2202"/>
    </row>
    <row r="41" spans="1:19">
      <c r="A41" s="2005"/>
      <c r="B41" s="2352" t="s">
        <v>921</v>
      </c>
      <c r="C41" s="2087"/>
      <c r="D41" s="2072"/>
      <c r="E41" s="2072"/>
      <c r="F41" s="2102"/>
      <c r="G41" s="1229"/>
      <c r="H41" s="2310"/>
      <c r="I41" s="2148"/>
      <c r="J41" s="2310"/>
      <c r="K41" s="2148"/>
      <c r="L41" s="2310"/>
      <c r="M41" s="2202"/>
      <c r="N41" s="2310"/>
      <c r="O41" s="2202"/>
      <c r="P41" s="2310"/>
      <c r="Q41" s="2202"/>
      <c r="R41" s="2310"/>
      <c r="S41" s="2202"/>
    </row>
    <row r="42" spans="1:19">
      <c r="A42" s="2005"/>
      <c r="B42" s="2350"/>
      <c r="C42" s="2087"/>
      <c r="D42" s="2072"/>
      <c r="E42" s="2072"/>
      <c r="F42" s="2102"/>
      <c r="G42" s="1229"/>
      <c r="H42" s="2310"/>
      <c r="I42" s="2148"/>
      <c r="J42" s="2310"/>
      <c r="K42" s="2148"/>
      <c r="L42" s="2310"/>
      <c r="M42" s="2202"/>
      <c r="N42" s="2310"/>
      <c r="O42" s="2202"/>
      <c r="P42" s="2310"/>
      <c r="Q42" s="2202"/>
      <c r="R42" s="2310"/>
      <c r="S42" s="2202"/>
    </row>
    <row r="43" spans="1:19">
      <c r="A43" s="2005"/>
      <c r="B43" s="2350"/>
      <c r="C43" s="2087"/>
      <c r="D43" s="2072"/>
      <c r="E43" s="2072"/>
      <c r="F43" s="2102"/>
      <c r="G43" s="1229"/>
      <c r="H43" s="2310"/>
      <c r="I43" s="2148"/>
      <c r="J43" s="2310"/>
      <c r="K43" s="2148"/>
      <c r="L43" s="2310"/>
      <c r="M43" s="2148"/>
      <c r="N43" s="2310"/>
      <c r="O43" s="2148"/>
      <c r="P43" s="2310"/>
      <c r="Q43" s="2202"/>
      <c r="R43" s="2310"/>
      <c r="S43" s="2202"/>
    </row>
    <row r="44" spans="1:19">
      <c r="A44" s="2005"/>
      <c r="B44" s="2354" t="s">
        <v>1085</v>
      </c>
      <c r="C44" s="1133"/>
      <c r="D44" s="2072"/>
      <c r="E44" s="2072"/>
      <c r="F44" s="2102"/>
      <c r="G44" s="1229"/>
      <c r="H44" s="2310"/>
      <c r="I44" s="2148"/>
      <c r="J44" s="2310"/>
      <c r="K44" s="2148"/>
      <c r="L44" s="2310"/>
      <c r="M44" s="2202"/>
      <c r="N44" s="2310"/>
      <c r="O44" s="2202"/>
      <c r="P44" s="2310"/>
      <c r="Q44" s="2202"/>
      <c r="R44" s="2310"/>
      <c r="S44" s="2202"/>
    </row>
    <row r="45" spans="1:19">
      <c r="A45" s="2005"/>
      <c r="B45" s="2350" t="s">
        <v>1112</v>
      </c>
      <c r="C45" s="1133"/>
      <c r="D45" s="2072"/>
      <c r="E45" s="2072"/>
      <c r="F45" s="2102"/>
      <c r="G45" s="1229"/>
      <c r="H45" s="2310"/>
      <c r="I45" s="2148"/>
      <c r="J45" s="2310"/>
      <c r="K45" s="2148"/>
      <c r="L45" s="2310"/>
      <c r="M45" s="2202"/>
      <c r="N45" s="2310"/>
      <c r="O45" s="2202"/>
      <c r="P45" s="2310"/>
      <c r="Q45" s="2202"/>
      <c r="R45" s="2310"/>
      <c r="S45" s="2202"/>
    </row>
    <row r="46" spans="1:19">
      <c r="A46" s="2005"/>
      <c r="B46" s="2350" t="s">
        <v>1113</v>
      </c>
      <c r="C46" s="1133"/>
      <c r="D46" s="2072"/>
      <c r="E46" s="2072"/>
      <c r="F46" s="2102"/>
      <c r="G46" s="1229"/>
      <c r="H46" s="2310"/>
      <c r="I46" s="2148"/>
      <c r="J46" s="2310"/>
      <c r="K46" s="2148"/>
      <c r="L46" s="2310"/>
      <c r="M46" s="2202"/>
      <c r="N46" s="2310"/>
      <c r="O46" s="2202"/>
      <c r="P46" s="2310"/>
      <c r="Q46" s="2202"/>
      <c r="R46" s="2310"/>
      <c r="S46" s="2202"/>
    </row>
    <row r="47" spans="1:19">
      <c r="A47" s="2005"/>
      <c r="B47" s="2350" t="s">
        <v>1114</v>
      </c>
      <c r="C47" s="1133"/>
      <c r="D47" s="2072"/>
      <c r="E47" s="2072"/>
      <c r="F47" s="2102"/>
      <c r="G47" s="1229"/>
      <c r="H47" s="2310"/>
      <c r="I47" s="2148"/>
      <c r="J47" s="2310"/>
      <c r="K47" s="2148"/>
      <c r="L47" s="2310"/>
      <c r="M47" s="2202"/>
      <c r="N47" s="2310"/>
      <c r="O47" s="2202"/>
      <c r="P47" s="2310"/>
      <c r="Q47" s="2202"/>
      <c r="R47" s="2310"/>
      <c r="S47" s="2202"/>
    </row>
    <row r="48" spans="1:19">
      <c r="A48" s="2005"/>
      <c r="B48" s="2350" t="s">
        <v>1115</v>
      </c>
      <c r="C48" s="1133"/>
      <c r="D48" s="2072"/>
      <c r="E48" s="2072"/>
      <c r="F48" s="2102"/>
      <c r="G48" s="1229"/>
      <c r="H48" s="2310"/>
      <c r="I48" s="2148"/>
      <c r="J48" s="2310"/>
      <c r="K48" s="2148"/>
      <c r="L48" s="2310"/>
      <c r="M48" s="2353"/>
      <c r="N48" s="2310"/>
      <c r="O48" s="2202"/>
      <c r="P48" s="2310"/>
      <c r="Q48" s="2202"/>
      <c r="R48" s="2310"/>
      <c r="S48" s="2202"/>
    </row>
    <row r="49" spans="1:19">
      <c r="A49" s="2355"/>
      <c r="B49" s="2350"/>
      <c r="C49" s="534"/>
      <c r="D49" s="2072"/>
      <c r="E49" s="2072"/>
      <c r="F49" s="2102"/>
      <c r="G49" s="1229"/>
      <c r="H49" s="2310"/>
      <c r="I49" s="2148"/>
      <c r="J49" s="2310"/>
      <c r="K49" s="2148"/>
      <c r="L49" s="2310"/>
      <c r="M49" s="2353"/>
      <c r="N49" s="2310"/>
      <c r="O49" s="2202"/>
      <c r="P49" s="2310"/>
      <c r="Q49" s="2202"/>
      <c r="R49" s="2310"/>
      <c r="S49" s="2202"/>
    </row>
    <row r="50" spans="1:19">
      <c r="A50" s="2355"/>
      <c r="B50" s="2354" t="s">
        <v>1084</v>
      </c>
      <c r="C50" s="534"/>
      <c r="D50" s="2072"/>
      <c r="E50" s="2072"/>
      <c r="F50" s="2102"/>
      <c r="G50" s="1229"/>
      <c r="H50" s="2310"/>
      <c r="I50" s="2148"/>
      <c r="J50" s="2310"/>
      <c r="K50" s="2148"/>
      <c r="L50" s="2310"/>
      <c r="M50" s="2353"/>
      <c r="N50" s="2310"/>
      <c r="O50" s="2202"/>
      <c r="P50" s="2310"/>
      <c r="Q50" s="2202"/>
      <c r="R50" s="2310"/>
      <c r="S50" s="2202"/>
    </row>
    <row r="51" spans="1:19">
      <c r="A51" s="2355"/>
      <c r="B51" s="2350" t="s">
        <v>1112</v>
      </c>
      <c r="C51" s="534"/>
      <c r="D51" s="2072"/>
      <c r="E51" s="2072"/>
      <c r="F51" s="2102"/>
      <c r="G51" s="1229"/>
      <c r="H51" s="2310"/>
      <c r="I51" s="2148"/>
      <c r="J51" s="2310"/>
      <c r="K51" s="2148"/>
      <c r="L51" s="2310"/>
      <c r="M51" s="2353"/>
      <c r="N51" s="2310"/>
      <c r="O51" s="2202"/>
      <c r="P51" s="2310"/>
      <c r="Q51" s="2202"/>
      <c r="R51" s="2310"/>
      <c r="S51" s="2202"/>
    </row>
    <row r="52" spans="1:19">
      <c r="A52" s="2355"/>
      <c r="B52" s="2350" t="s">
        <v>1116</v>
      </c>
      <c r="C52" s="534"/>
      <c r="D52" s="2072"/>
      <c r="E52" s="2072"/>
      <c r="F52" s="2102"/>
      <c r="G52" s="1229"/>
      <c r="H52" s="2310"/>
      <c r="I52" s="2148"/>
      <c r="J52" s="2310"/>
      <c r="K52" s="2148"/>
      <c r="L52" s="2310"/>
      <c r="M52" s="2353"/>
      <c r="N52" s="2310"/>
      <c r="O52" s="2202"/>
      <c r="P52" s="2310"/>
      <c r="Q52" s="2202"/>
      <c r="R52" s="2310"/>
      <c r="S52" s="2202"/>
    </row>
    <row r="53" spans="1:19">
      <c r="A53" s="2355"/>
      <c r="B53" s="2350" t="s">
        <v>1117</v>
      </c>
      <c r="C53" s="534"/>
      <c r="D53" s="2072"/>
      <c r="E53" s="2072"/>
      <c r="F53" s="2102"/>
      <c r="G53" s="1229"/>
      <c r="H53" s="2310"/>
      <c r="I53" s="2148"/>
      <c r="J53" s="2310"/>
      <c r="K53" s="2148"/>
      <c r="L53" s="2310"/>
      <c r="M53" s="2353"/>
      <c r="N53" s="2310"/>
      <c r="O53" s="2202"/>
      <c r="P53" s="2310"/>
      <c r="Q53" s="2202"/>
      <c r="R53" s="2310"/>
      <c r="S53" s="2202"/>
    </row>
    <row r="54" spans="1:19">
      <c r="A54" s="2355"/>
      <c r="B54" s="2350" t="s">
        <v>1118</v>
      </c>
      <c r="C54" s="534"/>
      <c r="D54" s="2072"/>
      <c r="E54" s="2072"/>
      <c r="F54" s="2102"/>
      <c r="G54" s="1229"/>
      <c r="H54" s="2310"/>
      <c r="I54" s="2148"/>
      <c r="J54" s="2310"/>
      <c r="K54" s="2148"/>
      <c r="L54" s="2310"/>
      <c r="M54" s="2353"/>
      <c r="N54" s="2310"/>
      <c r="O54" s="2202"/>
      <c r="P54" s="2310"/>
      <c r="Q54" s="2202"/>
      <c r="R54" s="2310"/>
      <c r="S54" s="2202"/>
    </row>
    <row r="55" spans="1:19">
      <c r="A55" s="2355"/>
      <c r="B55" s="2350" t="s">
        <v>1119</v>
      </c>
      <c r="C55" s="534"/>
      <c r="D55" s="2072"/>
      <c r="E55" s="2072"/>
      <c r="F55" s="2102"/>
      <c r="G55" s="1229"/>
      <c r="H55" s="2310"/>
      <c r="I55" s="2148"/>
      <c r="J55" s="2310"/>
      <c r="K55" s="2148"/>
      <c r="L55" s="2310"/>
      <c r="M55" s="2353"/>
      <c r="N55" s="2310"/>
      <c r="O55" s="2202"/>
      <c r="P55" s="2310"/>
      <c r="Q55" s="2202"/>
      <c r="R55" s="2310"/>
      <c r="S55" s="2202"/>
    </row>
    <row r="56" spans="1:19">
      <c r="A56" s="2355"/>
      <c r="B56" s="2350" t="s">
        <v>1120</v>
      </c>
      <c r="C56" s="534"/>
      <c r="D56" s="2072"/>
      <c r="E56" s="2072"/>
      <c r="F56" s="2102"/>
      <c r="G56" s="1229"/>
      <c r="H56" s="2310"/>
      <c r="I56" s="2148"/>
      <c r="J56" s="2310"/>
      <c r="K56" s="2148"/>
      <c r="L56" s="2310"/>
      <c r="M56" s="2353"/>
      <c r="N56" s="2310"/>
      <c r="O56" s="2202"/>
      <c r="P56" s="2310"/>
      <c r="Q56" s="2202"/>
      <c r="R56" s="2310"/>
      <c r="S56" s="2202"/>
    </row>
    <row r="57" spans="1:19">
      <c r="A57" s="2355"/>
      <c r="B57" s="2350"/>
      <c r="C57" s="534"/>
      <c r="D57" s="2072"/>
      <c r="E57" s="2072"/>
      <c r="F57" s="2102"/>
      <c r="G57" s="1229"/>
      <c r="H57" s="2310"/>
      <c r="I57" s="2148"/>
      <c r="J57" s="2310"/>
      <c r="K57" s="2148"/>
      <c r="L57" s="2310"/>
      <c r="M57" s="2353"/>
      <c r="N57" s="2310"/>
      <c r="O57" s="2202"/>
      <c r="P57" s="2310"/>
      <c r="Q57" s="2202"/>
      <c r="R57" s="2310"/>
      <c r="S57" s="2202"/>
    </row>
    <row r="58" spans="1:19">
      <c r="A58" s="2355"/>
      <c r="B58" s="2350"/>
      <c r="C58" s="534"/>
      <c r="D58" s="2072"/>
      <c r="E58" s="2072"/>
      <c r="F58" s="2102"/>
      <c r="G58" s="1229"/>
      <c r="H58" s="2310"/>
      <c r="I58" s="2148"/>
      <c r="J58" s="2310"/>
      <c r="K58" s="2148"/>
      <c r="L58" s="2310"/>
      <c r="M58" s="2353"/>
      <c r="N58" s="2310"/>
      <c r="O58" s="2202"/>
      <c r="P58" s="2310"/>
      <c r="Q58" s="2202"/>
      <c r="R58" s="2310"/>
      <c r="S58" s="2202"/>
    </row>
    <row r="59" spans="1:19">
      <c r="A59" s="2355"/>
      <c r="B59" s="2356" t="s">
        <v>1121</v>
      </c>
      <c r="C59" s="534"/>
      <c r="D59" s="2072"/>
      <c r="E59" s="2072"/>
      <c r="F59" s="2102"/>
      <c r="G59" s="1229"/>
      <c r="H59" s="2310"/>
      <c r="I59" s="2148"/>
      <c r="J59" s="2310"/>
      <c r="K59" s="2148"/>
      <c r="L59" s="2310"/>
      <c r="M59" s="2202"/>
      <c r="N59" s="2310"/>
      <c r="O59" s="2202"/>
      <c r="P59" s="2310"/>
      <c r="Q59" s="2202"/>
      <c r="R59" s="2310"/>
      <c r="S59" s="2202"/>
    </row>
    <row r="60" spans="1:19">
      <c r="A60" s="2005"/>
      <c r="B60" s="2357" t="s">
        <v>1122</v>
      </c>
      <c r="C60" s="1133"/>
      <c r="D60" s="2072"/>
      <c r="E60" s="2072"/>
      <c r="F60" s="2102"/>
      <c r="G60" s="1229"/>
      <c r="H60" s="2310"/>
      <c r="I60" s="2148"/>
      <c r="J60" s="2310"/>
      <c r="K60" s="2148"/>
      <c r="L60" s="2310"/>
      <c r="M60" s="2202"/>
      <c r="N60" s="2310"/>
      <c r="O60" s="2202"/>
      <c r="P60" s="2310"/>
      <c r="Q60" s="2202"/>
      <c r="R60" s="2310"/>
      <c r="S60" s="2202"/>
    </row>
    <row r="61" spans="1:19">
      <c r="A61" s="2005"/>
      <c r="B61" s="1928" t="s">
        <v>1123</v>
      </c>
      <c r="C61" s="2087"/>
      <c r="D61" s="2072"/>
      <c r="E61" s="2072"/>
      <c r="F61" s="2102"/>
      <c r="G61" s="1229"/>
      <c r="H61" s="2310"/>
      <c r="I61" s="2148"/>
      <c r="J61" s="2310"/>
      <c r="K61" s="2148"/>
      <c r="L61" s="2310"/>
      <c r="M61" s="2148"/>
      <c r="N61" s="2310"/>
      <c r="O61" s="2148"/>
      <c r="P61" s="2310"/>
      <c r="Q61" s="2202"/>
      <c r="R61" s="2310"/>
      <c r="S61" s="2202"/>
    </row>
    <row r="62" spans="1:19">
      <c r="A62" s="2005"/>
      <c r="B62" s="1928" t="s">
        <v>1124</v>
      </c>
      <c r="C62" s="2087"/>
      <c r="D62" s="2072"/>
      <c r="E62" s="2072"/>
      <c r="F62" s="2102"/>
      <c r="G62" s="1229"/>
      <c r="H62" s="2310"/>
      <c r="I62" s="2148"/>
      <c r="J62" s="2310"/>
      <c r="K62" s="2148"/>
      <c r="L62" s="2310"/>
      <c r="M62" s="2148"/>
      <c r="N62" s="2310"/>
      <c r="O62" s="2148"/>
      <c r="P62" s="2310"/>
      <c r="Q62" s="2202"/>
      <c r="R62" s="2310"/>
      <c r="S62" s="2202"/>
    </row>
    <row r="63" spans="1:19">
      <c r="A63" s="2005"/>
      <c r="B63" s="1928"/>
      <c r="C63" s="2087"/>
      <c r="D63" s="2072"/>
      <c r="E63" s="2072"/>
      <c r="F63" s="2102"/>
      <c r="G63" s="1229"/>
      <c r="H63" s="2310"/>
      <c r="I63" s="2148"/>
      <c r="J63" s="2310"/>
      <c r="K63" s="2148"/>
      <c r="L63" s="2310"/>
      <c r="M63" s="2148"/>
      <c r="N63" s="2310"/>
      <c r="O63" s="2148"/>
      <c r="P63" s="2310"/>
      <c r="Q63" s="2202"/>
      <c r="R63" s="2310"/>
      <c r="S63" s="2202"/>
    </row>
    <row r="64" spans="1:19">
      <c r="A64" s="14"/>
      <c r="B64" s="15"/>
      <c r="C64" s="16"/>
      <c r="D64" s="16"/>
      <c r="E64" s="17"/>
      <c r="F64" s="18" t="s">
        <v>567</v>
      </c>
      <c r="G64" s="19"/>
      <c r="H64" s="20"/>
      <c r="I64" s="64">
        <f>SUM(I23:I63)</f>
        <v>0</v>
      </c>
      <c r="J64" s="20"/>
      <c r="K64" s="64">
        <f>SUM(K23:K63)</f>
        <v>0</v>
      </c>
      <c r="L64" s="20"/>
      <c r="M64" s="64">
        <f>SUM(M23:M63)</f>
        <v>0</v>
      </c>
      <c r="N64" s="20"/>
      <c r="O64" s="64">
        <f>SUM(O23:O63)</f>
        <v>0</v>
      </c>
      <c r="P64" s="20"/>
      <c r="Q64" s="64">
        <f>SUM(Q23:Q63)</f>
        <v>0</v>
      </c>
      <c r="R64" s="20"/>
      <c r="S64" s="64">
        <f>SUM(S23:S63)</f>
        <v>0</v>
      </c>
    </row>
    <row r="65" spans="1:19">
      <c r="A65" s="2358"/>
      <c r="B65" s="2359"/>
      <c r="C65" s="2360"/>
      <c r="D65" s="2360"/>
      <c r="E65" s="2361"/>
      <c r="F65" s="2362" t="s">
        <v>568</v>
      </c>
      <c r="G65" s="2363"/>
      <c r="H65" s="2364">
        <v>0</v>
      </c>
      <c r="I65" s="2365"/>
      <c r="J65" s="2364">
        <v>0</v>
      </c>
      <c r="K65" s="2365"/>
      <c r="L65" s="2364">
        <v>0</v>
      </c>
      <c r="M65" s="2365"/>
      <c r="N65" s="2364">
        <v>0</v>
      </c>
      <c r="O65" s="2365"/>
      <c r="P65" s="2364">
        <v>0</v>
      </c>
      <c r="Q65" s="2365"/>
      <c r="R65" s="2364">
        <v>0</v>
      </c>
      <c r="S65" s="2365"/>
    </row>
    <row r="66" spans="1:19">
      <c r="A66" s="2358"/>
      <c r="B66" s="2359"/>
      <c r="C66" s="2360"/>
      <c r="D66" s="2360"/>
      <c r="E66" s="2361"/>
      <c r="F66" s="2362" t="s">
        <v>569</v>
      </c>
      <c r="G66" s="2363"/>
      <c r="H66" s="2366"/>
      <c r="I66" s="2367">
        <f>I64*H65</f>
        <v>0</v>
      </c>
      <c r="J66" s="2366"/>
      <c r="K66" s="2367">
        <f>K64*J65</f>
        <v>0</v>
      </c>
      <c r="L66" s="2366"/>
      <c r="M66" s="2367">
        <f>M64*L65</f>
        <v>0</v>
      </c>
      <c r="N66" s="2366"/>
      <c r="O66" s="2367">
        <f>O64*N65</f>
        <v>0</v>
      </c>
      <c r="P66" s="2366"/>
      <c r="Q66" s="2367">
        <f>Q64*P65</f>
        <v>0</v>
      </c>
      <c r="R66" s="2366"/>
      <c r="S66" s="2367">
        <f>S64*R65</f>
        <v>0</v>
      </c>
    </row>
    <row r="67" spans="1:19">
      <c r="A67" s="2358"/>
      <c r="B67" s="2359"/>
      <c r="C67" s="2360"/>
      <c r="D67" s="2360"/>
      <c r="E67" s="2361"/>
      <c r="F67" s="2362"/>
      <c r="G67" s="2363"/>
      <c r="H67" s="2366"/>
      <c r="I67" s="2366"/>
      <c r="J67" s="2366"/>
      <c r="K67" s="2366"/>
      <c r="L67" s="2366"/>
      <c r="M67" s="2366"/>
      <c r="N67" s="2366"/>
      <c r="O67" s="2366"/>
      <c r="P67" s="2366"/>
      <c r="Q67" s="2366"/>
      <c r="R67" s="2366"/>
      <c r="S67" s="2366"/>
    </row>
    <row r="68" spans="1:19">
      <c r="A68" s="2358"/>
      <c r="B68" s="2359"/>
      <c r="C68" s="2360"/>
      <c r="D68" s="2360"/>
      <c r="E68" s="2361"/>
      <c r="F68" s="2362" t="s">
        <v>570</v>
      </c>
      <c r="G68" s="2363"/>
      <c r="H68" s="2368"/>
      <c r="I68" s="2369">
        <f>SUM(I64:I66)</f>
        <v>0</v>
      </c>
      <c r="J68" s="2368"/>
      <c r="K68" s="2369">
        <f>SUM(K64:K66)</f>
        <v>0</v>
      </c>
      <c r="L68" s="2368"/>
      <c r="M68" s="2369">
        <f>SUM(M64:M66)</f>
        <v>0</v>
      </c>
      <c r="N68" s="2368"/>
      <c r="O68" s="2369">
        <f>SUM(O64:O66)</f>
        <v>0</v>
      </c>
      <c r="P68" s="2368"/>
      <c r="Q68" s="2369">
        <f>SUM(Q64:Q66)</f>
        <v>0</v>
      </c>
      <c r="R68" s="2368"/>
      <c r="S68" s="2369">
        <f>SUM(S64:S66)</f>
        <v>0</v>
      </c>
    </row>
    <row r="69" spans="1:19">
      <c r="A69" s="2358"/>
      <c r="B69" s="2359"/>
      <c r="C69" s="2360"/>
      <c r="D69" s="2360"/>
      <c r="E69" s="2361"/>
      <c r="F69" s="2370" t="s">
        <v>571</v>
      </c>
      <c r="G69" s="2371"/>
      <c r="H69" s="2372"/>
      <c r="I69" s="2373" t="e">
        <f>I68/'Area Calculations'!$J$4</f>
        <v>#DIV/0!</v>
      </c>
      <c r="J69" s="2372"/>
      <c r="K69" s="2373" t="e">
        <f>K68/'Area Calculations'!$J$4</f>
        <v>#DIV/0!</v>
      </c>
      <c r="L69" s="2372"/>
      <c r="M69" s="2373" t="e">
        <f>M68/'Area Calculations'!$J$4</f>
        <v>#DIV/0!</v>
      </c>
      <c r="N69" s="2372"/>
      <c r="O69" s="2373" t="e">
        <f>O68/'Area Calculations'!$J$4</f>
        <v>#DIV/0!</v>
      </c>
      <c r="P69" s="2372"/>
      <c r="Q69" s="2373" t="e">
        <f>Q68/'Area Calculations'!$J$4</f>
        <v>#DIV/0!</v>
      </c>
      <c r="R69" s="2372"/>
      <c r="S69" s="2373" t="e">
        <f>S68/'Area Calculations'!$J$4</f>
        <v>#DIV/0!</v>
      </c>
    </row>
    <row r="70" spans="1:19">
      <c r="A70" s="2358"/>
      <c r="B70" s="2359"/>
      <c r="C70" s="2360"/>
      <c r="D70" s="2360"/>
      <c r="E70" s="2361"/>
      <c r="F70" s="2370" t="s">
        <v>572</v>
      </c>
      <c r="G70" s="2374"/>
      <c r="H70" s="2372"/>
      <c r="I70" s="2373" t="e">
        <f>I68/'Area Calculations'!#REF!</f>
        <v>#REF!</v>
      </c>
      <c r="J70" s="2372"/>
      <c r="K70" s="2373" t="e">
        <f>K68/'Area Calculations'!#REF!</f>
        <v>#REF!</v>
      </c>
      <c r="L70" s="2372"/>
      <c r="M70" s="2373" t="e">
        <f>M68/'Area Calculations'!#REF!</f>
        <v>#REF!</v>
      </c>
      <c r="N70" s="2372"/>
      <c r="O70" s="2373" t="e">
        <f>O68/'Area Calculations'!#REF!</f>
        <v>#REF!</v>
      </c>
      <c r="P70" s="2372"/>
      <c r="Q70" s="2373" t="e">
        <f>Q68/'Area Calculations'!#REF!</f>
        <v>#REF!</v>
      </c>
      <c r="R70" s="2372"/>
      <c r="S70" s="2373" t="e">
        <f>S68/'Area Calculations'!#REF!</f>
        <v>#REF!</v>
      </c>
    </row>
    <row r="71" spans="1:19">
      <c r="A71" s="2358"/>
      <c r="B71" s="2359"/>
      <c r="C71" s="2360"/>
      <c r="D71" s="2360"/>
      <c r="E71" s="2361"/>
      <c r="F71" s="2362"/>
      <c r="G71" s="2375"/>
      <c r="H71" s="2376"/>
      <c r="I71" s="2377"/>
      <c r="J71" s="2378"/>
      <c r="K71" s="2378"/>
      <c r="L71" s="2378"/>
      <c r="M71" s="2378"/>
      <c r="N71" s="2378"/>
      <c r="O71" s="2378"/>
      <c r="P71" s="2378"/>
      <c r="Q71" s="2378"/>
      <c r="R71" s="2378"/>
      <c r="S71" s="2378"/>
    </row>
    <row r="72" spans="1:19">
      <c r="A72" s="726" t="s">
        <v>573</v>
      </c>
      <c r="B72" s="727"/>
      <c r="C72" s="12"/>
      <c r="D72" s="12"/>
      <c r="E72" s="12"/>
      <c r="F72" s="12"/>
      <c r="G72" s="13"/>
      <c r="H72" s="21"/>
      <c r="I72" s="21"/>
      <c r="J72" s="21"/>
      <c r="K72" s="21"/>
      <c r="L72" s="21"/>
      <c r="M72" s="21"/>
      <c r="N72" s="21"/>
      <c r="O72" s="21"/>
      <c r="P72" s="21"/>
      <c r="Q72" s="21"/>
      <c r="R72" s="21"/>
      <c r="S72" s="21"/>
    </row>
    <row r="73" spans="1:19">
      <c r="A73" s="2379"/>
      <c r="B73" s="2071"/>
      <c r="C73" s="2380"/>
      <c r="D73" s="2380"/>
      <c r="E73" s="2380"/>
      <c r="F73" s="2380"/>
      <c r="G73" s="2381"/>
      <c r="H73" s="1932"/>
      <c r="I73" s="1932"/>
      <c r="J73" s="1932"/>
      <c r="K73" s="1932"/>
      <c r="L73" s="1932"/>
      <c r="M73" s="1932"/>
      <c r="N73" s="1932"/>
      <c r="O73" s="1932"/>
      <c r="P73" s="1932"/>
      <c r="Q73" s="1932"/>
      <c r="R73" s="1932"/>
      <c r="S73" s="1932"/>
    </row>
    <row r="74" spans="1:19">
      <c r="A74" s="2379"/>
      <c r="B74" s="2071"/>
      <c r="C74" s="2380"/>
      <c r="D74" s="2380"/>
      <c r="E74" s="2380"/>
      <c r="F74" s="2380"/>
      <c r="G74" s="2381"/>
      <c r="H74" s="1932"/>
      <c r="I74" s="1932"/>
      <c r="J74" s="1932"/>
      <c r="K74" s="1932"/>
      <c r="L74" s="1932"/>
      <c r="M74" s="1932"/>
      <c r="N74" s="1932"/>
      <c r="O74" s="1932"/>
      <c r="P74" s="1932"/>
      <c r="Q74" s="1932"/>
      <c r="R74" s="1932"/>
      <c r="S74" s="1932"/>
    </row>
    <row r="75" spans="1:19">
      <c r="A75" s="2379"/>
      <c r="B75" s="2071"/>
      <c r="C75" s="2380"/>
      <c r="D75" s="2380"/>
      <c r="E75" s="2380"/>
      <c r="F75" s="2380"/>
      <c r="G75" s="2381"/>
      <c r="H75" s="1932"/>
      <c r="I75" s="1932"/>
      <c r="J75" s="1932"/>
      <c r="K75" s="1932"/>
      <c r="L75" s="1932"/>
      <c r="M75" s="1932"/>
      <c r="N75" s="1932"/>
      <c r="O75" s="1932"/>
      <c r="P75" s="1932"/>
      <c r="Q75" s="1932"/>
      <c r="R75" s="1932"/>
      <c r="S75" s="1932"/>
    </row>
    <row r="76" spans="1:19" s="2" customFormat="1">
      <c r="A76" s="726" t="s">
        <v>574</v>
      </c>
      <c r="B76" s="727"/>
      <c r="C76" s="12"/>
      <c r="D76" s="12"/>
      <c r="E76" s="12"/>
      <c r="F76" s="12"/>
      <c r="G76" s="13"/>
      <c r="H76" s="21"/>
      <c r="I76" s="21"/>
      <c r="J76" s="21"/>
      <c r="K76" s="21"/>
      <c r="L76" s="21"/>
      <c r="M76" s="21"/>
      <c r="N76" s="21"/>
      <c r="O76" s="21"/>
      <c r="P76" s="21"/>
      <c r="Q76" s="21"/>
      <c r="R76" s="21"/>
      <c r="S76" s="21"/>
    </row>
    <row r="77" spans="1:19" s="2" customFormat="1">
      <c r="A77" s="2379"/>
      <c r="B77" s="2071"/>
      <c r="C77" s="2380"/>
      <c r="D77" s="2380"/>
      <c r="E77" s="2380"/>
      <c r="F77" s="2380"/>
      <c r="G77" s="2381"/>
      <c r="H77" s="1932"/>
      <c r="I77" s="1932"/>
      <c r="J77" s="1932"/>
      <c r="K77" s="1932"/>
      <c r="L77" s="1932"/>
      <c r="M77" s="1932"/>
      <c r="N77" s="1932"/>
      <c r="O77" s="1932"/>
      <c r="P77" s="1932"/>
      <c r="Q77" s="1932"/>
      <c r="R77" s="1932"/>
      <c r="S77" s="1932"/>
    </row>
    <row r="78" spans="1:19" s="2" customFormat="1">
      <c r="A78" s="2379"/>
      <c r="B78" s="2071"/>
      <c r="C78" s="2380"/>
      <c r="D78" s="2380"/>
      <c r="E78" s="2380"/>
      <c r="F78" s="2380"/>
      <c r="G78" s="2381"/>
      <c r="H78" s="1932"/>
      <c r="I78" s="1932"/>
      <c r="J78" s="1932"/>
      <c r="K78" s="1932"/>
      <c r="L78" s="1932"/>
      <c r="M78" s="1932"/>
      <c r="N78" s="1932"/>
      <c r="O78" s="1932"/>
      <c r="P78" s="1932"/>
      <c r="Q78" s="1932"/>
      <c r="R78" s="1932"/>
      <c r="S78" s="1932"/>
    </row>
    <row r="79" spans="1:19">
      <c r="A79" s="2379"/>
      <c r="B79" s="2071"/>
      <c r="C79" s="2380"/>
      <c r="D79" s="2380"/>
      <c r="E79" s="2380"/>
      <c r="F79" s="2380"/>
      <c r="G79" s="2381"/>
      <c r="H79" s="1932"/>
      <c r="I79" s="1932"/>
      <c r="J79" s="1932"/>
      <c r="K79" s="1932"/>
      <c r="L79" s="1932"/>
      <c r="M79" s="1932"/>
      <c r="N79" s="1932"/>
      <c r="O79" s="1932"/>
      <c r="P79" s="1932"/>
      <c r="Q79" s="1932"/>
      <c r="R79" s="1932"/>
      <c r="S79" s="1932"/>
    </row>
    <row r="80" spans="1:19" s="2" customFormat="1">
      <c r="A80" s="726" t="s">
        <v>575</v>
      </c>
      <c r="B80" s="727"/>
      <c r="C80" s="12"/>
      <c r="D80" s="12"/>
      <c r="E80" s="12"/>
      <c r="F80" s="12"/>
      <c r="G80" s="13"/>
      <c r="H80" s="21"/>
      <c r="I80" s="21"/>
      <c r="J80" s="21"/>
      <c r="K80" s="21"/>
      <c r="L80" s="21"/>
      <c r="M80" s="21"/>
      <c r="N80" s="21"/>
      <c r="O80" s="21"/>
      <c r="P80" s="21"/>
      <c r="Q80" s="21"/>
      <c r="R80" s="21"/>
      <c r="S80" s="21"/>
    </row>
    <row r="81" spans="1:19" s="2" customFormat="1">
      <c r="A81" s="2379"/>
      <c r="B81" s="2071"/>
      <c r="C81" s="2380"/>
      <c r="D81" s="2380"/>
      <c r="E81" s="2380"/>
      <c r="F81" s="2380"/>
      <c r="G81" s="2381"/>
      <c r="H81" s="1932"/>
      <c r="I81" s="1932"/>
      <c r="J81" s="1932"/>
      <c r="K81" s="1932"/>
      <c r="L81" s="1932"/>
      <c r="M81" s="1932"/>
      <c r="N81" s="1932"/>
      <c r="O81" s="1932"/>
      <c r="P81" s="1932"/>
      <c r="Q81" s="1932"/>
      <c r="R81" s="1932"/>
      <c r="S81" s="1932"/>
    </row>
    <row r="82" spans="1:19" s="2" customFormat="1">
      <c r="A82" s="2308"/>
      <c r="B82" s="2071"/>
      <c r="C82" s="2072"/>
      <c r="D82" s="2072"/>
      <c r="E82" s="2072"/>
      <c r="F82" s="2072"/>
      <c r="G82" s="1133"/>
      <c r="H82" s="2382"/>
      <c r="I82" s="2382"/>
      <c r="J82" s="2382"/>
      <c r="K82" s="2382"/>
      <c r="L82" s="2382"/>
      <c r="M82" s="2382"/>
      <c r="N82" s="2382"/>
      <c r="O82" s="2382"/>
      <c r="P82" s="2382"/>
      <c r="Q82" s="2382"/>
      <c r="R82" s="2382"/>
      <c r="S82" s="2382"/>
    </row>
    <row r="83" spans="1:19" s="2" customFormat="1">
      <c r="A83" s="2383"/>
      <c r="B83" s="2384"/>
      <c r="C83" s="2072"/>
      <c r="D83" s="2072"/>
      <c r="E83" s="2072"/>
      <c r="F83" s="2072"/>
      <c r="G83" s="1133"/>
      <c r="H83" s="2385"/>
      <c r="I83" s="2385"/>
      <c r="J83" s="2385"/>
      <c r="K83" s="2385"/>
      <c r="L83" s="2385"/>
      <c r="M83" s="2385"/>
      <c r="N83" s="2385"/>
      <c r="O83" s="2385"/>
      <c r="P83" s="2385"/>
      <c r="Q83" s="2385"/>
      <c r="R83" s="2385"/>
      <c r="S83" s="2385"/>
    </row>
    <row r="84" spans="1:19" s="2" customFormat="1">
      <c r="A84" s="726" t="s">
        <v>576</v>
      </c>
      <c r="B84" s="727"/>
      <c r="C84" s="12"/>
      <c r="D84" s="12"/>
      <c r="E84" s="12"/>
      <c r="F84" s="12"/>
      <c r="G84" s="13"/>
      <c r="H84" s="21"/>
      <c r="I84" s="21"/>
      <c r="J84" s="21"/>
      <c r="K84" s="21"/>
      <c r="L84" s="21"/>
      <c r="M84" s="21"/>
      <c r="N84" s="21"/>
      <c r="O84" s="21"/>
      <c r="P84" s="21"/>
      <c r="Q84" s="21"/>
      <c r="R84" s="21"/>
      <c r="S84" s="21"/>
    </row>
    <row r="85" spans="1:19">
      <c r="A85" s="2386"/>
      <c r="B85" s="2387"/>
      <c r="C85" s="2380"/>
      <c r="D85" s="2380"/>
      <c r="E85" s="2380"/>
      <c r="F85" s="2380"/>
      <c r="G85" s="2381"/>
      <c r="H85" s="1932"/>
      <c r="I85" s="1932"/>
      <c r="J85" s="1932"/>
      <c r="K85" s="1932"/>
      <c r="L85" s="1932"/>
      <c r="M85" s="1932"/>
      <c r="N85" s="1932"/>
      <c r="O85" s="1932"/>
      <c r="P85" s="1932"/>
      <c r="Q85" s="1932"/>
      <c r="R85" s="1932"/>
      <c r="S85" s="1932"/>
    </row>
    <row r="86" spans="1:19">
      <c r="A86" s="2383"/>
      <c r="B86" s="2384"/>
      <c r="C86" s="2072"/>
      <c r="D86" s="2072"/>
      <c r="E86" s="2072"/>
      <c r="F86" s="2072"/>
      <c r="G86" s="1133"/>
      <c r="H86" s="2388"/>
      <c r="I86" s="2388"/>
      <c r="J86" s="2388"/>
      <c r="K86" s="2388"/>
      <c r="L86" s="2388"/>
      <c r="M86" s="2388"/>
      <c r="N86" s="2388"/>
      <c r="O86" s="2388"/>
      <c r="P86" s="2388"/>
      <c r="Q86" s="2388"/>
      <c r="R86" s="2388"/>
      <c r="S86" s="2388"/>
    </row>
    <row r="87" spans="1:19">
      <c r="A87" s="2383"/>
      <c r="B87" s="2384"/>
      <c r="C87" s="2072"/>
      <c r="D87" s="2072"/>
      <c r="E87" s="2072"/>
      <c r="F87" s="2072"/>
      <c r="G87" s="1133"/>
      <c r="H87" s="2388"/>
      <c r="I87" s="2388"/>
      <c r="J87" s="2388"/>
      <c r="K87" s="2388"/>
      <c r="L87" s="2388"/>
      <c r="M87" s="2388"/>
      <c r="N87" s="2388"/>
      <c r="O87" s="2388"/>
      <c r="P87" s="2388"/>
      <c r="Q87" s="2388"/>
      <c r="R87" s="2388"/>
      <c r="S87" s="2388"/>
    </row>
    <row r="88" spans="1:19">
      <c r="A88" s="726" t="s">
        <v>577</v>
      </c>
      <c r="B88" s="727"/>
      <c r="C88" s="12"/>
      <c r="D88" s="12"/>
      <c r="E88" s="12"/>
      <c r="F88" s="12"/>
      <c r="G88" s="13"/>
      <c r="H88" s="21"/>
      <c r="I88" s="21"/>
      <c r="J88" s="21"/>
      <c r="K88" s="21"/>
      <c r="L88" s="21"/>
      <c r="M88" s="21"/>
      <c r="N88" s="21"/>
      <c r="O88" s="21"/>
      <c r="P88" s="21"/>
      <c r="Q88" s="21"/>
      <c r="R88" s="21"/>
      <c r="S88" s="21"/>
    </row>
    <row r="89" spans="1:19">
      <c r="A89" s="2308"/>
      <c r="B89" s="2071" t="s">
        <v>578</v>
      </c>
      <c r="C89" s="2072"/>
      <c r="D89" s="2072"/>
      <c r="E89" s="2072"/>
      <c r="F89" s="2072"/>
      <c r="G89" s="1133"/>
      <c r="H89" s="2388"/>
      <c r="I89" s="2388"/>
      <c r="J89" s="2388"/>
      <c r="K89" s="2388"/>
      <c r="L89" s="2388"/>
      <c r="M89" s="2388"/>
      <c r="N89" s="2388"/>
      <c r="O89" s="2388"/>
      <c r="P89" s="2388"/>
      <c r="Q89" s="2388"/>
      <c r="R89" s="2388"/>
      <c r="S89" s="2388"/>
    </row>
    <row r="90" spans="1:19">
      <c r="A90" s="2308"/>
      <c r="B90" s="2071" t="s">
        <v>579</v>
      </c>
      <c r="C90" s="2072"/>
      <c r="D90" s="2072"/>
      <c r="E90" s="2072"/>
      <c r="F90" s="2072"/>
      <c r="G90" s="1133"/>
      <c r="H90" s="2388"/>
      <c r="I90" s="2388"/>
      <c r="J90" s="2388"/>
      <c r="K90" s="2388"/>
      <c r="L90" s="2388"/>
      <c r="M90" s="2388"/>
      <c r="N90" s="2388"/>
      <c r="O90" s="2388"/>
      <c r="P90" s="2388"/>
      <c r="Q90" s="2388"/>
      <c r="R90" s="2388"/>
      <c r="S90" s="2388"/>
    </row>
    <row r="91" spans="1:19">
      <c r="A91" s="2308"/>
      <c r="B91" s="2071" t="s">
        <v>580</v>
      </c>
      <c r="C91" s="2072"/>
      <c r="D91" s="2072"/>
      <c r="E91" s="2072"/>
      <c r="F91" s="2072"/>
      <c r="G91" s="1133"/>
      <c r="H91" s="2388"/>
      <c r="I91" s="2388"/>
      <c r="J91" s="2388"/>
      <c r="K91" s="2388"/>
      <c r="L91" s="2388"/>
      <c r="M91" s="2388"/>
      <c r="N91" s="2388"/>
      <c r="O91" s="2388"/>
      <c r="P91" s="2388"/>
      <c r="Q91" s="2388"/>
      <c r="R91" s="2388"/>
      <c r="S91" s="2388"/>
    </row>
    <row r="92" spans="1:19">
      <c r="A92" s="2308"/>
      <c r="B92" s="2071" t="s">
        <v>581</v>
      </c>
      <c r="C92" s="2072"/>
      <c r="D92" s="2072"/>
      <c r="E92" s="2072"/>
      <c r="F92" s="2072"/>
      <c r="G92" s="1133"/>
      <c r="H92" s="2388"/>
      <c r="I92" s="2388"/>
      <c r="J92" s="2388"/>
      <c r="K92" s="2388"/>
      <c r="L92" s="2388"/>
      <c r="M92" s="2388"/>
      <c r="N92" s="2388"/>
      <c r="O92" s="2388"/>
      <c r="P92" s="2388"/>
      <c r="Q92" s="2388"/>
      <c r="R92" s="2388"/>
      <c r="S92" s="2388"/>
    </row>
    <row r="93" spans="1:19">
      <c r="A93" s="416"/>
      <c r="B93" s="295"/>
      <c r="C93" s="184"/>
      <c r="D93" s="184"/>
      <c r="E93" s="184"/>
      <c r="F93" s="184"/>
      <c r="G93" s="296"/>
      <c r="H93" s="418"/>
      <c r="I93" s="418"/>
      <c r="J93" s="418"/>
      <c r="K93" s="418"/>
      <c r="L93" s="418"/>
      <c r="M93" s="418"/>
      <c r="N93" s="418"/>
      <c r="O93" s="418"/>
      <c r="P93" s="418"/>
      <c r="Q93" s="418"/>
      <c r="R93" s="418"/>
      <c r="S93" s="418"/>
    </row>
    <row r="94" spans="1:19">
      <c r="A94" s="7" t="s">
        <v>582</v>
      </c>
      <c r="B94" s="8"/>
      <c r="C94" s="12"/>
      <c r="D94" s="12"/>
      <c r="E94" s="12"/>
      <c r="F94" s="12"/>
      <c r="G94" s="13"/>
      <c r="H94" s="21"/>
      <c r="I94" s="21"/>
      <c r="J94" s="21"/>
      <c r="K94" s="21"/>
      <c r="L94" s="21"/>
      <c r="M94" s="21"/>
      <c r="N94" s="21"/>
      <c r="O94" s="21"/>
      <c r="P94" s="21"/>
      <c r="Q94" s="21"/>
      <c r="R94" s="21"/>
      <c r="S94" s="21"/>
    </row>
    <row r="95" spans="1:19">
      <c r="A95" s="2379"/>
      <c r="B95" s="2389" t="s">
        <v>583</v>
      </c>
      <c r="C95" s="2380"/>
      <c r="D95" s="2380"/>
      <c r="E95" s="2380"/>
      <c r="F95" s="2380"/>
      <c r="G95" s="2381"/>
      <c r="H95" s="1936"/>
      <c r="I95" s="1936"/>
      <c r="J95" s="1936"/>
      <c r="K95" s="1936"/>
      <c r="L95" s="1936"/>
      <c r="M95" s="1936"/>
      <c r="N95" s="1936"/>
      <c r="O95" s="1936"/>
      <c r="P95" s="1936"/>
      <c r="Q95" s="1936"/>
      <c r="R95" s="1936"/>
      <c r="S95" s="1936"/>
    </row>
    <row r="96" spans="1:19">
      <c r="A96" s="2308"/>
      <c r="B96" s="2071" t="s">
        <v>584</v>
      </c>
      <c r="C96" s="2072"/>
      <c r="D96" s="2072"/>
      <c r="E96" s="2072"/>
      <c r="F96" s="2072"/>
      <c r="G96" s="1133"/>
      <c r="H96" s="2390"/>
      <c r="I96" s="2390"/>
      <c r="J96" s="2390"/>
      <c r="K96" s="2390"/>
      <c r="L96" s="2390"/>
      <c r="M96" s="2390"/>
      <c r="N96" s="2390"/>
      <c r="O96" s="2390"/>
      <c r="P96" s="2390"/>
      <c r="Q96" s="2390"/>
      <c r="R96" s="2390"/>
      <c r="S96" s="2390"/>
    </row>
    <row r="97" spans="1:19">
      <c r="A97" s="2391"/>
      <c r="B97" s="2392" t="s">
        <v>585</v>
      </c>
      <c r="C97" s="2393"/>
      <c r="D97" s="2393"/>
      <c r="E97" s="2393"/>
      <c r="F97" s="2393"/>
      <c r="G97" s="2394"/>
      <c r="H97" s="2395"/>
      <c r="I97" s="2395"/>
      <c r="J97" s="2395"/>
      <c r="K97" s="2395"/>
      <c r="L97" s="2395"/>
      <c r="M97" s="2395"/>
      <c r="N97" s="2395"/>
      <c r="O97" s="2395"/>
      <c r="P97" s="2395"/>
      <c r="Q97" s="2395"/>
      <c r="R97" s="2395"/>
      <c r="S97" s="2395"/>
    </row>
    <row r="99" spans="1:19">
      <c r="A99" s="92" t="s">
        <v>586</v>
      </c>
      <c r="B99" s="94"/>
    </row>
    <row r="100" spans="1:19">
      <c r="A100" s="93" t="s">
        <v>487</v>
      </c>
      <c r="B100" s="2396"/>
    </row>
    <row r="101" spans="1:19">
      <c r="A101" s="2397" t="s">
        <v>491</v>
      </c>
      <c r="B101" s="2396"/>
    </row>
    <row r="102" spans="1:19">
      <c r="A102" s="2398" t="s">
        <v>494</v>
      </c>
      <c r="B102" s="2399"/>
    </row>
    <row r="103" spans="1:19">
      <c r="A103" s="2398" t="s">
        <v>497</v>
      </c>
      <c r="B103" s="2400"/>
    </row>
    <row r="104" spans="1:19">
      <c r="A104" s="2401" t="s">
        <v>587</v>
      </c>
      <c r="B104" s="2402"/>
    </row>
    <row r="106" spans="1:19">
      <c r="A106" s="95"/>
      <c r="B106" s="1" t="s">
        <v>588</v>
      </c>
    </row>
    <row r="107" spans="1:19">
      <c r="A107" s="96"/>
      <c r="B10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2:B72"/>
    <mergeCell ref="A76:B76"/>
    <mergeCell ref="A80:B80"/>
    <mergeCell ref="A84:B84"/>
    <mergeCell ref="A88:B88"/>
  </mergeCells>
  <conditionalFormatting sqref="H20:H30">
    <cfRule type="cellIs" dxfId="919" priority="13" operator="equal">
      <formula>"X"</formula>
    </cfRule>
    <cfRule type="cellIs" dxfId="918" priority="14" operator="equal">
      <formula>"I"</formula>
    </cfRule>
  </conditionalFormatting>
  <conditionalFormatting sqref="H32:H63">
    <cfRule type="cellIs" dxfId="917" priority="1" operator="equal">
      <formula>"X"</formula>
    </cfRule>
    <cfRule type="cellIs" dxfId="916" priority="2" operator="equal">
      <formula>"I"</formula>
    </cfRule>
  </conditionalFormatting>
  <conditionalFormatting sqref="J20:J30">
    <cfRule type="cellIs" dxfId="915" priority="15" operator="equal">
      <formula>"X"</formula>
    </cfRule>
    <cfRule type="cellIs" dxfId="914" priority="16" operator="equal">
      <formula>"I"</formula>
    </cfRule>
  </conditionalFormatting>
  <conditionalFormatting sqref="J32:J63">
    <cfRule type="cellIs" dxfId="913" priority="3" operator="equal">
      <formula>"X"</formula>
    </cfRule>
    <cfRule type="cellIs" dxfId="912" priority="4" operator="equal">
      <formula>"I"</formula>
    </cfRule>
  </conditionalFormatting>
  <conditionalFormatting sqref="L20:L30">
    <cfRule type="cellIs" dxfId="911" priority="17" operator="equal">
      <formula>"X"</formula>
    </cfRule>
    <cfRule type="cellIs" dxfId="910" priority="18" operator="equal">
      <formula>"I"</formula>
    </cfRule>
  </conditionalFormatting>
  <conditionalFormatting sqref="L32:L63">
    <cfRule type="cellIs" dxfId="909" priority="5" operator="equal">
      <formula>"X"</formula>
    </cfRule>
    <cfRule type="cellIs" dxfId="908" priority="6" operator="equal">
      <formula>"I"</formula>
    </cfRule>
  </conditionalFormatting>
  <conditionalFormatting sqref="N20:N30">
    <cfRule type="cellIs" dxfId="907" priority="19" operator="equal">
      <formula>"X"</formula>
    </cfRule>
    <cfRule type="cellIs" dxfId="906" priority="20" operator="equal">
      <formula>"I"</formula>
    </cfRule>
  </conditionalFormatting>
  <conditionalFormatting sqref="N32:N63">
    <cfRule type="cellIs" dxfId="905" priority="7" operator="equal">
      <formula>"X"</formula>
    </cfRule>
    <cfRule type="cellIs" dxfId="904" priority="8" operator="equal">
      <formula>"I"</formula>
    </cfRule>
  </conditionalFormatting>
  <conditionalFormatting sqref="P20:P30">
    <cfRule type="cellIs" dxfId="903" priority="21" operator="equal">
      <formula>"X"</formula>
    </cfRule>
    <cfRule type="cellIs" dxfId="902" priority="22" operator="equal">
      <formula>"I"</formula>
    </cfRule>
  </conditionalFormatting>
  <conditionalFormatting sqref="P32:P63">
    <cfRule type="cellIs" dxfId="901" priority="9" operator="equal">
      <formula>"X"</formula>
    </cfRule>
    <cfRule type="cellIs" dxfId="900" priority="10" operator="equal">
      <formula>"I"</formula>
    </cfRule>
  </conditionalFormatting>
  <conditionalFormatting sqref="R20:R30">
    <cfRule type="cellIs" dxfId="899" priority="23" operator="equal">
      <formula>"X"</formula>
    </cfRule>
    <cfRule type="cellIs" dxfId="898" priority="24" operator="equal">
      <formula>"I"</formula>
    </cfRule>
  </conditionalFormatting>
  <conditionalFormatting sqref="R32:R63">
    <cfRule type="cellIs" dxfId="897" priority="11" operator="equal">
      <formula>"X"</formula>
    </cfRule>
    <cfRule type="cellIs" dxfId="896" priority="12" operator="equal">
      <formula>"I"</formula>
    </cfRule>
  </conditionalFormatting>
  <hyperlinks>
    <hyperlink ref="B3" location="'Cost Summary'!A1" display="BACK TO SUMMARY SHEET" xr:uid="{D2D29649-0F69-46DF-978D-D2ED0AD1711D}"/>
  </hyperlink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7046-FC4E-4B66-9C5E-7A3C677392D0}">
  <sheetPr>
    <tabColor rgb="FF92D050"/>
  </sheetPr>
  <dimension ref="A1:S98"/>
  <sheetViews>
    <sheetView zoomScale="89" zoomScaleNormal="89" workbookViewId="0">
      <pane xSplit="2" ySplit="9" topLeftCell="C32" activePane="bottomRight" state="frozen"/>
      <selection pane="bottomRight" activeCell="F48" sqref="F48"/>
      <selection pane="bottomLeft" sqref="A1:B1"/>
      <selection pane="topRight" sqref="A1:B1"/>
    </sheetView>
  </sheetViews>
  <sheetFormatPr defaultRowHeight="15"/>
  <cols>
    <col min="1" max="1" width="11" customWidth="1"/>
    <col min="2" max="2" width="70.7109375" style="1" customWidth="1"/>
    <col min="3" max="3" width="14.42578125" style="2" customWidth="1"/>
    <col min="4" max="5" width="7.5703125" style="2" customWidth="1"/>
    <col min="6" max="6" width="10.140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60"/>
      <c r="K4" s="760"/>
      <c r="L4" s="728"/>
      <c r="M4" s="729"/>
      <c r="N4" s="760"/>
      <c r="O4" s="760"/>
      <c r="P4" s="728"/>
      <c r="Q4" s="729"/>
      <c r="R4" s="760"/>
      <c r="S4" s="729"/>
    </row>
    <row r="5" spans="1:19">
      <c r="A5" s="2403" t="s">
        <v>489</v>
      </c>
      <c r="B5" s="2404" t="s">
        <v>629</v>
      </c>
      <c r="C5" s="2405"/>
      <c r="D5" s="2405"/>
      <c r="E5" s="2405"/>
      <c r="F5" s="2405"/>
      <c r="G5" s="2406" t="s">
        <v>491</v>
      </c>
      <c r="H5" s="2407"/>
      <c r="I5" s="2408"/>
      <c r="J5" s="2409"/>
      <c r="K5" s="2409"/>
      <c r="L5" s="2407"/>
      <c r="M5" s="2408"/>
      <c r="N5" s="2409"/>
      <c r="O5" s="2409"/>
      <c r="P5" s="2407"/>
      <c r="Q5" s="2408"/>
      <c r="R5" s="2409"/>
      <c r="S5" s="2408"/>
    </row>
    <row r="6" spans="1:19">
      <c r="A6" s="2403" t="s">
        <v>493</v>
      </c>
      <c r="B6" s="2410" t="s">
        <v>628</v>
      </c>
      <c r="C6" s="2405"/>
      <c r="D6" s="2405"/>
      <c r="E6" s="2405"/>
      <c r="F6" s="2405"/>
      <c r="G6" s="2406" t="s">
        <v>494</v>
      </c>
      <c r="H6" s="2411"/>
      <c r="I6" s="2412"/>
      <c r="J6" s="2413"/>
      <c r="K6" s="2413"/>
      <c r="L6" s="2411"/>
      <c r="M6" s="2412"/>
      <c r="N6" s="2413"/>
      <c r="O6" s="2413"/>
      <c r="P6" s="2411"/>
      <c r="Q6" s="2412"/>
      <c r="R6" s="2413"/>
      <c r="S6" s="2412"/>
    </row>
    <row r="7" spans="1:19">
      <c r="A7" s="2403" t="s">
        <v>496</v>
      </c>
      <c r="B7" s="2414"/>
      <c r="C7" s="2405"/>
      <c r="D7" s="2405"/>
      <c r="E7" s="2405"/>
      <c r="F7" s="2405"/>
      <c r="G7" s="2406" t="s">
        <v>497</v>
      </c>
      <c r="H7" s="2415"/>
      <c r="I7" s="2416"/>
      <c r="J7" s="2417"/>
      <c r="K7" s="2417"/>
      <c r="L7" s="2415"/>
      <c r="M7" s="2416"/>
      <c r="N7" s="2417"/>
      <c r="O7" s="2417"/>
      <c r="P7" s="2415"/>
      <c r="Q7" s="2416"/>
      <c r="R7" s="2417"/>
      <c r="S7" s="2416"/>
    </row>
    <row r="8" spans="1:19" ht="15.75" thickBot="1">
      <c r="A8" s="414" t="s">
        <v>499</v>
      </c>
      <c r="B8" s="295"/>
      <c r="C8" s="184"/>
      <c r="D8" s="184"/>
      <c r="E8" s="184"/>
      <c r="F8" s="184"/>
      <c r="G8" s="419" t="s">
        <v>499</v>
      </c>
      <c r="H8" s="2418">
        <f>I59</f>
        <v>23403</v>
      </c>
      <c r="I8" s="2419"/>
      <c r="J8" s="2420">
        <v>0</v>
      </c>
      <c r="K8" s="2419"/>
      <c r="L8" s="2418">
        <v>0</v>
      </c>
      <c r="M8" s="2419"/>
      <c r="N8" s="2418">
        <v>0</v>
      </c>
      <c r="O8" s="2420"/>
      <c r="P8" s="2418">
        <v>0</v>
      </c>
      <c r="Q8" s="2419"/>
      <c r="R8" s="2420">
        <v>0</v>
      </c>
      <c r="S8" s="2419"/>
    </row>
    <row r="9" spans="1:19" ht="31.5" thickTop="1" thickBot="1">
      <c r="A9" s="7" t="s">
        <v>500</v>
      </c>
      <c r="B9" s="8"/>
      <c r="C9" s="9" t="s">
        <v>501</v>
      </c>
      <c r="D9" s="9" t="s">
        <v>502</v>
      </c>
      <c r="E9" s="9" t="s">
        <v>503</v>
      </c>
      <c r="F9" s="9" t="s">
        <v>504</v>
      </c>
      <c r="G9" s="10" t="s">
        <v>505</v>
      </c>
      <c r="H9" s="11" t="s">
        <v>506</v>
      </c>
      <c r="I9" s="11" t="s">
        <v>507</v>
      </c>
      <c r="J9" s="50" t="s">
        <v>506</v>
      </c>
      <c r="K9" s="11" t="s">
        <v>507</v>
      </c>
      <c r="L9" s="11" t="s">
        <v>506</v>
      </c>
      <c r="M9" s="11" t="s">
        <v>507</v>
      </c>
      <c r="N9" s="11" t="s">
        <v>506</v>
      </c>
      <c r="O9" s="11" t="s">
        <v>507</v>
      </c>
      <c r="P9" s="11" t="s">
        <v>506</v>
      </c>
      <c r="Q9" s="11" t="s">
        <v>507</v>
      </c>
      <c r="R9" s="11" t="s">
        <v>506</v>
      </c>
      <c r="S9" s="11" t="s">
        <v>507</v>
      </c>
    </row>
    <row r="10" spans="1:19" ht="15.75" hidden="1" thickTop="1">
      <c r="A10" s="2421"/>
      <c r="B10" s="2422" t="s">
        <v>508</v>
      </c>
      <c r="C10" s="2405"/>
      <c r="D10" s="2405"/>
      <c r="E10" s="2405"/>
      <c r="F10" s="2405"/>
      <c r="G10" s="2423"/>
      <c r="H10" s="2424"/>
      <c r="I10" s="2424"/>
      <c r="J10" s="2425"/>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5"/>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5"/>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5"/>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5"/>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5"/>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5"/>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5"/>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5"/>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5"/>
      <c r="K19" s="2424"/>
      <c r="L19" s="2424"/>
      <c r="M19" s="2424"/>
      <c r="N19" s="2424"/>
      <c r="O19" s="2424"/>
      <c r="P19" s="2424"/>
      <c r="Q19" s="2424"/>
      <c r="R19" s="2424"/>
      <c r="S19" s="2424"/>
    </row>
    <row r="20" spans="1:19" hidden="1">
      <c r="A20" s="2421"/>
      <c r="B20" s="2404"/>
      <c r="C20" s="2426"/>
      <c r="D20" s="2405"/>
      <c r="E20" s="2405"/>
      <c r="F20" s="2405"/>
      <c r="G20" s="2423"/>
      <c r="H20" s="2424"/>
      <c r="I20" s="2424"/>
      <c r="J20" s="2425"/>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2421"/>
      <c r="B22" s="2428" t="s">
        <v>629</v>
      </c>
      <c r="C22" s="2426"/>
      <c r="D22" s="2405"/>
      <c r="E22" s="2405"/>
      <c r="F22" s="2405"/>
      <c r="G22" s="2423"/>
      <c r="H22" s="2427"/>
      <c r="I22" s="2424"/>
      <c r="J22" s="2427"/>
      <c r="K22" s="2424"/>
      <c r="L22" s="2427"/>
      <c r="M22" s="2424"/>
      <c r="N22" s="2427"/>
      <c r="O22" s="2424"/>
      <c r="P22" s="2427"/>
      <c r="Q22" s="2424"/>
      <c r="R22" s="2427"/>
      <c r="S22" s="2424"/>
    </row>
    <row r="23" spans="1:19" ht="14.25" customHeight="1">
      <c r="A23" s="585"/>
      <c r="B23" s="2318" t="s">
        <v>512</v>
      </c>
      <c r="C23" s="2426"/>
      <c r="D23" s="2405"/>
      <c r="E23" s="2405"/>
      <c r="F23" s="2405"/>
      <c r="G23" s="2423"/>
      <c r="H23" s="2427"/>
      <c r="I23" s="584"/>
      <c r="J23" s="2427"/>
      <c r="K23" s="584"/>
      <c r="L23" s="2427"/>
      <c r="M23" s="584"/>
      <c r="N23" s="2427"/>
      <c r="O23" s="584"/>
      <c r="P23" s="2427"/>
      <c r="Q23" s="584"/>
      <c r="R23" s="2427"/>
      <c r="S23" s="584"/>
    </row>
    <row r="24" spans="1:19">
      <c r="A24" s="585"/>
      <c r="B24" s="2429" t="s">
        <v>513</v>
      </c>
      <c r="C24" s="2426"/>
      <c r="D24" s="2405"/>
      <c r="E24" s="2405"/>
      <c r="F24" s="2405"/>
      <c r="G24" s="2423"/>
      <c r="H24" s="2427"/>
      <c r="I24" s="583"/>
      <c r="J24" s="2427"/>
      <c r="K24" s="584"/>
      <c r="L24" s="2427"/>
      <c r="M24" s="584"/>
      <c r="N24" s="2427"/>
      <c r="O24" s="584"/>
      <c r="P24" s="2427"/>
      <c r="Q24" s="584"/>
      <c r="R24" s="2427"/>
      <c r="S24" s="584"/>
    </row>
    <row r="25" spans="1:19">
      <c r="A25" s="585"/>
      <c r="B25" s="2429" t="s">
        <v>514</v>
      </c>
      <c r="C25" s="2430"/>
      <c r="D25" s="2405"/>
      <c r="E25" s="2405"/>
      <c r="F25" s="2405"/>
      <c r="G25" s="2423"/>
      <c r="H25" s="2427"/>
      <c r="I25" s="583"/>
      <c r="J25" s="2427"/>
      <c r="K25" s="584"/>
      <c r="L25" s="2427"/>
      <c r="M25" s="584"/>
      <c r="N25" s="2427"/>
      <c r="O25" s="584"/>
      <c r="P25" s="2427"/>
      <c r="Q25" s="584"/>
      <c r="R25" s="2427"/>
      <c r="S25" s="584"/>
    </row>
    <row r="26" spans="1:19">
      <c r="A26" s="585"/>
      <c r="B26" s="2320" t="s">
        <v>515</v>
      </c>
      <c r="C26" s="2430"/>
      <c r="D26" s="2405"/>
      <c r="E26" s="2405"/>
      <c r="F26" s="2405"/>
      <c r="G26" s="2423"/>
      <c r="H26" s="2427"/>
      <c r="I26" s="583"/>
      <c r="J26" s="2427"/>
      <c r="K26" s="584"/>
      <c r="L26" s="2427"/>
      <c r="M26" s="584"/>
      <c r="N26" s="2427"/>
      <c r="O26" s="584"/>
      <c r="P26" s="2427"/>
      <c r="Q26" s="584"/>
      <c r="R26" s="2427"/>
      <c r="S26" s="584"/>
    </row>
    <row r="27" spans="1:19" s="91" customFormat="1">
      <c r="A27" s="2431"/>
      <c r="B27" s="2320" t="s">
        <v>516</v>
      </c>
      <c r="C27" s="2432"/>
      <c r="D27" s="2433"/>
      <c r="E27" s="2433"/>
      <c r="F27" s="2433"/>
      <c r="G27" s="2432"/>
      <c r="H27" s="2427"/>
      <c r="I27" s="583"/>
      <c r="J27" s="2427"/>
      <c r="K27" s="2434"/>
      <c r="L27" s="2427"/>
      <c r="M27" s="2434"/>
      <c r="N27" s="2427"/>
      <c r="O27" s="2434"/>
      <c r="P27" s="2427"/>
      <c r="Q27" s="2434"/>
      <c r="R27" s="2427"/>
      <c r="S27" s="2434"/>
    </row>
    <row r="28" spans="1:19" s="91" customFormat="1">
      <c r="A28" s="2431"/>
      <c r="B28" s="2320" t="s">
        <v>517</v>
      </c>
      <c r="C28" s="2432"/>
      <c r="D28" s="2433"/>
      <c r="E28" s="2433"/>
      <c r="F28" s="2433"/>
      <c r="G28" s="2432"/>
      <c r="H28" s="2427"/>
      <c r="I28" s="583"/>
      <c r="J28" s="2427"/>
      <c r="K28" s="2434"/>
      <c r="L28" s="2427"/>
      <c r="M28" s="2434"/>
      <c r="N28" s="2427"/>
      <c r="O28" s="2434"/>
      <c r="P28" s="2427"/>
      <c r="Q28" s="2434"/>
      <c r="R28" s="2427"/>
      <c r="S28" s="2434"/>
    </row>
    <row r="29" spans="1:19" s="91" customFormat="1">
      <c r="A29" s="2431"/>
      <c r="B29" s="2320" t="s">
        <v>518</v>
      </c>
      <c r="C29" s="2432"/>
      <c r="D29" s="2433"/>
      <c r="E29" s="2433"/>
      <c r="F29" s="2433"/>
      <c r="G29" s="2432"/>
      <c r="H29" s="2427"/>
      <c r="I29" s="583"/>
      <c r="J29" s="2427"/>
      <c r="K29" s="2434"/>
      <c r="L29" s="2427"/>
      <c r="M29" s="2434"/>
      <c r="N29" s="2427"/>
      <c r="O29" s="2434"/>
      <c r="P29" s="2427"/>
      <c r="Q29" s="2434"/>
      <c r="R29" s="2427"/>
      <c r="S29" s="2434"/>
    </row>
    <row r="30" spans="1:19" s="91" customFormat="1">
      <c r="A30" s="2431"/>
      <c r="B30" s="2320" t="s">
        <v>693</v>
      </c>
      <c r="C30" s="2432"/>
      <c r="D30" s="2433"/>
      <c r="E30" s="2433"/>
      <c r="F30" s="2433"/>
      <c r="G30" s="2432"/>
      <c r="H30" s="2427"/>
      <c r="I30" s="583"/>
      <c r="J30" s="2427"/>
      <c r="K30" s="2434"/>
      <c r="L30" s="2427"/>
      <c r="M30" s="2434"/>
      <c r="N30" s="2427"/>
      <c r="O30" s="2434"/>
      <c r="P30" s="2427"/>
      <c r="Q30" s="2434"/>
      <c r="R30" s="2427"/>
      <c r="S30" s="2434"/>
    </row>
    <row r="31" spans="1:19" s="91" customFormat="1">
      <c r="A31" s="2431"/>
      <c r="B31" s="2322" t="s">
        <v>519</v>
      </c>
      <c r="C31" s="2432"/>
      <c r="D31" s="2433"/>
      <c r="E31" s="2433"/>
      <c r="F31" s="2433"/>
      <c r="G31" s="2432"/>
      <c r="H31" s="2427"/>
      <c r="I31" s="583"/>
      <c r="J31" s="2427"/>
      <c r="K31" s="2434"/>
      <c r="L31" s="2427"/>
      <c r="M31" s="2434"/>
      <c r="N31" s="2427"/>
      <c r="O31" s="2434"/>
      <c r="P31" s="2427"/>
      <c r="Q31" s="2434"/>
      <c r="R31" s="2427"/>
      <c r="S31" s="2434"/>
    </row>
    <row r="32" spans="1:19" s="91" customFormat="1">
      <c r="A32" s="2431"/>
      <c r="B32" s="2323" t="s">
        <v>520</v>
      </c>
      <c r="C32" s="2435"/>
      <c r="D32" s="2436"/>
      <c r="E32" s="2436"/>
      <c r="F32" s="2437"/>
      <c r="G32" s="2438"/>
      <c r="H32" s="2439"/>
      <c r="I32" s="2440"/>
      <c r="J32" s="2441"/>
      <c r="K32" s="2442"/>
      <c r="L32" s="2443"/>
      <c r="M32" s="2442"/>
      <c r="N32" s="2442"/>
      <c r="O32" s="2442"/>
      <c r="P32" s="2442"/>
      <c r="Q32" s="2442"/>
      <c r="R32" s="2442"/>
      <c r="S32" s="2442"/>
    </row>
    <row r="33" spans="1:19">
      <c r="A33" s="585"/>
      <c r="B33" s="2444"/>
      <c r="C33" s="2445"/>
      <c r="D33" s="2405"/>
      <c r="E33" s="2405"/>
      <c r="F33" s="2446"/>
      <c r="G33" s="2447"/>
      <c r="H33" s="2427"/>
      <c r="I33" s="583"/>
      <c r="J33" s="2427"/>
      <c r="K33" s="583"/>
      <c r="L33" s="2427"/>
      <c r="M33" s="583"/>
      <c r="N33" s="2427"/>
      <c r="O33" s="583"/>
      <c r="P33" s="2427"/>
      <c r="Q33" s="584"/>
      <c r="R33" s="2427"/>
      <c r="S33" s="584"/>
    </row>
    <row r="34" spans="1:19">
      <c r="A34" s="585"/>
      <c r="B34" s="2448" t="s">
        <v>694</v>
      </c>
      <c r="C34" s="2449"/>
      <c r="D34" s="2450"/>
      <c r="E34" s="2450"/>
      <c r="F34" s="2451"/>
      <c r="G34" s="2452"/>
      <c r="H34" s="2453"/>
      <c r="I34" s="2332"/>
      <c r="J34" s="2453"/>
      <c r="K34" s="2332"/>
      <c r="L34" s="2453"/>
      <c r="M34" s="2332"/>
      <c r="N34" s="2453"/>
      <c r="O34" s="2332"/>
      <c r="P34" s="2453"/>
      <c r="Q34" s="2333"/>
      <c r="R34" s="2453"/>
      <c r="S34" s="2333"/>
    </row>
    <row r="35" spans="1:19">
      <c r="A35" s="585"/>
      <c r="B35" s="2444"/>
      <c r="C35" s="2445"/>
      <c r="D35" s="2405"/>
      <c r="E35" s="2405"/>
      <c r="F35" s="2446"/>
      <c r="G35" s="2447"/>
      <c r="H35" s="2427"/>
      <c r="I35" s="583"/>
      <c r="J35" s="2427"/>
      <c r="K35" s="583"/>
      <c r="L35" s="2427"/>
      <c r="M35" s="583"/>
      <c r="N35" s="2427"/>
      <c r="O35" s="583"/>
      <c r="P35" s="2427"/>
      <c r="Q35" s="584"/>
      <c r="R35" s="2427"/>
      <c r="S35" s="584"/>
    </row>
    <row r="36" spans="1:19">
      <c r="A36" s="585"/>
      <c r="B36" s="2454" t="s">
        <v>695</v>
      </c>
      <c r="C36" s="2455"/>
      <c r="D36" s="2456"/>
      <c r="E36" s="2456"/>
      <c r="F36" s="2457"/>
      <c r="G36" s="2458"/>
      <c r="H36" s="2459"/>
      <c r="I36" s="2336"/>
      <c r="J36" s="2459"/>
      <c r="K36" s="2336"/>
      <c r="L36" s="2459"/>
      <c r="M36" s="2336"/>
      <c r="N36" s="2459"/>
      <c r="O36" s="2336"/>
      <c r="P36" s="2459"/>
      <c r="Q36" s="2337"/>
      <c r="R36" s="2459"/>
      <c r="S36" s="2337"/>
    </row>
    <row r="37" spans="1:19">
      <c r="A37" s="585"/>
      <c r="B37" s="2444" t="s">
        <v>1125</v>
      </c>
      <c r="C37" s="2445" t="s">
        <v>697</v>
      </c>
      <c r="D37" s="2405">
        <f>'Cost Summary'!$J$7</f>
        <v>663</v>
      </c>
      <c r="E37" s="2405" t="s">
        <v>723</v>
      </c>
      <c r="F37" s="2446">
        <v>1</v>
      </c>
      <c r="G37" s="2447">
        <f>D37*F37</f>
        <v>663</v>
      </c>
      <c r="H37" s="2427"/>
      <c r="I37" s="583">
        <v>500</v>
      </c>
      <c r="J37" s="2427"/>
      <c r="K37" s="583"/>
      <c r="L37" s="2427"/>
      <c r="M37" s="583"/>
      <c r="N37" s="2427"/>
      <c r="O37" s="583"/>
      <c r="P37" s="2427"/>
      <c r="Q37" s="584"/>
      <c r="R37" s="2427"/>
      <c r="S37" s="584"/>
    </row>
    <row r="38" spans="1:19">
      <c r="A38" s="585"/>
      <c r="B38" s="2444"/>
      <c r="C38" s="2445"/>
      <c r="D38" s="2405"/>
      <c r="E38" s="2405"/>
      <c r="F38" s="2446"/>
      <c r="G38" s="2447"/>
      <c r="H38" s="2427"/>
      <c r="I38" s="583"/>
      <c r="J38" s="2427"/>
      <c r="K38" s="583"/>
      <c r="L38" s="2427"/>
      <c r="M38" s="583"/>
      <c r="N38" s="2427"/>
      <c r="O38" s="583"/>
      <c r="P38" s="2427"/>
      <c r="Q38" s="584"/>
      <c r="R38" s="2427"/>
      <c r="S38" s="584"/>
    </row>
    <row r="39" spans="1:19">
      <c r="A39" s="585"/>
      <c r="B39" s="2448" t="s">
        <v>649</v>
      </c>
      <c r="C39" s="2449"/>
      <c r="D39" s="2450"/>
      <c r="E39" s="2450"/>
      <c r="F39" s="2451"/>
      <c r="G39" s="2452"/>
      <c r="H39" s="2453"/>
      <c r="I39" s="2332"/>
      <c r="J39" s="2453"/>
      <c r="K39" s="2332"/>
      <c r="L39" s="2453"/>
      <c r="M39" s="2332"/>
      <c r="N39" s="2453"/>
      <c r="O39" s="2332"/>
      <c r="P39" s="2453"/>
      <c r="Q39" s="2333"/>
      <c r="R39" s="2453"/>
      <c r="S39" s="2333"/>
    </row>
    <row r="40" spans="1:19">
      <c r="A40" s="585"/>
      <c r="B40" s="2444"/>
      <c r="C40" s="2445"/>
      <c r="D40" s="2405"/>
      <c r="E40" s="2405"/>
      <c r="F40" s="2446"/>
      <c r="G40" s="2447"/>
      <c r="H40" s="2427"/>
      <c r="I40" s="583"/>
      <c r="J40" s="2427"/>
      <c r="K40" s="583"/>
      <c r="L40" s="2427"/>
      <c r="M40" s="583"/>
      <c r="N40" s="2427"/>
      <c r="O40" s="583"/>
      <c r="P40" s="2427"/>
      <c r="Q40" s="584"/>
      <c r="R40" s="2427"/>
      <c r="S40" s="584"/>
    </row>
    <row r="41" spans="1:19">
      <c r="A41" s="585"/>
      <c r="B41" s="2454" t="s">
        <v>700</v>
      </c>
      <c r="C41" s="2455"/>
      <c r="D41" s="2456"/>
      <c r="E41" s="2456"/>
      <c r="F41" s="2457"/>
      <c r="G41" s="2458"/>
      <c r="H41" s="2459"/>
      <c r="I41" s="2336"/>
      <c r="J41" s="2459"/>
      <c r="K41" s="2336"/>
      <c r="L41" s="2459"/>
      <c r="M41" s="2336"/>
      <c r="N41" s="2459"/>
      <c r="O41" s="2336"/>
      <c r="P41" s="2459"/>
      <c r="Q41" s="2337"/>
      <c r="R41" s="2459"/>
      <c r="S41" s="2337"/>
    </row>
    <row r="42" spans="1:19">
      <c r="A42" s="585"/>
      <c r="B42" s="2444" t="s">
        <v>1125</v>
      </c>
      <c r="C42" s="2445" t="s">
        <v>702</v>
      </c>
      <c r="D42" s="2405">
        <f>'Cost Summary'!$N$7</f>
        <v>11678</v>
      </c>
      <c r="E42" s="2405" t="s">
        <v>723</v>
      </c>
      <c r="F42" s="2446">
        <v>1</v>
      </c>
      <c r="G42" s="2447">
        <f>D42*F42</f>
        <v>11678</v>
      </c>
      <c r="H42" s="2427"/>
      <c r="I42" s="583">
        <f>G42</f>
        <v>11678</v>
      </c>
      <c r="J42" s="2427"/>
      <c r="K42" s="583"/>
      <c r="L42" s="2427"/>
      <c r="M42" s="583"/>
      <c r="N42" s="2427"/>
      <c r="O42" s="583"/>
      <c r="P42" s="2427"/>
      <c r="Q42" s="584"/>
      <c r="R42" s="2427"/>
      <c r="S42" s="584"/>
    </row>
    <row r="43" spans="1:19">
      <c r="A43" s="585"/>
      <c r="B43" s="2444"/>
      <c r="C43" s="2445"/>
      <c r="D43" s="2405"/>
      <c r="E43" s="2405"/>
      <c r="F43" s="2446"/>
      <c r="G43" s="2447"/>
      <c r="H43" s="2427"/>
      <c r="I43" s="583"/>
      <c r="J43" s="2427"/>
      <c r="K43" s="583"/>
      <c r="L43" s="2427"/>
      <c r="M43" s="583"/>
      <c r="N43" s="2427"/>
      <c r="O43" s="583"/>
      <c r="P43" s="2427"/>
      <c r="Q43" s="584"/>
      <c r="R43" s="2427"/>
      <c r="S43" s="584"/>
    </row>
    <row r="44" spans="1:19">
      <c r="A44" s="585"/>
      <c r="B44" s="2448" t="s">
        <v>703</v>
      </c>
      <c r="C44" s="2449"/>
      <c r="D44" s="2450"/>
      <c r="E44" s="2450"/>
      <c r="F44" s="2451"/>
      <c r="G44" s="2452"/>
      <c r="H44" s="2453"/>
      <c r="I44" s="2332"/>
      <c r="J44" s="2453"/>
      <c r="K44" s="2332"/>
      <c r="L44" s="2453"/>
      <c r="M44" s="2332"/>
      <c r="N44" s="2453"/>
      <c r="O44" s="2332"/>
      <c r="P44" s="2453"/>
      <c r="Q44" s="2333"/>
      <c r="R44" s="2453"/>
      <c r="S44" s="2333"/>
    </row>
    <row r="45" spans="1:19">
      <c r="A45" s="585"/>
      <c r="B45" s="2444"/>
      <c r="C45" s="2445"/>
      <c r="D45" s="2405"/>
      <c r="E45" s="2405"/>
      <c r="F45" s="2446"/>
      <c r="G45" s="2447"/>
      <c r="H45" s="2427"/>
      <c r="I45" s="583"/>
      <c r="J45" s="2427"/>
      <c r="K45" s="583"/>
      <c r="L45" s="2427"/>
      <c r="M45" s="583"/>
      <c r="N45" s="2427"/>
      <c r="O45" s="583"/>
      <c r="P45" s="2427"/>
      <c r="Q45" s="584"/>
      <c r="R45" s="2427"/>
      <c r="S45" s="584"/>
    </row>
    <row r="46" spans="1:19">
      <c r="A46" s="585"/>
      <c r="B46" s="2454" t="s">
        <v>704</v>
      </c>
      <c r="C46" s="2455"/>
      <c r="D46" s="2456"/>
      <c r="E46" s="2456"/>
      <c r="F46" s="2457"/>
      <c r="G46" s="2458"/>
      <c r="H46" s="2459"/>
      <c r="I46" s="2336"/>
      <c r="J46" s="2459"/>
      <c r="K46" s="2336"/>
      <c r="L46" s="2459"/>
      <c r="M46" s="2336"/>
      <c r="N46" s="2459"/>
      <c r="O46" s="2336"/>
      <c r="P46" s="2459"/>
      <c r="Q46" s="2337"/>
      <c r="R46" s="2459"/>
      <c r="S46" s="2337"/>
    </row>
    <row r="47" spans="1:19">
      <c r="A47" s="585"/>
      <c r="B47" s="2444" t="s">
        <v>1125</v>
      </c>
      <c r="C47" s="2445" t="s">
        <v>741</v>
      </c>
      <c r="D47" s="2405">
        <f>'Cost Summary'!$R$7</f>
        <v>11225</v>
      </c>
      <c r="E47" s="2405" t="s">
        <v>723</v>
      </c>
      <c r="F47" s="2446">
        <v>1</v>
      </c>
      <c r="G47" s="2447">
        <f>D47*F47</f>
        <v>11225</v>
      </c>
      <c r="H47" s="2427"/>
      <c r="I47" s="583">
        <f>G47</f>
        <v>11225</v>
      </c>
      <c r="J47" s="2427"/>
      <c r="K47" s="583"/>
      <c r="L47" s="2427"/>
      <c r="M47" s="583"/>
      <c r="N47" s="2427"/>
      <c r="O47" s="583"/>
      <c r="P47" s="2427"/>
      <c r="Q47" s="584"/>
      <c r="R47" s="2427"/>
      <c r="S47" s="584"/>
    </row>
    <row r="48" spans="1:19">
      <c r="A48" s="585"/>
      <c r="B48" s="2444"/>
      <c r="C48" s="2445"/>
      <c r="D48" s="2405"/>
      <c r="E48" s="2405"/>
      <c r="F48" s="2446"/>
      <c r="G48" s="2447"/>
      <c r="H48" s="2427"/>
      <c r="I48" s="583"/>
      <c r="J48" s="2427"/>
      <c r="K48" s="583"/>
      <c r="L48" s="2427"/>
      <c r="M48" s="583"/>
      <c r="N48" s="2427"/>
      <c r="O48" s="583"/>
      <c r="P48" s="2427"/>
      <c r="Q48" s="584"/>
      <c r="R48" s="2427"/>
      <c r="S48" s="584"/>
    </row>
    <row r="49" spans="1:19">
      <c r="A49" s="585"/>
      <c r="B49" s="2448" t="s">
        <v>705</v>
      </c>
      <c r="C49" s="2449"/>
      <c r="D49" s="2450"/>
      <c r="E49" s="2450"/>
      <c r="F49" s="2451"/>
      <c r="G49" s="2452"/>
      <c r="H49" s="2453"/>
      <c r="I49" s="2332"/>
      <c r="J49" s="2453"/>
      <c r="K49" s="2332"/>
      <c r="L49" s="2453"/>
      <c r="M49" s="2332"/>
      <c r="N49" s="2453"/>
      <c r="O49" s="2332"/>
      <c r="P49" s="2453"/>
      <c r="Q49" s="2333"/>
      <c r="R49" s="2453"/>
      <c r="S49" s="2333"/>
    </row>
    <row r="50" spans="1:19">
      <c r="A50" s="585"/>
      <c r="B50" s="2444"/>
      <c r="C50" s="2445"/>
      <c r="D50" s="2405"/>
      <c r="E50" s="2405"/>
      <c r="F50" s="2446"/>
      <c r="G50" s="2447"/>
      <c r="H50" s="2427"/>
      <c r="I50" s="583"/>
      <c r="J50" s="2427"/>
      <c r="K50" s="583"/>
      <c r="L50" s="2427"/>
      <c r="M50" s="583"/>
      <c r="N50" s="2427"/>
      <c r="O50" s="583"/>
      <c r="P50" s="2427"/>
      <c r="Q50" s="584"/>
      <c r="R50" s="2427"/>
      <c r="S50" s="584"/>
    </row>
    <row r="51" spans="1:19">
      <c r="A51" s="585"/>
      <c r="B51" s="2454" t="s">
        <v>602</v>
      </c>
      <c r="C51" s="2455"/>
      <c r="D51" s="2456"/>
      <c r="E51" s="2456"/>
      <c r="F51" s="2457"/>
      <c r="G51" s="2458"/>
      <c r="H51" s="2459"/>
      <c r="I51" s="2336"/>
      <c r="J51" s="2459"/>
      <c r="K51" s="2336"/>
      <c r="L51" s="2459"/>
      <c r="M51" s="2336"/>
      <c r="N51" s="2459"/>
      <c r="O51" s="2336"/>
      <c r="P51" s="2459"/>
      <c r="Q51" s="2337"/>
      <c r="R51" s="2459"/>
      <c r="S51" s="2337"/>
    </row>
    <row r="52" spans="1:19">
      <c r="A52" s="585"/>
      <c r="B52" s="2444"/>
      <c r="C52" s="2445"/>
      <c r="D52" s="2405"/>
      <c r="E52" s="2405"/>
      <c r="F52" s="2446"/>
      <c r="G52" s="2447"/>
      <c r="H52" s="2427"/>
      <c r="I52" s="583"/>
      <c r="J52" s="2427"/>
      <c r="K52" s="583"/>
      <c r="L52" s="2427"/>
      <c r="M52" s="583"/>
      <c r="N52" s="2427"/>
      <c r="O52" s="583"/>
      <c r="P52" s="2427"/>
      <c r="Q52" s="584"/>
      <c r="R52" s="2427"/>
      <c r="S52" s="584"/>
    </row>
    <row r="53" spans="1:19">
      <c r="A53" s="585"/>
      <c r="B53" s="2444"/>
      <c r="C53" s="2445"/>
      <c r="D53" s="2405"/>
      <c r="E53" s="2405"/>
      <c r="F53" s="2446"/>
      <c r="G53" s="2447"/>
      <c r="H53" s="2427"/>
      <c r="I53" s="583"/>
      <c r="J53" s="2427"/>
      <c r="K53" s="583"/>
      <c r="L53" s="2427"/>
      <c r="M53" s="583"/>
      <c r="N53" s="2427"/>
      <c r="O53" s="583"/>
      <c r="P53" s="2427"/>
      <c r="Q53" s="584"/>
      <c r="R53" s="2427"/>
      <c r="S53" s="584"/>
    </row>
    <row r="54" spans="1:19" ht="15.75" thickBot="1">
      <c r="A54" s="585"/>
      <c r="B54" s="2444"/>
      <c r="C54" s="2445"/>
      <c r="D54" s="2405"/>
      <c r="E54" s="2405"/>
      <c r="F54" s="2446"/>
      <c r="G54" s="2447"/>
      <c r="H54" s="2427"/>
      <c r="I54" s="583"/>
      <c r="J54" s="2427"/>
      <c r="K54" s="583"/>
      <c r="L54" s="2427"/>
      <c r="M54" s="583"/>
      <c r="N54" s="2427"/>
      <c r="O54" s="583"/>
      <c r="P54" s="2427"/>
      <c r="Q54" s="584"/>
      <c r="R54" s="2427"/>
      <c r="S54" s="584"/>
    </row>
    <row r="55" spans="1:19" ht="15.75" thickTop="1">
      <c r="A55" s="14"/>
      <c r="B55" s="16"/>
      <c r="C55" s="16"/>
      <c r="D55" s="16"/>
      <c r="E55" s="17"/>
      <c r="F55" s="18" t="s">
        <v>567</v>
      </c>
      <c r="G55" s="19"/>
      <c r="H55" s="20"/>
      <c r="I55" s="61">
        <f>SUM(I24:I54)</f>
        <v>23403</v>
      </c>
      <c r="J55" s="51"/>
      <c r="K55" s="61">
        <f>SUM(K24:K54)</f>
        <v>0</v>
      </c>
      <c r="L55" s="20"/>
      <c r="M55" s="61">
        <f>SUM(M24:M54)</f>
        <v>0</v>
      </c>
      <c r="N55" s="20"/>
      <c r="O55" s="61">
        <f>SUM(O24:O54)</f>
        <v>0</v>
      </c>
      <c r="P55" s="20"/>
      <c r="Q55" s="61">
        <f>SUM(Q24:Q54)</f>
        <v>0</v>
      </c>
      <c r="R55" s="20"/>
      <c r="S55" s="61">
        <f>SUM(S24:S54)</f>
        <v>0</v>
      </c>
    </row>
    <row r="56" spans="1:19">
      <c r="A56" s="2358"/>
      <c r="B56" s="2359"/>
      <c r="C56" s="2360"/>
      <c r="D56" s="2360"/>
      <c r="E56" s="2361"/>
      <c r="F56" s="2362" t="s">
        <v>568</v>
      </c>
      <c r="G56" s="2363"/>
      <c r="H56" s="2364">
        <v>0</v>
      </c>
      <c r="I56" s="2460"/>
      <c r="J56" s="2461">
        <v>0</v>
      </c>
      <c r="K56" s="2460"/>
      <c r="L56" s="2364">
        <v>0</v>
      </c>
      <c r="M56" s="2460"/>
      <c r="N56" s="2364">
        <v>0</v>
      </c>
      <c r="O56" s="2460"/>
      <c r="P56" s="2364">
        <v>0</v>
      </c>
      <c r="Q56" s="2460"/>
      <c r="R56" s="2364">
        <v>0</v>
      </c>
      <c r="S56" s="2460"/>
    </row>
    <row r="57" spans="1:19">
      <c r="A57" s="2358"/>
      <c r="B57" s="2359"/>
      <c r="C57" s="2360"/>
      <c r="D57" s="2360"/>
      <c r="E57" s="2361"/>
      <c r="F57" s="2362" t="s">
        <v>569</v>
      </c>
      <c r="G57" s="2363"/>
      <c r="H57" s="2366"/>
      <c r="I57" s="2462">
        <f>H56*I55</f>
        <v>0</v>
      </c>
      <c r="J57" s="2463"/>
      <c r="K57" s="2462">
        <f>J56*K55</f>
        <v>0</v>
      </c>
      <c r="L57" s="2366"/>
      <c r="M57" s="2462">
        <f>L56*M55</f>
        <v>0</v>
      </c>
      <c r="N57" s="2366"/>
      <c r="O57" s="2462">
        <f>N56*O55</f>
        <v>0</v>
      </c>
      <c r="P57" s="2366"/>
      <c r="Q57" s="2462">
        <f>P56*Q55</f>
        <v>0</v>
      </c>
      <c r="R57" s="2366"/>
      <c r="S57" s="2462">
        <f>R56*S55</f>
        <v>0</v>
      </c>
    </row>
    <row r="58" spans="1:19">
      <c r="A58" s="2358"/>
      <c r="B58" s="2359"/>
      <c r="C58" s="2360"/>
      <c r="D58" s="2360"/>
      <c r="E58" s="2361"/>
      <c r="F58" s="2362"/>
      <c r="G58" s="2363"/>
      <c r="H58" s="2366"/>
      <c r="I58" s="2464"/>
      <c r="J58" s="2463"/>
      <c r="K58" s="2464"/>
      <c r="L58" s="2366"/>
      <c r="M58" s="2464"/>
      <c r="N58" s="2366"/>
      <c r="O58" s="2464"/>
      <c r="P58" s="2366"/>
      <c r="Q58" s="2464"/>
      <c r="R58" s="2366"/>
      <c r="S58" s="2464"/>
    </row>
    <row r="59" spans="1:19">
      <c r="A59" s="2358"/>
      <c r="B59" s="2359"/>
      <c r="C59" s="2360"/>
      <c r="D59" s="2360"/>
      <c r="E59" s="2361"/>
      <c r="F59" s="2362" t="s">
        <v>570</v>
      </c>
      <c r="G59" s="2363"/>
      <c r="H59" s="2368"/>
      <c r="I59" s="2465">
        <f>SUM(I55:I57)</f>
        <v>23403</v>
      </c>
      <c r="J59" s="2466"/>
      <c r="K59" s="2465">
        <f>SUM(K55:K57)</f>
        <v>0</v>
      </c>
      <c r="L59" s="2368"/>
      <c r="M59" s="2465">
        <f>SUM(M55:M57)</f>
        <v>0</v>
      </c>
      <c r="N59" s="2368"/>
      <c r="O59" s="2465">
        <f>SUM(O55:O57)</f>
        <v>0</v>
      </c>
      <c r="P59" s="2368"/>
      <c r="Q59" s="2465">
        <f>SUM(Q55:Q57)</f>
        <v>0</v>
      </c>
      <c r="R59" s="2368"/>
      <c r="S59" s="2465">
        <f>SUM(S55:S57)</f>
        <v>0</v>
      </c>
    </row>
    <row r="60" spans="1:19">
      <c r="A60" s="2358"/>
      <c r="B60" s="2359"/>
      <c r="C60" s="2360"/>
      <c r="D60" s="2360"/>
      <c r="E60" s="2361"/>
      <c r="F60" s="2370" t="s">
        <v>571</v>
      </c>
      <c r="G60" s="2371"/>
      <c r="H60" s="2372"/>
      <c r="I60" s="2373" t="e">
        <f>I59/'Area Calculations'!$J$4</f>
        <v>#DIV/0!</v>
      </c>
      <c r="J60" s="2467"/>
      <c r="K60" s="2373" t="e">
        <f>K59/'Area Calculations'!$J$4</f>
        <v>#DIV/0!</v>
      </c>
      <c r="L60" s="2372"/>
      <c r="M60" s="2373" t="e">
        <f>M59/'Area Calculations'!$J$4</f>
        <v>#DIV/0!</v>
      </c>
      <c r="N60" s="2372"/>
      <c r="O60" s="2373" t="e">
        <f>O59/'Area Calculations'!$J$4</f>
        <v>#DIV/0!</v>
      </c>
      <c r="P60" s="2372"/>
      <c r="Q60" s="2373" t="e">
        <f>Q59/'Area Calculations'!$J$4</f>
        <v>#DIV/0!</v>
      </c>
      <c r="R60" s="2372"/>
      <c r="S60" s="2373" t="e">
        <f>S59/'Area Calculations'!$J$4</f>
        <v>#DIV/0!</v>
      </c>
    </row>
    <row r="61" spans="1:19">
      <c r="A61" s="2358"/>
      <c r="B61" s="2359"/>
      <c r="C61" s="2360"/>
      <c r="D61" s="2360"/>
      <c r="E61" s="2361"/>
      <c r="F61" s="2370" t="s">
        <v>572</v>
      </c>
      <c r="G61" s="2374"/>
      <c r="H61" s="2372"/>
      <c r="I61" s="2373" t="e">
        <f>I59/'Area Calculations'!#REF!</f>
        <v>#REF!</v>
      </c>
      <c r="J61" s="2467"/>
      <c r="K61" s="2373" t="e">
        <f>K59/'Area Calculations'!#REF!</f>
        <v>#REF!</v>
      </c>
      <c r="L61" s="2372"/>
      <c r="M61" s="2373" t="e">
        <f>M59/'Area Calculations'!#REF!</f>
        <v>#REF!</v>
      </c>
      <c r="N61" s="2372"/>
      <c r="O61" s="2373" t="e">
        <f>O59/'Area Calculations'!#REF!</f>
        <v>#REF!</v>
      </c>
      <c r="P61" s="2372"/>
      <c r="Q61" s="2373" t="e">
        <f>Q59/'Area Calculations'!#REF!</f>
        <v>#REF!</v>
      </c>
      <c r="R61" s="2372"/>
      <c r="S61" s="2373" t="e">
        <f>S59/'Area Calculations'!#REF!</f>
        <v>#REF!</v>
      </c>
    </row>
    <row r="62" spans="1:19" ht="15.75" thickBot="1">
      <c r="A62" s="2358"/>
      <c r="B62" s="2359"/>
      <c r="C62" s="2360"/>
      <c r="D62" s="2360"/>
      <c r="E62" s="2361"/>
      <c r="F62" s="2362"/>
      <c r="G62" s="2375"/>
      <c r="H62" s="2376"/>
      <c r="I62" s="2377"/>
      <c r="J62" s="2468"/>
      <c r="K62" s="2377"/>
      <c r="L62" s="2376"/>
      <c r="M62" s="2377"/>
      <c r="N62" s="2376"/>
      <c r="O62" s="2377"/>
      <c r="P62" s="2376"/>
      <c r="Q62" s="2377"/>
      <c r="R62" s="2376"/>
      <c r="S62" s="2377"/>
    </row>
    <row r="63" spans="1:19" ht="16.5" thickTop="1" thickBot="1">
      <c r="A63" s="726" t="s">
        <v>573</v>
      </c>
      <c r="B63" s="727"/>
      <c r="C63" s="12"/>
      <c r="D63" s="12"/>
      <c r="E63" s="12"/>
      <c r="F63" s="12"/>
      <c r="G63" s="13"/>
      <c r="H63" s="21"/>
      <c r="I63" s="21"/>
      <c r="J63" s="52"/>
      <c r="K63" s="21"/>
      <c r="L63" s="21"/>
      <c r="M63" s="21"/>
      <c r="N63" s="21"/>
      <c r="O63" s="21"/>
      <c r="P63" s="21"/>
      <c r="Q63" s="21"/>
      <c r="R63" s="21"/>
      <c r="S63" s="21"/>
    </row>
    <row r="64" spans="1:19" ht="15.75" thickTop="1">
      <c r="A64" s="2469"/>
      <c r="B64" s="2404"/>
      <c r="C64" s="2470"/>
      <c r="D64" s="2470"/>
      <c r="E64" s="2470"/>
      <c r="F64" s="2470"/>
      <c r="G64" s="2471"/>
      <c r="H64" s="2472"/>
      <c r="I64" s="2472"/>
      <c r="J64" s="2473"/>
      <c r="K64" s="2472"/>
      <c r="L64" s="2472"/>
      <c r="M64" s="2472"/>
      <c r="N64" s="2472"/>
      <c r="O64" s="2472"/>
      <c r="P64" s="2472"/>
      <c r="Q64" s="2472"/>
      <c r="R64" s="2472"/>
      <c r="S64" s="2472"/>
    </row>
    <row r="65" spans="1:19" s="2" customFormat="1">
      <c r="A65" s="2469"/>
      <c r="B65" s="2404"/>
      <c r="C65" s="2470"/>
      <c r="D65" s="2470"/>
      <c r="E65" s="2470"/>
      <c r="F65" s="2470"/>
      <c r="G65" s="2471"/>
      <c r="H65" s="2472"/>
      <c r="I65" s="2472"/>
      <c r="J65" s="2473"/>
      <c r="K65" s="2472"/>
      <c r="L65" s="2472"/>
      <c r="M65" s="2472"/>
      <c r="N65" s="2472"/>
      <c r="O65" s="2472"/>
      <c r="P65" s="2472"/>
      <c r="Q65" s="2472"/>
      <c r="R65" s="2472"/>
      <c r="S65" s="2472"/>
    </row>
    <row r="66" spans="1:19" s="2" customFormat="1" ht="15.75" thickBot="1">
      <c r="A66" s="2469"/>
      <c r="B66" s="2404"/>
      <c r="C66" s="2470"/>
      <c r="D66" s="2470"/>
      <c r="E66" s="2470"/>
      <c r="F66" s="2470"/>
      <c r="G66" s="2471"/>
      <c r="H66" s="2472"/>
      <c r="I66" s="2472"/>
      <c r="J66" s="2473"/>
      <c r="K66" s="2472"/>
      <c r="L66" s="2472"/>
      <c r="M66" s="2472"/>
      <c r="N66" s="2472"/>
      <c r="O66" s="2472"/>
      <c r="P66" s="2472"/>
      <c r="Q66" s="2472"/>
      <c r="R66" s="2472"/>
      <c r="S66" s="2472"/>
    </row>
    <row r="67" spans="1:19" ht="16.5" thickTop="1" thickBot="1">
      <c r="A67" s="726" t="s">
        <v>574</v>
      </c>
      <c r="B67" s="727"/>
      <c r="C67" s="12"/>
      <c r="D67" s="12"/>
      <c r="E67" s="12"/>
      <c r="F67" s="12"/>
      <c r="G67" s="13"/>
      <c r="H67" s="21"/>
      <c r="I67" s="21"/>
      <c r="J67" s="52"/>
      <c r="K67" s="21"/>
      <c r="L67" s="21"/>
      <c r="M67" s="21"/>
      <c r="N67" s="21"/>
      <c r="O67" s="21"/>
      <c r="P67" s="21"/>
      <c r="Q67" s="21"/>
      <c r="R67" s="21"/>
      <c r="S67" s="21"/>
    </row>
    <row r="68" spans="1:19" s="2" customFormat="1" ht="15.75" thickTop="1">
      <c r="A68" s="2469"/>
      <c r="B68" s="2404"/>
      <c r="C68" s="2470"/>
      <c r="D68" s="2470"/>
      <c r="E68" s="2470"/>
      <c r="F68" s="2470"/>
      <c r="G68" s="2471"/>
      <c r="H68" s="2472"/>
      <c r="I68" s="2472"/>
      <c r="J68" s="2473"/>
      <c r="K68" s="2472"/>
      <c r="L68" s="2472"/>
      <c r="M68" s="2472"/>
      <c r="N68" s="2472"/>
      <c r="O68" s="2472"/>
      <c r="P68" s="2472"/>
      <c r="Q68" s="2472"/>
      <c r="R68" s="2472"/>
      <c r="S68" s="2472"/>
    </row>
    <row r="69" spans="1:19" s="2" customFormat="1">
      <c r="A69" s="2469"/>
      <c r="B69" s="2404"/>
      <c r="C69" s="2470"/>
      <c r="D69" s="2470"/>
      <c r="E69" s="2470"/>
      <c r="F69" s="2470"/>
      <c r="G69" s="2471"/>
      <c r="H69" s="2472"/>
      <c r="I69" s="2472"/>
      <c r="J69" s="2473"/>
      <c r="K69" s="2472"/>
      <c r="L69" s="2472"/>
      <c r="M69" s="2472"/>
      <c r="N69" s="2472"/>
      <c r="O69" s="2472"/>
      <c r="P69" s="2472"/>
      <c r="Q69" s="2472"/>
      <c r="R69" s="2472"/>
      <c r="S69" s="2472"/>
    </row>
    <row r="70" spans="1:19" ht="15.75" thickBot="1">
      <c r="A70" s="2469"/>
      <c r="B70" s="2404"/>
      <c r="C70" s="2470"/>
      <c r="D70" s="2470"/>
      <c r="E70" s="2470"/>
      <c r="F70" s="2470"/>
      <c r="G70" s="2471"/>
      <c r="H70" s="2472"/>
      <c r="I70" s="2472"/>
      <c r="J70" s="2473"/>
      <c r="K70" s="2472"/>
      <c r="L70" s="2472"/>
      <c r="M70" s="2472"/>
      <c r="N70" s="2472"/>
      <c r="O70" s="2472"/>
      <c r="P70" s="2472"/>
      <c r="Q70" s="2472"/>
      <c r="R70" s="2472"/>
      <c r="S70" s="2472"/>
    </row>
    <row r="71" spans="1:19" ht="16.5" thickTop="1" thickBot="1">
      <c r="A71" s="726" t="s">
        <v>575</v>
      </c>
      <c r="B71" s="727"/>
      <c r="C71" s="12"/>
      <c r="D71" s="12"/>
      <c r="E71" s="12"/>
      <c r="F71" s="12"/>
      <c r="G71" s="13"/>
      <c r="H71" s="21"/>
      <c r="I71" s="21"/>
      <c r="J71" s="52"/>
      <c r="K71" s="21"/>
      <c r="L71" s="21"/>
      <c r="M71" s="21"/>
      <c r="N71" s="21"/>
      <c r="O71" s="21"/>
      <c r="P71" s="21"/>
      <c r="Q71" s="21"/>
      <c r="R71" s="21"/>
      <c r="S71" s="21"/>
    </row>
    <row r="72" spans="1:19" ht="15.75" thickTop="1">
      <c r="A72" s="2469"/>
      <c r="B72" s="2404"/>
      <c r="C72" s="2470"/>
      <c r="D72" s="2470"/>
      <c r="E72" s="2470"/>
      <c r="F72" s="2470"/>
      <c r="G72" s="2471"/>
      <c r="H72" s="2472"/>
      <c r="I72" s="2472"/>
      <c r="J72" s="2473"/>
      <c r="K72" s="2472"/>
      <c r="L72" s="2472"/>
      <c r="M72" s="2472"/>
      <c r="N72" s="2472"/>
      <c r="O72" s="2472"/>
      <c r="P72" s="2472"/>
      <c r="Q72" s="2472"/>
      <c r="R72" s="2472"/>
      <c r="S72" s="2472"/>
    </row>
    <row r="73" spans="1:19">
      <c r="A73" s="2421"/>
      <c r="B73" s="2404"/>
      <c r="C73" s="2405"/>
      <c r="D73" s="2405"/>
      <c r="E73" s="2405"/>
      <c r="F73" s="2405"/>
      <c r="G73" s="2423"/>
      <c r="H73" s="2382"/>
      <c r="I73" s="2382"/>
      <c r="J73" s="2474"/>
      <c r="K73" s="2382"/>
      <c r="L73" s="2382"/>
      <c r="M73" s="2382"/>
      <c r="N73" s="2382"/>
      <c r="O73" s="2382"/>
      <c r="P73" s="2382"/>
      <c r="Q73" s="2382"/>
      <c r="R73" s="2382"/>
      <c r="S73" s="2382"/>
    </row>
    <row r="74" spans="1:19" ht="15.75" thickBot="1">
      <c r="A74" s="2383"/>
      <c r="B74" s="2384"/>
      <c r="C74" s="2405"/>
      <c r="D74" s="2405"/>
      <c r="E74" s="2405"/>
      <c r="F74" s="2405"/>
      <c r="G74" s="2423"/>
      <c r="H74" s="2385"/>
      <c r="I74" s="2385"/>
      <c r="J74" s="2475"/>
      <c r="K74" s="2385"/>
      <c r="L74" s="2385"/>
      <c r="M74" s="2385"/>
      <c r="N74" s="2385"/>
      <c r="O74" s="2385"/>
      <c r="P74" s="2385"/>
      <c r="Q74" s="2385"/>
      <c r="R74" s="2385"/>
      <c r="S74" s="2385"/>
    </row>
    <row r="75" spans="1:19" ht="16.5" thickTop="1" thickBot="1">
      <c r="A75" s="726" t="s">
        <v>576</v>
      </c>
      <c r="B75" s="727"/>
      <c r="C75" s="12"/>
      <c r="D75" s="12"/>
      <c r="E75" s="12"/>
      <c r="F75" s="12"/>
      <c r="G75" s="13"/>
      <c r="H75" s="21"/>
      <c r="I75" s="21"/>
      <c r="J75" s="52"/>
      <c r="K75" s="21"/>
      <c r="L75" s="21"/>
      <c r="M75" s="21"/>
      <c r="N75" s="21"/>
      <c r="O75" s="21"/>
      <c r="P75" s="21"/>
      <c r="Q75" s="21"/>
      <c r="R75" s="21"/>
      <c r="S75" s="21"/>
    </row>
    <row r="76" spans="1:19" ht="15.75" thickTop="1">
      <c r="A76" s="2476"/>
      <c r="B76" s="2477"/>
      <c r="C76" s="2470"/>
      <c r="D76" s="2470"/>
      <c r="E76" s="2470"/>
      <c r="F76" s="2470"/>
      <c r="G76" s="2471"/>
      <c r="H76" s="2472"/>
      <c r="I76" s="2472"/>
      <c r="J76" s="2473"/>
      <c r="K76" s="2472"/>
      <c r="L76" s="2472"/>
      <c r="M76" s="2472"/>
      <c r="N76" s="2472"/>
      <c r="O76" s="2472"/>
      <c r="P76" s="2472"/>
      <c r="Q76" s="2472"/>
      <c r="R76" s="2472"/>
      <c r="S76" s="2472"/>
    </row>
    <row r="77" spans="1:19">
      <c r="A77" s="2383"/>
      <c r="B77" s="2384"/>
      <c r="C77" s="2405"/>
      <c r="D77" s="2405"/>
      <c r="E77" s="2405"/>
      <c r="F77" s="2405"/>
      <c r="G77" s="2423"/>
      <c r="H77" s="2388"/>
      <c r="I77" s="2388"/>
      <c r="J77" s="2478"/>
      <c r="K77" s="2388"/>
      <c r="L77" s="2388"/>
      <c r="M77" s="2388"/>
      <c r="N77" s="2388"/>
      <c r="O77" s="2388"/>
      <c r="P77" s="2388"/>
      <c r="Q77" s="2388"/>
      <c r="R77" s="2388"/>
      <c r="S77" s="2388"/>
    </row>
    <row r="78" spans="1:19" ht="15.75" thickBot="1">
      <c r="A78" s="2383"/>
      <c r="B78" s="2384"/>
      <c r="C78" s="2405"/>
      <c r="D78" s="2405"/>
      <c r="E78" s="2405"/>
      <c r="F78" s="2405"/>
      <c r="G78" s="2423"/>
      <c r="H78" s="2388"/>
      <c r="I78" s="2388"/>
      <c r="J78" s="2478"/>
      <c r="K78" s="2388"/>
      <c r="L78" s="2388"/>
      <c r="M78" s="2388"/>
      <c r="N78" s="2388"/>
      <c r="O78" s="2388"/>
      <c r="P78" s="2388"/>
      <c r="Q78" s="2388"/>
      <c r="R78" s="2388"/>
      <c r="S78" s="2388"/>
    </row>
    <row r="79" spans="1:19" ht="16.5" thickTop="1" thickBot="1">
      <c r="A79" s="726" t="s">
        <v>577</v>
      </c>
      <c r="B79" s="727"/>
      <c r="C79" s="12"/>
      <c r="D79" s="12"/>
      <c r="E79" s="12"/>
      <c r="F79" s="12"/>
      <c r="G79" s="13"/>
      <c r="H79" s="21"/>
      <c r="I79" s="21"/>
      <c r="J79" s="52"/>
      <c r="K79" s="21"/>
      <c r="L79" s="21"/>
      <c r="M79" s="21"/>
      <c r="N79" s="21"/>
      <c r="O79" s="21"/>
      <c r="P79" s="21"/>
      <c r="Q79" s="21"/>
      <c r="R79" s="21"/>
      <c r="S79" s="21"/>
    </row>
    <row r="80" spans="1:19" ht="15.75" thickTop="1">
      <c r="A80" s="2421"/>
      <c r="B80" s="2404" t="s">
        <v>578</v>
      </c>
      <c r="C80" s="2405"/>
      <c r="D80" s="2405"/>
      <c r="E80" s="2405"/>
      <c r="F80" s="2405"/>
      <c r="G80" s="2423"/>
      <c r="H80" s="2388"/>
      <c r="I80" s="2388"/>
      <c r="J80" s="2478"/>
      <c r="K80" s="2388"/>
      <c r="L80" s="2388"/>
      <c r="M80" s="2388"/>
      <c r="N80" s="2388"/>
      <c r="O80" s="2388"/>
      <c r="P80" s="2388"/>
      <c r="Q80" s="2388"/>
      <c r="R80" s="2388"/>
      <c r="S80" s="2388"/>
    </row>
    <row r="81" spans="1:19">
      <c r="A81" s="2421"/>
      <c r="B81" s="2404" t="s">
        <v>579</v>
      </c>
      <c r="C81" s="2405"/>
      <c r="D81" s="2405"/>
      <c r="E81" s="2405"/>
      <c r="F81" s="2405"/>
      <c r="G81" s="2423"/>
      <c r="H81" s="2388"/>
      <c r="I81" s="2388"/>
      <c r="J81" s="2478"/>
      <c r="K81" s="2388"/>
      <c r="L81" s="2388"/>
      <c r="M81" s="2388"/>
      <c r="N81" s="2388"/>
      <c r="O81" s="2388"/>
      <c r="P81" s="2388"/>
      <c r="Q81" s="2388"/>
      <c r="R81" s="2388"/>
      <c r="S81" s="2388"/>
    </row>
    <row r="82" spans="1:19">
      <c r="A82" s="2421"/>
      <c r="B82" s="2404" t="s">
        <v>580</v>
      </c>
      <c r="C82" s="2405"/>
      <c r="D82" s="2405"/>
      <c r="E82" s="2405"/>
      <c r="F82" s="2405"/>
      <c r="G82" s="2423"/>
      <c r="H82" s="2388"/>
      <c r="I82" s="2388"/>
      <c r="J82" s="2478"/>
      <c r="K82" s="2388"/>
      <c r="L82" s="2388"/>
      <c r="M82" s="2388"/>
      <c r="N82" s="2388"/>
      <c r="O82" s="2388"/>
      <c r="P82" s="2388"/>
      <c r="Q82" s="2388"/>
      <c r="R82" s="2388"/>
      <c r="S82" s="2388"/>
    </row>
    <row r="83" spans="1:19">
      <c r="A83" s="2421"/>
      <c r="B83" s="2404" t="s">
        <v>581</v>
      </c>
      <c r="C83" s="2405"/>
      <c r="D83" s="2405"/>
      <c r="E83" s="2405"/>
      <c r="F83" s="2405"/>
      <c r="G83" s="2423"/>
      <c r="H83" s="2388"/>
      <c r="I83" s="2388"/>
      <c r="J83" s="2478"/>
      <c r="K83" s="2388"/>
      <c r="L83" s="2388"/>
      <c r="M83" s="2388"/>
      <c r="N83" s="2388"/>
      <c r="O83" s="2388"/>
      <c r="P83" s="2388"/>
      <c r="Q83" s="2388"/>
      <c r="R83" s="2388"/>
      <c r="S83" s="2388"/>
    </row>
    <row r="84" spans="1:19" ht="15.75" thickBot="1">
      <c r="A84" s="416"/>
      <c r="B84" s="295"/>
      <c r="C84" s="184"/>
      <c r="D84" s="184"/>
      <c r="E84" s="184"/>
      <c r="F84" s="184"/>
      <c r="G84" s="296"/>
      <c r="H84" s="418"/>
      <c r="I84" s="418"/>
      <c r="J84" s="53"/>
      <c r="K84" s="418"/>
      <c r="L84" s="418"/>
      <c r="M84" s="418"/>
      <c r="N84" s="418"/>
      <c r="O84" s="418"/>
      <c r="P84" s="418"/>
      <c r="Q84" s="418"/>
      <c r="R84" s="418"/>
      <c r="S84" s="418"/>
    </row>
    <row r="85" spans="1:19" ht="16.5" thickTop="1" thickBot="1">
      <c r="A85" s="7" t="s">
        <v>582</v>
      </c>
      <c r="B85" s="8"/>
      <c r="C85" s="12"/>
      <c r="D85" s="12"/>
      <c r="E85" s="12"/>
      <c r="F85" s="12"/>
      <c r="G85" s="13"/>
      <c r="H85" s="21"/>
      <c r="I85" s="21"/>
      <c r="J85" s="52"/>
      <c r="K85" s="21"/>
      <c r="L85" s="21"/>
      <c r="M85" s="21"/>
      <c r="N85" s="21"/>
      <c r="O85" s="21"/>
      <c r="P85" s="21"/>
      <c r="Q85" s="21"/>
      <c r="R85" s="21"/>
      <c r="S85" s="21"/>
    </row>
    <row r="86" spans="1:19" ht="15.75" thickTop="1">
      <c r="A86" s="2469"/>
      <c r="B86" s="2479" t="s">
        <v>583</v>
      </c>
      <c r="C86" s="2470"/>
      <c r="D86" s="2470"/>
      <c r="E86" s="2470"/>
      <c r="F86" s="2470"/>
      <c r="G86" s="2471"/>
      <c r="H86" s="2480"/>
      <c r="I86" s="2480"/>
      <c r="J86" s="584"/>
      <c r="K86" s="2480"/>
      <c r="L86" s="2480"/>
      <c r="M86" s="2480"/>
      <c r="N86" s="2480"/>
      <c r="O86" s="2480"/>
      <c r="P86" s="2480"/>
      <c r="Q86" s="2480"/>
      <c r="R86" s="2480"/>
      <c r="S86" s="2480"/>
    </row>
    <row r="87" spans="1:19">
      <c r="A87" s="2421"/>
      <c r="B87" s="2404" t="s">
        <v>584</v>
      </c>
      <c r="C87" s="2405"/>
      <c r="D87" s="2405"/>
      <c r="E87" s="2405"/>
      <c r="F87" s="2405"/>
      <c r="G87" s="2423"/>
      <c r="H87" s="2390"/>
      <c r="I87" s="2390"/>
      <c r="J87" s="2481"/>
      <c r="K87" s="2390"/>
      <c r="L87" s="2390"/>
      <c r="M87" s="2390"/>
      <c r="N87" s="2390"/>
      <c r="O87" s="2390"/>
      <c r="P87" s="2390"/>
      <c r="Q87" s="2390"/>
      <c r="R87" s="2390"/>
      <c r="S87" s="2390"/>
    </row>
    <row r="88" spans="1:19" ht="15.75" thickBot="1">
      <c r="A88" s="2391"/>
      <c r="B88" s="2392" t="s">
        <v>585</v>
      </c>
      <c r="C88" s="2393"/>
      <c r="D88" s="2393"/>
      <c r="E88" s="2393"/>
      <c r="F88" s="2393"/>
      <c r="G88" s="2394"/>
      <c r="H88" s="2395"/>
      <c r="I88" s="2395"/>
      <c r="J88" s="2482"/>
      <c r="K88" s="2395"/>
      <c r="L88" s="2395"/>
      <c r="M88" s="2395"/>
      <c r="N88" s="2395"/>
      <c r="O88" s="2395"/>
      <c r="P88" s="2395"/>
      <c r="Q88" s="2395"/>
      <c r="R88" s="2395"/>
      <c r="S88" s="2395"/>
    </row>
    <row r="89" spans="1:19" ht="16.5" thickTop="1" thickBot="1"/>
    <row r="90" spans="1:19" ht="16.5" thickTop="1" thickBot="1">
      <c r="A90" s="92" t="s">
        <v>586</v>
      </c>
      <c r="B90" s="94"/>
    </row>
    <row r="91" spans="1:19" ht="15.75" thickTop="1">
      <c r="A91" s="93" t="s">
        <v>487</v>
      </c>
      <c r="B91" s="2396"/>
    </row>
    <row r="92" spans="1:19">
      <c r="A92" s="2397" t="s">
        <v>491</v>
      </c>
      <c r="B92" s="2396"/>
    </row>
    <row r="93" spans="1:19">
      <c r="A93" s="2398" t="s">
        <v>494</v>
      </c>
      <c r="B93" s="2399"/>
    </row>
    <row r="94" spans="1:19">
      <c r="A94" s="2398" t="s">
        <v>497</v>
      </c>
      <c r="B94" s="2400"/>
    </row>
    <row r="95" spans="1:19" ht="15.75" thickBot="1">
      <c r="A95" s="2401" t="s">
        <v>587</v>
      </c>
      <c r="B95" s="2402">
        <f>H8</f>
        <v>23403</v>
      </c>
    </row>
    <row r="96" spans="1:19" ht="15.75" thickTop="1"/>
    <row r="97" spans="1:2">
      <c r="A97" s="95"/>
      <c r="B97" s="1" t="s">
        <v>588</v>
      </c>
    </row>
    <row r="98" spans="1:2">
      <c r="A98" s="96"/>
      <c r="B98" s="1" t="s">
        <v>589</v>
      </c>
    </row>
  </sheetData>
  <mergeCells count="47">
    <mergeCell ref="R3:S3"/>
    <mergeCell ref="H2:I2"/>
    <mergeCell ref="J2:K2"/>
    <mergeCell ref="L2:M2"/>
    <mergeCell ref="N2:O2"/>
    <mergeCell ref="P2:Q2"/>
    <mergeCell ref="R2:S2"/>
    <mergeCell ref="H3:I3"/>
    <mergeCell ref="J3:K3"/>
    <mergeCell ref="L3:M3"/>
    <mergeCell ref="N3:O3"/>
    <mergeCell ref="P3:Q3"/>
    <mergeCell ref="H5:I5"/>
    <mergeCell ref="J5:K5"/>
    <mergeCell ref="L5:M5"/>
    <mergeCell ref="N5:O5"/>
    <mergeCell ref="P5:Q5"/>
    <mergeCell ref="H4:I4"/>
    <mergeCell ref="J4:K4"/>
    <mergeCell ref="L4:M4"/>
    <mergeCell ref="N4:O4"/>
    <mergeCell ref="P4:Q4"/>
    <mergeCell ref="H7:I7"/>
    <mergeCell ref="J7:K7"/>
    <mergeCell ref="L7:M7"/>
    <mergeCell ref="N7:O7"/>
    <mergeCell ref="P7:Q7"/>
    <mergeCell ref="H6:I6"/>
    <mergeCell ref="J6:K6"/>
    <mergeCell ref="L6:M6"/>
    <mergeCell ref="N6:O6"/>
    <mergeCell ref="P6:Q6"/>
    <mergeCell ref="H8:I8"/>
    <mergeCell ref="J8:K8"/>
    <mergeCell ref="L8:M8"/>
    <mergeCell ref="N8:O8"/>
    <mergeCell ref="P8:Q8"/>
    <mergeCell ref="R4:S4"/>
    <mergeCell ref="R5:S5"/>
    <mergeCell ref="R6:S6"/>
    <mergeCell ref="R7:S7"/>
    <mergeCell ref="R8:S8"/>
    <mergeCell ref="A63:B63"/>
    <mergeCell ref="A67:B67"/>
    <mergeCell ref="A71:B71"/>
    <mergeCell ref="A75:B75"/>
    <mergeCell ref="A79:B79"/>
  </mergeCells>
  <conditionalFormatting sqref="H21:H31 H33:H54 J33:J54 L33:L54 N33:N54 P33:P54 R33:R54">
    <cfRule type="cellIs" dxfId="895" priority="3" operator="equal">
      <formula>"X"</formula>
    </cfRule>
    <cfRule type="cellIs" dxfId="894" priority="4" operator="equal">
      <formula>"I"</formula>
    </cfRule>
  </conditionalFormatting>
  <conditionalFormatting sqref="J21:J31">
    <cfRule type="cellIs" dxfId="893" priority="7" operator="equal">
      <formula>"X"</formula>
    </cfRule>
    <cfRule type="cellIs" dxfId="892" priority="8" operator="equal">
      <formula>"I"</formula>
    </cfRule>
  </conditionalFormatting>
  <conditionalFormatting sqref="L21:L31">
    <cfRule type="cellIs" dxfId="891" priority="11" operator="equal">
      <formula>"X"</formula>
    </cfRule>
    <cfRule type="cellIs" dxfId="890" priority="12" operator="equal">
      <formula>"I"</formula>
    </cfRule>
  </conditionalFormatting>
  <conditionalFormatting sqref="N21:N31">
    <cfRule type="cellIs" dxfId="889" priority="15" operator="equal">
      <formula>"X"</formula>
    </cfRule>
    <cfRule type="cellIs" dxfId="888" priority="16" operator="equal">
      <formula>"I"</formula>
    </cfRule>
  </conditionalFormatting>
  <conditionalFormatting sqref="P21:P31">
    <cfRule type="cellIs" dxfId="887" priority="19" operator="equal">
      <formula>"X"</formula>
    </cfRule>
    <cfRule type="cellIs" dxfId="886" priority="20" operator="equal">
      <formula>"I"</formula>
    </cfRule>
  </conditionalFormatting>
  <conditionalFormatting sqref="R21:R31">
    <cfRule type="cellIs" dxfId="885" priority="23" operator="equal">
      <formula>"X"</formula>
    </cfRule>
    <cfRule type="cellIs" dxfId="884" priority="24" operator="equal">
      <formula>"I"</formula>
    </cfRule>
  </conditionalFormatting>
  <hyperlinks>
    <hyperlink ref="B3" location="'Cost Summary'!A1" display="BACK TO SUMMARY SHEET" xr:uid="{139179C1-8E4D-4E5E-AAD5-8E8339568B39}"/>
  </hyperlink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AB1B-525C-4141-A8E4-0D2809A36324}">
  <sheetPr>
    <tabColor rgb="FF92D050"/>
  </sheetPr>
  <dimension ref="A1:S97"/>
  <sheetViews>
    <sheetView zoomScale="89" zoomScaleNormal="89" workbookViewId="0">
      <pane xSplit="2" ySplit="9" topLeftCell="C27" activePane="bottomRight" state="frozen"/>
      <selection pane="bottomRight" activeCell="E44" sqref="E44"/>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140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60"/>
      <c r="K4" s="760"/>
      <c r="L4" s="728"/>
      <c r="M4" s="729"/>
      <c r="N4" s="760"/>
      <c r="O4" s="760"/>
      <c r="P4" s="728"/>
      <c r="Q4" s="729"/>
      <c r="R4" s="760"/>
      <c r="S4" s="729"/>
    </row>
    <row r="5" spans="1:19">
      <c r="A5" s="2403" t="s">
        <v>489</v>
      </c>
      <c r="B5" s="2404" t="s">
        <v>186</v>
      </c>
      <c r="C5" s="2405"/>
      <c r="D5" s="2405"/>
      <c r="E5" s="2405"/>
      <c r="F5" s="2405"/>
      <c r="G5" s="2406" t="s">
        <v>491</v>
      </c>
      <c r="H5" s="2407"/>
      <c r="I5" s="2408"/>
      <c r="J5" s="2409"/>
      <c r="K5" s="2409"/>
      <c r="L5" s="2407"/>
      <c r="M5" s="2408"/>
      <c r="N5" s="2409"/>
      <c r="O5" s="2409"/>
      <c r="P5" s="2407"/>
      <c r="Q5" s="2408"/>
      <c r="R5" s="2409"/>
      <c r="S5" s="2408"/>
    </row>
    <row r="6" spans="1:19">
      <c r="A6" s="2403" t="s">
        <v>493</v>
      </c>
      <c r="B6" s="2410" t="s">
        <v>185</v>
      </c>
      <c r="C6" s="2405"/>
      <c r="D6" s="2405"/>
      <c r="E6" s="2405"/>
      <c r="F6" s="2405"/>
      <c r="G6" s="2406" t="s">
        <v>494</v>
      </c>
      <c r="H6" s="2411"/>
      <c r="I6" s="2412"/>
      <c r="J6" s="2413"/>
      <c r="K6" s="2413"/>
      <c r="L6" s="2411"/>
      <c r="M6" s="2412"/>
      <c r="N6" s="2413"/>
      <c r="O6" s="2413"/>
      <c r="P6" s="2411"/>
      <c r="Q6" s="2412"/>
      <c r="R6" s="2413"/>
      <c r="S6" s="2412"/>
    </row>
    <row r="7" spans="1:19">
      <c r="A7" s="2403" t="s">
        <v>496</v>
      </c>
      <c r="B7" s="2414"/>
      <c r="C7" s="2405"/>
      <c r="D7" s="2405"/>
      <c r="E7" s="2405"/>
      <c r="F7" s="2405"/>
      <c r="G7" s="2406" t="s">
        <v>497</v>
      </c>
      <c r="H7" s="2415"/>
      <c r="I7" s="2416"/>
      <c r="J7" s="2417"/>
      <c r="K7" s="2417"/>
      <c r="L7" s="2415"/>
      <c r="M7" s="2416"/>
      <c r="N7" s="2417"/>
      <c r="O7" s="2417"/>
      <c r="P7" s="2415"/>
      <c r="Q7" s="2416"/>
      <c r="R7" s="2417"/>
      <c r="S7" s="2416"/>
    </row>
    <row r="8" spans="1:19">
      <c r="A8" s="414" t="s">
        <v>499</v>
      </c>
      <c r="B8" s="295"/>
      <c r="C8" s="184"/>
      <c r="D8" s="184"/>
      <c r="E8" s="184"/>
      <c r="F8" s="184"/>
      <c r="G8" s="419" t="s">
        <v>499</v>
      </c>
      <c r="H8" s="2418">
        <f>I58</f>
        <v>190000</v>
      </c>
      <c r="I8" s="2419"/>
      <c r="J8" s="2420">
        <v>0</v>
      </c>
      <c r="K8" s="2419"/>
      <c r="L8" s="2418">
        <v>0</v>
      </c>
      <c r="M8" s="2419"/>
      <c r="N8" s="2418">
        <v>0</v>
      </c>
      <c r="O8" s="2420"/>
      <c r="P8" s="2418">
        <v>0</v>
      </c>
      <c r="Q8" s="2419"/>
      <c r="R8" s="2420">
        <v>0</v>
      </c>
      <c r="S8" s="2419"/>
    </row>
    <row r="9" spans="1:19" ht="30">
      <c r="A9" s="7" t="s">
        <v>500</v>
      </c>
      <c r="B9" s="8"/>
      <c r="C9" s="9" t="s">
        <v>501</v>
      </c>
      <c r="D9" s="9" t="s">
        <v>502</v>
      </c>
      <c r="E9" s="9" t="s">
        <v>503</v>
      </c>
      <c r="F9" s="9" t="s">
        <v>504</v>
      </c>
      <c r="G9" s="10" t="s">
        <v>505</v>
      </c>
      <c r="H9" s="11" t="s">
        <v>506</v>
      </c>
      <c r="I9" s="11" t="s">
        <v>507</v>
      </c>
      <c r="J9" s="50" t="s">
        <v>506</v>
      </c>
      <c r="K9" s="11" t="s">
        <v>507</v>
      </c>
      <c r="L9" s="11" t="s">
        <v>506</v>
      </c>
      <c r="M9" s="11" t="s">
        <v>507</v>
      </c>
      <c r="N9" s="11" t="s">
        <v>506</v>
      </c>
      <c r="O9" s="11" t="s">
        <v>507</v>
      </c>
      <c r="P9" s="11" t="s">
        <v>506</v>
      </c>
      <c r="Q9" s="11" t="s">
        <v>507</v>
      </c>
      <c r="R9" s="11" t="s">
        <v>506</v>
      </c>
      <c r="S9" s="11" t="s">
        <v>507</v>
      </c>
    </row>
    <row r="10" spans="1:19" hidden="1">
      <c r="A10" s="2421"/>
      <c r="B10" s="2483" t="s">
        <v>508</v>
      </c>
      <c r="C10" s="2405"/>
      <c r="D10" s="2405"/>
      <c r="E10" s="2405"/>
      <c r="F10" s="2405"/>
      <c r="G10" s="2423"/>
      <c r="H10" s="2424"/>
      <c r="I10" s="2424"/>
      <c r="J10" s="2425"/>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5"/>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5"/>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5"/>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5"/>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5"/>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5"/>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5"/>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5"/>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5"/>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21"/>
      <c r="B21" s="2428" t="s">
        <v>186</v>
      </c>
      <c r="C21" s="2426"/>
      <c r="D21" s="2405"/>
      <c r="E21" s="2405"/>
      <c r="F21" s="2405"/>
      <c r="G21" s="2423"/>
      <c r="H21" s="2427"/>
      <c r="I21" s="2424"/>
      <c r="J21" s="2427"/>
      <c r="K21" s="2424"/>
      <c r="L21" s="2427"/>
      <c r="M21" s="2424"/>
      <c r="N21" s="2427"/>
      <c r="O21" s="2424"/>
      <c r="P21" s="2427"/>
      <c r="Q21" s="2424"/>
      <c r="R21" s="2427"/>
      <c r="S21" s="2424"/>
    </row>
    <row r="22" spans="1:19" ht="14.25" customHeight="1">
      <c r="A22" s="2484"/>
      <c r="B22" s="2318" t="s">
        <v>512</v>
      </c>
      <c r="C22" s="2426"/>
      <c r="D22" s="2405"/>
      <c r="E22" s="2405"/>
      <c r="F22" s="2405"/>
      <c r="G22" s="2423"/>
      <c r="H22" s="2427"/>
      <c r="I22" s="2321"/>
      <c r="J22" s="2427"/>
      <c r="K22" s="2321"/>
      <c r="L22" s="2427"/>
      <c r="M22" s="2321"/>
      <c r="N22" s="2427"/>
      <c r="O22" s="2321"/>
      <c r="P22" s="2427"/>
      <c r="Q22" s="2321"/>
      <c r="R22" s="2427"/>
      <c r="S22" s="2321"/>
    </row>
    <row r="23" spans="1:19">
      <c r="A23" s="2484"/>
      <c r="B23" s="2319" t="s">
        <v>513</v>
      </c>
      <c r="C23" s="2426"/>
      <c r="D23" s="2405"/>
      <c r="E23" s="2405"/>
      <c r="F23" s="2405"/>
      <c r="G23" s="2423"/>
      <c r="H23" s="2427"/>
      <c r="I23" s="2485"/>
      <c r="J23" s="2427"/>
      <c r="K23" s="2321"/>
      <c r="L23" s="2427"/>
      <c r="M23" s="2321"/>
      <c r="N23" s="2427"/>
      <c r="O23" s="2321"/>
      <c r="P23" s="2427"/>
      <c r="Q23" s="2321"/>
      <c r="R23" s="2427"/>
      <c r="S23" s="2321"/>
    </row>
    <row r="24" spans="1:19">
      <c r="A24" s="2484"/>
      <c r="B24" s="2319" t="s">
        <v>514</v>
      </c>
      <c r="C24" s="2430"/>
      <c r="D24" s="2405"/>
      <c r="E24" s="2405"/>
      <c r="F24" s="2405"/>
      <c r="G24" s="2423"/>
      <c r="H24" s="2427"/>
      <c r="I24" s="2485"/>
      <c r="J24" s="2427"/>
      <c r="K24" s="2321"/>
      <c r="L24" s="2427"/>
      <c r="M24" s="2321"/>
      <c r="N24" s="2427"/>
      <c r="O24" s="2321"/>
      <c r="P24" s="2427"/>
      <c r="Q24" s="2321"/>
      <c r="R24" s="2427"/>
      <c r="S24" s="2321"/>
    </row>
    <row r="25" spans="1:19">
      <c r="A25" s="2484"/>
      <c r="B25" s="2320" t="s">
        <v>515</v>
      </c>
      <c r="C25" s="2430"/>
      <c r="D25" s="2405"/>
      <c r="E25" s="2405"/>
      <c r="F25" s="2405"/>
      <c r="G25" s="2423"/>
      <c r="H25" s="2427"/>
      <c r="I25" s="2485"/>
      <c r="J25" s="2427"/>
      <c r="K25" s="2321"/>
      <c r="L25" s="2427"/>
      <c r="M25" s="2321"/>
      <c r="N25" s="2427"/>
      <c r="O25" s="2321"/>
      <c r="P25" s="2427"/>
      <c r="Q25" s="2321"/>
      <c r="R25" s="2427"/>
      <c r="S25" s="2321"/>
    </row>
    <row r="26" spans="1:19" s="91" customFormat="1">
      <c r="A26" s="2431"/>
      <c r="B26" s="2320" t="s">
        <v>516</v>
      </c>
      <c r="C26" s="2432"/>
      <c r="D26" s="2433"/>
      <c r="E26" s="2433"/>
      <c r="F26" s="2433"/>
      <c r="G26" s="2432"/>
      <c r="H26" s="2427"/>
      <c r="I26" s="2485"/>
      <c r="J26" s="2427"/>
      <c r="K26" s="2486"/>
      <c r="L26" s="2427"/>
      <c r="M26" s="2486"/>
      <c r="N26" s="2427"/>
      <c r="O26" s="2486"/>
      <c r="P26" s="2427"/>
      <c r="Q26" s="2486"/>
      <c r="R26" s="2427"/>
      <c r="S26" s="2486"/>
    </row>
    <row r="27" spans="1:19" s="91" customFormat="1">
      <c r="A27" s="2431"/>
      <c r="B27" s="2320" t="s">
        <v>517</v>
      </c>
      <c r="C27" s="2432"/>
      <c r="D27" s="2433"/>
      <c r="E27" s="2433"/>
      <c r="F27" s="2433"/>
      <c r="G27" s="2432"/>
      <c r="H27" s="2427"/>
      <c r="I27" s="2485"/>
      <c r="J27" s="2427"/>
      <c r="K27" s="2486"/>
      <c r="L27" s="2427"/>
      <c r="M27" s="2486"/>
      <c r="N27" s="2427"/>
      <c r="O27" s="2486"/>
      <c r="P27" s="2427"/>
      <c r="Q27" s="2486"/>
      <c r="R27" s="2427"/>
      <c r="S27" s="2486"/>
    </row>
    <row r="28" spans="1:19" s="91" customFormat="1" ht="18" customHeight="1">
      <c r="A28" s="2431"/>
      <c r="B28" s="2320" t="s">
        <v>518</v>
      </c>
      <c r="C28" s="2432"/>
      <c r="D28" s="2433"/>
      <c r="E28" s="2433"/>
      <c r="F28" s="2433"/>
      <c r="G28" s="2432"/>
      <c r="H28" s="2427"/>
      <c r="I28" s="2485"/>
      <c r="J28" s="2427"/>
      <c r="K28" s="2486"/>
      <c r="L28" s="2427"/>
      <c r="M28" s="2486"/>
      <c r="N28" s="2427"/>
      <c r="O28" s="2486"/>
      <c r="P28" s="2427"/>
      <c r="Q28" s="2486"/>
      <c r="R28" s="2427"/>
      <c r="S28" s="2486"/>
    </row>
    <row r="29" spans="1:19" s="91" customFormat="1" ht="18" customHeight="1">
      <c r="A29" s="2431"/>
      <c r="B29" s="2320" t="s">
        <v>693</v>
      </c>
      <c r="C29" s="2432"/>
      <c r="D29" s="2433"/>
      <c r="E29" s="2433"/>
      <c r="F29" s="2433"/>
      <c r="G29" s="2432"/>
      <c r="H29" s="2427"/>
      <c r="I29" s="2485"/>
      <c r="J29" s="2427"/>
      <c r="K29" s="2486"/>
      <c r="L29" s="2427"/>
      <c r="M29" s="2486"/>
      <c r="N29" s="2427"/>
      <c r="O29" s="2486"/>
      <c r="P29" s="2427"/>
      <c r="Q29" s="2486"/>
      <c r="R29" s="2427"/>
      <c r="S29" s="2486"/>
    </row>
    <row r="30" spans="1:19" s="91" customFormat="1">
      <c r="A30" s="2431"/>
      <c r="B30" s="2487" t="s">
        <v>519</v>
      </c>
      <c r="C30" s="2432"/>
      <c r="D30" s="2433"/>
      <c r="E30" s="2433"/>
      <c r="F30" s="2433"/>
      <c r="G30" s="2432"/>
      <c r="H30" s="2427"/>
      <c r="I30" s="2485"/>
      <c r="J30" s="2427"/>
      <c r="K30" s="2486"/>
      <c r="L30" s="2427"/>
      <c r="M30" s="2486"/>
      <c r="N30" s="2427"/>
      <c r="O30" s="2486"/>
      <c r="P30" s="2427"/>
      <c r="Q30" s="2486"/>
      <c r="R30" s="2427"/>
      <c r="S30" s="2486"/>
    </row>
    <row r="31" spans="1:19" s="91" customFormat="1">
      <c r="A31" s="2431"/>
      <c r="B31" s="2488" t="s">
        <v>520</v>
      </c>
      <c r="C31" s="2435"/>
      <c r="D31" s="2436"/>
      <c r="E31" s="2436"/>
      <c r="F31" s="2437"/>
      <c r="G31" s="2438"/>
      <c r="H31" s="2439"/>
      <c r="I31" s="586"/>
      <c r="J31" s="2441"/>
      <c r="K31" s="2489"/>
      <c r="L31" s="2443"/>
      <c r="M31" s="2489"/>
      <c r="N31" s="2489"/>
      <c r="O31" s="2489"/>
      <c r="P31" s="2489"/>
      <c r="Q31" s="2489"/>
      <c r="R31" s="2489"/>
      <c r="S31" s="2489"/>
    </row>
    <row r="32" spans="1:19" s="185" customFormat="1">
      <c r="A32" s="2490"/>
      <c r="B32" s="2491" t="s">
        <v>748</v>
      </c>
      <c r="C32" s="2492"/>
      <c r="D32" s="2493"/>
      <c r="E32" s="2493"/>
      <c r="F32" s="2494"/>
      <c r="G32" s="2495"/>
      <c r="H32" s="2427"/>
      <c r="I32" s="2485"/>
      <c r="J32" s="2427"/>
      <c r="K32" s="2496"/>
      <c r="L32" s="2427"/>
      <c r="M32" s="2496"/>
      <c r="N32" s="2427"/>
      <c r="O32" s="2496"/>
      <c r="P32" s="2427"/>
      <c r="Q32" s="2496"/>
      <c r="R32" s="2427"/>
      <c r="S32" s="2496"/>
    </row>
    <row r="33" spans="1:19" s="185" customFormat="1">
      <c r="A33" s="2497"/>
      <c r="B33" s="2498"/>
      <c r="C33" s="2492"/>
      <c r="D33" s="2493"/>
      <c r="E33" s="2493"/>
      <c r="F33" s="2494"/>
      <c r="G33" s="2495"/>
      <c r="H33" s="2427"/>
      <c r="I33" s="2499"/>
      <c r="J33" s="2427"/>
      <c r="K33" s="2500"/>
      <c r="L33" s="2427"/>
      <c r="M33" s="2500"/>
      <c r="N33" s="2427"/>
      <c r="O33" s="2500"/>
      <c r="P33" s="2427"/>
      <c r="Q33" s="2500"/>
      <c r="R33" s="2427"/>
      <c r="S33" s="2500"/>
    </row>
    <row r="34" spans="1:19" s="185" customFormat="1">
      <c r="A34" s="2501"/>
      <c r="B34" s="2448" t="s">
        <v>694</v>
      </c>
      <c r="C34" s="2449"/>
      <c r="D34" s="2450"/>
      <c r="E34" s="2450"/>
      <c r="F34" s="2451"/>
      <c r="G34" s="2452"/>
      <c r="H34" s="2453"/>
      <c r="I34" s="2502"/>
      <c r="J34" s="2453"/>
      <c r="K34" s="2502"/>
      <c r="L34" s="2453"/>
      <c r="M34" s="2502"/>
      <c r="N34" s="2453"/>
      <c r="O34" s="2502"/>
      <c r="P34" s="2453"/>
      <c r="Q34" s="2503"/>
      <c r="R34" s="2453"/>
      <c r="S34" s="2503"/>
    </row>
    <row r="35" spans="1:19" s="185" customFormat="1">
      <c r="A35" s="2501"/>
      <c r="B35" s="2444"/>
      <c r="C35" s="2445"/>
      <c r="D35" s="2405"/>
      <c r="E35" s="2405"/>
      <c r="F35" s="2446"/>
      <c r="G35" s="2447"/>
      <c r="H35" s="2427"/>
      <c r="I35" s="2485"/>
      <c r="J35" s="2427"/>
      <c r="K35" s="2485"/>
      <c r="L35" s="2427"/>
      <c r="M35" s="2485"/>
      <c r="N35" s="2427"/>
      <c r="O35" s="2485"/>
      <c r="P35" s="2427"/>
      <c r="Q35" s="2321"/>
      <c r="R35" s="2427"/>
      <c r="S35" s="2321"/>
    </row>
    <row r="36" spans="1:19" s="185" customFormat="1">
      <c r="A36" s="2501"/>
      <c r="B36" s="2454" t="s">
        <v>695</v>
      </c>
      <c r="C36" s="2455"/>
      <c r="D36" s="2456"/>
      <c r="E36" s="2456"/>
      <c r="F36" s="2457"/>
      <c r="G36" s="2458"/>
      <c r="H36" s="2459"/>
      <c r="I36" s="2504"/>
      <c r="J36" s="2459"/>
      <c r="K36" s="2504"/>
      <c r="L36" s="2459"/>
      <c r="M36" s="2504"/>
      <c r="N36" s="2459"/>
      <c r="O36" s="2504"/>
      <c r="P36" s="2459"/>
      <c r="Q36" s="2505"/>
      <c r="R36" s="2459"/>
      <c r="S36" s="2505"/>
    </row>
    <row r="37" spans="1:19" s="185" customFormat="1">
      <c r="A37" s="2501"/>
      <c r="B37" s="2444"/>
      <c r="C37" s="2445"/>
      <c r="D37" s="2405"/>
      <c r="E37" s="2405"/>
      <c r="F37" s="2446"/>
      <c r="G37" s="2447"/>
      <c r="H37" s="2427"/>
      <c r="I37" s="2485"/>
      <c r="J37" s="2427"/>
      <c r="K37" s="2485"/>
      <c r="L37" s="2427"/>
      <c r="M37" s="2485"/>
      <c r="N37" s="2427"/>
      <c r="O37" s="2485"/>
      <c r="P37" s="2427"/>
      <c r="Q37" s="2321"/>
      <c r="R37" s="2427"/>
      <c r="S37" s="2321"/>
    </row>
    <row r="38" spans="1:19" s="185" customFormat="1">
      <c r="A38" s="2501"/>
      <c r="B38" s="2448" t="s">
        <v>649</v>
      </c>
      <c r="C38" s="2449"/>
      <c r="D38" s="2450"/>
      <c r="E38" s="2450"/>
      <c r="F38" s="2451"/>
      <c r="G38" s="2452"/>
      <c r="H38" s="2453"/>
      <c r="I38" s="2502"/>
      <c r="J38" s="2453"/>
      <c r="K38" s="2502"/>
      <c r="L38" s="2453"/>
      <c r="M38" s="2502"/>
      <c r="N38" s="2453"/>
      <c r="O38" s="2502"/>
      <c r="P38" s="2453"/>
      <c r="Q38" s="2503"/>
      <c r="R38" s="2453"/>
      <c r="S38" s="2503"/>
    </row>
    <row r="39" spans="1:19" s="185" customFormat="1">
      <c r="A39" s="2501"/>
      <c r="B39" s="2444"/>
      <c r="C39" s="2445"/>
      <c r="D39" s="2405"/>
      <c r="E39" s="2405"/>
      <c r="F39" s="2446"/>
      <c r="G39" s="2447"/>
      <c r="H39" s="2427"/>
      <c r="I39" s="2485"/>
      <c r="J39" s="2427"/>
      <c r="K39" s="2485"/>
      <c r="L39" s="2427"/>
      <c r="M39" s="2485"/>
      <c r="N39" s="2427"/>
      <c r="O39" s="2485"/>
      <c r="P39" s="2427"/>
      <c r="Q39" s="2321"/>
      <c r="R39" s="2427"/>
      <c r="S39" s="2321"/>
    </row>
    <row r="40" spans="1:19" s="185" customFormat="1">
      <c r="A40" s="2501"/>
      <c r="B40" s="2454" t="s">
        <v>700</v>
      </c>
      <c r="C40" s="2455"/>
      <c r="D40" s="2456"/>
      <c r="E40" s="2456"/>
      <c r="F40" s="2457"/>
      <c r="G40" s="2458"/>
      <c r="H40" s="2459"/>
      <c r="I40" s="2504"/>
      <c r="J40" s="2459"/>
      <c r="K40" s="2504"/>
      <c r="L40" s="2459"/>
      <c r="M40" s="2504"/>
      <c r="N40" s="2459"/>
      <c r="O40" s="2504"/>
      <c r="P40" s="2459"/>
      <c r="Q40" s="2505"/>
      <c r="R40" s="2459"/>
      <c r="S40" s="2505"/>
    </row>
    <row r="41" spans="1:19">
      <c r="A41" s="2484"/>
      <c r="B41" s="2444"/>
      <c r="C41" s="2445"/>
      <c r="D41" s="2405"/>
      <c r="E41" s="2405"/>
      <c r="F41" s="2446"/>
      <c r="G41" s="2447"/>
      <c r="H41" s="2427"/>
      <c r="I41" s="2485"/>
      <c r="J41" s="2427"/>
      <c r="K41" s="2485"/>
      <c r="L41" s="2427"/>
      <c r="M41" s="2485"/>
      <c r="N41" s="2427"/>
      <c r="O41" s="2485"/>
      <c r="P41" s="2427"/>
      <c r="Q41" s="2321"/>
      <c r="R41" s="2427"/>
      <c r="S41" s="2321"/>
    </row>
    <row r="42" spans="1:19">
      <c r="A42" s="2484"/>
      <c r="B42" s="2448" t="s">
        <v>703</v>
      </c>
      <c r="C42" s="2449"/>
      <c r="D42" s="2450"/>
      <c r="E42" s="2450"/>
      <c r="F42" s="2451"/>
      <c r="G42" s="2452"/>
      <c r="H42" s="2453"/>
      <c r="I42" s="2502"/>
      <c r="J42" s="2453"/>
      <c r="K42" s="2502"/>
      <c r="L42" s="2453"/>
      <c r="M42" s="2502"/>
      <c r="N42" s="2453"/>
      <c r="O42" s="2502"/>
      <c r="P42" s="2453"/>
      <c r="Q42" s="2503"/>
      <c r="R42" s="2453"/>
      <c r="S42" s="2503"/>
    </row>
    <row r="43" spans="1:19">
      <c r="A43" s="2484"/>
      <c r="B43" s="2444"/>
      <c r="C43" s="2445"/>
      <c r="D43" s="2405"/>
      <c r="E43" s="2405"/>
      <c r="F43" s="2446"/>
      <c r="G43" s="2447"/>
      <c r="H43" s="2427"/>
      <c r="I43" s="2485"/>
      <c r="J43" s="2427"/>
      <c r="K43" s="2485"/>
      <c r="L43" s="2427"/>
      <c r="M43" s="2485"/>
      <c r="N43" s="2427"/>
      <c r="O43" s="2485"/>
      <c r="P43" s="2427"/>
      <c r="Q43" s="2321"/>
      <c r="R43" s="2427"/>
      <c r="S43" s="2321"/>
    </row>
    <row r="44" spans="1:19">
      <c r="A44" s="2484"/>
      <c r="B44" s="2454" t="s">
        <v>704</v>
      </c>
      <c r="C44" s="2455"/>
      <c r="D44" s="2456"/>
      <c r="E44" s="2456"/>
      <c r="F44" s="2457"/>
      <c r="G44" s="2458"/>
      <c r="H44" s="2459"/>
      <c r="I44" s="2504"/>
      <c r="J44" s="2459"/>
      <c r="K44" s="2504"/>
      <c r="L44" s="2459"/>
      <c r="M44" s="2504"/>
      <c r="N44" s="2459"/>
      <c r="O44" s="2504"/>
      <c r="P44" s="2459"/>
      <c r="Q44" s="2505"/>
      <c r="R44" s="2459"/>
      <c r="S44" s="2505"/>
    </row>
    <row r="45" spans="1:19">
      <c r="A45" s="2484"/>
      <c r="B45" s="2506" t="s">
        <v>1126</v>
      </c>
      <c r="C45" s="2423" t="s">
        <v>702</v>
      </c>
      <c r="D45" s="2405">
        <v>38</v>
      </c>
      <c r="E45" s="2405" t="s">
        <v>116</v>
      </c>
      <c r="F45" s="2446">
        <v>2500</v>
      </c>
      <c r="G45" s="2447">
        <f>D45*F45</f>
        <v>95000</v>
      </c>
      <c r="H45" s="2427"/>
      <c r="I45" s="2485">
        <f>G45</f>
        <v>95000</v>
      </c>
      <c r="J45" s="2427"/>
      <c r="K45" s="2485"/>
      <c r="L45" s="2427"/>
      <c r="M45" s="2485"/>
      <c r="N45" s="2427"/>
      <c r="O45" s="2485"/>
      <c r="P45" s="2427"/>
      <c r="Q45" s="2321"/>
      <c r="R45" s="2427"/>
      <c r="S45" s="2321"/>
    </row>
    <row r="46" spans="1:19">
      <c r="A46" s="2507"/>
      <c r="B46" s="2506" t="s">
        <v>1127</v>
      </c>
      <c r="C46" s="2423" t="s">
        <v>826</v>
      </c>
      <c r="D46" s="2405">
        <v>38</v>
      </c>
      <c r="E46" s="2405" t="s">
        <v>116</v>
      </c>
      <c r="F46" s="2446">
        <f>F45</f>
        <v>2500</v>
      </c>
      <c r="G46" s="2447">
        <f>D46*F46</f>
        <v>95000</v>
      </c>
      <c r="H46" s="2427"/>
      <c r="I46" s="2485">
        <f>G46</f>
        <v>95000</v>
      </c>
      <c r="J46" s="2427"/>
      <c r="K46" s="2499"/>
      <c r="L46" s="2427"/>
      <c r="M46" s="2499"/>
      <c r="N46" s="2427"/>
      <c r="O46" s="2499"/>
      <c r="P46" s="2427"/>
      <c r="Q46" s="2508"/>
      <c r="R46" s="2427"/>
      <c r="S46" s="2508"/>
    </row>
    <row r="47" spans="1:19">
      <c r="A47" s="2484"/>
      <c r="B47" s="2444"/>
      <c r="C47" s="2445"/>
      <c r="D47" s="2405"/>
      <c r="E47" s="2405"/>
      <c r="F47" s="2446"/>
      <c r="G47" s="2447"/>
      <c r="H47" s="2427"/>
      <c r="I47" s="2485"/>
      <c r="J47" s="2427"/>
      <c r="K47" s="2485"/>
      <c r="L47" s="2427"/>
      <c r="M47" s="2485"/>
      <c r="N47" s="2427"/>
      <c r="O47" s="2485"/>
      <c r="P47" s="2427"/>
      <c r="Q47" s="2321"/>
      <c r="R47" s="2427"/>
      <c r="S47" s="2321"/>
    </row>
    <row r="48" spans="1:19">
      <c r="A48" s="2484"/>
      <c r="B48" s="2448" t="s">
        <v>705</v>
      </c>
      <c r="C48" s="2449"/>
      <c r="D48" s="2450"/>
      <c r="E48" s="2450"/>
      <c r="F48" s="2451"/>
      <c r="G48" s="2452"/>
      <c r="H48" s="2453"/>
      <c r="I48" s="2502"/>
      <c r="J48" s="2453"/>
      <c r="K48" s="2502"/>
      <c r="L48" s="2453"/>
      <c r="M48" s="2502"/>
      <c r="N48" s="2453"/>
      <c r="O48" s="2502"/>
      <c r="P48" s="2453"/>
      <c r="Q48" s="2503"/>
      <c r="R48" s="2453"/>
      <c r="S48" s="2503"/>
    </row>
    <row r="49" spans="1:19">
      <c r="A49" s="2484"/>
      <c r="B49" s="2444"/>
      <c r="C49" s="2445"/>
      <c r="D49" s="2405"/>
      <c r="E49" s="2405"/>
      <c r="F49" s="2446"/>
      <c r="G49" s="2447"/>
      <c r="H49" s="2427"/>
      <c r="I49" s="2485"/>
      <c r="J49" s="2427"/>
      <c r="K49" s="2485"/>
      <c r="L49" s="2427"/>
      <c r="M49" s="2485"/>
      <c r="N49" s="2427"/>
      <c r="O49" s="2485"/>
      <c r="P49" s="2427"/>
      <c r="Q49" s="2321"/>
      <c r="R49" s="2427"/>
      <c r="S49" s="2321"/>
    </row>
    <row r="50" spans="1:19">
      <c r="A50" s="2484"/>
      <c r="B50" s="2454" t="s">
        <v>602</v>
      </c>
      <c r="C50" s="2455"/>
      <c r="D50" s="2456"/>
      <c r="E50" s="2456"/>
      <c r="F50" s="2457"/>
      <c r="G50" s="2458"/>
      <c r="H50" s="2459"/>
      <c r="I50" s="2504"/>
      <c r="J50" s="2459"/>
      <c r="K50" s="2504"/>
      <c r="L50" s="2459"/>
      <c r="M50" s="2504"/>
      <c r="N50" s="2459"/>
      <c r="O50" s="2504"/>
      <c r="P50" s="2459"/>
      <c r="Q50" s="2505"/>
      <c r="R50" s="2459"/>
      <c r="S50" s="2505"/>
    </row>
    <row r="51" spans="1:19">
      <c r="A51" s="2484"/>
      <c r="B51" s="2444"/>
      <c r="C51" s="2445"/>
      <c r="D51" s="2405"/>
      <c r="E51" s="2405"/>
      <c r="F51" s="2446"/>
      <c r="G51" s="2447"/>
      <c r="H51" s="2427"/>
      <c r="I51" s="2485"/>
      <c r="J51" s="2427"/>
      <c r="K51" s="2485"/>
      <c r="L51" s="2427"/>
      <c r="M51" s="2485"/>
      <c r="N51" s="2427"/>
      <c r="O51" s="2485"/>
      <c r="P51" s="2427"/>
      <c r="Q51" s="2508"/>
      <c r="R51" s="2427"/>
      <c r="S51" s="2508"/>
    </row>
    <row r="52" spans="1:19">
      <c r="A52" s="2484"/>
      <c r="B52" s="2444"/>
      <c r="C52" s="2445"/>
      <c r="D52" s="2405"/>
      <c r="E52" s="2405"/>
      <c r="F52" s="2446"/>
      <c r="G52" s="2447"/>
      <c r="H52" s="2427"/>
      <c r="I52" s="2485"/>
      <c r="J52" s="2427"/>
      <c r="K52" s="2485"/>
      <c r="L52" s="2427"/>
      <c r="M52" s="2485"/>
      <c r="N52" s="2427"/>
      <c r="O52" s="2485"/>
      <c r="P52" s="2427"/>
      <c r="Q52" s="2508"/>
      <c r="R52" s="2427"/>
      <c r="S52" s="2508"/>
    </row>
    <row r="53" spans="1:19">
      <c r="A53" s="2484"/>
      <c r="B53" s="2444"/>
      <c r="C53" s="2445"/>
      <c r="D53" s="2405"/>
      <c r="E53" s="2405"/>
      <c r="F53" s="2446"/>
      <c r="G53" s="2447"/>
      <c r="H53" s="2427"/>
      <c r="I53" s="2485"/>
      <c r="J53" s="2427"/>
      <c r="K53" s="2485"/>
      <c r="L53" s="2427"/>
      <c r="M53" s="2485"/>
      <c r="N53" s="2427"/>
      <c r="O53" s="2485"/>
      <c r="P53" s="2427"/>
      <c r="Q53" s="2321"/>
      <c r="R53" s="2427"/>
      <c r="S53" s="2321"/>
    </row>
    <row r="54" spans="1:19">
      <c r="A54" s="14"/>
      <c r="B54" s="16"/>
      <c r="C54" s="16"/>
      <c r="D54" s="16"/>
      <c r="E54" s="17"/>
      <c r="F54" s="18" t="s">
        <v>567</v>
      </c>
      <c r="G54" s="19"/>
      <c r="H54" s="20"/>
      <c r="I54" s="61">
        <f>SUM(I23:I53)</f>
        <v>190000</v>
      </c>
      <c r="J54" s="51"/>
      <c r="K54" s="61">
        <f>SUM(K23:K53)</f>
        <v>0</v>
      </c>
      <c r="L54" s="20"/>
      <c r="M54" s="61">
        <f>SUM(M23:M53)</f>
        <v>0</v>
      </c>
      <c r="N54" s="20"/>
      <c r="O54" s="61">
        <f>SUM(O23:O53)</f>
        <v>0</v>
      </c>
      <c r="P54" s="20"/>
      <c r="Q54" s="61">
        <f>SUM(Q23:Q53)</f>
        <v>0</v>
      </c>
      <c r="R54" s="20"/>
      <c r="S54" s="61">
        <f>SUM(S23:S53)</f>
        <v>0</v>
      </c>
    </row>
    <row r="55" spans="1:19">
      <c r="A55" s="2358"/>
      <c r="B55" s="2359"/>
      <c r="C55" s="2360"/>
      <c r="D55" s="2360"/>
      <c r="E55" s="2361"/>
      <c r="F55" s="2362" t="s">
        <v>568</v>
      </c>
      <c r="G55" s="2363"/>
      <c r="H55" s="2364">
        <v>0</v>
      </c>
      <c r="I55" s="2460"/>
      <c r="J55" s="2461">
        <v>0</v>
      </c>
      <c r="K55" s="2460"/>
      <c r="L55" s="2364">
        <v>0</v>
      </c>
      <c r="M55" s="2460"/>
      <c r="N55" s="2364">
        <v>0</v>
      </c>
      <c r="O55" s="2460"/>
      <c r="P55" s="2364">
        <v>0</v>
      </c>
      <c r="Q55" s="2460"/>
      <c r="R55" s="2364">
        <v>0</v>
      </c>
      <c r="S55" s="2460"/>
    </row>
    <row r="56" spans="1:19">
      <c r="A56" s="2358"/>
      <c r="B56" s="2359"/>
      <c r="C56" s="2360"/>
      <c r="D56" s="2360"/>
      <c r="E56" s="2361"/>
      <c r="F56" s="2362" t="s">
        <v>569</v>
      </c>
      <c r="G56" s="2363"/>
      <c r="H56" s="2366"/>
      <c r="I56" s="2462">
        <f>H55*I54</f>
        <v>0</v>
      </c>
      <c r="J56" s="2463"/>
      <c r="K56" s="2462">
        <f>J55*K54</f>
        <v>0</v>
      </c>
      <c r="L56" s="2366"/>
      <c r="M56" s="2462">
        <f>L55*M54</f>
        <v>0</v>
      </c>
      <c r="N56" s="2366"/>
      <c r="O56" s="2462">
        <f>N55*O54</f>
        <v>0</v>
      </c>
      <c r="P56" s="2366"/>
      <c r="Q56" s="2462">
        <f>P55*Q54</f>
        <v>0</v>
      </c>
      <c r="R56" s="2366"/>
      <c r="S56" s="2462">
        <f>R55*S54</f>
        <v>0</v>
      </c>
    </row>
    <row r="57" spans="1:19">
      <c r="A57" s="2358"/>
      <c r="B57" s="2359"/>
      <c r="C57" s="2360"/>
      <c r="D57" s="2360"/>
      <c r="E57" s="2361"/>
      <c r="F57" s="2362"/>
      <c r="G57" s="2363"/>
      <c r="H57" s="2366"/>
      <c r="I57" s="2464"/>
      <c r="J57" s="2463"/>
      <c r="K57" s="2464"/>
      <c r="L57" s="2366"/>
      <c r="M57" s="2464"/>
      <c r="N57" s="2366"/>
      <c r="O57" s="2464"/>
      <c r="P57" s="2366"/>
      <c r="Q57" s="2464"/>
      <c r="R57" s="2366"/>
      <c r="S57" s="2464"/>
    </row>
    <row r="58" spans="1:19">
      <c r="A58" s="2358"/>
      <c r="B58" s="2359"/>
      <c r="C58" s="2360"/>
      <c r="D58" s="2360"/>
      <c r="E58" s="2361"/>
      <c r="F58" s="2362" t="s">
        <v>570</v>
      </c>
      <c r="G58" s="2363"/>
      <c r="H58" s="2368"/>
      <c r="I58" s="2465">
        <f>SUM(I54:I56)</f>
        <v>190000</v>
      </c>
      <c r="J58" s="2466"/>
      <c r="K58" s="2465">
        <f>SUM(K54:K56)</f>
        <v>0</v>
      </c>
      <c r="L58" s="2368"/>
      <c r="M58" s="2465">
        <f>SUM(M54:M56)</f>
        <v>0</v>
      </c>
      <c r="N58" s="2368"/>
      <c r="O58" s="2465">
        <f>SUM(O54:O56)</f>
        <v>0</v>
      </c>
      <c r="P58" s="2368"/>
      <c r="Q58" s="2465">
        <f>SUM(Q54:Q56)</f>
        <v>0</v>
      </c>
      <c r="R58" s="2368"/>
      <c r="S58" s="2465">
        <f>SUM(S54:S56)</f>
        <v>0</v>
      </c>
    </row>
    <row r="59" spans="1:19">
      <c r="A59" s="2358"/>
      <c r="B59" s="2359"/>
      <c r="C59" s="2360"/>
      <c r="D59" s="2360"/>
      <c r="E59" s="2361"/>
      <c r="F59" s="2370" t="s">
        <v>571</v>
      </c>
      <c r="G59" s="2371"/>
      <c r="H59" s="2372"/>
      <c r="I59" s="2373" t="e">
        <f>I58/'Area Calculations'!$J$4</f>
        <v>#DIV/0!</v>
      </c>
      <c r="J59" s="2467"/>
      <c r="K59" s="2373" t="e">
        <f>K58/'Area Calculations'!$J$4</f>
        <v>#DIV/0!</v>
      </c>
      <c r="L59" s="2372"/>
      <c r="M59" s="2373" t="e">
        <f>M58/'Area Calculations'!$J$4</f>
        <v>#DIV/0!</v>
      </c>
      <c r="N59" s="2372"/>
      <c r="O59" s="2373" t="e">
        <f>O58/'Area Calculations'!$J$4</f>
        <v>#DIV/0!</v>
      </c>
      <c r="P59" s="2372"/>
      <c r="Q59" s="2373" t="e">
        <f>Q58/'Area Calculations'!$J$4</f>
        <v>#DIV/0!</v>
      </c>
      <c r="R59" s="2372"/>
      <c r="S59" s="2373" t="e">
        <f>S58/'Area Calculations'!$J$4</f>
        <v>#DIV/0!</v>
      </c>
    </row>
    <row r="60" spans="1:19">
      <c r="A60" s="2358"/>
      <c r="B60" s="2359"/>
      <c r="C60" s="2360"/>
      <c r="D60" s="2360"/>
      <c r="E60" s="2361"/>
      <c r="F60" s="2370" t="s">
        <v>572</v>
      </c>
      <c r="G60" s="2374"/>
      <c r="H60" s="2372"/>
      <c r="I60" s="2373" t="e">
        <f>I58/'Area Calculations'!#REF!</f>
        <v>#REF!</v>
      </c>
      <c r="J60" s="2467"/>
      <c r="K60" s="2373" t="e">
        <f>K58/'Area Calculations'!#REF!</f>
        <v>#REF!</v>
      </c>
      <c r="L60" s="2372"/>
      <c r="M60" s="2373" t="e">
        <f>M58/'Area Calculations'!#REF!</f>
        <v>#REF!</v>
      </c>
      <c r="N60" s="2372"/>
      <c r="O60" s="2373" t="e">
        <f>O58/'Area Calculations'!#REF!</f>
        <v>#REF!</v>
      </c>
      <c r="P60" s="2372"/>
      <c r="Q60" s="2373" t="e">
        <f>Q58/'Area Calculations'!#REF!</f>
        <v>#REF!</v>
      </c>
      <c r="R60" s="2372"/>
      <c r="S60" s="2373" t="e">
        <f>S58/'Area Calculations'!#REF!</f>
        <v>#REF!</v>
      </c>
    </row>
    <row r="61" spans="1:19">
      <c r="A61" s="2358"/>
      <c r="B61" s="2359"/>
      <c r="C61" s="2360"/>
      <c r="D61" s="2360"/>
      <c r="E61" s="2361"/>
      <c r="F61" s="2362"/>
      <c r="G61" s="2375"/>
      <c r="H61" s="2376"/>
      <c r="I61" s="2377"/>
      <c r="J61" s="2468"/>
      <c r="K61" s="2377"/>
      <c r="L61" s="2376"/>
      <c r="M61" s="2377"/>
      <c r="N61" s="2376"/>
      <c r="O61" s="2377"/>
      <c r="P61" s="2376"/>
      <c r="Q61" s="2377"/>
      <c r="R61" s="2376"/>
      <c r="S61" s="2377"/>
    </row>
    <row r="62" spans="1:19">
      <c r="A62" s="726" t="s">
        <v>573</v>
      </c>
      <c r="B62" s="727"/>
      <c r="C62" s="12"/>
      <c r="D62" s="12"/>
      <c r="E62" s="12"/>
      <c r="F62" s="12"/>
      <c r="G62" s="13"/>
      <c r="H62" s="21"/>
      <c r="I62" s="21"/>
      <c r="J62" s="52"/>
      <c r="K62" s="21"/>
      <c r="L62" s="21"/>
      <c r="M62" s="21"/>
      <c r="N62" s="21"/>
      <c r="O62" s="21"/>
      <c r="P62" s="21"/>
      <c r="Q62" s="21"/>
      <c r="R62" s="21"/>
      <c r="S62" s="21"/>
    </row>
    <row r="63" spans="1:19">
      <c r="A63" s="2509"/>
      <c r="B63" s="2404"/>
      <c r="C63" s="2510"/>
      <c r="D63" s="2510"/>
      <c r="E63" s="2510"/>
      <c r="F63" s="2510"/>
      <c r="G63" s="2511"/>
      <c r="H63" s="2512"/>
      <c r="I63" s="2512"/>
      <c r="J63" s="2513"/>
      <c r="K63" s="2512"/>
      <c r="L63" s="2512"/>
      <c r="M63" s="2512"/>
      <c r="N63" s="2512"/>
      <c r="O63" s="2512"/>
      <c r="P63" s="2512"/>
      <c r="Q63" s="2512"/>
      <c r="R63" s="2512"/>
      <c r="S63" s="2512"/>
    </row>
    <row r="64" spans="1:19" s="2" customFormat="1">
      <c r="A64" s="2509"/>
      <c r="B64" s="2404"/>
      <c r="C64" s="2510"/>
      <c r="D64" s="2510"/>
      <c r="E64" s="2510"/>
      <c r="F64" s="2510"/>
      <c r="G64" s="2511"/>
      <c r="H64" s="2512"/>
      <c r="I64" s="2512"/>
      <c r="J64" s="2513"/>
      <c r="K64" s="2512"/>
      <c r="L64" s="2512"/>
      <c r="M64" s="2512"/>
      <c r="N64" s="2512"/>
      <c r="O64" s="2512"/>
      <c r="P64" s="2512"/>
      <c r="Q64" s="2512"/>
      <c r="R64" s="2512"/>
      <c r="S64" s="2512"/>
    </row>
    <row r="65" spans="1:19" s="2" customFormat="1">
      <c r="A65" s="2509"/>
      <c r="B65" s="2404"/>
      <c r="C65" s="2510"/>
      <c r="D65" s="2510"/>
      <c r="E65" s="2510"/>
      <c r="F65" s="2510"/>
      <c r="G65" s="2511"/>
      <c r="H65" s="2512"/>
      <c r="I65" s="2512"/>
      <c r="J65" s="2513"/>
      <c r="K65" s="2512"/>
      <c r="L65" s="2512"/>
      <c r="M65" s="2512"/>
      <c r="N65" s="2512"/>
      <c r="O65" s="2512"/>
      <c r="P65" s="2512"/>
      <c r="Q65" s="2512"/>
      <c r="R65" s="2512"/>
      <c r="S65" s="2512"/>
    </row>
    <row r="66" spans="1:19">
      <c r="A66" s="726" t="s">
        <v>574</v>
      </c>
      <c r="B66" s="727"/>
      <c r="C66" s="12"/>
      <c r="D66" s="12"/>
      <c r="E66" s="12"/>
      <c r="F66" s="12"/>
      <c r="G66" s="13"/>
      <c r="H66" s="21"/>
      <c r="I66" s="21"/>
      <c r="J66" s="52"/>
      <c r="K66" s="21"/>
      <c r="L66" s="21"/>
      <c r="M66" s="21"/>
      <c r="N66" s="21"/>
      <c r="O66" s="21"/>
      <c r="P66" s="21"/>
      <c r="Q66" s="21"/>
      <c r="R66" s="21"/>
      <c r="S66" s="21"/>
    </row>
    <row r="67" spans="1:19" s="2" customFormat="1">
      <c r="A67" s="2509"/>
      <c r="B67" s="2404"/>
      <c r="C67" s="2510"/>
      <c r="D67" s="2510"/>
      <c r="E67" s="2510"/>
      <c r="F67" s="2510"/>
      <c r="G67" s="2511"/>
      <c r="H67" s="2512"/>
      <c r="I67" s="2512"/>
      <c r="J67" s="2513"/>
      <c r="K67" s="2512"/>
      <c r="L67" s="2512"/>
      <c r="M67" s="2512"/>
      <c r="N67" s="2512"/>
      <c r="O67" s="2512"/>
      <c r="P67" s="2512"/>
      <c r="Q67" s="2512"/>
      <c r="R67" s="2512"/>
      <c r="S67" s="2512"/>
    </row>
    <row r="68" spans="1:19" s="2" customFormat="1">
      <c r="A68" s="2509"/>
      <c r="B68" s="2404"/>
      <c r="C68" s="2510"/>
      <c r="D68" s="2510"/>
      <c r="E68" s="2510"/>
      <c r="F68" s="2510"/>
      <c r="G68" s="2511"/>
      <c r="H68" s="2512"/>
      <c r="I68" s="2512"/>
      <c r="J68" s="2513"/>
      <c r="K68" s="2512"/>
      <c r="L68" s="2512"/>
      <c r="M68" s="2512"/>
      <c r="N68" s="2512"/>
      <c r="O68" s="2512"/>
      <c r="P68" s="2512"/>
      <c r="Q68" s="2512"/>
      <c r="R68" s="2512"/>
      <c r="S68" s="2512"/>
    </row>
    <row r="69" spans="1:19">
      <c r="A69" s="2509"/>
      <c r="B69" s="2404"/>
      <c r="C69" s="2510"/>
      <c r="D69" s="2510"/>
      <c r="E69" s="2510"/>
      <c r="F69" s="2510"/>
      <c r="G69" s="2511"/>
      <c r="H69" s="2512"/>
      <c r="I69" s="2512"/>
      <c r="J69" s="2513"/>
      <c r="K69" s="2512"/>
      <c r="L69" s="2512"/>
      <c r="M69" s="2512"/>
      <c r="N69" s="2512"/>
      <c r="O69" s="2512"/>
      <c r="P69" s="2512"/>
      <c r="Q69" s="2512"/>
      <c r="R69" s="2512"/>
      <c r="S69" s="2512"/>
    </row>
    <row r="70" spans="1:19">
      <c r="A70" s="726" t="s">
        <v>575</v>
      </c>
      <c r="B70" s="727"/>
      <c r="C70" s="12"/>
      <c r="D70" s="12"/>
      <c r="E70" s="12"/>
      <c r="F70" s="12"/>
      <c r="G70" s="13"/>
      <c r="H70" s="21"/>
      <c r="I70" s="21"/>
      <c r="J70" s="52"/>
      <c r="K70" s="21"/>
      <c r="L70" s="21"/>
      <c r="M70" s="21"/>
      <c r="N70" s="21"/>
      <c r="O70" s="21"/>
      <c r="P70" s="21"/>
      <c r="Q70" s="21"/>
      <c r="R70" s="21"/>
      <c r="S70" s="21"/>
    </row>
    <row r="71" spans="1:19">
      <c r="A71" s="2509"/>
      <c r="B71" s="2404"/>
      <c r="C71" s="2510"/>
      <c r="D71" s="2510"/>
      <c r="E71" s="2510"/>
      <c r="F71" s="2510"/>
      <c r="G71" s="2511"/>
      <c r="H71" s="2512"/>
      <c r="I71" s="2512"/>
      <c r="J71" s="2513"/>
      <c r="K71" s="2512"/>
      <c r="L71" s="2512"/>
      <c r="M71" s="2512"/>
      <c r="N71" s="2512"/>
      <c r="O71" s="2512"/>
      <c r="P71" s="2512"/>
      <c r="Q71" s="2512"/>
      <c r="R71" s="2512"/>
      <c r="S71" s="2512"/>
    </row>
    <row r="72" spans="1:19">
      <c r="A72" s="2421"/>
      <c r="B72" s="2404"/>
      <c r="C72" s="2405"/>
      <c r="D72" s="2405"/>
      <c r="E72" s="2405"/>
      <c r="F72" s="2405"/>
      <c r="G72" s="2423"/>
      <c r="H72" s="2382"/>
      <c r="I72" s="2382"/>
      <c r="J72" s="2474"/>
      <c r="K72" s="2382"/>
      <c r="L72" s="2382"/>
      <c r="M72" s="2382"/>
      <c r="N72" s="2382"/>
      <c r="O72" s="2382"/>
      <c r="P72" s="2382"/>
      <c r="Q72" s="2382"/>
      <c r="R72" s="2382"/>
      <c r="S72" s="2382"/>
    </row>
    <row r="73" spans="1:19">
      <c r="A73" s="2383"/>
      <c r="B73" s="2384"/>
      <c r="C73" s="2405"/>
      <c r="D73" s="2405"/>
      <c r="E73" s="2405"/>
      <c r="F73" s="2405"/>
      <c r="G73" s="2423"/>
      <c r="H73" s="2385"/>
      <c r="I73" s="2385"/>
      <c r="J73" s="2475"/>
      <c r="K73" s="2385"/>
      <c r="L73" s="2385"/>
      <c r="M73" s="2385"/>
      <c r="N73" s="2385"/>
      <c r="O73" s="2385"/>
      <c r="P73" s="2385"/>
      <c r="Q73" s="2385"/>
      <c r="R73" s="2385"/>
      <c r="S73" s="2385"/>
    </row>
    <row r="74" spans="1:19">
      <c r="A74" s="726" t="s">
        <v>576</v>
      </c>
      <c r="B74" s="727"/>
      <c r="C74" s="12"/>
      <c r="D74" s="12"/>
      <c r="E74" s="12"/>
      <c r="F74" s="12"/>
      <c r="G74" s="13"/>
      <c r="H74" s="21"/>
      <c r="I74" s="21"/>
      <c r="J74" s="52"/>
      <c r="K74" s="21"/>
      <c r="L74" s="21"/>
      <c r="M74" s="21"/>
      <c r="N74" s="21"/>
      <c r="O74" s="21"/>
      <c r="P74" s="21"/>
      <c r="Q74" s="21"/>
      <c r="R74" s="21"/>
      <c r="S74" s="21"/>
    </row>
    <row r="75" spans="1:19">
      <c r="A75" s="2514"/>
      <c r="B75" s="2515"/>
      <c r="C75" s="2510"/>
      <c r="D75" s="2510"/>
      <c r="E75" s="2510"/>
      <c r="F75" s="2510"/>
      <c r="G75" s="2511"/>
      <c r="H75" s="2512"/>
      <c r="I75" s="2512"/>
      <c r="J75" s="2513"/>
      <c r="K75" s="2512"/>
      <c r="L75" s="2512"/>
      <c r="M75" s="2512"/>
      <c r="N75" s="2512"/>
      <c r="O75" s="2512"/>
      <c r="P75" s="2512"/>
      <c r="Q75" s="2512"/>
      <c r="R75" s="2512"/>
      <c r="S75" s="2512"/>
    </row>
    <row r="76" spans="1:19">
      <c r="A76" s="2383"/>
      <c r="B76" s="2384"/>
      <c r="C76" s="2405"/>
      <c r="D76" s="2405"/>
      <c r="E76" s="2405"/>
      <c r="F76" s="2405"/>
      <c r="G76" s="2423"/>
      <c r="H76" s="2388"/>
      <c r="I76" s="2388"/>
      <c r="J76" s="2478"/>
      <c r="K76" s="2388"/>
      <c r="L76" s="2388"/>
      <c r="M76" s="2388"/>
      <c r="N76" s="2388"/>
      <c r="O76" s="2388"/>
      <c r="P76" s="2388"/>
      <c r="Q76" s="2388"/>
      <c r="R76" s="2388"/>
      <c r="S76" s="2388"/>
    </row>
    <row r="77" spans="1:19">
      <c r="A77" s="2383"/>
      <c r="B77" s="2384"/>
      <c r="C77" s="2405"/>
      <c r="D77" s="2405"/>
      <c r="E77" s="2405"/>
      <c r="F77" s="2405"/>
      <c r="G77" s="2423"/>
      <c r="H77" s="2388"/>
      <c r="I77" s="2388"/>
      <c r="J77" s="2478"/>
      <c r="K77" s="2388"/>
      <c r="L77" s="2388"/>
      <c r="M77" s="2388"/>
      <c r="N77" s="2388"/>
      <c r="O77" s="2388"/>
      <c r="P77" s="2388"/>
      <c r="Q77" s="2388"/>
      <c r="R77" s="2388"/>
      <c r="S77" s="2388"/>
    </row>
    <row r="78" spans="1:19">
      <c r="A78" s="726" t="s">
        <v>577</v>
      </c>
      <c r="B78" s="727"/>
      <c r="C78" s="12"/>
      <c r="D78" s="12"/>
      <c r="E78" s="12"/>
      <c r="F78" s="12"/>
      <c r="G78" s="13"/>
      <c r="H78" s="21"/>
      <c r="I78" s="21"/>
      <c r="J78" s="52"/>
      <c r="K78" s="21"/>
      <c r="L78" s="21"/>
      <c r="M78" s="21"/>
      <c r="N78" s="21"/>
      <c r="O78" s="21"/>
      <c r="P78" s="21"/>
      <c r="Q78" s="21"/>
      <c r="R78" s="21"/>
      <c r="S78" s="21"/>
    </row>
    <row r="79" spans="1:19">
      <c r="A79" s="2421"/>
      <c r="B79" s="2404" t="s">
        <v>578</v>
      </c>
      <c r="C79" s="2405"/>
      <c r="D79" s="2405"/>
      <c r="E79" s="2405"/>
      <c r="F79" s="2405"/>
      <c r="G79" s="2423"/>
      <c r="H79" s="2388"/>
      <c r="I79" s="2388"/>
      <c r="J79" s="2478"/>
      <c r="K79" s="2388"/>
      <c r="L79" s="2388"/>
      <c r="M79" s="2388"/>
      <c r="N79" s="2388"/>
      <c r="O79" s="2388"/>
      <c r="P79" s="2388"/>
      <c r="Q79" s="2388"/>
      <c r="R79" s="2388"/>
      <c r="S79" s="2388"/>
    </row>
    <row r="80" spans="1:19">
      <c r="A80" s="2421"/>
      <c r="B80" s="2404" t="s">
        <v>579</v>
      </c>
      <c r="C80" s="2405"/>
      <c r="D80" s="2405"/>
      <c r="E80" s="2405"/>
      <c r="F80" s="2405"/>
      <c r="G80" s="2423"/>
      <c r="H80" s="2388"/>
      <c r="I80" s="2388"/>
      <c r="J80" s="2478"/>
      <c r="K80" s="2388"/>
      <c r="L80" s="2388"/>
      <c r="M80" s="2388"/>
      <c r="N80" s="2388"/>
      <c r="O80" s="2388"/>
      <c r="P80" s="2388"/>
      <c r="Q80" s="2388"/>
      <c r="R80" s="2388"/>
      <c r="S80" s="2388"/>
    </row>
    <row r="81" spans="1:19">
      <c r="A81" s="2421"/>
      <c r="B81" s="2404" t="s">
        <v>580</v>
      </c>
      <c r="C81" s="2405"/>
      <c r="D81" s="2405"/>
      <c r="E81" s="2405"/>
      <c r="F81" s="2405"/>
      <c r="G81" s="2423"/>
      <c r="H81" s="2388"/>
      <c r="I81" s="2388"/>
      <c r="J81" s="2478"/>
      <c r="K81" s="2388"/>
      <c r="L81" s="2388"/>
      <c r="M81" s="2388"/>
      <c r="N81" s="2388"/>
      <c r="O81" s="2388"/>
      <c r="P81" s="2388"/>
      <c r="Q81" s="2388"/>
      <c r="R81" s="2388"/>
      <c r="S81" s="2388"/>
    </row>
    <row r="82" spans="1:19">
      <c r="A82" s="2421"/>
      <c r="B82" s="2404" t="s">
        <v>581</v>
      </c>
      <c r="C82" s="2405"/>
      <c r="D82" s="2405"/>
      <c r="E82" s="2405"/>
      <c r="F82" s="2405"/>
      <c r="G82" s="2423"/>
      <c r="H82" s="2388"/>
      <c r="I82" s="2388"/>
      <c r="J82" s="2478"/>
      <c r="K82" s="2388"/>
      <c r="L82" s="2388"/>
      <c r="M82" s="2388"/>
      <c r="N82" s="2388"/>
      <c r="O82" s="2388"/>
      <c r="P82" s="2388"/>
      <c r="Q82" s="2388"/>
      <c r="R82" s="2388"/>
      <c r="S82" s="2388"/>
    </row>
    <row r="83" spans="1:19">
      <c r="A83" s="416"/>
      <c r="B83" s="295"/>
      <c r="C83" s="184"/>
      <c r="D83" s="184"/>
      <c r="E83" s="184"/>
      <c r="F83" s="184"/>
      <c r="G83" s="296"/>
      <c r="H83" s="418"/>
      <c r="I83" s="418"/>
      <c r="J83" s="53"/>
      <c r="K83" s="418"/>
      <c r="L83" s="418"/>
      <c r="M83" s="418"/>
      <c r="N83" s="418"/>
      <c r="O83" s="418"/>
      <c r="P83" s="418"/>
      <c r="Q83" s="418"/>
      <c r="R83" s="418"/>
      <c r="S83" s="418"/>
    </row>
    <row r="84" spans="1:19">
      <c r="A84" s="7" t="s">
        <v>582</v>
      </c>
      <c r="B84" s="8"/>
      <c r="C84" s="12"/>
      <c r="D84" s="12"/>
      <c r="E84" s="12"/>
      <c r="F84" s="12"/>
      <c r="G84" s="13"/>
      <c r="H84" s="21"/>
      <c r="I84" s="21"/>
      <c r="J84" s="52"/>
      <c r="K84" s="21"/>
      <c r="L84" s="21"/>
      <c r="M84" s="21"/>
      <c r="N84" s="21"/>
      <c r="O84" s="21"/>
      <c r="P84" s="21"/>
      <c r="Q84" s="21"/>
      <c r="R84" s="21"/>
      <c r="S84" s="21"/>
    </row>
    <row r="85" spans="1:19">
      <c r="A85" s="2509"/>
      <c r="B85" s="2516" t="s">
        <v>583</v>
      </c>
      <c r="C85" s="2510"/>
      <c r="D85" s="2510"/>
      <c r="E85" s="2510"/>
      <c r="F85" s="2510"/>
      <c r="G85" s="2511"/>
      <c r="H85" s="2517"/>
      <c r="I85" s="2517"/>
      <c r="J85" s="2321"/>
      <c r="K85" s="2517"/>
      <c r="L85" s="2517"/>
      <c r="M85" s="2517"/>
      <c r="N85" s="2517"/>
      <c r="O85" s="2517"/>
      <c r="P85" s="2517"/>
      <c r="Q85" s="2517"/>
      <c r="R85" s="2517"/>
      <c r="S85" s="2517"/>
    </row>
    <row r="86" spans="1:19">
      <c r="A86" s="2421"/>
      <c r="B86" s="2404" t="s">
        <v>584</v>
      </c>
      <c r="C86" s="2405"/>
      <c r="D86" s="2405"/>
      <c r="E86" s="2405"/>
      <c r="F86" s="2405"/>
      <c r="G86" s="2423"/>
      <c r="H86" s="2390"/>
      <c r="I86" s="2390"/>
      <c r="J86" s="2481"/>
      <c r="K86" s="2390"/>
      <c r="L86" s="2390"/>
      <c r="M86" s="2390"/>
      <c r="N86" s="2390"/>
      <c r="O86" s="2390"/>
      <c r="P86" s="2390"/>
      <c r="Q86" s="2390"/>
      <c r="R86" s="2390"/>
      <c r="S86" s="2390"/>
    </row>
    <row r="87" spans="1:19">
      <c r="A87" s="2391"/>
      <c r="B87" s="2392" t="s">
        <v>585</v>
      </c>
      <c r="C87" s="2393"/>
      <c r="D87" s="2393"/>
      <c r="E87" s="2393"/>
      <c r="F87" s="2393"/>
      <c r="G87" s="2394"/>
      <c r="H87" s="2395"/>
      <c r="I87" s="2395"/>
      <c r="J87" s="2482"/>
      <c r="K87" s="2395"/>
      <c r="L87" s="2395"/>
      <c r="M87" s="2395"/>
      <c r="N87" s="2395"/>
      <c r="O87" s="2395"/>
      <c r="P87" s="2395"/>
      <c r="Q87" s="2395"/>
      <c r="R87" s="2395"/>
      <c r="S87" s="2395"/>
    </row>
    <row r="89" spans="1:19">
      <c r="A89" s="92" t="s">
        <v>586</v>
      </c>
      <c r="B89" s="94"/>
    </row>
    <row r="90" spans="1:19">
      <c r="A90" s="93" t="s">
        <v>487</v>
      </c>
      <c r="B90" s="2396"/>
    </row>
    <row r="91" spans="1:19">
      <c r="A91" s="2397" t="s">
        <v>491</v>
      </c>
      <c r="B91" s="2396"/>
    </row>
    <row r="92" spans="1:19">
      <c r="A92" s="2398" t="s">
        <v>494</v>
      </c>
      <c r="B92" s="2399"/>
    </row>
    <row r="93" spans="1:19">
      <c r="A93" s="2398" t="s">
        <v>497</v>
      </c>
      <c r="B93" s="2400"/>
    </row>
    <row r="94" spans="1:19">
      <c r="A94" s="2401" t="s">
        <v>587</v>
      </c>
      <c r="B94" s="2402">
        <f>H8</f>
        <v>190000</v>
      </c>
    </row>
    <row r="96" spans="1:19">
      <c r="A96" s="95"/>
      <c r="B96" s="1" t="s">
        <v>588</v>
      </c>
    </row>
    <row r="97" spans="1:2">
      <c r="A97" s="96"/>
      <c r="B9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2:B62"/>
    <mergeCell ref="A66:B66"/>
    <mergeCell ref="A70:B70"/>
    <mergeCell ref="A74:B74"/>
    <mergeCell ref="A78:B78"/>
  </mergeCells>
  <conditionalFormatting sqref="H20:H30 J32:J53 L32:L53 N32:N53 P32:P53 R32:R53">
    <cfRule type="cellIs" dxfId="883" priority="5" operator="equal">
      <formula>"X"</formula>
    </cfRule>
    <cfRule type="cellIs" dxfId="882" priority="6" operator="equal">
      <formula>"I"</formula>
    </cfRule>
  </conditionalFormatting>
  <conditionalFormatting sqref="H32:H53">
    <cfRule type="cellIs" dxfId="881" priority="3" operator="equal">
      <formula>"X"</formula>
    </cfRule>
    <cfRule type="cellIs" dxfId="880" priority="4" operator="equal">
      <formula>"I"</formula>
    </cfRule>
  </conditionalFormatting>
  <conditionalFormatting sqref="J20:J30">
    <cfRule type="cellIs" dxfId="879" priority="9" operator="equal">
      <formula>"X"</formula>
    </cfRule>
    <cfRule type="cellIs" dxfId="878" priority="10" operator="equal">
      <formula>"I"</formula>
    </cfRule>
  </conditionalFormatting>
  <conditionalFormatting sqref="L20:L30">
    <cfRule type="cellIs" dxfId="877" priority="13" operator="equal">
      <formula>"X"</formula>
    </cfRule>
    <cfRule type="cellIs" dxfId="876" priority="14" operator="equal">
      <formula>"I"</formula>
    </cfRule>
  </conditionalFormatting>
  <conditionalFormatting sqref="N20:N30">
    <cfRule type="cellIs" dxfId="875" priority="17" operator="equal">
      <formula>"X"</formula>
    </cfRule>
    <cfRule type="cellIs" dxfId="874" priority="18" operator="equal">
      <formula>"I"</formula>
    </cfRule>
  </conditionalFormatting>
  <conditionalFormatting sqref="P20:P30">
    <cfRule type="cellIs" dxfId="873" priority="21" operator="equal">
      <formula>"X"</formula>
    </cfRule>
    <cfRule type="cellIs" dxfId="872" priority="22" operator="equal">
      <formula>"I"</formula>
    </cfRule>
  </conditionalFormatting>
  <conditionalFormatting sqref="R20:R30">
    <cfRule type="cellIs" dxfId="871" priority="25" operator="equal">
      <formula>"X"</formula>
    </cfRule>
    <cfRule type="cellIs" dxfId="870" priority="26" operator="equal">
      <formula>"I"</formula>
    </cfRule>
  </conditionalFormatting>
  <hyperlinks>
    <hyperlink ref="B3" location="'Cost Summary'!A1" display="BACK TO SUMMARY SHEET" xr:uid="{1319B25A-0575-4B74-8B1D-FDD9BADAA8A1}"/>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7A28-1B96-4878-9CE3-BBD9B1762ABE}">
  <sheetPr>
    <tabColor rgb="FF92D050"/>
  </sheetPr>
  <dimension ref="A1:S105"/>
  <sheetViews>
    <sheetView workbookViewId="0">
      <pane xSplit="2" ySplit="9" topLeftCell="C27" activePane="bottomRight" state="frozen"/>
      <selection pane="bottomRight" activeCell="F40" sqref="F40"/>
      <selection pane="bottomLeft" sqref="A1:B1"/>
      <selection pane="topRight" sqref="A1:B1"/>
    </sheetView>
  </sheetViews>
  <sheetFormatPr defaultRowHeight="15"/>
  <cols>
    <col min="1" max="1" width="11" customWidth="1"/>
    <col min="2" max="2" width="70.7109375" style="1" customWidth="1"/>
    <col min="3" max="3" width="14.140625" style="2" customWidth="1"/>
    <col min="4" max="4" width="8.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80"/>
      <c r="I4" s="779"/>
      <c r="J4" s="779"/>
      <c r="K4" s="779"/>
      <c r="L4" s="779"/>
      <c r="M4" s="779"/>
      <c r="N4" s="779"/>
      <c r="O4" s="779"/>
      <c r="P4" s="779"/>
      <c r="Q4" s="779"/>
      <c r="R4" s="779"/>
      <c r="S4" s="779"/>
    </row>
    <row r="5" spans="1:19">
      <c r="A5" s="2403" t="s">
        <v>489</v>
      </c>
      <c r="B5" s="2404" t="s">
        <v>631</v>
      </c>
      <c r="C5" s="2405"/>
      <c r="D5" s="2405"/>
      <c r="E5" s="2405"/>
      <c r="F5" s="2405"/>
      <c r="G5" s="2406" t="s">
        <v>491</v>
      </c>
      <c r="H5" s="2518"/>
      <c r="I5" s="2518"/>
      <c r="J5" s="2518"/>
      <c r="K5" s="2518"/>
      <c r="L5" s="2518"/>
      <c r="M5" s="2518"/>
      <c r="N5" s="2518"/>
      <c r="O5" s="2518"/>
      <c r="P5" s="2518"/>
      <c r="Q5" s="2518"/>
      <c r="R5" s="2518"/>
      <c r="S5" s="2518"/>
    </row>
    <row r="6" spans="1:19">
      <c r="A6" s="2403" t="s">
        <v>493</v>
      </c>
      <c r="B6" s="2410" t="s">
        <v>630</v>
      </c>
      <c r="C6" s="2405"/>
      <c r="D6" s="2405"/>
      <c r="E6" s="2405"/>
      <c r="F6" s="2405"/>
      <c r="G6" s="2406" t="s">
        <v>494</v>
      </c>
      <c r="H6" s="2519"/>
      <c r="I6" s="2519"/>
      <c r="J6" s="2519"/>
      <c r="K6" s="2519"/>
      <c r="L6" s="2519"/>
      <c r="M6" s="2519"/>
      <c r="N6" s="2519"/>
      <c r="O6" s="2519"/>
      <c r="P6" s="2519"/>
      <c r="Q6" s="2519"/>
      <c r="R6" s="2519"/>
      <c r="S6" s="2519"/>
    </row>
    <row r="7" spans="1:19">
      <c r="A7" s="2403" t="s">
        <v>496</v>
      </c>
      <c r="B7" s="2414"/>
      <c r="C7" s="2405"/>
      <c r="D7" s="2405"/>
      <c r="E7" s="2405"/>
      <c r="F7" s="2405"/>
      <c r="G7" s="2406" t="s">
        <v>497</v>
      </c>
      <c r="H7" s="2520"/>
      <c r="I7" s="2520"/>
      <c r="J7" s="2520"/>
      <c r="K7" s="2520"/>
      <c r="L7" s="2520"/>
      <c r="M7" s="2520"/>
      <c r="N7" s="2520"/>
      <c r="O7" s="2520"/>
      <c r="P7" s="2520"/>
      <c r="Q7" s="2520"/>
      <c r="R7" s="2520"/>
      <c r="S7" s="2520"/>
    </row>
    <row r="8" spans="1:19" ht="15.75" thickBot="1">
      <c r="A8" s="414" t="s">
        <v>499</v>
      </c>
      <c r="B8" s="295"/>
      <c r="C8" s="184"/>
      <c r="D8" s="184"/>
      <c r="E8" s="184"/>
      <c r="F8" s="184"/>
      <c r="G8" s="419" t="s">
        <v>499</v>
      </c>
      <c r="H8" s="2418">
        <f>I66</f>
        <v>28590</v>
      </c>
      <c r="I8" s="2419"/>
      <c r="J8" s="2418">
        <f>K66</f>
        <v>0</v>
      </c>
      <c r="K8" s="2419"/>
      <c r="L8" s="2418">
        <f>M66</f>
        <v>0</v>
      </c>
      <c r="M8" s="2419"/>
      <c r="N8" s="2418">
        <f>O66</f>
        <v>0</v>
      </c>
      <c r="O8" s="2419"/>
      <c r="P8" s="2418">
        <f>Q66</f>
        <v>0</v>
      </c>
      <c r="Q8" s="2419"/>
      <c r="R8" s="2418">
        <f>S66</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52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59"/>
      <c r="B22" s="2428" t="s">
        <v>631</v>
      </c>
      <c r="C22" s="56"/>
      <c r="D22" s="57"/>
      <c r="E22" s="57"/>
      <c r="F22" s="57"/>
      <c r="G22" s="63"/>
      <c r="H22" s="2427"/>
      <c r="I22" s="2499"/>
      <c r="J22" s="2427"/>
      <c r="K22" s="2499"/>
      <c r="L22" s="2427"/>
      <c r="M22" s="2499"/>
      <c r="N22" s="2427"/>
      <c r="O22" s="2499"/>
      <c r="P22" s="2427"/>
      <c r="Q22" s="2499"/>
      <c r="R22" s="2427"/>
      <c r="S22" s="2499"/>
    </row>
    <row r="23" spans="1:19">
      <c r="A23" s="2507"/>
      <c r="B23" s="2318" t="s">
        <v>512</v>
      </c>
      <c r="C23" s="2426"/>
      <c r="D23" s="2405"/>
      <c r="E23" s="2405"/>
      <c r="F23" s="2405"/>
      <c r="G23" s="2423"/>
      <c r="H23" s="2427"/>
      <c r="I23" s="2499"/>
      <c r="J23" s="2427"/>
      <c r="K23" s="2499"/>
      <c r="L23" s="2427"/>
      <c r="M23" s="2499"/>
      <c r="N23" s="2427"/>
      <c r="O23" s="2499"/>
      <c r="P23" s="2427"/>
      <c r="Q23" s="2499"/>
      <c r="R23" s="2427"/>
      <c r="S23" s="2499"/>
    </row>
    <row r="24" spans="1:19">
      <c r="A24" s="2507"/>
      <c r="B24" s="2522" t="s">
        <v>513</v>
      </c>
      <c r="C24" s="2426"/>
      <c r="D24" s="2405"/>
      <c r="E24" s="2405"/>
      <c r="F24" s="2405"/>
      <c r="G24" s="2423"/>
      <c r="H24" s="2427"/>
      <c r="I24" s="2499"/>
      <c r="J24" s="2427"/>
      <c r="K24" s="2523"/>
      <c r="L24" s="2427"/>
      <c r="M24" s="2523"/>
      <c r="N24" s="2427"/>
      <c r="O24" s="2523"/>
      <c r="P24" s="2427"/>
      <c r="Q24" s="2523"/>
      <c r="R24" s="2427"/>
      <c r="S24" s="2523"/>
    </row>
    <row r="25" spans="1:19">
      <c r="A25" s="2507"/>
      <c r="B25" s="2522" t="s">
        <v>514</v>
      </c>
      <c r="C25" s="2430"/>
      <c r="D25" s="2405"/>
      <c r="E25" s="2405"/>
      <c r="F25" s="2405"/>
      <c r="G25" s="2423"/>
      <c r="H25" s="2427"/>
      <c r="I25" s="2499"/>
      <c r="J25" s="2427"/>
      <c r="K25" s="2523"/>
      <c r="L25" s="2427"/>
      <c r="M25" s="2523"/>
      <c r="N25" s="2427"/>
      <c r="O25" s="2523"/>
      <c r="P25" s="2427"/>
      <c r="Q25" s="2523"/>
      <c r="R25" s="2427"/>
      <c r="S25" s="2523"/>
    </row>
    <row r="26" spans="1:19">
      <c r="A26" s="2507"/>
      <c r="B26" s="2524" t="s">
        <v>515</v>
      </c>
      <c r="C26" s="2430"/>
      <c r="D26" s="2405"/>
      <c r="E26" s="2405"/>
      <c r="F26" s="2405"/>
      <c r="G26" s="2423"/>
      <c r="H26" s="2427"/>
      <c r="I26" s="2499"/>
      <c r="J26" s="2427"/>
      <c r="K26" s="2523"/>
      <c r="L26" s="2427"/>
      <c r="M26" s="2523"/>
      <c r="N26" s="2427"/>
      <c r="O26" s="2523"/>
      <c r="P26" s="2427"/>
      <c r="Q26" s="2523"/>
      <c r="R26" s="2427"/>
      <c r="S26" s="2523"/>
    </row>
    <row r="27" spans="1:19" s="91" customFormat="1">
      <c r="A27" s="2525"/>
      <c r="B27" s="2524" t="s">
        <v>516</v>
      </c>
      <c r="C27" s="2432"/>
      <c r="D27" s="2433"/>
      <c r="E27" s="2433"/>
      <c r="F27" s="2433"/>
      <c r="G27" s="2432"/>
      <c r="H27" s="2427"/>
      <c r="I27" s="2499"/>
      <c r="J27" s="2427"/>
      <c r="K27" s="2526"/>
      <c r="L27" s="2427"/>
      <c r="M27" s="2526"/>
      <c r="N27" s="2427"/>
      <c r="O27" s="2526"/>
      <c r="P27" s="2427"/>
      <c r="Q27" s="2526"/>
      <c r="R27" s="2427"/>
      <c r="S27" s="2526"/>
    </row>
    <row r="28" spans="1:19" s="91" customFormat="1">
      <c r="A28" s="2525"/>
      <c r="B28" s="2524" t="s">
        <v>517</v>
      </c>
      <c r="C28" s="2432"/>
      <c r="D28" s="2433"/>
      <c r="E28" s="2433"/>
      <c r="F28" s="2433"/>
      <c r="G28" s="2432"/>
      <c r="H28" s="2427"/>
      <c r="I28" s="2499"/>
      <c r="J28" s="2427"/>
      <c r="K28" s="2526"/>
      <c r="L28" s="2427"/>
      <c r="M28" s="2526"/>
      <c r="N28" s="2427"/>
      <c r="O28" s="2526"/>
      <c r="P28" s="2427"/>
      <c r="Q28" s="2526"/>
      <c r="R28" s="2427"/>
      <c r="S28" s="2526"/>
    </row>
    <row r="29" spans="1:19" s="91" customFormat="1">
      <c r="A29" s="2525"/>
      <c r="B29" s="2524" t="s">
        <v>518</v>
      </c>
      <c r="C29" s="2432"/>
      <c r="D29" s="2433"/>
      <c r="E29" s="2433"/>
      <c r="F29" s="2433"/>
      <c r="G29" s="2432"/>
      <c r="H29" s="2427"/>
      <c r="I29" s="2499"/>
      <c r="J29" s="2427"/>
      <c r="K29" s="2526"/>
      <c r="L29" s="2427"/>
      <c r="M29" s="2526"/>
      <c r="N29" s="2427"/>
      <c r="O29" s="2526"/>
      <c r="P29" s="2427"/>
      <c r="Q29" s="2526"/>
      <c r="R29" s="2427"/>
      <c r="S29" s="2526"/>
    </row>
    <row r="30" spans="1:19" s="91" customFormat="1">
      <c r="A30" s="2525"/>
      <c r="B30" s="2524" t="s">
        <v>693</v>
      </c>
      <c r="C30" s="2432"/>
      <c r="D30" s="2433"/>
      <c r="E30" s="2433"/>
      <c r="F30" s="2433"/>
      <c r="G30" s="2432"/>
      <c r="H30" s="2427"/>
      <c r="I30" s="2499"/>
      <c r="J30" s="2427"/>
      <c r="K30" s="2526"/>
      <c r="L30" s="2427"/>
      <c r="M30" s="2526"/>
      <c r="N30" s="2427"/>
      <c r="O30" s="2526"/>
      <c r="P30" s="2427"/>
      <c r="Q30" s="2526"/>
      <c r="R30" s="2427"/>
      <c r="S30" s="2526"/>
    </row>
    <row r="31" spans="1:19" s="91" customFormat="1">
      <c r="A31" s="2525"/>
      <c r="B31" s="2527" t="s">
        <v>519</v>
      </c>
      <c r="C31" s="2432"/>
      <c r="D31" s="2433"/>
      <c r="E31" s="2433"/>
      <c r="F31" s="2433"/>
      <c r="G31" s="2432"/>
      <c r="H31" s="2427"/>
      <c r="I31" s="2499"/>
      <c r="J31" s="2427"/>
      <c r="K31" s="2526"/>
      <c r="L31" s="2427"/>
      <c r="M31" s="2526"/>
      <c r="N31" s="2427"/>
      <c r="O31" s="2526"/>
      <c r="P31" s="2427"/>
      <c r="Q31" s="2526"/>
      <c r="R31" s="2427"/>
      <c r="S31" s="2526"/>
    </row>
    <row r="32" spans="1:19" s="91" customFormat="1">
      <c r="A32" s="2525"/>
      <c r="B32" s="186" t="s">
        <v>520</v>
      </c>
      <c r="C32" s="2435"/>
      <c r="D32" s="2436"/>
      <c r="E32" s="2436"/>
      <c r="F32" s="2436"/>
      <c r="G32" s="2435"/>
      <c r="H32" s="2439"/>
      <c r="I32" s="2528"/>
      <c r="J32" s="2443"/>
      <c r="K32" s="2529"/>
      <c r="L32" s="2443"/>
      <c r="M32" s="2529"/>
      <c r="N32" s="2529"/>
      <c r="O32" s="2529"/>
      <c r="P32" s="2529"/>
      <c r="Q32" s="2529"/>
      <c r="R32" s="2529"/>
      <c r="S32" s="2529"/>
    </row>
    <row r="33" spans="1:19">
      <c r="A33" s="2507"/>
      <c r="B33" s="2444"/>
      <c r="C33" s="2432"/>
      <c r="D33" s="2405"/>
      <c r="E33" s="2405"/>
      <c r="F33" s="2405"/>
      <c r="G33" s="2423"/>
      <c r="H33" s="2427"/>
      <c r="I33" s="2499"/>
      <c r="J33" s="2427"/>
      <c r="K33" s="2499"/>
      <c r="L33" s="2427"/>
      <c r="M33" s="2499"/>
      <c r="N33" s="2427"/>
      <c r="O33" s="2499"/>
      <c r="P33" s="2427"/>
      <c r="Q33" s="2523"/>
      <c r="R33" s="2427"/>
      <c r="S33" s="2523"/>
    </row>
    <row r="34" spans="1:19">
      <c r="A34" s="2530"/>
      <c r="B34" s="2448" t="s">
        <v>694</v>
      </c>
      <c r="C34" s="2449"/>
      <c r="D34" s="2450"/>
      <c r="E34" s="2450"/>
      <c r="F34" s="2450"/>
      <c r="G34" s="2531"/>
      <c r="H34" s="2453"/>
      <c r="I34" s="2502"/>
      <c r="J34" s="2453"/>
      <c r="K34" s="2502"/>
      <c r="L34" s="2453"/>
      <c r="M34" s="2502"/>
      <c r="N34" s="2453"/>
      <c r="O34" s="2502"/>
      <c r="P34" s="2453"/>
      <c r="Q34" s="2503"/>
      <c r="R34" s="2453"/>
      <c r="S34" s="2503"/>
    </row>
    <row r="35" spans="1:19">
      <c r="A35" s="2530"/>
      <c r="B35" s="2444"/>
      <c r="C35" s="2445"/>
      <c r="D35" s="2405"/>
      <c r="E35" s="2405"/>
      <c r="F35" s="2405"/>
      <c r="G35" s="2423"/>
      <c r="H35" s="2427"/>
      <c r="I35" s="2499"/>
      <c r="J35" s="2427"/>
      <c r="K35" s="2499"/>
      <c r="L35" s="2427"/>
      <c r="M35" s="2499"/>
      <c r="N35" s="2427"/>
      <c r="O35" s="2499"/>
      <c r="P35" s="2427"/>
      <c r="Q35" s="2523"/>
      <c r="R35" s="2427"/>
      <c r="S35" s="2523"/>
    </row>
    <row r="36" spans="1:19">
      <c r="A36" s="2530"/>
      <c r="B36" s="2454" t="s">
        <v>695</v>
      </c>
      <c r="C36" s="2455"/>
      <c r="D36" s="2456"/>
      <c r="E36" s="2456"/>
      <c r="F36" s="2456"/>
      <c r="G36" s="2532"/>
      <c r="H36" s="2459"/>
      <c r="I36" s="2504"/>
      <c r="J36" s="2459"/>
      <c r="K36" s="2504"/>
      <c r="L36" s="2459"/>
      <c r="M36" s="2504"/>
      <c r="N36" s="2459"/>
      <c r="O36" s="2504"/>
      <c r="P36" s="2459"/>
      <c r="Q36" s="2505"/>
      <c r="R36" s="2459"/>
      <c r="S36" s="2505"/>
    </row>
    <row r="37" spans="1:19">
      <c r="A37" s="2530"/>
      <c r="B37" s="2444" t="s">
        <v>1128</v>
      </c>
      <c r="C37" s="2445" t="s">
        <v>697</v>
      </c>
      <c r="D37" s="2405">
        <v>5</v>
      </c>
      <c r="E37" s="2405" t="s">
        <v>714</v>
      </c>
      <c r="F37" s="2405">
        <v>1800</v>
      </c>
      <c r="G37" s="2423">
        <f>D37*F37</f>
        <v>9000</v>
      </c>
      <c r="H37" s="2427"/>
      <c r="I37" s="2499">
        <f>G37</f>
        <v>9000</v>
      </c>
      <c r="J37" s="2427"/>
      <c r="K37" s="2499"/>
      <c r="L37" s="2427"/>
      <c r="M37" s="2499"/>
      <c r="N37" s="2427"/>
      <c r="O37" s="2499"/>
      <c r="P37" s="2427"/>
      <c r="Q37" s="2523"/>
      <c r="R37" s="2427"/>
      <c r="S37" s="2523"/>
    </row>
    <row r="38" spans="1:19" ht="30.75" customHeight="1">
      <c r="A38" s="2530"/>
      <c r="B38" s="2506" t="s">
        <v>1129</v>
      </c>
      <c r="C38" s="2445" t="s">
        <v>697</v>
      </c>
      <c r="D38" s="2405">
        <v>22</v>
      </c>
      <c r="E38" s="2405" t="s">
        <v>714</v>
      </c>
      <c r="F38" s="2405">
        <v>65</v>
      </c>
      <c r="G38" s="2423">
        <f t="shared" ref="G38:G39" si="0">D38*F38</f>
        <v>1430</v>
      </c>
      <c r="H38" s="2427"/>
      <c r="I38" s="2499">
        <f t="shared" ref="I38:I39" si="1">G38</f>
        <v>1430</v>
      </c>
      <c r="J38" s="2427"/>
      <c r="K38" s="2499"/>
      <c r="L38" s="2427"/>
      <c r="M38" s="2499"/>
      <c r="N38" s="2427"/>
      <c r="O38" s="2499"/>
      <c r="P38" s="2427"/>
      <c r="Q38" s="2523"/>
      <c r="R38" s="2427"/>
      <c r="S38" s="2523"/>
    </row>
    <row r="39" spans="1:19">
      <c r="A39" s="2530"/>
      <c r="B39" s="2444" t="s">
        <v>1130</v>
      </c>
      <c r="C39" s="2445" t="s">
        <v>697</v>
      </c>
      <c r="D39" s="2405">
        <f>D38</f>
        <v>22</v>
      </c>
      <c r="E39" s="2405" t="s">
        <v>714</v>
      </c>
      <c r="F39" s="2405">
        <v>50</v>
      </c>
      <c r="G39" s="2423">
        <f t="shared" si="0"/>
        <v>1100</v>
      </c>
      <c r="H39" s="2427"/>
      <c r="I39" s="2499">
        <f t="shared" si="1"/>
        <v>1100</v>
      </c>
      <c r="J39" s="2427"/>
      <c r="K39" s="2499"/>
      <c r="L39" s="2427"/>
      <c r="M39" s="2499"/>
      <c r="N39" s="2427"/>
      <c r="O39" s="2499"/>
      <c r="P39" s="2427"/>
      <c r="Q39" s="2523"/>
      <c r="R39" s="2427"/>
      <c r="S39" s="2523"/>
    </row>
    <row r="40" spans="1:19">
      <c r="A40" s="2530"/>
      <c r="B40" s="2444" t="s">
        <v>1131</v>
      </c>
      <c r="C40" s="2445" t="s">
        <v>697</v>
      </c>
      <c r="D40" s="2405">
        <v>4</v>
      </c>
      <c r="E40" s="2405" t="s">
        <v>714</v>
      </c>
      <c r="F40" s="2405">
        <v>300</v>
      </c>
      <c r="G40" s="2423">
        <f t="shared" ref="G40" si="2">D40*F40</f>
        <v>1200</v>
      </c>
      <c r="H40" s="2427"/>
      <c r="I40" s="2499">
        <f t="shared" ref="I40" si="3">G40</f>
        <v>1200</v>
      </c>
      <c r="J40" s="2427"/>
      <c r="K40" s="2499"/>
      <c r="L40" s="2427"/>
      <c r="M40" s="2499"/>
      <c r="N40" s="2427"/>
      <c r="O40" s="2499"/>
      <c r="P40" s="2427"/>
      <c r="Q40" s="2523"/>
      <c r="R40" s="2427"/>
      <c r="S40" s="2523"/>
    </row>
    <row r="41" spans="1:19">
      <c r="A41" s="2530"/>
      <c r="B41" s="2444"/>
      <c r="C41" s="2445"/>
      <c r="D41" s="2405"/>
      <c r="E41" s="2405"/>
      <c r="F41" s="2405"/>
      <c r="G41" s="2423"/>
      <c r="H41" s="2427"/>
      <c r="I41" s="2499"/>
      <c r="J41" s="2427"/>
      <c r="K41" s="2499"/>
      <c r="L41" s="2427"/>
      <c r="M41" s="2499"/>
      <c r="N41" s="2427"/>
      <c r="O41" s="2499"/>
      <c r="P41" s="2427"/>
      <c r="Q41" s="2523"/>
      <c r="R41" s="2427"/>
      <c r="S41" s="2523"/>
    </row>
    <row r="42" spans="1:19">
      <c r="A42" s="2530"/>
      <c r="B42" s="2448" t="s">
        <v>649</v>
      </c>
      <c r="C42" s="2449"/>
      <c r="D42" s="2450"/>
      <c r="E42" s="2450"/>
      <c r="F42" s="2450"/>
      <c r="G42" s="2531"/>
      <c r="H42" s="2453"/>
      <c r="I42" s="2502"/>
      <c r="J42" s="2453"/>
      <c r="K42" s="2502"/>
      <c r="L42" s="2453"/>
      <c r="M42" s="2502"/>
      <c r="N42" s="2453"/>
      <c r="O42" s="2502"/>
      <c r="P42" s="2453"/>
      <c r="Q42" s="2503"/>
      <c r="R42" s="2453"/>
      <c r="S42" s="2503"/>
    </row>
    <row r="43" spans="1:19">
      <c r="A43" s="2530"/>
      <c r="B43" s="2444"/>
      <c r="C43" s="2445"/>
      <c r="D43" s="2405"/>
      <c r="E43" s="2405"/>
      <c r="F43" s="2405"/>
      <c r="G43" s="2423"/>
      <c r="H43" s="2427"/>
      <c r="I43" s="2499"/>
      <c r="J43" s="2427"/>
      <c r="K43" s="2499"/>
      <c r="L43" s="2427"/>
      <c r="M43" s="2499"/>
      <c r="N43" s="2427"/>
      <c r="O43" s="2499"/>
      <c r="P43" s="2427"/>
      <c r="Q43" s="2523"/>
      <c r="R43" s="2427"/>
      <c r="S43" s="2523"/>
    </row>
    <row r="44" spans="1:19">
      <c r="A44" s="2530"/>
      <c r="B44" s="2454" t="s">
        <v>700</v>
      </c>
      <c r="C44" s="2455"/>
      <c r="D44" s="2456"/>
      <c r="E44" s="2456"/>
      <c r="F44" s="2456"/>
      <c r="G44" s="2532"/>
      <c r="H44" s="2459"/>
      <c r="I44" s="2504"/>
      <c r="J44" s="2459"/>
      <c r="K44" s="2504"/>
      <c r="L44" s="2459"/>
      <c r="M44" s="2504"/>
      <c r="N44" s="2459"/>
      <c r="O44" s="2504"/>
      <c r="P44" s="2459"/>
      <c r="Q44" s="2505"/>
      <c r="R44" s="2459"/>
      <c r="S44" s="2505"/>
    </row>
    <row r="45" spans="1:19" ht="25.5">
      <c r="A45" s="2530"/>
      <c r="B45" s="2506" t="s">
        <v>1132</v>
      </c>
      <c r="C45" s="2445" t="s">
        <v>702</v>
      </c>
      <c r="D45" s="2405">
        <v>68</v>
      </c>
      <c r="E45" s="2405" t="s">
        <v>714</v>
      </c>
      <c r="F45" s="2405">
        <f>F38</f>
        <v>65</v>
      </c>
      <c r="G45" s="2423">
        <f t="shared" ref="G45:G46" si="4">D45*F45</f>
        <v>4420</v>
      </c>
      <c r="H45" s="2427"/>
      <c r="I45" s="2499">
        <f t="shared" ref="I45:I46" si="5">G45</f>
        <v>4420</v>
      </c>
      <c r="J45" s="2427"/>
      <c r="K45" s="2499"/>
      <c r="L45" s="2427"/>
      <c r="M45" s="2499"/>
      <c r="N45" s="2427"/>
      <c r="O45" s="2499"/>
      <c r="P45" s="2427"/>
      <c r="Q45" s="2523"/>
      <c r="R45" s="2427"/>
      <c r="S45" s="2523"/>
    </row>
    <row r="46" spans="1:19">
      <c r="A46" s="2530"/>
      <c r="B46" s="2444" t="s">
        <v>1130</v>
      </c>
      <c r="C46" s="2445" t="s">
        <v>702</v>
      </c>
      <c r="D46" s="2405">
        <f>D45</f>
        <v>68</v>
      </c>
      <c r="E46" s="2405" t="s">
        <v>714</v>
      </c>
      <c r="F46" s="2405">
        <f>F39</f>
        <v>50</v>
      </c>
      <c r="G46" s="2423">
        <f t="shared" si="4"/>
        <v>3400</v>
      </c>
      <c r="H46" s="2427"/>
      <c r="I46" s="2499">
        <f t="shared" si="5"/>
        <v>3400</v>
      </c>
      <c r="J46" s="2427"/>
      <c r="K46" s="2499"/>
      <c r="L46" s="2427"/>
      <c r="M46" s="2499"/>
      <c r="N46" s="2427"/>
      <c r="O46" s="2499"/>
      <c r="P46" s="2427"/>
      <c r="Q46" s="2523"/>
      <c r="R46" s="2427"/>
      <c r="S46" s="2523"/>
    </row>
    <row r="47" spans="1:19">
      <c r="A47" s="2530"/>
      <c r="B47" s="2444" t="s">
        <v>942</v>
      </c>
      <c r="C47" s="2445" t="s">
        <v>702</v>
      </c>
      <c r="D47" s="2405">
        <v>10</v>
      </c>
      <c r="E47" s="2405" t="s">
        <v>714</v>
      </c>
      <c r="F47" s="2405">
        <f>F40</f>
        <v>300</v>
      </c>
      <c r="G47" s="2423">
        <f t="shared" ref="G47" si="6">D47*F47</f>
        <v>3000</v>
      </c>
      <c r="H47" s="2427"/>
      <c r="I47" s="2499">
        <f t="shared" ref="I47" si="7">G47</f>
        <v>3000</v>
      </c>
      <c r="J47" s="2427"/>
      <c r="K47" s="2499"/>
      <c r="L47" s="2427"/>
      <c r="M47" s="2499"/>
      <c r="N47" s="2427"/>
      <c r="O47" s="2499"/>
      <c r="P47" s="2427"/>
      <c r="Q47" s="2523"/>
      <c r="R47" s="2427"/>
      <c r="S47" s="2523"/>
    </row>
    <row r="48" spans="1:19">
      <c r="A48" s="2530"/>
      <c r="B48" s="2444"/>
      <c r="C48" s="2445"/>
      <c r="D48" s="2405"/>
      <c r="E48" s="2405"/>
      <c r="F48" s="2405"/>
      <c r="G48" s="2423"/>
      <c r="H48" s="2427"/>
      <c r="I48" s="2499"/>
      <c r="J48" s="2427"/>
      <c r="K48" s="2499"/>
      <c r="L48" s="2427"/>
      <c r="M48" s="2499"/>
      <c r="N48" s="2427"/>
      <c r="O48" s="2499"/>
      <c r="P48" s="2427"/>
      <c r="Q48" s="2523"/>
      <c r="R48" s="2427"/>
      <c r="S48" s="2523"/>
    </row>
    <row r="49" spans="1:19">
      <c r="A49" s="2530"/>
      <c r="B49" s="2448" t="s">
        <v>703</v>
      </c>
      <c r="C49" s="2449"/>
      <c r="D49" s="2450"/>
      <c r="E49" s="2450"/>
      <c r="F49" s="2450"/>
      <c r="G49" s="2531"/>
      <c r="H49" s="2453"/>
      <c r="I49" s="2502"/>
      <c r="J49" s="2453"/>
      <c r="K49" s="2502"/>
      <c r="L49" s="2453"/>
      <c r="M49" s="2502"/>
      <c r="N49" s="2453"/>
      <c r="O49" s="2502"/>
      <c r="P49" s="2453"/>
      <c r="Q49" s="2503"/>
      <c r="R49" s="2453"/>
      <c r="S49" s="2503"/>
    </row>
    <row r="50" spans="1:19">
      <c r="A50" s="2530"/>
      <c r="B50" s="2444"/>
      <c r="C50" s="2445"/>
      <c r="D50" s="2405"/>
      <c r="E50" s="2405"/>
      <c r="F50" s="2405"/>
      <c r="G50" s="2423"/>
      <c r="H50" s="2427"/>
      <c r="I50" s="2499"/>
      <c r="J50" s="2427"/>
      <c r="K50" s="2499"/>
      <c r="L50" s="2427"/>
      <c r="M50" s="2499"/>
      <c r="N50" s="2427"/>
      <c r="O50" s="2499"/>
      <c r="P50" s="2427"/>
      <c r="Q50" s="2523"/>
      <c r="R50" s="2427"/>
      <c r="S50" s="2523"/>
    </row>
    <row r="51" spans="1:19">
      <c r="A51" s="2530"/>
      <c r="B51" s="2454" t="s">
        <v>704</v>
      </c>
      <c r="C51" s="2455"/>
      <c r="D51" s="2456"/>
      <c r="E51" s="2456"/>
      <c r="F51" s="2456"/>
      <c r="G51" s="2532"/>
      <c r="H51" s="2459"/>
      <c r="I51" s="2504"/>
      <c r="J51" s="2459"/>
      <c r="K51" s="2504"/>
      <c r="L51" s="2459"/>
      <c r="M51" s="2504"/>
      <c r="N51" s="2459"/>
      <c r="O51" s="2504"/>
      <c r="P51" s="2459"/>
      <c r="Q51" s="2505"/>
      <c r="R51" s="2459"/>
      <c r="S51" s="2505"/>
    </row>
    <row r="52" spans="1:19" ht="25.5">
      <c r="A52" s="2530"/>
      <c r="B52" s="2506" t="s">
        <v>1133</v>
      </c>
      <c r="C52" s="2445" t="s">
        <v>741</v>
      </c>
      <c r="D52" s="2405">
        <v>24</v>
      </c>
      <c r="E52" s="2405" t="s">
        <v>714</v>
      </c>
      <c r="F52" s="2405">
        <v>100</v>
      </c>
      <c r="G52" s="2423">
        <f t="shared" ref="G52:G54" si="8">D52*F52</f>
        <v>2400</v>
      </c>
      <c r="H52" s="2427"/>
      <c r="I52" s="2499">
        <f t="shared" ref="I52:I54" si="9">G52</f>
        <v>2400</v>
      </c>
      <c r="J52" s="2427"/>
      <c r="K52" s="2499"/>
      <c r="L52" s="2427"/>
      <c r="M52" s="2499"/>
      <c r="N52" s="2427"/>
      <c r="O52" s="2499"/>
      <c r="P52" s="2427"/>
      <c r="Q52" s="2523"/>
      <c r="R52" s="2427"/>
      <c r="S52" s="2523"/>
    </row>
    <row r="53" spans="1:19">
      <c r="A53" s="2530"/>
      <c r="B53" s="2444" t="s">
        <v>1130</v>
      </c>
      <c r="C53" s="2445" t="s">
        <v>741</v>
      </c>
      <c r="D53" s="2405">
        <f>D52</f>
        <v>24</v>
      </c>
      <c r="E53" s="2405" t="s">
        <v>714</v>
      </c>
      <c r="F53" s="2405">
        <v>60</v>
      </c>
      <c r="G53" s="2423">
        <f t="shared" si="8"/>
        <v>1440</v>
      </c>
      <c r="H53" s="2427"/>
      <c r="I53" s="2499">
        <f t="shared" si="9"/>
        <v>1440</v>
      </c>
      <c r="J53" s="2427"/>
      <c r="K53" s="2499"/>
      <c r="L53" s="2427"/>
      <c r="M53" s="2499"/>
      <c r="N53" s="2427"/>
      <c r="O53" s="2499"/>
      <c r="P53" s="2427"/>
      <c r="Q53" s="2523"/>
      <c r="R53" s="2427"/>
      <c r="S53" s="2523"/>
    </row>
    <row r="54" spans="1:19">
      <c r="A54" s="2530"/>
      <c r="B54" s="2444" t="s">
        <v>942</v>
      </c>
      <c r="C54" s="2445" t="s">
        <v>741</v>
      </c>
      <c r="D54" s="2405">
        <v>4</v>
      </c>
      <c r="E54" s="2405" t="s">
        <v>714</v>
      </c>
      <c r="F54" s="2405">
        <v>300</v>
      </c>
      <c r="G54" s="2423">
        <f t="shared" si="8"/>
        <v>1200</v>
      </c>
      <c r="H54" s="2427"/>
      <c r="I54" s="2499">
        <f t="shared" si="9"/>
        <v>1200</v>
      </c>
      <c r="J54" s="2427"/>
      <c r="K54" s="2499"/>
      <c r="L54" s="2427"/>
      <c r="M54" s="2499"/>
      <c r="N54" s="2427"/>
      <c r="O54" s="2499"/>
      <c r="P54" s="2427"/>
      <c r="Q54" s="2523"/>
      <c r="R54" s="2427"/>
      <c r="S54" s="2523"/>
    </row>
    <row r="55" spans="1:19">
      <c r="A55" s="2530"/>
      <c r="B55" s="2444"/>
      <c r="C55" s="2445"/>
      <c r="D55" s="2405"/>
      <c r="E55" s="2405"/>
      <c r="F55" s="2405"/>
      <c r="G55" s="2423"/>
      <c r="H55" s="2427"/>
      <c r="I55" s="2499"/>
      <c r="J55" s="2427"/>
      <c r="K55" s="2499"/>
      <c r="L55" s="2427"/>
      <c r="M55" s="2499"/>
      <c r="N55" s="2427"/>
      <c r="O55" s="2499"/>
      <c r="P55" s="2427"/>
      <c r="Q55" s="2523"/>
      <c r="R55" s="2427"/>
      <c r="S55" s="2523"/>
    </row>
    <row r="56" spans="1:19">
      <c r="A56" s="2530"/>
      <c r="B56" s="2448" t="s">
        <v>705</v>
      </c>
      <c r="C56" s="2449"/>
      <c r="D56" s="2450"/>
      <c r="E56" s="2450"/>
      <c r="F56" s="2450"/>
      <c r="G56" s="2531"/>
      <c r="H56" s="2453"/>
      <c r="I56" s="2502"/>
      <c r="J56" s="2453"/>
      <c r="K56" s="2502"/>
      <c r="L56" s="2453"/>
      <c r="M56" s="2502"/>
      <c r="N56" s="2453"/>
      <c r="O56" s="2502"/>
      <c r="P56" s="2453"/>
      <c r="Q56" s="2503"/>
      <c r="R56" s="2453"/>
      <c r="S56" s="2503"/>
    </row>
    <row r="57" spans="1:19">
      <c r="A57" s="2530"/>
      <c r="B57" s="2444"/>
      <c r="C57" s="2445"/>
      <c r="D57" s="2405"/>
      <c r="E57" s="2405"/>
      <c r="F57" s="2405"/>
      <c r="G57" s="2423"/>
      <c r="H57" s="2427"/>
      <c r="I57" s="2499"/>
      <c r="J57" s="2427"/>
      <c r="K57" s="2499"/>
      <c r="L57" s="2427"/>
      <c r="M57" s="2499"/>
      <c r="N57" s="2427"/>
      <c r="O57" s="2499"/>
      <c r="P57" s="2427"/>
      <c r="Q57" s="2523"/>
      <c r="R57" s="2427"/>
      <c r="S57" s="2523"/>
    </row>
    <row r="58" spans="1:19">
      <c r="A58" s="2530"/>
      <c r="B58" s="2454" t="s">
        <v>602</v>
      </c>
      <c r="C58" s="2455"/>
      <c r="D58" s="2456"/>
      <c r="E58" s="2456"/>
      <c r="F58" s="2456"/>
      <c r="G58" s="2532"/>
      <c r="H58" s="2459"/>
      <c r="I58" s="2504"/>
      <c r="J58" s="2459"/>
      <c r="K58" s="2504"/>
      <c r="L58" s="2459"/>
      <c r="M58" s="2504"/>
      <c r="N58" s="2459"/>
      <c r="O58" s="2504"/>
      <c r="P58" s="2459"/>
      <c r="Q58" s="2505"/>
      <c r="R58" s="2459"/>
      <c r="S58" s="2505"/>
    </row>
    <row r="59" spans="1:19">
      <c r="A59" s="2530"/>
      <c r="B59" s="2444"/>
      <c r="C59" s="2445"/>
      <c r="D59" s="2405"/>
      <c r="E59" s="2405"/>
      <c r="F59" s="2405"/>
      <c r="G59" s="2423"/>
      <c r="H59" s="2427"/>
      <c r="I59" s="2499"/>
      <c r="J59" s="2427"/>
      <c r="K59" s="2499"/>
      <c r="L59" s="2427"/>
      <c r="M59" s="2499"/>
      <c r="N59" s="2427"/>
      <c r="O59" s="2499"/>
      <c r="P59" s="2427"/>
      <c r="Q59" s="2523"/>
      <c r="R59" s="2427"/>
      <c r="S59" s="2523"/>
    </row>
    <row r="60" spans="1:19">
      <c r="A60" s="2530"/>
      <c r="B60" s="2444"/>
      <c r="C60" s="2445"/>
      <c r="D60" s="2405"/>
      <c r="E60" s="2405"/>
      <c r="F60" s="2405"/>
      <c r="G60" s="2423"/>
      <c r="H60" s="2427"/>
      <c r="I60" s="2499"/>
      <c r="J60" s="2427"/>
      <c r="K60" s="2499"/>
      <c r="L60" s="2427"/>
      <c r="M60" s="2499"/>
      <c r="N60" s="2427"/>
      <c r="O60" s="2499"/>
      <c r="P60" s="2427"/>
      <c r="Q60" s="2523"/>
      <c r="R60" s="2427"/>
      <c r="S60" s="2523"/>
    </row>
    <row r="61" spans="1:19" ht="15.75" thickBot="1">
      <c r="A61" s="2507"/>
      <c r="B61" s="2444"/>
      <c r="C61" s="2432"/>
      <c r="D61" s="2405"/>
      <c r="E61" s="2405"/>
      <c r="F61" s="2405"/>
      <c r="G61" s="2423"/>
      <c r="H61" s="2427"/>
      <c r="I61" s="2499"/>
      <c r="J61" s="2427"/>
      <c r="K61" s="2499"/>
      <c r="L61" s="2427"/>
      <c r="M61" s="2499"/>
      <c r="N61" s="2427"/>
      <c r="O61" s="2499"/>
      <c r="P61" s="2427"/>
      <c r="Q61" s="2523"/>
      <c r="R61" s="2427"/>
      <c r="S61" s="2523"/>
    </row>
    <row r="62" spans="1:19" ht="15.75" thickTop="1">
      <c r="A62" s="14"/>
      <c r="B62" s="15"/>
      <c r="C62" s="16"/>
      <c r="D62" s="16"/>
      <c r="E62" s="17"/>
      <c r="F62" s="18" t="s">
        <v>567</v>
      </c>
      <c r="G62" s="19"/>
      <c r="H62" s="20"/>
      <c r="I62" s="61">
        <f>SUM(I24:I61)</f>
        <v>28590</v>
      </c>
      <c r="J62" s="20"/>
      <c r="K62" s="61">
        <f>SUM(K24:K61)</f>
        <v>0</v>
      </c>
      <c r="L62" s="20"/>
      <c r="M62" s="61">
        <f>SUM(M24:M61)</f>
        <v>0</v>
      </c>
      <c r="N62" s="20"/>
      <c r="O62" s="61">
        <f>SUM(O24:O61)</f>
        <v>0</v>
      </c>
      <c r="P62" s="20"/>
      <c r="Q62" s="61">
        <f>SUM(Q24:Q61)</f>
        <v>0</v>
      </c>
      <c r="R62" s="20"/>
      <c r="S62" s="61">
        <f>SUM(S24:S61)</f>
        <v>0</v>
      </c>
    </row>
    <row r="63" spans="1:19">
      <c r="A63" s="2358"/>
      <c r="B63" s="2359"/>
      <c r="C63" s="2360"/>
      <c r="D63" s="2360"/>
      <c r="E63" s="2361"/>
      <c r="F63" s="2362" t="s">
        <v>568</v>
      </c>
      <c r="G63" s="2363"/>
      <c r="H63" s="2364">
        <v>0</v>
      </c>
      <c r="I63" s="2460"/>
      <c r="J63" s="2364">
        <v>0</v>
      </c>
      <c r="K63" s="2460"/>
      <c r="L63" s="2364">
        <v>0</v>
      </c>
      <c r="M63" s="2460"/>
      <c r="N63" s="2364">
        <v>0</v>
      </c>
      <c r="O63" s="2460"/>
      <c r="P63" s="2364">
        <v>0</v>
      </c>
      <c r="Q63" s="2460"/>
      <c r="R63" s="2364">
        <v>0</v>
      </c>
      <c r="S63" s="2460"/>
    </row>
    <row r="64" spans="1:19">
      <c r="A64" s="2358"/>
      <c r="B64" s="2359"/>
      <c r="C64" s="2360"/>
      <c r="D64" s="2360"/>
      <c r="E64" s="2361"/>
      <c r="F64" s="2362" t="s">
        <v>569</v>
      </c>
      <c r="G64" s="2363"/>
      <c r="H64" s="2366"/>
      <c r="I64" s="2462">
        <f>H63*I62</f>
        <v>0</v>
      </c>
      <c r="J64" s="2366"/>
      <c r="K64" s="2462">
        <f>J63*K62</f>
        <v>0</v>
      </c>
      <c r="L64" s="2366"/>
      <c r="M64" s="2462">
        <f>L63*M62</f>
        <v>0</v>
      </c>
      <c r="N64" s="2366"/>
      <c r="O64" s="2462">
        <f>N63*O62</f>
        <v>0</v>
      </c>
      <c r="P64" s="2366"/>
      <c r="Q64" s="2462">
        <f>P63*Q62</f>
        <v>0</v>
      </c>
      <c r="R64" s="2366"/>
      <c r="S64" s="2462">
        <f>R63*S62</f>
        <v>0</v>
      </c>
    </row>
    <row r="65" spans="1:19">
      <c r="A65" s="2358"/>
      <c r="B65" s="2359"/>
      <c r="C65" s="2360"/>
      <c r="D65" s="2360"/>
      <c r="E65" s="2361"/>
      <c r="F65" s="2362"/>
      <c r="G65" s="2363"/>
      <c r="H65" s="2366"/>
      <c r="I65" s="2464"/>
      <c r="J65" s="2366"/>
      <c r="K65" s="2464"/>
      <c r="L65" s="2366"/>
      <c r="M65" s="2464"/>
      <c r="N65" s="2366"/>
      <c r="O65" s="2464"/>
      <c r="P65" s="2366"/>
      <c r="Q65" s="2464"/>
      <c r="R65" s="2366"/>
      <c r="S65" s="2464"/>
    </row>
    <row r="66" spans="1:19">
      <c r="A66" s="2358"/>
      <c r="B66" s="2359"/>
      <c r="C66" s="2360"/>
      <c r="D66" s="2360"/>
      <c r="E66" s="2361"/>
      <c r="F66" s="2362" t="s">
        <v>570</v>
      </c>
      <c r="G66" s="2363"/>
      <c r="H66" s="2368"/>
      <c r="I66" s="2465">
        <f>SUM(I62:I64)</f>
        <v>28590</v>
      </c>
      <c r="J66" s="2368"/>
      <c r="K66" s="2465">
        <f>SUM(K62:K64)</f>
        <v>0</v>
      </c>
      <c r="L66" s="2368"/>
      <c r="M66" s="2465">
        <f>SUM(M62:M64)</f>
        <v>0</v>
      </c>
      <c r="N66" s="2368"/>
      <c r="O66" s="2465">
        <f>SUM(O62:O64)</f>
        <v>0</v>
      </c>
      <c r="P66" s="2368"/>
      <c r="Q66" s="2465">
        <f>SUM(Q62:Q64)</f>
        <v>0</v>
      </c>
      <c r="R66" s="2368"/>
      <c r="S66" s="2465">
        <f>SUM(S62:S64)</f>
        <v>0</v>
      </c>
    </row>
    <row r="67" spans="1:19">
      <c r="A67" s="2358"/>
      <c r="B67" s="2359"/>
      <c r="C67" s="2360"/>
      <c r="D67" s="2360"/>
      <c r="E67" s="2361"/>
      <c r="F67" s="2370" t="s">
        <v>571</v>
      </c>
      <c r="G67" s="2371"/>
      <c r="H67" s="2372"/>
      <c r="I67" s="2373" t="e">
        <f>I66/'Area Calculations'!$J$4</f>
        <v>#DIV/0!</v>
      </c>
      <c r="J67" s="2372"/>
      <c r="K67" s="2373" t="e">
        <f>K66/'Area Calculations'!$J$4</f>
        <v>#DIV/0!</v>
      </c>
      <c r="L67" s="2372"/>
      <c r="M67" s="2373" t="e">
        <f>M66/'Area Calculations'!$J$4</f>
        <v>#DIV/0!</v>
      </c>
      <c r="N67" s="2372"/>
      <c r="O67" s="2373" t="e">
        <f>O66/'Area Calculations'!$J$4</f>
        <v>#DIV/0!</v>
      </c>
      <c r="P67" s="2372"/>
      <c r="Q67" s="2373" t="e">
        <f>Q66/'Area Calculations'!$J$4</f>
        <v>#DIV/0!</v>
      </c>
      <c r="R67" s="2372"/>
      <c r="S67" s="2373" t="e">
        <f>S66/'Area Calculations'!$J$4</f>
        <v>#DIV/0!</v>
      </c>
    </row>
    <row r="68" spans="1:19">
      <c r="A68" s="2358"/>
      <c r="B68" s="2359"/>
      <c r="C68" s="2360"/>
      <c r="D68" s="2360"/>
      <c r="E68" s="2361"/>
      <c r="F68" s="2370" t="s">
        <v>572</v>
      </c>
      <c r="G68" s="2374"/>
      <c r="H68" s="2372"/>
      <c r="I68" s="2373" t="e">
        <f>I66/'Area Calculations'!#REF!</f>
        <v>#REF!</v>
      </c>
      <c r="J68" s="2372"/>
      <c r="K68" s="2373" t="e">
        <f>K66/'Area Calculations'!#REF!</f>
        <v>#REF!</v>
      </c>
      <c r="L68" s="2372"/>
      <c r="M68" s="2373" t="e">
        <f>M66/'Area Calculations'!#REF!</f>
        <v>#REF!</v>
      </c>
      <c r="N68" s="2372"/>
      <c r="O68" s="2373" t="e">
        <f>O66/'Area Calculations'!#REF!</f>
        <v>#REF!</v>
      </c>
      <c r="P68" s="2372"/>
      <c r="Q68" s="2373" t="e">
        <f>Q66/'Area Calculations'!#REF!</f>
        <v>#REF!</v>
      </c>
      <c r="R68" s="2372"/>
      <c r="S68" s="2373" t="e">
        <f>S66/'Area Calculations'!#REF!</f>
        <v>#REF!</v>
      </c>
    </row>
    <row r="69" spans="1:19" ht="15.75" thickBot="1">
      <c r="A69" s="2358"/>
      <c r="B69" s="2359"/>
      <c r="C69" s="2360"/>
      <c r="D69" s="2360"/>
      <c r="E69" s="2361"/>
      <c r="F69" s="2362"/>
      <c r="G69" s="2375"/>
      <c r="H69" s="2376"/>
      <c r="I69" s="2377"/>
      <c r="J69" s="2376"/>
      <c r="K69" s="2377"/>
      <c r="L69" s="2376"/>
      <c r="M69" s="2377"/>
      <c r="N69" s="2376"/>
      <c r="O69" s="2377"/>
      <c r="P69" s="2376"/>
      <c r="Q69" s="2377"/>
      <c r="R69" s="2376"/>
      <c r="S69" s="2377"/>
    </row>
    <row r="70" spans="1:19" ht="16.5" thickTop="1" thickBot="1">
      <c r="A70" s="726" t="s">
        <v>573</v>
      </c>
      <c r="B70" s="727"/>
      <c r="C70" s="12"/>
      <c r="D70" s="12"/>
      <c r="E70" s="12"/>
      <c r="F70" s="12"/>
      <c r="G70" s="13"/>
      <c r="H70" s="21"/>
      <c r="I70" s="21"/>
      <c r="J70" s="21"/>
      <c r="K70" s="21"/>
      <c r="L70" s="21"/>
      <c r="M70" s="21"/>
      <c r="N70" s="21"/>
      <c r="O70" s="21"/>
      <c r="P70" s="21"/>
      <c r="Q70" s="21"/>
      <c r="R70" s="21"/>
      <c r="S70" s="21"/>
    </row>
    <row r="71" spans="1:19" ht="15.75" thickTop="1">
      <c r="A71" s="2509"/>
      <c r="B71" s="2404"/>
      <c r="C71" s="2510"/>
      <c r="D71" s="2510"/>
      <c r="E71" s="2510"/>
      <c r="F71" s="2510"/>
      <c r="G71" s="2511"/>
      <c r="H71" s="2512"/>
      <c r="I71" s="2512"/>
      <c r="J71" s="2512"/>
      <c r="K71" s="2512"/>
      <c r="L71" s="2512"/>
      <c r="M71" s="2512"/>
      <c r="N71" s="2512"/>
      <c r="O71" s="2512"/>
      <c r="P71" s="2512"/>
      <c r="Q71" s="2512"/>
      <c r="R71" s="2512"/>
      <c r="S71" s="2512"/>
    </row>
    <row r="72" spans="1:19" s="2" customFormat="1">
      <c r="A72" s="2509"/>
      <c r="B72" s="2404"/>
      <c r="C72" s="2510"/>
      <c r="D72" s="2510"/>
      <c r="E72" s="2510"/>
      <c r="F72" s="2510"/>
      <c r="G72" s="2511"/>
      <c r="H72" s="2512"/>
      <c r="I72" s="2512"/>
      <c r="J72" s="2512"/>
      <c r="K72" s="2512"/>
      <c r="L72" s="2512"/>
      <c r="M72" s="2512"/>
      <c r="N72" s="2512"/>
      <c r="O72" s="2512"/>
      <c r="P72" s="2512"/>
      <c r="Q72" s="2512"/>
      <c r="R72" s="2512"/>
      <c r="S72" s="2512"/>
    </row>
    <row r="73" spans="1:19" s="2" customFormat="1" ht="15.75" thickBot="1">
      <c r="A73" s="2509"/>
      <c r="B73" s="2404"/>
      <c r="C73" s="2510"/>
      <c r="D73" s="2510"/>
      <c r="E73" s="2510"/>
      <c r="F73" s="2510"/>
      <c r="G73" s="2511"/>
      <c r="H73" s="2512"/>
      <c r="I73" s="2512"/>
      <c r="J73" s="2512"/>
      <c r="K73" s="2512"/>
      <c r="L73" s="2512"/>
      <c r="M73" s="2512"/>
      <c r="N73" s="2512"/>
      <c r="O73" s="2512"/>
      <c r="P73" s="2512"/>
      <c r="Q73" s="2512"/>
      <c r="R73" s="2512"/>
      <c r="S73" s="2512"/>
    </row>
    <row r="74" spans="1:19" ht="16.5" thickTop="1" thickBot="1">
      <c r="A74" s="726" t="s">
        <v>574</v>
      </c>
      <c r="B74" s="727"/>
      <c r="C74" s="12"/>
      <c r="D74" s="12"/>
      <c r="E74" s="12"/>
      <c r="F74" s="12"/>
      <c r="G74" s="13"/>
      <c r="H74" s="21"/>
      <c r="I74" s="21"/>
      <c r="J74" s="21"/>
      <c r="K74" s="21"/>
      <c r="L74" s="21"/>
      <c r="M74" s="21"/>
      <c r="N74" s="21"/>
      <c r="O74" s="21"/>
      <c r="P74" s="21"/>
      <c r="Q74" s="21"/>
      <c r="R74" s="21"/>
      <c r="S74" s="21"/>
    </row>
    <row r="75" spans="1:19" s="2" customFormat="1" ht="15.75" thickTop="1">
      <c r="A75" s="2509"/>
      <c r="B75" s="2404"/>
      <c r="C75" s="2510"/>
      <c r="D75" s="2510"/>
      <c r="E75" s="2510"/>
      <c r="F75" s="2510"/>
      <c r="G75" s="2511"/>
      <c r="H75" s="2512"/>
      <c r="I75" s="2512"/>
      <c r="J75" s="2512"/>
      <c r="K75" s="2512"/>
      <c r="L75" s="2512"/>
      <c r="M75" s="2512"/>
      <c r="N75" s="2512"/>
      <c r="O75" s="2512"/>
      <c r="P75" s="2512"/>
      <c r="Q75" s="2512"/>
      <c r="R75" s="2512"/>
      <c r="S75" s="2512"/>
    </row>
    <row r="76" spans="1:19" s="2" customFormat="1">
      <c r="A76" s="2509"/>
      <c r="B76" s="2404"/>
      <c r="C76" s="2510"/>
      <c r="D76" s="2510"/>
      <c r="E76" s="2510"/>
      <c r="F76" s="2510"/>
      <c r="G76" s="2511"/>
      <c r="H76" s="2512"/>
      <c r="I76" s="2512"/>
      <c r="J76" s="2512"/>
      <c r="K76" s="2512"/>
      <c r="L76" s="2512"/>
      <c r="M76" s="2512"/>
      <c r="N76" s="2512"/>
      <c r="O76" s="2512"/>
      <c r="P76" s="2512"/>
      <c r="Q76" s="2512"/>
      <c r="R76" s="2512"/>
      <c r="S76" s="2512"/>
    </row>
    <row r="77" spans="1:19" ht="15.75" thickBot="1">
      <c r="A77" s="2509"/>
      <c r="B77" s="2404"/>
      <c r="C77" s="2510"/>
      <c r="D77" s="2510"/>
      <c r="E77" s="2510"/>
      <c r="F77" s="2510"/>
      <c r="G77" s="2511"/>
      <c r="H77" s="2512"/>
      <c r="I77" s="2512"/>
      <c r="J77" s="2512"/>
      <c r="K77" s="2512"/>
      <c r="L77" s="2512"/>
      <c r="M77" s="2512"/>
      <c r="N77" s="2512"/>
      <c r="O77" s="2512"/>
      <c r="P77" s="2512"/>
      <c r="Q77" s="2512"/>
      <c r="R77" s="2512"/>
      <c r="S77" s="2512"/>
    </row>
    <row r="78" spans="1:19" ht="16.5" thickTop="1" thickBot="1">
      <c r="A78" s="726" t="s">
        <v>575</v>
      </c>
      <c r="B78" s="727"/>
      <c r="C78" s="12"/>
      <c r="D78" s="12"/>
      <c r="E78" s="12"/>
      <c r="F78" s="12"/>
      <c r="G78" s="13"/>
      <c r="H78" s="21"/>
      <c r="I78" s="21"/>
      <c r="J78" s="21"/>
      <c r="K78" s="21"/>
      <c r="L78" s="21"/>
      <c r="M78" s="21"/>
      <c r="N78" s="21"/>
      <c r="O78" s="21"/>
      <c r="P78" s="21"/>
      <c r="Q78" s="21"/>
      <c r="R78" s="21"/>
      <c r="S78" s="21"/>
    </row>
    <row r="79" spans="1:19" ht="15.75" thickTop="1">
      <c r="A79" s="2509"/>
      <c r="B79" s="2404"/>
      <c r="C79" s="2510"/>
      <c r="D79" s="2510"/>
      <c r="E79" s="2510"/>
      <c r="F79" s="2510"/>
      <c r="G79" s="2511"/>
      <c r="H79" s="2512"/>
      <c r="I79" s="2512"/>
      <c r="J79" s="2512"/>
      <c r="K79" s="2512"/>
      <c r="L79" s="2512"/>
      <c r="M79" s="2512"/>
      <c r="N79" s="2512"/>
      <c r="O79" s="2512"/>
      <c r="P79" s="2512"/>
      <c r="Q79" s="2512"/>
      <c r="R79" s="2512"/>
      <c r="S79" s="2512"/>
    </row>
    <row r="80" spans="1:19">
      <c r="A80" s="2421"/>
      <c r="B80" s="2404"/>
      <c r="C80" s="2405"/>
      <c r="D80" s="2405"/>
      <c r="E80" s="2405"/>
      <c r="F80" s="2405"/>
      <c r="G80" s="2423"/>
      <c r="H80" s="2382"/>
      <c r="I80" s="2382"/>
      <c r="J80" s="2382"/>
      <c r="K80" s="2382"/>
      <c r="L80" s="2382"/>
      <c r="M80" s="2382"/>
      <c r="N80" s="2382"/>
      <c r="O80" s="2382"/>
      <c r="P80" s="2382"/>
      <c r="Q80" s="2382"/>
      <c r="R80" s="2382"/>
      <c r="S80" s="2382"/>
    </row>
    <row r="81" spans="1:19" ht="15.75" thickBot="1">
      <c r="A81" s="2383"/>
      <c r="B81" s="2384"/>
      <c r="C81" s="2405"/>
      <c r="D81" s="2405"/>
      <c r="E81" s="2405"/>
      <c r="F81" s="2405"/>
      <c r="G81" s="2423"/>
      <c r="H81" s="2385"/>
      <c r="I81" s="2385"/>
      <c r="J81" s="2385"/>
      <c r="K81" s="2385"/>
      <c r="L81" s="2385"/>
      <c r="M81" s="2385"/>
      <c r="N81" s="2385"/>
      <c r="O81" s="2385"/>
      <c r="P81" s="2385"/>
      <c r="Q81" s="2385"/>
      <c r="R81" s="2385"/>
      <c r="S81" s="2385"/>
    </row>
    <row r="82" spans="1:19" ht="16.5" thickTop="1" thickBot="1">
      <c r="A82" s="726" t="s">
        <v>576</v>
      </c>
      <c r="B82" s="727"/>
      <c r="C82" s="12"/>
      <c r="D82" s="12"/>
      <c r="E82" s="12"/>
      <c r="F82" s="12"/>
      <c r="G82" s="13"/>
      <c r="H82" s="21"/>
      <c r="I82" s="21"/>
      <c r="J82" s="21"/>
      <c r="K82" s="21"/>
      <c r="L82" s="21"/>
      <c r="M82" s="21"/>
      <c r="N82" s="21"/>
      <c r="O82" s="21"/>
      <c r="P82" s="21"/>
      <c r="Q82" s="21"/>
      <c r="R82" s="21"/>
      <c r="S82" s="21"/>
    </row>
    <row r="83" spans="1:19" ht="15.75" thickTop="1">
      <c r="A83" s="2514"/>
      <c r="B83" s="2515"/>
      <c r="C83" s="2510"/>
      <c r="D83" s="2510"/>
      <c r="E83" s="2510"/>
      <c r="F83" s="2510"/>
      <c r="G83" s="2511"/>
      <c r="H83" s="2512"/>
      <c r="I83" s="2512"/>
      <c r="J83" s="2512"/>
      <c r="K83" s="2512"/>
      <c r="L83" s="2512"/>
      <c r="M83" s="2512"/>
      <c r="N83" s="2512"/>
      <c r="O83" s="2512"/>
      <c r="P83" s="2512"/>
      <c r="Q83" s="2512"/>
      <c r="R83" s="2512"/>
      <c r="S83" s="2512"/>
    </row>
    <row r="84" spans="1:19">
      <c r="A84" s="2383"/>
      <c r="B84" s="2384"/>
      <c r="C84" s="2405"/>
      <c r="D84" s="2405"/>
      <c r="E84" s="2405"/>
      <c r="F84" s="2405"/>
      <c r="G84" s="2423"/>
      <c r="H84" s="2388"/>
      <c r="I84" s="2388"/>
      <c r="J84" s="2388"/>
      <c r="K84" s="2388"/>
      <c r="L84" s="2388"/>
      <c r="M84" s="2388"/>
      <c r="N84" s="2388"/>
      <c r="O84" s="2388"/>
      <c r="P84" s="2388"/>
      <c r="Q84" s="2388"/>
      <c r="R84" s="2388"/>
      <c r="S84" s="2388"/>
    </row>
    <row r="85" spans="1:19" ht="15.75" thickBot="1">
      <c r="A85" s="2383"/>
      <c r="B85" s="2384"/>
      <c r="C85" s="2405"/>
      <c r="D85" s="2405"/>
      <c r="E85" s="2405"/>
      <c r="F85" s="2405"/>
      <c r="G85" s="2423"/>
      <c r="H85" s="2388"/>
      <c r="I85" s="2388"/>
      <c r="J85" s="2388"/>
      <c r="K85" s="2388"/>
      <c r="L85" s="2388"/>
      <c r="M85" s="2388"/>
      <c r="N85" s="2388"/>
      <c r="O85" s="2388"/>
      <c r="P85" s="2388"/>
      <c r="Q85" s="2388"/>
      <c r="R85" s="2388"/>
      <c r="S85" s="2388"/>
    </row>
    <row r="86" spans="1:19" ht="16.5" thickTop="1" thickBot="1">
      <c r="A86" s="726" t="s">
        <v>577</v>
      </c>
      <c r="B86" s="727"/>
      <c r="C86" s="12"/>
      <c r="D86" s="12"/>
      <c r="E86" s="12"/>
      <c r="F86" s="12"/>
      <c r="G86" s="13"/>
      <c r="H86" s="21"/>
      <c r="I86" s="21"/>
      <c r="J86" s="21"/>
      <c r="K86" s="21"/>
      <c r="L86" s="21"/>
      <c r="M86" s="21"/>
      <c r="N86" s="21"/>
      <c r="O86" s="21"/>
      <c r="P86" s="21"/>
      <c r="Q86" s="21"/>
      <c r="R86" s="21"/>
      <c r="S86" s="21"/>
    </row>
    <row r="87" spans="1:19" ht="15.75" thickTop="1">
      <c r="A87" s="2421"/>
      <c r="B87" s="2404" t="s">
        <v>578</v>
      </c>
      <c r="C87" s="2405"/>
      <c r="D87" s="2405"/>
      <c r="E87" s="2405"/>
      <c r="F87" s="2405"/>
      <c r="G87" s="2423"/>
      <c r="H87" s="2388"/>
      <c r="I87" s="2388"/>
      <c r="J87" s="2388"/>
      <c r="K87" s="2388"/>
      <c r="L87" s="2388"/>
      <c r="M87" s="2388"/>
      <c r="N87" s="2388"/>
      <c r="O87" s="2388"/>
      <c r="P87" s="2388"/>
      <c r="Q87" s="2388"/>
      <c r="R87" s="2388"/>
      <c r="S87" s="2388"/>
    </row>
    <row r="88" spans="1:19">
      <c r="A88" s="2421"/>
      <c r="B88" s="2404" t="s">
        <v>579</v>
      </c>
      <c r="C88" s="2405"/>
      <c r="D88" s="2405"/>
      <c r="E88" s="2405"/>
      <c r="F88" s="2405"/>
      <c r="G88" s="2423"/>
      <c r="H88" s="2388"/>
      <c r="I88" s="2388"/>
      <c r="J88" s="2388"/>
      <c r="K88" s="2388"/>
      <c r="L88" s="2388"/>
      <c r="M88" s="2388"/>
      <c r="N88" s="2388"/>
      <c r="O88" s="2388"/>
      <c r="P88" s="2388"/>
      <c r="Q88" s="2388"/>
      <c r="R88" s="2388"/>
      <c r="S88" s="2388"/>
    </row>
    <row r="89" spans="1:19">
      <c r="A89" s="2421"/>
      <c r="B89" s="2404" t="s">
        <v>580</v>
      </c>
      <c r="C89" s="2405"/>
      <c r="D89" s="2405"/>
      <c r="E89" s="2405"/>
      <c r="F89" s="2405"/>
      <c r="G89" s="2423"/>
      <c r="H89" s="2388"/>
      <c r="I89" s="2388"/>
      <c r="J89" s="2388"/>
      <c r="K89" s="2388"/>
      <c r="L89" s="2388"/>
      <c r="M89" s="2388"/>
      <c r="N89" s="2388"/>
      <c r="O89" s="2388"/>
      <c r="P89" s="2388"/>
      <c r="Q89" s="2388"/>
      <c r="R89" s="2388"/>
      <c r="S89" s="2388"/>
    </row>
    <row r="90" spans="1:19">
      <c r="A90" s="2421"/>
      <c r="B90" s="2404" t="s">
        <v>581</v>
      </c>
      <c r="C90" s="2405"/>
      <c r="D90" s="2405"/>
      <c r="E90" s="2405"/>
      <c r="F90" s="2405"/>
      <c r="G90" s="2423"/>
      <c r="H90" s="2388"/>
      <c r="I90" s="2388"/>
      <c r="J90" s="2388"/>
      <c r="K90" s="2388"/>
      <c r="L90" s="2388"/>
      <c r="M90" s="2388"/>
      <c r="N90" s="2388"/>
      <c r="O90" s="2388"/>
      <c r="P90" s="2388"/>
      <c r="Q90" s="2388"/>
      <c r="R90" s="2388"/>
      <c r="S90" s="2388"/>
    </row>
    <row r="91" spans="1:19" ht="15.75" thickBot="1">
      <c r="A91" s="416"/>
      <c r="B91" s="295"/>
      <c r="C91" s="184"/>
      <c r="D91" s="184"/>
      <c r="E91" s="184"/>
      <c r="F91" s="184"/>
      <c r="G91" s="296"/>
      <c r="H91" s="418"/>
      <c r="I91" s="418"/>
      <c r="J91" s="418"/>
      <c r="K91" s="418"/>
      <c r="L91" s="418"/>
      <c r="M91" s="418"/>
      <c r="N91" s="418"/>
      <c r="O91" s="418"/>
      <c r="P91" s="418"/>
      <c r="Q91" s="418"/>
      <c r="R91" s="418"/>
      <c r="S91" s="418"/>
    </row>
    <row r="92" spans="1:19" ht="16.5" thickTop="1" thickBot="1">
      <c r="A92" s="7" t="s">
        <v>582</v>
      </c>
      <c r="B92" s="8"/>
      <c r="C92" s="12"/>
      <c r="D92" s="12"/>
      <c r="E92" s="12"/>
      <c r="F92" s="12"/>
      <c r="G92" s="13"/>
      <c r="H92" s="21"/>
      <c r="I92" s="21"/>
      <c r="J92" s="21"/>
      <c r="K92" s="21"/>
      <c r="L92" s="21"/>
      <c r="M92" s="21"/>
      <c r="N92" s="21"/>
      <c r="O92" s="21"/>
      <c r="P92" s="21"/>
      <c r="Q92" s="21"/>
      <c r="R92" s="21"/>
      <c r="S92" s="21"/>
    </row>
    <row r="93" spans="1:19" ht="15.75" thickTop="1">
      <c r="A93" s="2509"/>
      <c r="B93" s="2516" t="s">
        <v>583</v>
      </c>
      <c r="C93" s="2510"/>
      <c r="D93" s="2510"/>
      <c r="E93" s="2510"/>
      <c r="F93" s="2510"/>
      <c r="G93" s="2511"/>
      <c r="H93" s="2517"/>
      <c r="I93" s="2517"/>
      <c r="J93" s="2517"/>
      <c r="K93" s="2517"/>
      <c r="L93" s="2517"/>
      <c r="M93" s="2517"/>
      <c r="N93" s="2517"/>
      <c r="O93" s="2517"/>
      <c r="P93" s="2517"/>
      <c r="Q93" s="2517"/>
      <c r="R93" s="2517"/>
      <c r="S93" s="2517"/>
    </row>
    <row r="94" spans="1:19">
      <c r="A94" s="2421"/>
      <c r="B94" s="2404" t="s">
        <v>584</v>
      </c>
      <c r="C94" s="2405"/>
      <c r="D94" s="2405"/>
      <c r="E94" s="2405"/>
      <c r="F94" s="2405"/>
      <c r="G94" s="2423"/>
      <c r="H94" s="2390"/>
      <c r="I94" s="2390"/>
      <c r="J94" s="2390"/>
      <c r="K94" s="2390"/>
      <c r="L94" s="2390"/>
      <c r="M94" s="2390"/>
      <c r="N94" s="2390"/>
      <c r="O94" s="2390"/>
      <c r="P94" s="2390"/>
      <c r="Q94" s="2390"/>
      <c r="R94" s="2390"/>
      <c r="S94" s="2390"/>
    </row>
    <row r="95" spans="1:19" ht="15.75" thickBot="1">
      <c r="A95" s="2391"/>
      <c r="B95" s="2392" t="s">
        <v>585</v>
      </c>
      <c r="C95" s="2393"/>
      <c r="D95" s="2393"/>
      <c r="E95" s="2393"/>
      <c r="F95" s="2393"/>
      <c r="G95" s="2394"/>
      <c r="H95" s="2395"/>
      <c r="I95" s="2395"/>
      <c r="J95" s="2395"/>
      <c r="K95" s="2395"/>
      <c r="L95" s="2395"/>
      <c r="M95" s="2395"/>
      <c r="N95" s="2395"/>
      <c r="O95" s="2395"/>
      <c r="P95" s="2395"/>
      <c r="Q95" s="2395"/>
      <c r="R95" s="2395"/>
      <c r="S95" s="2395"/>
    </row>
    <row r="96" spans="1:19" ht="16.5" thickTop="1" thickBot="1"/>
    <row r="97" spans="1:2" ht="16.5" thickTop="1" thickBot="1">
      <c r="A97" s="92" t="s">
        <v>586</v>
      </c>
      <c r="B97" s="94"/>
    </row>
    <row r="98" spans="1:2" ht="15.75" thickTop="1">
      <c r="A98" s="93" t="s">
        <v>487</v>
      </c>
      <c r="B98" s="2396"/>
    </row>
    <row r="99" spans="1:2">
      <c r="A99" s="2397" t="s">
        <v>491</v>
      </c>
      <c r="B99" s="2396"/>
    </row>
    <row r="100" spans="1:2">
      <c r="A100" s="2398" t="s">
        <v>494</v>
      </c>
      <c r="B100" s="2399"/>
    </row>
    <row r="101" spans="1:2">
      <c r="A101" s="2398" t="s">
        <v>497</v>
      </c>
      <c r="B101" s="2400"/>
    </row>
    <row r="102" spans="1:2" ht="15.75" thickBot="1">
      <c r="A102" s="2401" t="s">
        <v>587</v>
      </c>
      <c r="B102" s="2402">
        <f>H8</f>
        <v>28590</v>
      </c>
    </row>
    <row r="103" spans="1:2" ht="15.75" thickTop="1"/>
    <row r="104" spans="1:2">
      <c r="A104" s="95"/>
      <c r="B104" s="1" t="s">
        <v>588</v>
      </c>
    </row>
    <row r="105" spans="1:2">
      <c r="A105" s="96"/>
      <c r="B105"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0:B70"/>
    <mergeCell ref="A74:B74"/>
    <mergeCell ref="A78:B78"/>
    <mergeCell ref="A82:B82"/>
    <mergeCell ref="A86:B86"/>
  </mergeCells>
  <conditionalFormatting sqref="H21:H31 H33:H61 J33:J61 L33:L61 N33:N61 P33:P61 R33:R61">
    <cfRule type="cellIs" dxfId="869" priority="13" operator="equal">
      <formula>"X"</formula>
    </cfRule>
    <cfRule type="cellIs" dxfId="868" priority="14" operator="equal">
      <formula>"I"</formula>
    </cfRule>
  </conditionalFormatting>
  <conditionalFormatting sqref="J21:J31">
    <cfRule type="cellIs" dxfId="867" priority="15" operator="equal">
      <formula>"X"</formula>
    </cfRule>
    <cfRule type="cellIs" dxfId="866" priority="16" operator="equal">
      <formula>"I"</formula>
    </cfRule>
  </conditionalFormatting>
  <conditionalFormatting sqref="L21:L31">
    <cfRule type="cellIs" dxfId="865" priority="17" operator="equal">
      <formula>"X"</formula>
    </cfRule>
    <cfRule type="cellIs" dxfId="864" priority="18" operator="equal">
      <formula>"I"</formula>
    </cfRule>
  </conditionalFormatting>
  <conditionalFormatting sqref="N21:N31">
    <cfRule type="cellIs" dxfId="863" priority="19" operator="equal">
      <formula>"X"</formula>
    </cfRule>
    <cfRule type="cellIs" dxfId="862" priority="20" operator="equal">
      <formula>"I"</formula>
    </cfRule>
  </conditionalFormatting>
  <conditionalFormatting sqref="P21:P31">
    <cfRule type="cellIs" dxfId="861" priority="21" operator="equal">
      <formula>"X"</formula>
    </cfRule>
    <cfRule type="cellIs" dxfId="860" priority="22" operator="equal">
      <formula>"I"</formula>
    </cfRule>
  </conditionalFormatting>
  <conditionalFormatting sqref="R21:R31">
    <cfRule type="cellIs" dxfId="859" priority="23" operator="equal">
      <formula>"X"</formula>
    </cfRule>
    <cfRule type="cellIs" dxfId="858" priority="24" operator="equal">
      <formula>"I"</formula>
    </cfRule>
  </conditionalFormatting>
  <hyperlinks>
    <hyperlink ref="B3" location="'Cost Summary'!A1" display="BACK TO SUMMARY SHEET" xr:uid="{1889A787-41EB-48BD-88EE-70A88A74F29A}"/>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73B-ABB9-4ABD-B535-BBB32D0BF040}">
  <dimension ref="A1:S109"/>
  <sheetViews>
    <sheetView workbookViewId="0">
      <pane xSplit="2" ySplit="9" topLeftCell="I71" activePane="bottomRight" state="frozen"/>
      <selection pane="bottomRight" activeCell="I71" sqref="I71:I72"/>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c r="G2" s="147" t="s">
        <v>476</v>
      </c>
      <c r="H2" s="732"/>
      <c r="I2" s="732"/>
      <c r="J2" s="732"/>
      <c r="K2" s="732"/>
      <c r="L2" s="732"/>
      <c r="M2" s="732"/>
      <c r="N2" s="732"/>
      <c r="O2" s="732"/>
      <c r="P2" s="732"/>
      <c r="Q2" s="732"/>
      <c r="R2" s="732"/>
      <c r="S2" s="732"/>
    </row>
    <row r="3" spans="1:19" ht="21" thickBot="1">
      <c r="B3" s="161" t="s">
        <v>477</v>
      </c>
      <c r="E3" s="175"/>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81"/>
      <c r="K4" s="729"/>
      <c r="L4" s="781"/>
      <c r="M4" s="729"/>
      <c r="N4" s="781"/>
      <c r="O4" s="729"/>
      <c r="P4" s="781"/>
      <c r="Q4" s="729"/>
      <c r="R4" s="781"/>
      <c r="S4" s="729"/>
    </row>
    <row r="5" spans="1:19">
      <c r="A5" s="2403" t="s">
        <v>489</v>
      </c>
      <c r="B5" s="2404" t="s">
        <v>186</v>
      </c>
      <c r="C5" s="2405"/>
      <c r="D5" s="2405"/>
      <c r="E5" s="2405"/>
      <c r="F5" s="2405"/>
      <c r="G5" s="2406" t="s">
        <v>491</v>
      </c>
      <c r="H5" s="2407"/>
      <c r="I5" s="2408"/>
      <c r="J5" s="2533"/>
      <c r="K5" s="2408"/>
      <c r="L5" s="2533"/>
      <c r="M5" s="2408"/>
      <c r="N5" s="2533"/>
      <c r="O5" s="2408"/>
      <c r="P5" s="2533"/>
      <c r="Q5" s="2408"/>
      <c r="R5" s="2533"/>
      <c r="S5" s="2408"/>
    </row>
    <row r="6" spans="1:19">
      <c r="A6" s="2403" t="s">
        <v>493</v>
      </c>
      <c r="B6" s="2410" t="s">
        <v>1134</v>
      </c>
      <c r="C6" s="2405"/>
      <c r="D6" s="2405"/>
      <c r="E6" s="2405"/>
      <c r="F6" s="2405"/>
      <c r="G6" s="2406" t="s">
        <v>494</v>
      </c>
      <c r="H6" s="2411"/>
      <c r="I6" s="2412"/>
      <c r="J6" s="2534"/>
      <c r="K6" s="2412"/>
      <c r="L6" s="2534"/>
      <c r="M6" s="2412"/>
      <c r="N6" s="2534"/>
      <c r="O6" s="2412"/>
      <c r="P6" s="2534"/>
      <c r="Q6" s="2412"/>
      <c r="R6" s="2534"/>
      <c r="S6" s="2412"/>
    </row>
    <row r="7" spans="1:19">
      <c r="A7" s="2403" t="s">
        <v>496</v>
      </c>
      <c r="B7" s="2414"/>
      <c r="C7" s="2405"/>
      <c r="D7" s="2405"/>
      <c r="E7" s="2405"/>
      <c r="F7" s="2405"/>
      <c r="G7" s="2406" t="s">
        <v>497</v>
      </c>
      <c r="H7" s="2415"/>
      <c r="I7" s="2416"/>
      <c r="J7" s="2535"/>
      <c r="K7" s="2416"/>
      <c r="L7" s="2535"/>
      <c r="M7" s="2416"/>
      <c r="N7" s="2535"/>
      <c r="O7" s="2416"/>
      <c r="P7" s="2535"/>
      <c r="Q7" s="2416"/>
      <c r="R7" s="2535"/>
      <c r="S7" s="2416"/>
    </row>
    <row r="8" spans="1:19" ht="15.75" thickBot="1">
      <c r="A8" s="414" t="s">
        <v>499</v>
      </c>
      <c r="B8" s="295"/>
      <c r="C8" s="184"/>
      <c r="D8" s="184"/>
      <c r="E8" s="184"/>
      <c r="F8" s="184"/>
      <c r="G8" s="414" t="s">
        <v>499</v>
      </c>
      <c r="H8" s="2418">
        <f>I70</f>
        <v>0</v>
      </c>
      <c r="I8" s="2419"/>
      <c r="J8" s="2418">
        <f>K70</f>
        <v>0</v>
      </c>
      <c r="K8" s="2419"/>
      <c r="L8" s="2418">
        <f>M70</f>
        <v>0</v>
      </c>
      <c r="M8" s="2419"/>
      <c r="N8" s="2418">
        <f>O70</f>
        <v>0</v>
      </c>
      <c r="O8" s="2419"/>
      <c r="P8" s="2418">
        <f>Q70</f>
        <v>0</v>
      </c>
      <c r="Q8" s="2419"/>
      <c r="R8" s="2418">
        <f>S70</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52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525"/>
      <c r="B20" s="2404"/>
      <c r="C20" s="2426"/>
      <c r="D20" s="2405"/>
      <c r="E20" s="2405"/>
      <c r="F20" s="2405"/>
      <c r="G20" s="2423"/>
      <c r="H20" s="2424"/>
      <c r="I20" s="2424"/>
      <c r="J20" s="2424"/>
      <c r="K20" s="2424"/>
      <c r="L20" s="2424"/>
      <c r="M20" s="2424"/>
      <c r="N20" s="2424"/>
      <c r="O20" s="2424"/>
      <c r="P20" s="2424"/>
      <c r="Q20" s="2424"/>
      <c r="R20" s="2424"/>
      <c r="S20" s="2424"/>
    </row>
    <row r="21" spans="1:19" ht="15.75" thickBot="1">
      <c r="A21" s="2536"/>
      <c r="B21" s="2428" t="s">
        <v>186</v>
      </c>
      <c r="C21" s="56"/>
      <c r="D21" s="57"/>
      <c r="E21" s="57"/>
      <c r="F21" s="57"/>
      <c r="G21" s="63"/>
      <c r="H21" s="2537"/>
      <c r="I21" s="2499"/>
      <c r="J21" s="2537"/>
      <c r="K21" s="2499"/>
      <c r="L21" s="2537"/>
      <c r="M21" s="2499"/>
      <c r="N21" s="2537"/>
      <c r="O21" s="2499"/>
      <c r="P21" s="2537"/>
      <c r="Q21" s="2499"/>
      <c r="R21" s="2537"/>
      <c r="S21" s="2499"/>
    </row>
    <row r="22" spans="1:19">
      <c r="A22" s="2536"/>
      <c r="B22" s="2318" t="s">
        <v>512</v>
      </c>
      <c r="C22" s="2426"/>
      <c r="D22" s="2405"/>
      <c r="E22" s="2405"/>
      <c r="F22" s="2405"/>
      <c r="G22" s="2423"/>
      <c r="H22" s="2537"/>
      <c r="I22" s="2499"/>
      <c r="J22" s="2537"/>
      <c r="K22" s="2499"/>
      <c r="L22" s="2537"/>
      <c r="M22" s="2499"/>
      <c r="N22" s="2537"/>
      <c r="O22" s="2499"/>
      <c r="P22" s="2537"/>
      <c r="Q22" s="2499"/>
      <c r="R22" s="2537"/>
      <c r="S22" s="2499"/>
    </row>
    <row r="23" spans="1:19">
      <c r="A23" s="2536"/>
      <c r="B23" s="2538" t="s">
        <v>513</v>
      </c>
      <c r="C23" s="2426"/>
      <c r="D23" s="2405"/>
      <c r="E23" s="2405"/>
      <c r="F23" s="2405"/>
      <c r="G23" s="2423"/>
      <c r="H23" s="2537"/>
      <c r="I23" s="2499"/>
      <c r="J23" s="2537"/>
      <c r="K23" s="2508"/>
      <c r="L23" s="2537"/>
      <c r="M23" s="2508"/>
      <c r="N23" s="2508"/>
      <c r="O23" s="2508"/>
      <c r="P23" s="2508"/>
      <c r="Q23" s="2508"/>
      <c r="R23" s="2508"/>
      <c r="S23" s="2508"/>
    </row>
    <row r="24" spans="1:19">
      <c r="A24" s="2507"/>
      <c r="B24" s="2538" t="s">
        <v>514</v>
      </c>
      <c r="C24" s="2430"/>
      <c r="D24" s="2405"/>
      <c r="E24" s="2405"/>
      <c r="F24" s="2405"/>
      <c r="G24" s="2423"/>
      <c r="H24" s="2537"/>
      <c r="I24" s="2499"/>
      <c r="J24" s="2537"/>
      <c r="K24" s="2508"/>
      <c r="L24" s="2537"/>
      <c r="M24" s="2508"/>
      <c r="N24" s="2508"/>
      <c r="O24" s="2508"/>
      <c r="P24" s="2508"/>
      <c r="Q24" s="2508"/>
      <c r="R24" s="2508"/>
      <c r="S24" s="2508"/>
    </row>
    <row r="25" spans="1:19">
      <c r="A25" s="2507"/>
      <c r="B25" s="2524" t="s">
        <v>515</v>
      </c>
      <c r="C25" s="2430"/>
      <c r="D25" s="2405"/>
      <c r="E25" s="2405"/>
      <c r="F25" s="2405"/>
      <c r="G25" s="2423"/>
      <c r="H25" s="2537"/>
      <c r="I25" s="2499"/>
      <c r="J25" s="2537"/>
      <c r="K25" s="2508"/>
      <c r="L25" s="2537"/>
      <c r="M25" s="2508"/>
      <c r="N25" s="2508"/>
      <c r="O25" s="2508"/>
      <c r="P25" s="2508"/>
      <c r="Q25" s="2508"/>
      <c r="R25" s="2508"/>
      <c r="S25" s="2508"/>
    </row>
    <row r="26" spans="1:19" s="91" customFormat="1">
      <c r="A26" s="2525"/>
      <c r="B26" s="2524" t="s">
        <v>516</v>
      </c>
      <c r="C26" s="2432"/>
      <c r="D26" s="2433"/>
      <c r="E26" s="2433"/>
      <c r="F26" s="2433"/>
      <c r="G26" s="2432"/>
      <c r="H26" s="2537"/>
      <c r="I26" s="2499"/>
      <c r="J26" s="2539"/>
      <c r="K26" s="2540"/>
      <c r="L26" s="2539"/>
      <c r="M26" s="2540"/>
      <c r="N26" s="2540"/>
      <c r="O26" s="2540"/>
      <c r="P26" s="2540"/>
      <c r="Q26" s="2540"/>
      <c r="R26" s="2540"/>
      <c r="S26" s="2540"/>
    </row>
    <row r="27" spans="1:19" s="91" customFormat="1">
      <c r="A27" s="2536"/>
      <c r="B27" s="2524" t="s">
        <v>517</v>
      </c>
      <c r="C27" s="2432"/>
      <c r="D27" s="2433"/>
      <c r="E27" s="2433"/>
      <c r="F27" s="2433"/>
      <c r="G27" s="2432"/>
      <c r="H27" s="2537"/>
      <c r="I27" s="2499"/>
      <c r="J27" s="2539"/>
      <c r="K27" s="2540"/>
      <c r="L27" s="2539"/>
      <c r="M27" s="2540"/>
      <c r="N27" s="2540"/>
      <c r="O27" s="2540"/>
      <c r="P27" s="2540"/>
      <c r="Q27" s="2540"/>
      <c r="R27" s="2540"/>
      <c r="S27" s="2540"/>
    </row>
    <row r="28" spans="1:19" s="91" customFormat="1">
      <c r="A28" s="2536"/>
      <c r="B28" s="2524" t="s">
        <v>518</v>
      </c>
      <c r="C28" s="2432"/>
      <c r="D28" s="2433"/>
      <c r="E28" s="2433"/>
      <c r="F28" s="2433"/>
      <c r="G28" s="2432"/>
      <c r="H28" s="2537"/>
      <c r="I28" s="2499"/>
      <c r="J28" s="2539"/>
      <c r="K28" s="2540"/>
      <c r="L28" s="2539"/>
      <c r="M28" s="2540"/>
      <c r="N28" s="2540"/>
      <c r="O28" s="2540"/>
      <c r="P28" s="2540"/>
      <c r="Q28" s="2540"/>
      <c r="R28" s="2540"/>
      <c r="S28" s="2540"/>
    </row>
    <row r="29" spans="1:19" s="91" customFormat="1">
      <c r="A29" s="2536"/>
      <c r="B29" s="2541" t="s">
        <v>519</v>
      </c>
      <c r="C29" s="2432"/>
      <c r="D29" s="2433"/>
      <c r="E29" s="2433"/>
      <c r="F29" s="2433"/>
      <c r="G29" s="2432"/>
      <c r="H29" s="2537"/>
      <c r="I29" s="2499"/>
      <c r="J29" s="2539"/>
      <c r="K29" s="2540"/>
      <c r="L29" s="2539"/>
      <c r="M29" s="2540"/>
      <c r="N29" s="2540"/>
      <c r="O29" s="2540"/>
      <c r="P29" s="2540"/>
      <c r="Q29" s="2540"/>
      <c r="R29" s="2540"/>
      <c r="S29" s="2540"/>
    </row>
    <row r="30" spans="1:19" s="91" customFormat="1">
      <c r="A30" s="2525"/>
      <c r="B30" s="2542" t="s">
        <v>520</v>
      </c>
      <c r="C30" s="2435"/>
      <c r="D30" s="2436"/>
      <c r="E30" s="2436"/>
      <c r="F30" s="2436"/>
      <c r="G30" s="2435"/>
      <c r="H30" s="2439"/>
      <c r="I30" s="2543"/>
      <c r="J30" s="2443"/>
      <c r="K30" s="2544"/>
      <c r="L30" s="2443"/>
      <c r="M30" s="2544"/>
      <c r="N30" s="2544"/>
      <c r="O30" s="2544"/>
      <c r="P30" s="2544"/>
      <c r="Q30" s="2544"/>
      <c r="R30" s="2544"/>
      <c r="S30" s="2544"/>
    </row>
    <row r="31" spans="1:19" s="91" customFormat="1">
      <c r="A31" s="2525"/>
      <c r="B31" s="2545"/>
      <c r="C31" s="2432"/>
      <c r="D31" s="2433"/>
      <c r="E31" s="2433"/>
      <c r="F31" s="2433"/>
      <c r="G31" s="2432"/>
      <c r="H31" s="2537"/>
      <c r="I31" s="2499"/>
      <c r="J31" s="2539"/>
      <c r="K31" s="2540"/>
      <c r="L31" s="2539"/>
      <c r="M31" s="2540"/>
      <c r="N31" s="2540"/>
      <c r="O31" s="2540"/>
      <c r="P31" s="2540"/>
      <c r="Q31" s="2540"/>
      <c r="R31" s="2540"/>
      <c r="S31" s="2540"/>
    </row>
    <row r="32" spans="1:19" s="91" customFormat="1">
      <c r="A32" s="2536"/>
      <c r="B32" s="2545"/>
      <c r="C32" s="2445"/>
      <c r="D32" s="2433"/>
      <c r="E32" s="2433"/>
      <c r="F32" s="2433"/>
      <c r="G32" s="2432"/>
      <c r="H32" s="2537"/>
      <c r="I32" s="2499"/>
      <c r="J32" s="2539"/>
      <c r="K32" s="2540"/>
      <c r="L32" s="2539"/>
      <c r="M32" s="2540"/>
      <c r="N32" s="2540"/>
      <c r="O32" s="2540"/>
      <c r="P32" s="2540"/>
      <c r="Q32" s="2540"/>
      <c r="R32" s="2540"/>
      <c r="S32" s="2540"/>
    </row>
    <row r="33" spans="1:19" s="91" customFormat="1">
      <c r="A33" s="2536"/>
      <c r="B33" s="2545"/>
      <c r="C33" s="2445"/>
      <c r="D33" s="2433"/>
      <c r="E33" s="2433"/>
      <c r="F33" s="2433"/>
      <c r="G33" s="2432"/>
      <c r="H33" s="2537"/>
      <c r="I33" s="2499"/>
      <c r="J33" s="2539"/>
      <c r="K33" s="2540"/>
      <c r="L33" s="2539"/>
      <c r="M33" s="2540"/>
      <c r="N33" s="2540"/>
      <c r="O33" s="2540"/>
      <c r="P33" s="2540"/>
      <c r="Q33" s="2540"/>
      <c r="R33" s="2540"/>
      <c r="S33" s="2540"/>
    </row>
    <row r="34" spans="1:19" s="91" customFormat="1">
      <c r="A34" s="2536"/>
      <c r="B34" s="2545"/>
      <c r="C34" s="2445"/>
      <c r="D34" s="2433"/>
      <c r="E34" s="2433"/>
      <c r="F34" s="2433"/>
      <c r="G34" s="2432"/>
      <c r="H34" s="2537"/>
      <c r="I34" s="2499"/>
      <c r="J34" s="2539"/>
      <c r="K34" s="2540"/>
      <c r="L34" s="2539"/>
      <c r="M34" s="2540"/>
      <c r="N34" s="2540"/>
      <c r="O34" s="2540"/>
      <c r="P34" s="2540"/>
      <c r="Q34" s="2540"/>
      <c r="R34" s="2540"/>
      <c r="S34" s="2540"/>
    </row>
    <row r="35" spans="1:19" s="91" customFormat="1">
      <c r="A35" s="2536"/>
      <c r="B35" s="2545"/>
      <c r="C35" s="2445"/>
      <c r="D35" s="2433"/>
      <c r="E35" s="2433"/>
      <c r="F35" s="2433"/>
      <c r="G35" s="2432"/>
      <c r="H35" s="2537"/>
      <c r="I35" s="2499"/>
      <c r="J35" s="2539"/>
      <c r="K35" s="2540"/>
      <c r="L35" s="2539"/>
      <c r="M35" s="2540"/>
      <c r="N35" s="2540"/>
      <c r="O35" s="2540"/>
      <c r="P35" s="2540"/>
      <c r="Q35" s="2540"/>
      <c r="R35" s="2540"/>
      <c r="S35" s="2540"/>
    </row>
    <row r="36" spans="1:19" s="91" customFormat="1">
      <c r="A36" s="2536"/>
      <c r="B36" s="2545"/>
      <c r="C36" s="2445"/>
      <c r="D36" s="2433"/>
      <c r="E36" s="2433"/>
      <c r="F36" s="2433"/>
      <c r="G36" s="2432"/>
      <c r="H36" s="2537"/>
      <c r="I36" s="2499"/>
      <c r="J36" s="2539"/>
      <c r="K36" s="2540"/>
      <c r="L36" s="2539"/>
      <c r="M36" s="2540"/>
      <c r="N36" s="2540"/>
      <c r="O36" s="2540"/>
      <c r="P36" s="2540"/>
      <c r="Q36" s="2540"/>
      <c r="R36" s="2540"/>
      <c r="S36" s="2540"/>
    </row>
    <row r="37" spans="1:19" s="91" customFormat="1">
      <c r="A37" s="2536"/>
      <c r="B37" s="2545"/>
      <c r="C37" s="2445"/>
      <c r="D37" s="2433"/>
      <c r="E37" s="2546"/>
      <c r="F37" s="2547"/>
      <c r="G37" s="2432"/>
      <c r="H37" s="2537"/>
      <c r="I37" s="2499"/>
      <c r="J37" s="2539"/>
      <c r="K37" s="2540"/>
      <c r="L37" s="2539"/>
      <c r="M37" s="2540"/>
      <c r="N37" s="2540"/>
      <c r="O37" s="2540"/>
      <c r="P37" s="2540"/>
      <c r="Q37" s="2540"/>
      <c r="R37" s="2540"/>
      <c r="S37" s="2540"/>
    </row>
    <row r="38" spans="1:19" s="91" customFormat="1">
      <c r="A38" s="2536"/>
      <c r="B38" s="2545"/>
      <c r="C38" s="2445"/>
      <c r="D38" s="2433"/>
      <c r="E38" s="2546"/>
      <c r="F38" s="2547"/>
      <c r="G38" s="2432"/>
      <c r="H38" s="2537"/>
      <c r="I38" s="2499"/>
      <c r="J38" s="2539"/>
      <c r="K38" s="2540"/>
      <c r="L38" s="2539"/>
      <c r="M38" s="2540"/>
      <c r="N38" s="2540"/>
      <c r="O38" s="2540"/>
      <c r="P38" s="2540"/>
      <c r="Q38" s="2540"/>
      <c r="R38" s="2540"/>
      <c r="S38" s="2540"/>
    </row>
    <row r="39" spans="1:19" s="91" customFormat="1">
      <c r="A39" s="2536"/>
      <c r="B39" s="2545"/>
      <c r="C39" s="2445"/>
      <c r="D39" s="2433"/>
      <c r="E39" s="2546"/>
      <c r="F39" s="2547"/>
      <c r="G39" s="2432"/>
      <c r="H39" s="2537"/>
      <c r="I39" s="2499"/>
      <c r="J39" s="2539"/>
      <c r="K39" s="2540"/>
      <c r="L39" s="2539"/>
      <c r="M39" s="2540"/>
      <c r="N39" s="2540"/>
      <c r="O39" s="2540"/>
      <c r="P39" s="2540"/>
      <c r="Q39" s="2540"/>
      <c r="R39" s="2540"/>
      <c r="S39" s="2540"/>
    </row>
    <row r="40" spans="1:19" s="91" customFormat="1">
      <c r="A40" s="2536"/>
      <c r="B40" s="2548"/>
      <c r="C40" s="2445"/>
      <c r="D40" s="2433"/>
      <c r="E40" s="2546"/>
      <c r="F40" s="2547"/>
      <c r="G40" s="2432"/>
      <c r="H40" s="2537"/>
      <c r="I40" s="2499"/>
      <c r="J40" s="2539"/>
      <c r="K40" s="2540"/>
      <c r="L40" s="2539"/>
      <c r="M40" s="2540"/>
      <c r="N40" s="2540"/>
      <c r="O40" s="2540"/>
      <c r="P40" s="2540"/>
      <c r="Q40" s="2540"/>
      <c r="R40" s="2540"/>
      <c r="S40" s="2540"/>
    </row>
    <row r="41" spans="1:19" s="91" customFormat="1">
      <c r="A41" s="2536"/>
      <c r="B41" s="2549"/>
      <c r="C41" s="2445"/>
      <c r="D41" s="2433"/>
      <c r="E41" s="2546"/>
      <c r="F41" s="2547"/>
      <c r="G41" s="2432"/>
      <c r="H41" s="2537"/>
      <c r="I41" s="2499"/>
      <c r="J41" s="2539"/>
      <c r="K41" s="2540"/>
      <c r="L41" s="2539"/>
      <c r="M41" s="2540"/>
      <c r="N41" s="2540"/>
      <c r="O41" s="2540"/>
      <c r="P41" s="2540"/>
      <c r="Q41" s="2540"/>
      <c r="R41" s="2540"/>
      <c r="S41" s="2540"/>
    </row>
    <row r="42" spans="1:19" s="91" customFormat="1">
      <c r="A42" s="2536"/>
      <c r="B42" s="152"/>
      <c r="C42" s="2445"/>
      <c r="D42" s="2433"/>
      <c r="E42" s="2546"/>
      <c r="F42" s="2547"/>
      <c r="G42" s="2432"/>
      <c r="H42" s="2537"/>
      <c r="I42" s="2499"/>
      <c r="J42" s="2539"/>
      <c r="K42" s="2540"/>
      <c r="L42" s="2539"/>
      <c r="M42" s="2540"/>
      <c r="N42" s="2540"/>
      <c r="O42" s="2540"/>
      <c r="P42" s="2540"/>
      <c r="Q42" s="2540"/>
      <c r="R42" s="2540"/>
      <c r="S42" s="2540"/>
    </row>
    <row r="43" spans="1:19" s="91" customFormat="1">
      <c r="A43" s="2536"/>
      <c r="B43" s="2545"/>
      <c r="C43" s="2445"/>
      <c r="D43" s="2433"/>
      <c r="E43" s="2546"/>
      <c r="F43" s="2547"/>
      <c r="G43" s="2432"/>
      <c r="H43" s="2537"/>
      <c r="I43" s="2499"/>
      <c r="J43" s="2539"/>
      <c r="K43" s="2540"/>
      <c r="L43" s="2539"/>
      <c r="M43" s="2540"/>
      <c r="N43" s="2540"/>
      <c r="O43" s="2540"/>
      <c r="P43" s="2540"/>
      <c r="Q43" s="2540"/>
      <c r="R43" s="2540"/>
      <c r="S43" s="2540"/>
    </row>
    <row r="44" spans="1:19" s="91" customFormat="1">
      <c r="A44" s="2536"/>
      <c r="B44" s="2545"/>
      <c r="C44" s="2445"/>
      <c r="D44" s="2433"/>
      <c r="E44" s="2546"/>
      <c r="F44" s="2547"/>
      <c r="G44" s="2432"/>
      <c r="H44" s="2537"/>
      <c r="I44" s="2499"/>
      <c r="J44" s="2539"/>
      <c r="K44" s="2540"/>
      <c r="L44" s="2539"/>
      <c r="M44" s="2540"/>
      <c r="N44" s="2540"/>
      <c r="O44" s="2540"/>
      <c r="P44" s="2540"/>
      <c r="Q44" s="2540"/>
      <c r="R44" s="2540"/>
      <c r="S44" s="2540"/>
    </row>
    <row r="45" spans="1:19" s="91" customFormat="1">
      <c r="A45" s="2536"/>
      <c r="B45" s="2545"/>
      <c r="C45" s="2445"/>
      <c r="D45" s="2433"/>
      <c r="E45" s="2546"/>
      <c r="F45" s="2547"/>
      <c r="G45" s="2432"/>
      <c r="H45" s="2537"/>
      <c r="I45" s="2499"/>
      <c r="J45" s="2539"/>
      <c r="K45" s="2540"/>
      <c r="L45" s="2539"/>
      <c r="M45" s="2540"/>
      <c r="N45" s="2540"/>
      <c r="O45" s="2540"/>
      <c r="P45" s="2540"/>
      <c r="Q45" s="2540"/>
      <c r="R45" s="2540"/>
      <c r="S45" s="2540"/>
    </row>
    <row r="46" spans="1:19" s="91" customFormat="1">
      <c r="A46" s="2536"/>
      <c r="B46" s="2545"/>
      <c r="C46" s="2445"/>
      <c r="D46" s="2433"/>
      <c r="E46" s="2546"/>
      <c r="F46" s="2547"/>
      <c r="G46" s="2432"/>
      <c r="H46" s="2537"/>
      <c r="I46" s="2499"/>
      <c r="J46" s="2539"/>
      <c r="K46" s="2540"/>
      <c r="L46" s="2539"/>
      <c r="M46" s="2540"/>
      <c r="N46" s="2540"/>
      <c r="O46" s="2540"/>
      <c r="P46" s="2540"/>
      <c r="Q46" s="2540"/>
      <c r="R46" s="2540"/>
      <c r="S46" s="2540"/>
    </row>
    <row r="47" spans="1:19" s="91" customFormat="1">
      <c r="A47" s="2536"/>
      <c r="B47" s="2545"/>
      <c r="C47" s="2445"/>
      <c r="D47" s="2433"/>
      <c r="E47" s="2546"/>
      <c r="F47" s="2547"/>
      <c r="G47" s="2432"/>
      <c r="H47" s="2537"/>
      <c r="I47" s="2499"/>
      <c r="J47" s="2539"/>
      <c r="K47" s="2540"/>
      <c r="L47" s="2539"/>
      <c r="M47" s="2540"/>
      <c r="N47" s="2540"/>
      <c r="O47" s="2540"/>
      <c r="P47" s="2540"/>
      <c r="Q47" s="2540"/>
      <c r="R47" s="2540"/>
      <c r="S47" s="2540"/>
    </row>
    <row r="48" spans="1:19" s="91" customFormat="1">
      <c r="A48" s="2536"/>
      <c r="B48" s="2545"/>
      <c r="C48" s="2445"/>
      <c r="D48" s="2433"/>
      <c r="E48" s="2546"/>
      <c r="F48" s="2547"/>
      <c r="G48" s="2432"/>
      <c r="H48" s="2537"/>
      <c r="I48" s="2499"/>
      <c r="J48" s="2539"/>
      <c r="K48" s="2540"/>
      <c r="L48" s="2539"/>
      <c r="M48" s="2540"/>
      <c r="N48" s="2540"/>
      <c r="O48" s="2540"/>
      <c r="P48" s="2540"/>
      <c r="Q48" s="2540"/>
      <c r="R48" s="2540"/>
      <c r="S48" s="2540"/>
    </row>
    <row r="49" spans="1:19" s="91" customFormat="1">
      <c r="A49" s="2536"/>
      <c r="B49" s="2545"/>
      <c r="C49" s="2445"/>
      <c r="D49" s="2433"/>
      <c r="E49" s="2546"/>
      <c r="F49" s="2547"/>
      <c r="G49" s="2432"/>
      <c r="H49" s="2537"/>
      <c r="I49" s="2499"/>
      <c r="J49" s="2539"/>
      <c r="K49" s="2540"/>
      <c r="L49" s="2539"/>
      <c r="M49" s="2540"/>
      <c r="N49" s="2540"/>
      <c r="O49" s="2540"/>
      <c r="P49" s="2540"/>
      <c r="Q49" s="2540"/>
      <c r="R49" s="2540"/>
      <c r="S49" s="2540"/>
    </row>
    <row r="50" spans="1:19" s="91" customFormat="1">
      <c r="A50" s="2536"/>
      <c r="B50" s="2545"/>
      <c r="C50" s="2445"/>
      <c r="D50" s="2433"/>
      <c r="E50" s="2546"/>
      <c r="F50" s="2547"/>
      <c r="G50" s="2432"/>
      <c r="H50" s="2537"/>
      <c r="I50" s="2499"/>
      <c r="J50" s="2539"/>
      <c r="K50" s="2540"/>
      <c r="L50" s="2539"/>
      <c r="M50" s="2540"/>
      <c r="N50" s="2540"/>
      <c r="O50" s="2540"/>
      <c r="P50" s="2540"/>
      <c r="Q50" s="2540"/>
      <c r="R50" s="2540"/>
      <c r="S50" s="2540"/>
    </row>
    <row r="51" spans="1:19" s="91" customFormat="1">
      <c r="A51" s="2536"/>
      <c r="B51" s="2545"/>
      <c r="C51" s="2445"/>
      <c r="D51" s="2433"/>
      <c r="E51" s="2546"/>
      <c r="F51" s="2547"/>
      <c r="G51" s="2432"/>
      <c r="H51" s="2537"/>
      <c r="I51" s="2499"/>
      <c r="J51" s="2539"/>
      <c r="K51" s="2540"/>
      <c r="L51" s="2539"/>
      <c r="M51" s="2540"/>
      <c r="N51" s="2540"/>
      <c r="O51" s="2540"/>
      <c r="P51" s="2540"/>
      <c r="Q51" s="2540"/>
      <c r="R51" s="2540"/>
      <c r="S51" s="2540"/>
    </row>
    <row r="52" spans="1:19" s="91" customFormat="1">
      <c r="A52" s="2536"/>
      <c r="B52" s="2545"/>
      <c r="C52" s="2445"/>
      <c r="D52" s="2433"/>
      <c r="E52" s="2546"/>
      <c r="F52" s="2547"/>
      <c r="G52" s="2432"/>
      <c r="H52" s="2537"/>
      <c r="I52" s="2499"/>
      <c r="J52" s="2539"/>
      <c r="K52" s="2540"/>
      <c r="L52" s="2539"/>
      <c r="M52" s="2540"/>
      <c r="N52" s="2540"/>
      <c r="O52" s="2540"/>
      <c r="P52" s="2540"/>
      <c r="Q52" s="2540"/>
      <c r="R52" s="2540"/>
      <c r="S52" s="2540"/>
    </row>
    <row r="53" spans="1:19" s="91" customFormat="1">
      <c r="A53" s="2536"/>
      <c r="B53" s="2545"/>
      <c r="C53" s="2445"/>
      <c r="D53" s="2433"/>
      <c r="E53" s="2546"/>
      <c r="F53" s="2547"/>
      <c r="G53" s="2432"/>
      <c r="H53" s="2537"/>
      <c r="I53" s="2499"/>
      <c r="J53" s="2539"/>
      <c r="K53" s="2540"/>
      <c r="L53" s="2539"/>
      <c r="M53" s="2540"/>
      <c r="N53" s="2540"/>
      <c r="O53" s="2540"/>
      <c r="P53" s="2540"/>
      <c r="Q53" s="2540"/>
      <c r="R53" s="2540"/>
      <c r="S53" s="2540"/>
    </row>
    <row r="54" spans="1:19" s="91" customFormat="1">
      <c r="A54" s="2525"/>
      <c r="B54" s="2545"/>
      <c r="C54" s="2432"/>
      <c r="D54" s="2433"/>
      <c r="E54" s="2546"/>
      <c r="F54" s="2547"/>
      <c r="G54" s="2432"/>
      <c r="H54" s="2537"/>
      <c r="I54" s="2499"/>
      <c r="J54" s="2539"/>
      <c r="K54" s="2540"/>
      <c r="L54" s="2539"/>
      <c r="M54" s="2540"/>
      <c r="N54" s="2540"/>
      <c r="O54" s="2540"/>
      <c r="P54" s="2540"/>
      <c r="Q54" s="2540"/>
      <c r="R54" s="2540"/>
      <c r="S54" s="2540"/>
    </row>
    <row r="55" spans="1:19">
      <c r="A55" s="2507"/>
      <c r="B55" s="2545"/>
      <c r="C55" s="2432"/>
      <c r="D55" s="2405"/>
      <c r="E55" s="2546"/>
      <c r="F55" s="2547"/>
      <c r="G55" s="2423"/>
      <c r="H55" s="2537"/>
      <c r="I55" s="2499"/>
      <c r="J55" s="2390"/>
      <c r="K55" s="2390"/>
      <c r="L55" s="2390"/>
      <c r="M55" s="2508"/>
      <c r="N55" s="2508"/>
      <c r="O55" s="2508"/>
      <c r="P55" s="2508"/>
      <c r="Q55" s="2508"/>
      <c r="R55" s="2508"/>
      <c r="S55" s="2508"/>
    </row>
    <row r="56" spans="1:19">
      <c r="A56" s="2507"/>
      <c r="B56" s="145"/>
      <c r="C56" s="2432"/>
      <c r="D56" s="2405"/>
      <c r="E56" s="2546"/>
      <c r="F56" s="2547"/>
      <c r="G56" s="2423"/>
      <c r="H56" s="2537"/>
      <c r="I56" s="2499"/>
      <c r="J56" s="2537"/>
      <c r="K56" s="2508"/>
      <c r="L56" s="2537"/>
      <c r="M56" s="2508"/>
      <c r="N56" s="2508"/>
      <c r="O56" s="2508"/>
      <c r="P56" s="2508"/>
      <c r="Q56" s="2508"/>
      <c r="R56" s="2508"/>
      <c r="S56" s="2508"/>
    </row>
    <row r="57" spans="1:19">
      <c r="A57" s="2507"/>
      <c r="B57" s="2548"/>
      <c r="C57" s="2432"/>
      <c r="D57" s="2405"/>
      <c r="E57" s="2405"/>
      <c r="F57" s="2405"/>
      <c r="G57" s="2423"/>
      <c r="H57" s="2537"/>
      <c r="I57" s="2499"/>
      <c r="J57" s="2537"/>
      <c r="K57" s="2508"/>
      <c r="L57" s="2537"/>
      <c r="M57" s="2508"/>
      <c r="N57" s="2508"/>
      <c r="O57" s="2508"/>
      <c r="P57" s="2508"/>
      <c r="Q57" s="2508"/>
      <c r="R57" s="2508"/>
      <c r="S57" s="2508"/>
    </row>
    <row r="58" spans="1:19">
      <c r="A58" s="2507"/>
      <c r="B58" s="2548"/>
      <c r="C58" s="2432"/>
      <c r="D58" s="2405"/>
      <c r="E58" s="2405"/>
      <c r="F58" s="2405"/>
      <c r="G58" s="2423"/>
      <c r="H58" s="2537"/>
      <c r="I58" s="2508"/>
      <c r="J58" s="2390"/>
      <c r="K58" s="2508"/>
      <c r="L58" s="2537"/>
      <c r="M58" s="2508"/>
      <c r="N58" s="2508"/>
      <c r="O58" s="2508"/>
      <c r="P58" s="2508"/>
      <c r="Q58" s="2508"/>
      <c r="R58" s="2508"/>
      <c r="S58" s="2508"/>
    </row>
    <row r="59" spans="1:19">
      <c r="A59" s="2507"/>
      <c r="B59" s="2550"/>
      <c r="C59" s="2432"/>
      <c r="D59" s="2405"/>
      <c r="E59" s="2405"/>
      <c r="F59" s="2405"/>
      <c r="G59" s="2423"/>
      <c r="H59" s="2537"/>
      <c r="I59" s="2508"/>
      <c r="J59" s="2537"/>
      <c r="K59" s="2508"/>
      <c r="L59" s="2537"/>
      <c r="M59" s="2508"/>
      <c r="N59" s="2508"/>
      <c r="O59" s="2508"/>
      <c r="P59" s="2508"/>
      <c r="Q59" s="2508"/>
      <c r="R59" s="2508"/>
      <c r="S59" s="2508"/>
    </row>
    <row r="60" spans="1:19">
      <c r="A60" s="2507"/>
      <c r="B60" s="2444"/>
      <c r="C60" s="2432"/>
      <c r="D60" s="2405"/>
      <c r="E60" s="2405"/>
      <c r="F60" s="2405"/>
      <c r="G60" s="2423"/>
      <c r="H60" s="2537"/>
      <c r="I60" s="2508"/>
      <c r="J60" s="2537"/>
      <c r="K60" s="2508"/>
      <c r="L60" s="2537"/>
      <c r="M60" s="2508"/>
      <c r="N60" s="2508"/>
      <c r="O60" s="2508"/>
      <c r="P60" s="2508"/>
      <c r="Q60" s="2508"/>
      <c r="R60" s="2508"/>
      <c r="S60" s="2508"/>
    </row>
    <row r="61" spans="1:19">
      <c r="A61" s="2507"/>
      <c r="B61" s="2444"/>
      <c r="C61" s="2432"/>
      <c r="D61" s="2405"/>
      <c r="E61" s="2405"/>
      <c r="F61" s="2405"/>
      <c r="G61" s="2423"/>
      <c r="H61" s="2537"/>
      <c r="I61" s="2499"/>
      <c r="J61" s="2537"/>
      <c r="K61" s="2499"/>
      <c r="L61" s="2508"/>
      <c r="M61" s="2499"/>
      <c r="N61" s="2508"/>
      <c r="O61" s="2499"/>
      <c r="P61" s="2508"/>
      <c r="Q61" s="2508"/>
      <c r="R61" s="2508"/>
      <c r="S61" s="2508"/>
    </row>
    <row r="62" spans="1:19">
      <c r="A62" s="2507"/>
      <c r="B62" s="2444"/>
      <c r="C62" s="2432"/>
      <c r="D62" s="2405"/>
      <c r="E62" s="2405"/>
      <c r="F62" s="2405"/>
      <c r="G62" s="2423"/>
      <c r="H62" s="2537"/>
      <c r="I62" s="2499"/>
      <c r="J62" s="2537"/>
      <c r="K62" s="2499"/>
      <c r="L62" s="2508"/>
      <c r="M62" s="2499"/>
      <c r="N62" s="2508"/>
      <c r="O62" s="2499"/>
      <c r="P62" s="2508"/>
      <c r="Q62" s="2508"/>
      <c r="R62" s="2508"/>
      <c r="S62" s="2508"/>
    </row>
    <row r="63" spans="1:19">
      <c r="A63" s="2507"/>
      <c r="B63" s="2444"/>
      <c r="C63" s="2432"/>
      <c r="D63" s="2405"/>
      <c r="E63" s="2405"/>
      <c r="F63" s="2405"/>
      <c r="G63" s="2423"/>
      <c r="H63" s="2537"/>
      <c r="I63" s="2499"/>
      <c r="J63" s="2537"/>
      <c r="K63" s="2499"/>
      <c r="L63" s="2508"/>
      <c r="M63" s="2499"/>
      <c r="N63" s="2508"/>
      <c r="O63" s="2499"/>
      <c r="P63" s="2508"/>
      <c r="Q63" s="2508"/>
      <c r="R63" s="2508"/>
      <c r="S63" s="2508"/>
    </row>
    <row r="64" spans="1:19">
      <c r="A64" s="2507"/>
      <c r="B64" s="2444"/>
      <c r="C64" s="2432"/>
      <c r="D64" s="2405"/>
      <c r="E64" s="2405"/>
      <c r="F64" s="2405"/>
      <c r="G64" s="2423"/>
      <c r="H64" s="2537"/>
      <c r="I64" s="2499"/>
      <c r="J64" s="2537"/>
      <c r="K64" s="2499"/>
      <c r="L64" s="2508"/>
      <c r="M64" s="2499"/>
      <c r="N64" s="2508"/>
      <c r="O64" s="2499"/>
      <c r="P64" s="2508"/>
      <c r="Q64" s="2508"/>
      <c r="R64" s="2508"/>
      <c r="S64" s="2508"/>
    </row>
    <row r="65" spans="1:19" ht="15.75" thickBot="1">
      <c r="A65" s="2507"/>
      <c r="B65" s="2444"/>
      <c r="C65" s="2432"/>
      <c r="D65" s="2405"/>
      <c r="E65" s="2405"/>
      <c r="F65" s="2405"/>
      <c r="G65" s="2423"/>
      <c r="H65" s="2537"/>
      <c r="I65" s="2499"/>
      <c r="J65" s="2537"/>
      <c r="K65" s="2499"/>
      <c r="L65" s="2508"/>
      <c r="M65" s="2499"/>
      <c r="N65" s="2508"/>
      <c r="O65" s="2499"/>
      <c r="P65" s="2508"/>
      <c r="Q65" s="2508"/>
      <c r="R65" s="2508"/>
      <c r="S65" s="2508"/>
    </row>
    <row r="66" spans="1:19" ht="15.75" thickTop="1">
      <c r="A66" s="14"/>
      <c r="B66" s="15"/>
      <c r="C66" s="16"/>
      <c r="D66" s="16"/>
      <c r="E66" s="17"/>
      <c r="F66" s="18" t="s">
        <v>567</v>
      </c>
      <c r="G66" s="19"/>
      <c r="H66" s="20"/>
      <c r="I66" s="61">
        <f>SUM(I23:I65)</f>
        <v>0</v>
      </c>
      <c r="J66" s="20"/>
      <c r="K66" s="61">
        <f>SUM(K23:K65)</f>
        <v>0</v>
      </c>
      <c r="L66" s="20"/>
      <c r="M66" s="61">
        <f>SUM(M23:M65)</f>
        <v>0</v>
      </c>
      <c r="N66" s="20"/>
      <c r="O66" s="61">
        <f>SUM(O23:O65)</f>
        <v>0</v>
      </c>
      <c r="P66" s="20"/>
      <c r="Q66" s="61">
        <f>SUM(Q23:Q65)</f>
        <v>0</v>
      </c>
      <c r="R66" s="20"/>
      <c r="S66" s="61">
        <f>SUM(S23:S65)</f>
        <v>0</v>
      </c>
    </row>
    <row r="67" spans="1:19">
      <c r="A67" s="2358"/>
      <c r="B67" s="2359"/>
      <c r="C67" s="2360"/>
      <c r="D67" s="2360"/>
      <c r="E67" s="2361"/>
      <c r="F67" s="2362" t="s">
        <v>568</v>
      </c>
      <c r="G67" s="2363"/>
      <c r="H67" s="2364">
        <v>0</v>
      </c>
      <c r="I67" s="2460"/>
      <c r="J67" s="2364">
        <v>0</v>
      </c>
      <c r="K67" s="2460"/>
      <c r="L67" s="2364">
        <v>0</v>
      </c>
      <c r="M67" s="2460"/>
      <c r="N67" s="2364">
        <v>0</v>
      </c>
      <c r="O67" s="2460"/>
      <c r="P67" s="2364">
        <v>0</v>
      </c>
      <c r="Q67" s="2460"/>
      <c r="R67" s="2364">
        <v>0</v>
      </c>
      <c r="S67" s="2460"/>
    </row>
    <row r="68" spans="1:19">
      <c r="A68" s="2358"/>
      <c r="B68" s="2359"/>
      <c r="C68" s="2360"/>
      <c r="D68" s="2360"/>
      <c r="E68" s="2361"/>
      <c r="F68" s="2362" t="s">
        <v>569</v>
      </c>
      <c r="G68" s="2363"/>
      <c r="H68" s="2366"/>
      <c r="I68" s="2462">
        <f>H67*I66</f>
        <v>0</v>
      </c>
      <c r="J68" s="2366"/>
      <c r="K68" s="2462">
        <f>J67*K66</f>
        <v>0</v>
      </c>
      <c r="L68" s="2366"/>
      <c r="M68" s="2462">
        <f>L67*M66</f>
        <v>0</v>
      </c>
      <c r="N68" s="2366"/>
      <c r="O68" s="2462">
        <f>N67*O66</f>
        <v>0</v>
      </c>
      <c r="P68" s="2366"/>
      <c r="Q68" s="2462">
        <f>P67*Q66</f>
        <v>0</v>
      </c>
      <c r="R68" s="2366"/>
      <c r="S68" s="2462">
        <f>R67*S66</f>
        <v>0</v>
      </c>
    </row>
    <row r="69" spans="1:19">
      <c r="A69" s="2358"/>
      <c r="B69" s="2359"/>
      <c r="C69" s="2360"/>
      <c r="D69" s="2360"/>
      <c r="E69" s="2361"/>
      <c r="F69" s="2362"/>
      <c r="G69" s="2363"/>
      <c r="H69" s="2366"/>
      <c r="I69" s="2464"/>
      <c r="J69" s="2366"/>
      <c r="K69" s="2464"/>
      <c r="L69" s="2366"/>
      <c r="M69" s="2464"/>
      <c r="N69" s="2366"/>
      <c r="O69" s="2464"/>
      <c r="P69" s="2366"/>
      <c r="Q69" s="2464"/>
      <c r="R69" s="2366"/>
      <c r="S69" s="2464"/>
    </row>
    <row r="70" spans="1:19">
      <c r="A70" s="2358"/>
      <c r="B70" s="2359"/>
      <c r="C70" s="2360"/>
      <c r="D70" s="2360"/>
      <c r="E70" s="2361"/>
      <c r="F70" s="2362" t="s">
        <v>570</v>
      </c>
      <c r="G70" s="2363"/>
      <c r="H70" s="2368"/>
      <c r="I70" s="2465">
        <f>SUM(I66:I68)</f>
        <v>0</v>
      </c>
      <c r="J70" s="2368"/>
      <c r="K70" s="2465">
        <f>SUM(K66:K68)</f>
        <v>0</v>
      </c>
      <c r="L70" s="2368"/>
      <c r="M70" s="2465">
        <f>SUM(M66:M68)</f>
        <v>0</v>
      </c>
      <c r="N70" s="2368"/>
      <c r="O70" s="2465">
        <f>SUM(O66:O68)</f>
        <v>0</v>
      </c>
      <c r="P70" s="2368"/>
      <c r="Q70" s="2465">
        <f>SUM(Q66:Q68)</f>
        <v>0</v>
      </c>
      <c r="R70" s="2368"/>
      <c r="S70" s="2465">
        <f>SUM(S66:S68)</f>
        <v>0</v>
      </c>
    </row>
    <row r="71" spans="1:19">
      <c r="A71" s="2358"/>
      <c r="B71" s="2359"/>
      <c r="C71" s="2360"/>
      <c r="D71" s="2360"/>
      <c r="E71" s="2361"/>
      <c r="F71" s="2370" t="s">
        <v>571</v>
      </c>
      <c r="G71" s="2371"/>
      <c r="H71" s="2372"/>
      <c r="I71" s="2373" t="e">
        <f>I70/'Area Calculations'!$J$4</f>
        <v>#DIV/0!</v>
      </c>
      <c r="J71" s="2372"/>
      <c r="K71" s="2373" t="e">
        <f>K70/'Area Calculations'!$J$4</f>
        <v>#DIV/0!</v>
      </c>
      <c r="L71" s="2372"/>
      <c r="M71" s="2373" t="e">
        <f>M70/'Area Calculations'!$J$4</f>
        <v>#DIV/0!</v>
      </c>
      <c r="N71" s="2372"/>
      <c r="O71" s="2373" t="e">
        <f>O70/'Area Calculations'!$J$4</f>
        <v>#DIV/0!</v>
      </c>
      <c r="P71" s="2372"/>
      <c r="Q71" s="2373" t="e">
        <f>Q70/'Area Calculations'!$J$4</f>
        <v>#DIV/0!</v>
      </c>
      <c r="R71" s="2372"/>
      <c r="S71" s="2373" t="e">
        <f>S70/'Area Calculations'!$J$4</f>
        <v>#DIV/0!</v>
      </c>
    </row>
    <row r="72" spans="1:19">
      <c r="A72" s="2358"/>
      <c r="B72" s="2359"/>
      <c r="C72" s="2360"/>
      <c r="D72" s="2360"/>
      <c r="E72" s="2361"/>
      <c r="F72" s="2370" t="s">
        <v>572</v>
      </c>
      <c r="G72" s="2374"/>
      <c r="H72" s="2372"/>
      <c r="I72" s="2373" t="e">
        <f>I70/'Area Calculations'!#REF!</f>
        <v>#REF!</v>
      </c>
      <c r="J72" s="2372"/>
      <c r="K72" s="2373" t="e">
        <f>K70/'Area Calculations'!#REF!</f>
        <v>#REF!</v>
      </c>
      <c r="L72" s="2372"/>
      <c r="M72" s="2373" t="e">
        <f>M70/'Area Calculations'!#REF!</f>
        <v>#REF!</v>
      </c>
      <c r="N72" s="2372"/>
      <c r="O72" s="2373" t="e">
        <f>O70/'Area Calculations'!#REF!</f>
        <v>#REF!</v>
      </c>
      <c r="P72" s="2372"/>
      <c r="Q72" s="2373" t="e">
        <f>Q70/'Area Calculations'!#REF!</f>
        <v>#REF!</v>
      </c>
      <c r="R72" s="2372"/>
      <c r="S72" s="2373" t="e">
        <f>S70/'Area Calculations'!#REF!</f>
        <v>#REF!</v>
      </c>
    </row>
    <row r="73" spans="1:19" ht="15.75" thickBot="1">
      <c r="A73" s="2358"/>
      <c r="B73" s="2359"/>
      <c r="C73" s="2360"/>
      <c r="D73" s="2360"/>
      <c r="E73" s="2361"/>
      <c r="F73" s="2362"/>
      <c r="G73" s="2375"/>
      <c r="H73" s="2376"/>
      <c r="I73" s="2377"/>
      <c r="J73" s="2376"/>
      <c r="K73" s="2377"/>
      <c r="L73" s="2376"/>
      <c r="M73" s="2377"/>
      <c r="N73" s="2376"/>
      <c r="O73" s="2377"/>
      <c r="P73" s="2378"/>
      <c r="Q73" s="2378"/>
      <c r="R73" s="2378"/>
      <c r="S73" s="2378"/>
    </row>
    <row r="74" spans="1:19" ht="16.5" thickTop="1" thickBot="1">
      <c r="A74" s="726" t="s">
        <v>573</v>
      </c>
      <c r="B74" s="727"/>
      <c r="C74" s="12"/>
      <c r="D74" s="12"/>
      <c r="E74" s="12"/>
      <c r="F74" s="12"/>
      <c r="G74" s="54"/>
      <c r="H74" s="52"/>
      <c r="I74" s="21"/>
      <c r="J74" s="21"/>
      <c r="K74" s="21"/>
      <c r="L74" s="21"/>
      <c r="M74" s="21"/>
      <c r="N74" s="21"/>
      <c r="O74" s="21"/>
      <c r="P74" s="21"/>
      <c r="Q74" s="21"/>
      <c r="R74" s="21"/>
      <c r="S74" s="21"/>
    </row>
    <row r="75" spans="1:19" ht="15.75" thickTop="1">
      <c r="A75" s="2509"/>
      <c r="B75" s="2404"/>
      <c r="C75" s="2510"/>
      <c r="D75" s="2510"/>
      <c r="E75" s="2510"/>
      <c r="F75" s="2510"/>
      <c r="G75" s="2551"/>
      <c r="H75" s="2513"/>
      <c r="I75" s="2512"/>
      <c r="J75" s="2512"/>
      <c r="K75" s="2512"/>
      <c r="L75" s="2512"/>
      <c r="M75" s="2512"/>
      <c r="N75" s="2512"/>
      <c r="O75" s="2512"/>
      <c r="P75" s="2512"/>
      <c r="Q75" s="2512"/>
      <c r="R75" s="2512"/>
      <c r="S75" s="2512"/>
    </row>
    <row r="76" spans="1:19" s="2" customFormat="1">
      <c r="A76" s="2509"/>
      <c r="B76" s="2404"/>
      <c r="C76" s="2510"/>
      <c r="D76" s="2510"/>
      <c r="E76" s="2510"/>
      <c r="F76" s="2510"/>
      <c r="G76" s="2551"/>
      <c r="H76" s="2513"/>
      <c r="I76" s="2512"/>
      <c r="J76" s="2512"/>
      <c r="K76" s="2512"/>
      <c r="L76" s="2512"/>
      <c r="M76" s="2512"/>
      <c r="N76" s="2512"/>
      <c r="O76" s="2512"/>
      <c r="P76" s="2512"/>
      <c r="Q76" s="2512"/>
      <c r="R76" s="2512"/>
      <c r="S76" s="2512"/>
    </row>
    <row r="77" spans="1:19" s="2" customFormat="1" ht="15.75" thickBot="1">
      <c r="A77" s="2509"/>
      <c r="B77" s="2404"/>
      <c r="C77" s="2510"/>
      <c r="D77" s="2510"/>
      <c r="E77" s="2510"/>
      <c r="F77" s="2510"/>
      <c r="G77" s="2551"/>
      <c r="H77" s="2513"/>
      <c r="I77" s="2512"/>
      <c r="J77" s="2512"/>
      <c r="K77" s="2512"/>
      <c r="L77" s="2512"/>
      <c r="M77" s="2512"/>
      <c r="N77" s="2512"/>
      <c r="O77" s="2512"/>
      <c r="P77" s="2512"/>
      <c r="Q77" s="2512"/>
      <c r="R77" s="2512"/>
      <c r="S77" s="2512"/>
    </row>
    <row r="78" spans="1:19" ht="16.5" thickTop="1" thickBot="1">
      <c r="A78" s="726" t="s">
        <v>574</v>
      </c>
      <c r="B78" s="727"/>
      <c r="C78" s="12"/>
      <c r="D78" s="12"/>
      <c r="E78" s="12"/>
      <c r="F78" s="12"/>
      <c r="G78" s="54"/>
      <c r="H78" s="52"/>
      <c r="I78" s="21"/>
      <c r="J78" s="21"/>
      <c r="K78" s="21"/>
      <c r="L78" s="21"/>
      <c r="M78" s="21"/>
      <c r="N78" s="21"/>
      <c r="O78" s="21"/>
      <c r="P78" s="21"/>
      <c r="Q78" s="21"/>
      <c r="R78" s="21"/>
      <c r="S78" s="21"/>
    </row>
    <row r="79" spans="1:19" s="2" customFormat="1" ht="15.75" thickTop="1">
      <c r="A79" s="2509"/>
      <c r="B79" s="2404"/>
      <c r="C79" s="2510"/>
      <c r="D79" s="2510"/>
      <c r="E79" s="2510"/>
      <c r="F79" s="2510"/>
      <c r="G79" s="2551"/>
      <c r="H79" s="2513"/>
      <c r="I79" s="2512"/>
      <c r="J79" s="2512"/>
      <c r="K79" s="2512"/>
      <c r="L79" s="2512"/>
      <c r="M79" s="2512"/>
      <c r="N79" s="2512"/>
      <c r="O79" s="2512"/>
      <c r="P79" s="2512"/>
      <c r="Q79" s="2512"/>
      <c r="R79" s="2512"/>
      <c r="S79" s="2512"/>
    </row>
    <row r="80" spans="1:19" s="2" customFormat="1">
      <c r="A80" s="2509"/>
      <c r="B80" s="2404"/>
      <c r="C80" s="2510"/>
      <c r="D80" s="2510"/>
      <c r="E80" s="2510"/>
      <c r="F80" s="2510"/>
      <c r="G80" s="2551"/>
      <c r="H80" s="2513"/>
      <c r="I80" s="2512"/>
      <c r="J80" s="2512"/>
      <c r="K80" s="2512"/>
      <c r="L80" s="2512"/>
      <c r="M80" s="2512"/>
      <c r="N80" s="2512"/>
      <c r="O80" s="2512"/>
      <c r="P80" s="2512"/>
      <c r="Q80" s="2512"/>
      <c r="R80" s="2512"/>
      <c r="S80" s="2512"/>
    </row>
    <row r="81" spans="1:19" ht="15.75" thickBot="1">
      <c r="A81" s="2509"/>
      <c r="B81" s="2404"/>
      <c r="C81" s="2510"/>
      <c r="D81" s="2510"/>
      <c r="E81" s="2510"/>
      <c r="F81" s="2510"/>
      <c r="G81" s="2551"/>
      <c r="H81" s="2513"/>
      <c r="I81" s="2512"/>
      <c r="J81" s="2512"/>
      <c r="K81" s="2512"/>
      <c r="L81" s="2512"/>
      <c r="M81" s="2512"/>
      <c r="N81" s="2512"/>
      <c r="O81" s="2512"/>
      <c r="P81" s="2512"/>
      <c r="Q81" s="2512"/>
      <c r="R81" s="2512"/>
      <c r="S81" s="2512"/>
    </row>
    <row r="82" spans="1:19" ht="16.5" thickTop="1" thickBot="1">
      <c r="A82" s="726" t="s">
        <v>575</v>
      </c>
      <c r="B82" s="727"/>
      <c r="C82" s="12"/>
      <c r="D82" s="12"/>
      <c r="E82" s="12"/>
      <c r="F82" s="12"/>
      <c r="G82" s="54"/>
      <c r="H82" s="52"/>
      <c r="I82" s="21"/>
      <c r="J82" s="21"/>
      <c r="K82" s="21"/>
      <c r="L82" s="21"/>
      <c r="M82" s="21"/>
      <c r="N82" s="21"/>
      <c r="O82" s="21"/>
      <c r="P82" s="21"/>
      <c r="Q82" s="21"/>
      <c r="R82" s="21"/>
      <c r="S82" s="21"/>
    </row>
    <row r="83" spans="1:19" ht="15.75" thickTop="1">
      <c r="A83" s="2509"/>
      <c r="B83" s="2404"/>
      <c r="C83" s="2510"/>
      <c r="D83" s="2510"/>
      <c r="E83" s="2510"/>
      <c r="F83" s="2510"/>
      <c r="G83" s="2551"/>
      <c r="H83" s="2513"/>
      <c r="I83" s="2512"/>
      <c r="J83" s="2512"/>
      <c r="K83" s="2512"/>
      <c r="L83" s="2512"/>
      <c r="M83" s="2512"/>
      <c r="N83" s="2512"/>
      <c r="O83" s="2512"/>
      <c r="P83" s="2512"/>
      <c r="Q83" s="2512"/>
      <c r="R83" s="2512"/>
      <c r="S83" s="2512"/>
    </row>
    <row r="84" spans="1:19">
      <c r="A84" s="2421"/>
      <c r="B84" s="2404"/>
      <c r="C84" s="2405"/>
      <c r="D84" s="2405"/>
      <c r="E84" s="2405"/>
      <c r="F84" s="2405"/>
      <c r="G84" s="2552"/>
      <c r="H84" s="2474"/>
      <c r="I84" s="2382"/>
      <c r="J84" s="2382"/>
      <c r="K84" s="2382"/>
      <c r="L84" s="2382"/>
      <c r="M84" s="2382"/>
      <c r="N84" s="2382"/>
      <c r="O84" s="2382"/>
      <c r="P84" s="2382"/>
      <c r="Q84" s="2382"/>
      <c r="R84" s="2382"/>
      <c r="S84" s="2382"/>
    </row>
    <row r="85" spans="1:19" ht="15.75" thickBot="1">
      <c r="A85" s="2383"/>
      <c r="B85" s="2384"/>
      <c r="C85" s="2405"/>
      <c r="D85" s="2405"/>
      <c r="E85" s="2405"/>
      <c r="F85" s="2405"/>
      <c r="G85" s="2552"/>
      <c r="H85" s="2475"/>
      <c r="I85" s="2385"/>
      <c r="J85" s="2385"/>
      <c r="K85" s="2385"/>
      <c r="L85" s="2385"/>
      <c r="M85" s="2385"/>
      <c r="N85" s="2385"/>
      <c r="O85" s="2385"/>
      <c r="P85" s="2385"/>
      <c r="Q85" s="2385"/>
      <c r="R85" s="2385"/>
      <c r="S85" s="2385"/>
    </row>
    <row r="86" spans="1:19" ht="16.5" thickTop="1" thickBot="1">
      <c r="A86" s="726" t="s">
        <v>576</v>
      </c>
      <c r="B86" s="727"/>
      <c r="C86" s="12"/>
      <c r="D86" s="12"/>
      <c r="E86" s="12"/>
      <c r="F86" s="12"/>
      <c r="G86" s="54"/>
      <c r="H86" s="52"/>
      <c r="I86" s="21"/>
      <c r="J86" s="21"/>
      <c r="K86" s="21"/>
      <c r="L86" s="21"/>
      <c r="M86" s="21"/>
      <c r="N86" s="21"/>
      <c r="O86" s="21"/>
      <c r="P86" s="21"/>
      <c r="Q86" s="21"/>
      <c r="R86" s="21"/>
      <c r="S86" s="21"/>
    </row>
    <row r="87" spans="1:19" ht="15.75" thickTop="1">
      <c r="A87" s="2514"/>
      <c r="B87" s="2515"/>
      <c r="C87" s="2510"/>
      <c r="D87" s="2510"/>
      <c r="E87" s="2510"/>
      <c r="F87" s="2510"/>
      <c r="G87" s="2551"/>
      <c r="H87" s="2513"/>
      <c r="I87" s="2512"/>
      <c r="J87" s="2512"/>
      <c r="K87" s="2512"/>
      <c r="L87" s="2512"/>
      <c r="M87" s="2512"/>
      <c r="N87" s="2512"/>
      <c r="O87" s="2512"/>
      <c r="P87" s="2512"/>
      <c r="Q87" s="2512"/>
      <c r="R87" s="2512"/>
      <c r="S87" s="2512"/>
    </row>
    <row r="88" spans="1:19">
      <c r="A88" s="2383"/>
      <c r="B88" s="2384"/>
      <c r="C88" s="2405"/>
      <c r="D88" s="2405"/>
      <c r="E88" s="2405"/>
      <c r="F88" s="2405"/>
      <c r="G88" s="2552"/>
      <c r="H88" s="2478"/>
      <c r="I88" s="2388"/>
      <c r="J88" s="2388"/>
      <c r="K88" s="2388"/>
      <c r="L88" s="2388"/>
      <c r="M88" s="2388"/>
      <c r="N88" s="2388"/>
      <c r="O88" s="2388"/>
      <c r="P88" s="2388"/>
      <c r="Q88" s="2388"/>
      <c r="R88" s="2388"/>
      <c r="S88" s="2388"/>
    </row>
    <row r="89" spans="1:19" ht="15.75" thickBot="1">
      <c r="A89" s="2383"/>
      <c r="B89" s="2384"/>
      <c r="C89" s="2405"/>
      <c r="D89" s="2405"/>
      <c r="E89" s="2405"/>
      <c r="F89" s="2405"/>
      <c r="G89" s="2552"/>
      <c r="H89" s="2478"/>
      <c r="I89" s="2388"/>
      <c r="J89" s="2388"/>
      <c r="K89" s="2388"/>
      <c r="L89" s="2388"/>
      <c r="M89" s="2388"/>
      <c r="N89" s="2388"/>
      <c r="O89" s="2388"/>
      <c r="P89" s="2388"/>
      <c r="Q89" s="2388"/>
      <c r="R89" s="2388"/>
      <c r="S89" s="2388"/>
    </row>
    <row r="90" spans="1:19" ht="16.5" thickTop="1" thickBot="1">
      <c r="A90" s="726" t="s">
        <v>577</v>
      </c>
      <c r="B90" s="727"/>
      <c r="C90" s="12"/>
      <c r="D90" s="12"/>
      <c r="E90" s="12"/>
      <c r="F90" s="12"/>
      <c r="G90" s="54"/>
      <c r="H90" s="52"/>
      <c r="I90" s="21"/>
      <c r="J90" s="21"/>
      <c r="K90" s="21"/>
      <c r="L90" s="21"/>
      <c r="M90" s="21"/>
      <c r="N90" s="21"/>
      <c r="O90" s="21"/>
      <c r="P90" s="21"/>
      <c r="Q90" s="21"/>
      <c r="R90" s="21"/>
      <c r="S90" s="21"/>
    </row>
    <row r="91" spans="1:19" ht="15.75" thickTop="1">
      <c r="A91" s="2421"/>
      <c r="B91" s="2404" t="s">
        <v>578</v>
      </c>
      <c r="C91" s="2405"/>
      <c r="D91" s="2405"/>
      <c r="E91" s="2405"/>
      <c r="F91" s="2405"/>
      <c r="G91" s="2552"/>
      <c r="H91" s="2478"/>
      <c r="I91" s="2388"/>
      <c r="J91" s="2388"/>
      <c r="K91" s="2388"/>
      <c r="L91" s="2388"/>
      <c r="M91" s="2388"/>
      <c r="N91" s="2388"/>
      <c r="O91" s="2388"/>
      <c r="P91" s="2388"/>
      <c r="Q91" s="2388"/>
      <c r="R91" s="2388"/>
      <c r="S91" s="2388"/>
    </row>
    <row r="92" spans="1:19">
      <c r="A92" s="2421"/>
      <c r="B92" s="2404" t="s">
        <v>579</v>
      </c>
      <c r="C92" s="2405"/>
      <c r="D92" s="2405"/>
      <c r="E92" s="2405"/>
      <c r="F92" s="2405"/>
      <c r="G92" s="2552"/>
      <c r="H92" s="2478"/>
      <c r="I92" s="2388"/>
      <c r="J92" s="2388"/>
      <c r="K92" s="2388"/>
      <c r="L92" s="2388"/>
      <c r="M92" s="2388"/>
      <c r="N92" s="2388"/>
      <c r="O92" s="2388"/>
      <c r="P92" s="2388"/>
      <c r="Q92" s="2388"/>
      <c r="R92" s="2388"/>
      <c r="S92" s="2388"/>
    </row>
    <row r="93" spans="1:19">
      <c r="A93" s="2421"/>
      <c r="B93" s="2404" t="s">
        <v>580</v>
      </c>
      <c r="C93" s="2405"/>
      <c r="D93" s="2405"/>
      <c r="E93" s="2405"/>
      <c r="F93" s="2405"/>
      <c r="G93" s="2552"/>
      <c r="H93" s="2478"/>
      <c r="I93" s="2388"/>
      <c r="J93" s="2388"/>
      <c r="K93" s="2388"/>
      <c r="L93" s="2388"/>
      <c r="M93" s="2388"/>
      <c r="N93" s="2388"/>
      <c r="O93" s="2388"/>
      <c r="P93" s="2388"/>
      <c r="Q93" s="2388"/>
      <c r="R93" s="2388"/>
      <c r="S93" s="2388"/>
    </row>
    <row r="94" spans="1:19">
      <c r="A94" s="2421"/>
      <c r="B94" s="2404" t="s">
        <v>581</v>
      </c>
      <c r="C94" s="2405"/>
      <c r="D94" s="2405"/>
      <c r="E94" s="2405"/>
      <c r="F94" s="2405"/>
      <c r="G94" s="2552"/>
      <c r="H94" s="2478"/>
      <c r="I94" s="2388"/>
      <c r="J94" s="2388"/>
      <c r="K94" s="2388"/>
      <c r="L94" s="2388"/>
      <c r="M94" s="2388"/>
      <c r="N94" s="2388"/>
      <c r="O94" s="2388"/>
      <c r="P94" s="2388"/>
      <c r="Q94" s="2388"/>
      <c r="R94" s="2388"/>
      <c r="S94" s="2388"/>
    </row>
    <row r="95" spans="1:19" ht="15.75" thickBot="1">
      <c r="A95" s="416"/>
      <c r="B95" s="295"/>
      <c r="C95" s="184"/>
      <c r="D95" s="184"/>
      <c r="E95" s="184"/>
      <c r="F95" s="184"/>
      <c r="G95" s="417"/>
      <c r="H95" s="53"/>
      <c r="I95" s="418"/>
      <c r="J95" s="418"/>
      <c r="K95" s="418"/>
      <c r="L95" s="418"/>
      <c r="M95" s="418"/>
      <c r="N95" s="418"/>
      <c r="O95" s="418"/>
      <c r="P95" s="418"/>
      <c r="Q95" s="418"/>
      <c r="R95" s="418"/>
      <c r="S95" s="418"/>
    </row>
    <row r="96" spans="1:19" ht="16.5" thickTop="1" thickBot="1">
      <c r="A96" s="7" t="s">
        <v>582</v>
      </c>
      <c r="B96" s="8"/>
      <c r="C96" s="12"/>
      <c r="D96" s="12"/>
      <c r="E96" s="12"/>
      <c r="F96" s="12"/>
      <c r="G96" s="54"/>
      <c r="H96" s="52"/>
      <c r="I96" s="21"/>
      <c r="J96" s="21"/>
      <c r="K96" s="21"/>
      <c r="L96" s="21"/>
      <c r="M96" s="21"/>
      <c r="N96" s="21"/>
      <c r="O96" s="21"/>
      <c r="P96" s="21"/>
      <c r="Q96" s="21"/>
      <c r="R96" s="21"/>
      <c r="S96" s="21"/>
    </row>
    <row r="97" spans="1:19" ht="15.75" thickTop="1">
      <c r="A97" s="2509"/>
      <c r="B97" s="2553" t="s">
        <v>583</v>
      </c>
      <c r="C97" s="2510"/>
      <c r="D97" s="2510"/>
      <c r="E97" s="2510"/>
      <c r="F97" s="2510"/>
      <c r="G97" s="2551"/>
      <c r="H97" s="2508"/>
      <c r="I97" s="2554"/>
      <c r="J97" s="2554"/>
      <c r="K97" s="2554"/>
      <c r="L97" s="2554"/>
      <c r="M97" s="2554"/>
      <c r="N97" s="2554"/>
      <c r="O97" s="2554"/>
      <c r="P97" s="2554"/>
      <c r="Q97" s="2554"/>
      <c r="R97" s="2554"/>
      <c r="S97" s="2554"/>
    </row>
    <row r="98" spans="1:19">
      <c r="A98" s="2421"/>
      <c r="B98" s="2404" t="s">
        <v>584</v>
      </c>
      <c r="C98" s="2405"/>
      <c r="D98" s="2405"/>
      <c r="E98" s="2405"/>
      <c r="F98" s="2405"/>
      <c r="G98" s="2552"/>
      <c r="H98" s="2481"/>
      <c r="I98" s="2390"/>
      <c r="J98" s="2390"/>
      <c r="K98" s="2390"/>
      <c r="L98" s="2390"/>
      <c r="M98" s="2390"/>
      <c r="N98" s="2390"/>
      <c r="O98" s="2390"/>
      <c r="P98" s="2390"/>
      <c r="Q98" s="2390"/>
      <c r="R98" s="2390"/>
      <c r="S98" s="2390"/>
    </row>
    <row r="99" spans="1:19" ht="15.75" thickBot="1">
      <c r="A99" s="2391"/>
      <c r="B99" s="2392" t="s">
        <v>585</v>
      </c>
      <c r="C99" s="2393"/>
      <c r="D99" s="2393"/>
      <c r="E99" s="2393"/>
      <c r="F99" s="2393"/>
      <c r="G99" s="2555"/>
      <c r="H99" s="2482"/>
      <c r="I99" s="2395"/>
      <c r="J99" s="2395"/>
      <c r="K99" s="2395"/>
      <c r="L99" s="2395"/>
      <c r="M99" s="2395"/>
      <c r="N99" s="2395"/>
      <c r="O99" s="2395"/>
      <c r="P99" s="2395"/>
      <c r="Q99" s="2395"/>
      <c r="R99" s="2395"/>
      <c r="S99" s="2395"/>
    </row>
    <row r="100" spans="1:19" ht="16.5" thickTop="1" thickBot="1"/>
    <row r="101" spans="1:19" ht="16.5" thickTop="1" thickBot="1">
      <c r="A101" s="92" t="s">
        <v>586</v>
      </c>
      <c r="B101" s="94"/>
    </row>
    <row r="102" spans="1:19" ht="15.75" thickTop="1">
      <c r="A102" s="93" t="s">
        <v>487</v>
      </c>
      <c r="B102" s="2396"/>
    </row>
    <row r="103" spans="1:19">
      <c r="A103" s="2397" t="s">
        <v>491</v>
      </c>
      <c r="B103" s="2396"/>
    </row>
    <row r="104" spans="1:19">
      <c r="A104" s="2398" t="s">
        <v>494</v>
      </c>
      <c r="B104" s="2399"/>
    </row>
    <row r="105" spans="1:19">
      <c r="A105" s="2398" t="s">
        <v>497</v>
      </c>
      <c r="B105" s="2400"/>
    </row>
    <row r="106" spans="1:19" ht="15.75" thickBot="1">
      <c r="A106" s="2401" t="s">
        <v>587</v>
      </c>
      <c r="B106" s="2402"/>
    </row>
    <row r="107" spans="1:19" ht="15.75" thickTop="1"/>
    <row r="108" spans="1:19">
      <c r="A108" s="95"/>
      <c r="B108" s="1" t="s">
        <v>588</v>
      </c>
    </row>
    <row r="109" spans="1:19">
      <c r="A109" s="96"/>
      <c r="B10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hyperlinks>
    <hyperlink ref="B3" location="'Cost Summary'!A1" display="BACK TO SUMMARY SHEET" xr:uid="{6875F7F9-888D-46E3-BF19-CB2E6CDB4CFF}"/>
  </hyperlink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CD6-FD37-49DF-8F2E-61FC8391B199}">
  <sheetPr>
    <tabColor rgb="FF92D050"/>
  </sheetPr>
  <dimension ref="A1:S111"/>
  <sheetViews>
    <sheetView zoomScale="87" zoomScaleNormal="87"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79"/>
      <c r="S4" s="779"/>
    </row>
    <row r="5" spans="1:19">
      <c r="A5" s="2403" t="s">
        <v>489</v>
      </c>
      <c r="B5" s="2404" t="s">
        <v>1135</v>
      </c>
      <c r="C5" s="2405"/>
      <c r="D5" s="2405"/>
      <c r="E5" s="2405"/>
      <c r="F5" s="2405"/>
      <c r="G5" s="2406" t="s">
        <v>491</v>
      </c>
      <c r="H5" s="2518"/>
      <c r="I5" s="2518"/>
      <c r="J5" s="2518"/>
      <c r="K5" s="2518"/>
      <c r="L5" s="2518"/>
      <c r="M5" s="2518"/>
      <c r="N5" s="2518"/>
      <c r="O5" s="2518"/>
      <c r="P5" s="2518"/>
      <c r="Q5" s="2518"/>
      <c r="R5" s="2518"/>
      <c r="S5" s="2518"/>
    </row>
    <row r="6" spans="1:19">
      <c r="A6" s="2403" t="s">
        <v>493</v>
      </c>
      <c r="B6" s="2410" t="s">
        <v>1136</v>
      </c>
      <c r="C6" s="2405"/>
      <c r="D6" s="2405"/>
      <c r="E6" s="2405"/>
      <c r="F6" s="2405"/>
      <c r="G6" s="2406" t="s">
        <v>494</v>
      </c>
      <c r="H6" s="2519"/>
      <c r="I6" s="2519"/>
      <c r="J6" s="2519"/>
      <c r="K6" s="2519"/>
      <c r="L6" s="2519"/>
      <c r="M6" s="2519"/>
      <c r="N6" s="2519"/>
      <c r="O6" s="2519"/>
      <c r="P6" s="2519"/>
      <c r="Q6" s="2519"/>
      <c r="R6" s="2519"/>
      <c r="S6" s="2519"/>
    </row>
    <row r="7" spans="1:19">
      <c r="A7" s="2403" t="s">
        <v>496</v>
      </c>
      <c r="B7" s="2414"/>
      <c r="C7" s="2405"/>
      <c r="D7" s="2405"/>
      <c r="E7" s="2405"/>
      <c r="F7" s="2405"/>
      <c r="G7" s="2406" t="s">
        <v>497</v>
      </c>
      <c r="H7" s="2520"/>
      <c r="I7" s="2520"/>
      <c r="J7" s="2520"/>
      <c r="K7" s="2520"/>
      <c r="L7" s="2520"/>
      <c r="M7" s="2520"/>
      <c r="N7" s="2520"/>
      <c r="O7" s="2520"/>
      <c r="P7" s="2520"/>
      <c r="Q7" s="2520"/>
      <c r="R7" s="2520"/>
      <c r="S7" s="2520"/>
    </row>
    <row r="8" spans="1:19" ht="15.75" thickBot="1">
      <c r="A8" s="414" t="s">
        <v>499</v>
      </c>
      <c r="B8" s="295"/>
      <c r="C8" s="184"/>
      <c r="D8" s="184"/>
      <c r="E8" s="184"/>
      <c r="F8" s="184"/>
      <c r="G8" s="419" t="s">
        <v>499</v>
      </c>
      <c r="H8" s="2418">
        <f>I72</f>
        <v>0</v>
      </c>
      <c r="I8" s="2419"/>
      <c r="J8" s="2418">
        <f>K72</f>
        <v>0</v>
      </c>
      <c r="K8" s="2419"/>
      <c r="L8" s="2418">
        <f>M72</f>
        <v>0</v>
      </c>
      <c r="M8" s="2419"/>
      <c r="N8" s="2418">
        <f>O72</f>
        <v>0</v>
      </c>
      <c r="O8" s="2419"/>
      <c r="P8" s="2418">
        <f>Q72</f>
        <v>0</v>
      </c>
      <c r="Q8" s="2419"/>
      <c r="R8" s="2418">
        <f>S72</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556"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2557"/>
      <c r="B21" s="2428" t="s">
        <v>1135</v>
      </c>
      <c r="C21" s="56"/>
      <c r="D21" s="57"/>
      <c r="E21" s="57"/>
      <c r="F21" s="57"/>
      <c r="G21" s="63"/>
      <c r="H21" s="2427"/>
      <c r="I21" s="2499"/>
      <c r="J21" s="2427"/>
      <c r="K21" s="2508"/>
      <c r="L21" s="2427"/>
      <c r="M21" s="2508"/>
      <c r="N21" s="2427"/>
      <c r="O21" s="2508"/>
      <c r="P21" s="2427"/>
      <c r="Q21" s="2508"/>
      <c r="R21" s="2427"/>
      <c r="S21" s="2508"/>
    </row>
    <row r="22" spans="1:19">
      <c r="A22" s="2557"/>
      <c r="B22" s="2318" t="s">
        <v>512</v>
      </c>
      <c r="C22" s="2426"/>
      <c r="D22" s="2405"/>
      <c r="E22" s="2405"/>
      <c r="F22" s="2405"/>
      <c r="G22" s="2423"/>
      <c r="H22" s="2427"/>
      <c r="I22" s="2499"/>
      <c r="J22" s="2427"/>
      <c r="K22" s="2508"/>
      <c r="L22" s="2427"/>
      <c r="M22" s="2508"/>
      <c r="N22" s="2427"/>
      <c r="O22" s="2508"/>
      <c r="P22" s="2427"/>
      <c r="Q22" s="2508"/>
      <c r="R22" s="2427"/>
      <c r="S22" s="2508"/>
    </row>
    <row r="23" spans="1:19">
      <c r="A23" s="2525"/>
      <c r="B23" s="2558" t="s">
        <v>513</v>
      </c>
      <c r="C23" s="2426"/>
      <c r="D23" s="2405"/>
      <c r="E23" s="2405"/>
      <c r="F23" s="2405"/>
      <c r="G23" s="2423"/>
      <c r="H23" s="2427"/>
      <c r="I23" s="2499"/>
      <c r="J23" s="2427"/>
      <c r="K23" s="2508"/>
      <c r="L23" s="2427"/>
      <c r="M23" s="2508"/>
      <c r="N23" s="2427"/>
      <c r="O23" s="2508"/>
      <c r="P23" s="2427"/>
      <c r="Q23" s="2508"/>
      <c r="R23" s="2427"/>
      <c r="S23" s="2508"/>
    </row>
    <row r="24" spans="1:19">
      <c r="A24" s="2557"/>
      <c r="B24" s="2558" t="s">
        <v>514</v>
      </c>
      <c r="C24" s="2430"/>
      <c r="D24" s="2405"/>
      <c r="E24" s="2405"/>
      <c r="F24" s="2405"/>
      <c r="G24" s="2423"/>
      <c r="H24" s="2427"/>
      <c r="I24" s="2499"/>
      <c r="J24" s="2427"/>
      <c r="K24" s="2508"/>
      <c r="L24" s="2427"/>
      <c r="M24" s="2508"/>
      <c r="N24" s="2427"/>
      <c r="O24" s="2508"/>
      <c r="P24" s="2427"/>
      <c r="Q24" s="2508"/>
      <c r="R24" s="2427"/>
      <c r="S24" s="2508"/>
    </row>
    <row r="25" spans="1:19">
      <c r="A25" s="2557"/>
      <c r="B25" s="2559" t="s">
        <v>515</v>
      </c>
      <c r="C25" s="2430"/>
      <c r="D25" s="2405"/>
      <c r="E25" s="2405"/>
      <c r="F25" s="2405"/>
      <c r="G25" s="2423"/>
      <c r="H25" s="2427"/>
      <c r="I25" s="2499"/>
      <c r="J25" s="2427"/>
      <c r="K25" s="2508"/>
      <c r="L25" s="2427"/>
      <c r="M25" s="2508"/>
      <c r="N25" s="2427"/>
      <c r="O25" s="2508"/>
      <c r="P25" s="2427"/>
      <c r="Q25" s="2508"/>
      <c r="R25" s="2427"/>
      <c r="S25" s="2508"/>
    </row>
    <row r="26" spans="1:19" s="91" customFormat="1">
      <c r="A26" s="2525"/>
      <c r="B26" s="2559" t="s">
        <v>516</v>
      </c>
      <c r="C26" s="2432"/>
      <c r="D26" s="2433"/>
      <c r="E26" s="2433"/>
      <c r="F26" s="2433"/>
      <c r="G26" s="2432"/>
      <c r="H26" s="2427"/>
      <c r="I26" s="2499"/>
      <c r="J26" s="2427"/>
      <c r="K26" s="2560"/>
      <c r="L26" s="2427"/>
      <c r="M26" s="2560"/>
      <c r="N26" s="2427"/>
      <c r="O26" s="2560"/>
      <c r="P26" s="2427"/>
      <c r="Q26" s="2560"/>
      <c r="R26" s="2427"/>
      <c r="S26" s="2560"/>
    </row>
    <row r="27" spans="1:19" s="91" customFormat="1">
      <c r="A27" s="2525"/>
      <c r="B27" s="2559" t="s">
        <v>517</v>
      </c>
      <c r="C27" s="2432"/>
      <c r="D27" s="2433"/>
      <c r="E27" s="2433"/>
      <c r="F27" s="2433"/>
      <c r="G27" s="2432"/>
      <c r="H27" s="2427"/>
      <c r="I27" s="2499"/>
      <c r="J27" s="2427"/>
      <c r="K27" s="2560"/>
      <c r="L27" s="2427"/>
      <c r="M27" s="2560"/>
      <c r="N27" s="2427"/>
      <c r="O27" s="2560"/>
      <c r="P27" s="2427"/>
      <c r="Q27" s="2560"/>
      <c r="R27" s="2427"/>
      <c r="S27" s="2560"/>
    </row>
    <row r="28" spans="1:19" s="91" customFormat="1">
      <c r="A28" s="2525"/>
      <c r="B28" s="2559" t="s">
        <v>518</v>
      </c>
      <c r="C28" s="2432"/>
      <c r="D28" s="2433"/>
      <c r="E28" s="2433"/>
      <c r="F28" s="2433"/>
      <c r="G28" s="2432"/>
      <c r="H28" s="2427"/>
      <c r="I28" s="2499"/>
      <c r="J28" s="2427"/>
      <c r="K28" s="2560"/>
      <c r="L28" s="2427"/>
      <c r="M28" s="2560"/>
      <c r="N28" s="2427"/>
      <c r="O28" s="2560"/>
      <c r="P28" s="2427"/>
      <c r="Q28" s="2560"/>
      <c r="R28" s="2427"/>
      <c r="S28" s="2560"/>
    </row>
    <row r="29" spans="1:19" s="91" customFormat="1">
      <c r="A29" s="2525"/>
      <c r="B29" s="2559" t="s">
        <v>693</v>
      </c>
      <c r="C29" s="2432"/>
      <c r="D29" s="2433"/>
      <c r="E29" s="2433"/>
      <c r="F29" s="2433"/>
      <c r="G29" s="2432"/>
      <c r="H29" s="2427"/>
      <c r="I29" s="2499"/>
      <c r="J29" s="2427"/>
      <c r="K29" s="2560"/>
      <c r="L29" s="2427"/>
      <c r="M29" s="2560"/>
      <c r="N29" s="2427"/>
      <c r="O29" s="2560"/>
      <c r="P29" s="2427"/>
      <c r="Q29" s="2560"/>
      <c r="R29" s="2427"/>
      <c r="S29" s="2560"/>
    </row>
    <row r="30" spans="1:19" s="91" customFormat="1">
      <c r="A30" s="2525"/>
      <c r="B30" s="2561" t="s">
        <v>519</v>
      </c>
      <c r="C30" s="2432"/>
      <c r="D30" s="2433"/>
      <c r="E30" s="2433"/>
      <c r="F30" s="2433"/>
      <c r="G30" s="2432"/>
      <c r="H30" s="2427"/>
      <c r="I30" s="2499"/>
      <c r="J30" s="2427"/>
      <c r="K30" s="2560"/>
      <c r="L30" s="2427"/>
      <c r="M30" s="2560"/>
      <c r="N30" s="2427"/>
      <c r="O30" s="2560"/>
      <c r="P30" s="2427"/>
      <c r="Q30" s="2560"/>
      <c r="R30" s="2427"/>
      <c r="S30" s="2560"/>
    </row>
    <row r="31" spans="1:19" s="91" customFormat="1">
      <c r="A31" s="2525"/>
      <c r="B31" s="2562" t="s">
        <v>520</v>
      </c>
      <c r="C31" s="2435"/>
      <c r="D31" s="2436"/>
      <c r="E31" s="2436"/>
      <c r="F31" s="2436"/>
      <c r="G31" s="2435"/>
      <c r="H31" s="2439"/>
      <c r="I31" s="2563"/>
      <c r="J31" s="2443"/>
      <c r="K31" s="2564"/>
      <c r="L31" s="2443"/>
      <c r="M31" s="2564"/>
      <c r="N31" s="2564"/>
      <c r="O31" s="2564"/>
      <c r="P31" s="2564"/>
      <c r="Q31" s="2564"/>
      <c r="R31" s="2564"/>
      <c r="S31" s="2564"/>
    </row>
    <row r="32" spans="1:19" s="91" customFormat="1">
      <c r="A32" s="2525"/>
      <c r="B32" s="145" t="s">
        <v>748</v>
      </c>
      <c r="C32" s="2492"/>
      <c r="D32" s="2565"/>
      <c r="E32" s="2493"/>
      <c r="F32" s="2493"/>
      <c r="G32" s="2492"/>
      <c r="H32" s="2427"/>
      <c r="I32" s="2499"/>
      <c r="J32" s="2427"/>
      <c r="K32" s="2566"/>
      <c r="L32" s="2427"/>
      <c r="M32" s="2566"/>
      <c r="N32" s="2427"/>
      <c r="O32" s="2566"/>
      <c r="P32" s="2427"/>
      <c r="Q32" s="2566"/>
      <c r="R32" s="2427"/>
      <c r="S32" s="2566"/>
    </row>
    <row r="33" spans="1:19" s="91" customFormat="1">
      <c r="A33" s="2525"/>
      <c r="B33" s="2545"/>
      <c r="C33" s="2432"/>
      <c r="D33" s="2567"/>
      <c r="E33" s="2433"/>
      <c r="F33" s="2433"/>
      <c r="G33" s="2432"/>
      <c r="H33" s="2427"/>
      <c r="I33" s="2499"/>
      <c r="J33" s="2427"/>
      <c r="K33" s="2560"/>
      <c r="L33" s="2427"/>
      <c r="M33" s="2560"/>
      <c r="N33" s="2427"/>
      <c r="O33" s="2560"/>
      <c r="P33" s="2427"/>
      <c r="Q33" s="2560"/>
      <c r="R33" s="2427"/>
      <c r="S33" s="2560"/>
    </row>
    <row r="34" spans="1:19" s="91" customFormat="1">
      <c r="A34" s="2568"/>
      <c r="B34" s="2545"/>
      <c r="C34" s="2445"/>
      <c r="D34" s="2567"/>
      <c r="E34" s="2433"/>
      <c r="F34" s="2433"/>
      <c r="G34" s="2432"/>
      <c r="H34" s="2427"/>
      <c r="I34" s="2499"/>
      <c r="J34" s="2427"/>
      <c r="K34" s="2560"/>
      <c r="L34" s="2427"/>
      <c r="M34" s="2560"/>
      <c r="N34" s="2427"/>
      <c r="O34" s="2560"/>
      <c r="P34" s="2427"/>
      <c r="Q34" s="2560"/>
      <c r="R34" s="2427"/>
      <c r="S34" s="2560"/>
    </row>
    <row r="35" spans="1:19" s="91" customFormat="1">
      <c r="A35" s="2568"/>
      <c r="B35" s="152"/>
      <c r="C35" s="2445"/>
      <c r="D35" s="2567"/>
      <c r="E35" s="2433"/>
      <c r="F35" s="2433"/>
      <c r="G35" s="2432"/>
      <c r="H35" s="2427"/>
      <c r="I35" s="2499"/>
      <c r="J35" s="2427"/>
      <c r="K35" s="2560"/>
      <c r="L35" s="2427"/>
      <c r="M35" s="2560"/>
      <c r="N35" s="2427"/>
      <c r="O35" s="2560"/>
      <c r="P35" s="2427"/>
      <c r="Q35" s="2560"/>
      <c r="R35" s="2427"/>
      <c r="S35" s="2560"/>
    </row>
    <row r="36" spans="1:19" s="91" customFormat="1">
      <c r="A36" s="2568"/>
      <c r="B36" s="2545"/>
      <c r="C36" s="2445"/>
      <c r="D36" s="2567"/>
      <c r="E36" s="2433"/>
      <c r="F36" s="2433"/>
      <c r="G36" s="2432"/>
      <c r="H36" s="2427"/>
      <c r="I36" s="2499"/>
      <c r="J36" s="2427"/>
      <c r="K36" s="2560"/>
      <c r="L36" s="2427"/>
      <c r="M36" s="2560"/>
      <c r="N36" s="2427"/>
      <c r="O36" s="2560"/>
      <c r="P36" s="2427"/>
      <c r="Q36" s="2560"/>
      <c r="R36" s="2427"/>
      <c r="S36" s="2560"/>
    </row>
    <row r="37" spans="1:19" s="91" customFormat="1">
      <c r="A37" s="2568"/>
      <c r="B37" s="2545"/>
      <c r="C37" s="2445"/>
      <c r="D37" s="2567"/>
      <c r="E37" s="2433"/>
      <c r="F37" s="2433"/>
      <c r="G37" s="2432"/>
      <c r="H37" s="2427"/>
      <c r="I37" s="2499"/>
      <c r="J37" s="2427"/>
      <c r="K37" s="2560"/>
      <c r="L37" s="2427"/>
      <c r="M37" s="2560"/>
      <c r="N37" s="2427"/>
      <c r="O37" s="2560"/>
      <c r="P37" s="2427"/>
      <c r="Q37" s="2560"/>
      <c r="R37" s="2427"/>
      <c r="S37" s="2560"/>
    </row>
    <row r="38" spans="1:19" s="91" customFormat="1">
      <c r="A38" s="2568"/>
      <c r="B38" s="2545"/>
      <c r="C38" s="2445"/>
      <c r="D38" s="2567"/>
      <c r="E38" s="2433"/>
      <c r="F38" s="2433"/>
      <c r="G38" s="2432"/>
      <c r="H38" s="2427"/>
      <c r="I38" s="2499"/>
      <c r="J38" s="2427"/>
      <c r="K38" s="2560"/>
      <c r="L38" s="2427"/>
      <c r="M38" s="2560"/>
      <c r="N38" s="2427"/>
      <c r="O38" s="2560"/>
      <c r="P38" s="2427"/>
      <c r="Q38" s="2560"/>
      <c r="R38" s="2427"/>
      <c r="S38" s="2560"/>
    </row>
    <row r="39" spans="1:19" s="91" customFormat="1">
      <c r="A39" s="2568"/>
      <c r="B39" s="2545"/>
      <c r="C39" s="2445"/>
      <c r="D39" s="2567"/>
      <c r="E39" s="2546"/>
      <c r="F39" s="2547"/>
      <c r="G39" s="2432"/>
      <c r="H39" s="2427"/>
      <c r="I39" s="2499"/>
      <c r="J39" s="2427"/>
      <c r="K39" s="2560"/>
      <c r="L39" s="2427"/>
      <c r="M39" s="2560"/>
      <c r="N39" s="2427"/>
      <c r="O39" s="2560"/>
      <c r="P39" s="2427"/>
      <c r="Q39" s="2560"/>
      <c r="R39" s="2427"/>
      <c r="S39" s="2560"/>
    </row>
    <row r="40" spans="1:19" s="91" customFormat="1">
      <c r="A40" s="2568"/>
      <c r="B40" s="2545"/>
      <c r="C40" s="2445"/>
      <c r="D40" s="2567"/>
      <c r="E40" s="2546"/>
      <c r="F40" s="2547"/>
      <c r="G40" s="2432"/>
      <c r="H40" s="2427"/>
      <c r="I40" s="2499"/>
      <c r="J40" s="2427"/>
      <c r="K40" s="2560"/>
      <c r="L40" s="2427"/>
      <c r="M40" s="2560"/>
      <c r="N40" s="2427"/>
      <c r="O40" s="2560"/>
      <c r="P40" s="2427"/>
      <c r="Q40" s="2560"/>
      <c r="R40" s="2427"/>
      <c r="S40" s="2560"/>
    </row>
    <row r="41" spans="1:19" s="91" customFormat="1">
      <c r="A41" s="2568"/>
      <c r="B41" s="2545"/>
      <c r="C41" s="2445"/>
      <c r="D41" s="2567"/>
      <c r="E41" s="2546"/>
      <c r="F41" s="2547"/>
      <c r="G41" s="2432"/>
      <c r="H41" s="2427"/>
      <c r="I41" s="2499"/>
      <c r="J41" s="2427"/>
      <c r="K41" s="2560"/>
      <c r="L41" s="2427"/>
      <c r="M41" s="2560"/>
      <c r="N41" s="2427"/>
      <c r="O41" s="2560"/>
      <c r="P41" s="2427"/>
      <c r="Q41" s="2560"/>
      <c r="R41" s="2427"/>
      <c r="S41" s="2560"/>
    </row>
    <row r="42" spans="1:19" s="91" customFormat="1">
      <c r="A42" s="2568"/>
      <c r="B42" s="2569"/>
      <c r="C42" s="2445"/>
      <c r="D42" s="2567"/>
      <c r="E42" s="2546"/>
      <c r="F42" s="2547"/>
      <c r="G42" s="2432"/>
      <c r="H42" s="2427"/>
      <c r="I42" s="2499"/>
      <c r="J42" s="2427"/>
      <c r="K42" s="2560"/>
      <c r="L42" s="2427"/>
      <c r="M42" s="2560"/>
      <c r="N42" s="2427"/>
      <c r="O42" s="2560"/>
      <c r="P42" s="2427"/>
      <c r="Q42" s="2560"/>
      <c r="R42" s="2427"/>
      <c r="S42" s="2560"/>
    </row>
    <row r="43" spans="1:19" s="91" customFormat="1">
      <c r="A43" s="2568"/>
      <c r="B43" s="2570"/>
      <c r="C43" s="2445"/>
      <c r="D43" s="2567"/>
      <c r="E43" s="2546"/>
      <c r="F43" s="2547"/>
      <c r="G43" s="2432"/>
      <c r="H43" s="2427"/>
      <c r="I43" s="2499"/>
      <c r="J43" s="2427"/>
      <c r="K43" s="2560"/>
      <c r="L43" s="2427"/>
      <c r="M43" s="2560"/>
      <c r="N43" s="2427"/>
      <c r="O43" s="2560"/>
      <c r="P43" s="2427"/>
      <c r="Q43" s="2560"/>
      <c r="R43" s="2427"/>
      <c r="S43" s="2560"/>
    </row>
    <row r="44" spans="1:19" s="91" customFormat="1">
      <c r="A44" s="2568"/>
      <c r="B44" s="152"/>
      <c r="C44" s="2445"/>
      <c r="D44" s="2433"/>
      <c r="E44" s="2546"/>
      <c r="F44" s="2547"/>
      <c r="G44" s="2432"/>
      <c r="H44" s="2427"/>
      <c r="I44" s="2499"/>
      <c r="J44" s="2427"/>
      <c r="K44" s="2560"/>
      <c r="L44" s="2427"/>
      <c r="M44" s="2560"/>
      <c r="N44" s="2427"/>
      <c r="O44" s="2560"/>
      <c r="P44" s="2427"/>
      <c r="Q44" s="2560"/>
      <c r="R44" s="2427"/>
      <c r="S44" s="2560"/>
    </row>
    <row r="45" spans="1:19" s="91" customFormat="1">
      <c r="A45" s="2568"/>
      <c r="B45" s="2545"/>
      <c r="C45" s="2445"/>
      <c r="D45" s="2433"/>
      <c r="E45" s="2546"/>
      <c r="F45" s="2547"/>
      <c r="G45" s="2432"/>
      <c r="H45" s="2427"/>
      <c r="I45" s="2499"/>
      <c r="J45" s="2427"/>
      <c r="K45" s="2560"/>
      <c r="L45" s="2427"/>
      <c r="M45" s="2560"/>
      <c r="N45" s="2427"/>
      <c r="O45" s="2560"/>
      <c r="P45" s="2427"/>
      <c r="Q45" s="2560"/>
      <c r="R45" s="2427"/>
      <c r="S45" s="2560"/>
    </row>
    <row r="46" spans="1:19" s="91" customFormat="1">
      <c r="A46" s="2568"/>
      <c r="B46" s="2545"/>
      <c r="C46" s="2445"/>
      <c r="D46" s="2433"/>
      <c r="E46" s="2546"/>
      <c r="F46" s="2547"/>
      <c r="G46" s="2432"/>
      <c r="H46" s="2427"/>
      <c r="I46" s="2499"/>
      <c r="J46" s="2427"/>
      <c r="K46" s="2560"/>
      <c r="L46" s="2427"/>
      <c r="M46" s="2560"/>
      <c r="N46" s="2427"/>
      <c r="O46" s="2560"/>
      <c r="P46" s="2427"/>
      <c r="Q46" s="2560"/>
      <c r="R46" s="2427"/>
      <c r="S46" s="2560"/>
    </row>
    <row r="47" spans="1:19" s="91" customFormat="1">
      <c r="A47" s="2568"/>
      <c r="B47" s="2545"/>
      <c r="C47" s="2445"/>
      <c r="D47" s="2433"/>
      <c r="E47" s="2546"/>
      <c r="F47" s="2547"/>
      <c r="G47" s="2432"/>
      <c r="H47" s="2427"/>
      <c r="I47" s="2499"/>
      <c r="J47" s="2427"/>
      <c r="K47" s="2560"/>
      <c r="L47" s="2427"/>
      <c r="M47" s="2560"/>
      <c r="N47" s="2427"/>
      <c r="O47" s="2560"/>
      <c r="P47" s="2427"/>
      <c r="Q47" s="2560"/>
      <c r="R47" s="2427"/>
      <c r="S47" s="2560"/>
    </row>
    <row r="48" spans="1:19" s="91" customFormat="1">
      <c r="A48" s="2568"/>
      <c r="B48" s="2545"/>
      <c r="C48" s="2445"/>
      <c r="D48" s="2433"/>
      <c r="E48" s="2546"/>
      <c r="F48" s="2547"/>
      <c r="G48" s="2432"/>
      <c r="H48" s="2427"/>
      <c r="I48" s="2499"/>
      <c r="J48" s="2427"/>
      <c r="K48" s="2560"/>
      <c r="L48" s="2427"/>
      <c r="M48" s="2560"/>
      <c r="N48" s="2427"/>
      <c r="O48" s="2560"/>
      <c r="P48" s="2427"/>
      <c r="Q48" s="2560"/>
      <c r="R48" s="2427"/>
      <c r="S48" s="2560"/>
    </row>
    <row r="49" spans="1:19" s="91" customFormat="1">
      <c r="A49" s="2568"/>
      <c r="B49" s="2545"/>
      <c r="C49" s="2445"/>
      <c r="D49" s="2433"/>
      <c r="E49" s="2546"/>
      <c r="F49" s="2547"/>
      <c r="G49" s="2432"/>
      <c r="H49" s="2427"/>
      <c r="I49" s="2499"/>
      <c r="J49" s="2427"/>
      <c r="K49" s="2560"/>
      <c r="L49" s="2427"/>
      <c r="M49" s="2560"/>
      <c r="N49" s="2427"/>
      <c r="O49" s="2560"/>
      <c r="P49" s="2427"/>
      <c r="Q49" s="2560"/>
      <c r="R49" s="2427"/>
      <c r="S49" s="2560"/>
    </row>
    <row r="50" spans="1:19" s="91" customFormat="1">
      <c r="A50" s="2568"/>
      <c r="B50" s="2545"/>
      <c r="C50" s="2445"/>
      <c r="D50" s="2433"/>
      <c r="E50" s="2546"/>
      <c r="F50" s="2547"/>
      <c r="G50" s="2432"/>
      <c r="H50" s="2427"/>
      <c r="I50" s="2499"/>
      <c r="J50" s="2427"/>
      <c r="K50" s="2560"/>
      <c r="L50" s="2427"/>
      <c r="M50" s="2560"/>
      <c r="N50" s="2427"/>
      <c r="O50" s="2560"/>
      <c r="P50" s="2427"/>
      <c r="Q50" s="2560"/>
      <c r="R50" s="2427"/>
      <c r="S50" s="2560"/>
    </row>
    <row r="51" spans="1:19" s="91" customFormat="1">
      <c r="A51" s="2568"/>
      <c r="B51" s="2545"/>
      <c r="C51" s="2445"/>
      <c r="D51" s="2433"/>
      <c r="E51" s="2546"/>
      <c r="F51" s="2547"/>
      <c r="G51" s="2432"/>
      <c r="H51" s="2427"/>
      <c r="I51" s="2499"/>
      <c r="J51" s="2427"/>
      <c r="K51" s="2560"/>
      <c r="L51" s="2427"/>
      <c r="M51" s="2560"/>
      <c r="N51" s="2427"/>
      <c r="O51" s="2560"/>
      <c r="P51" s="2427"/>
      <c r="Q51" s="2560"/>
      <c r="R51" s="2427"/>
      <c r="S51" s="2560"/>
    </row>
    <row r="52" spans="1:19" s="91" customFormat="1">
      <c r="A52" s="2568"/>
      <c r="B52" s="2545"/>
      <c r="C52" s="2445"/>
      <c r="D52" s="2433"/>
      <c r="E52" s="2546"/>
      <c r="F52" s="2547"/>
      <c r="G52" s="2432"/>
      <c r="H52" s="2427"/>
      <c r="I52" s="2499"/>
      <c r="J52" s="2427"/>
      <c r="K52" s="2560"/>
      <c r="L52" s="2427"/>
      <c r="M52" s="2560"/>
      <c r="N52" s="2427"/>
      <c r="O52" s="2560"/>
      <c r="P52" s="2427"/>
      <c r="Q52" s="2560"/>
      <c r="R52" s="2427"/>
      <c r="S52" s="2560"/>
    </row>
    <row r="53" spans="1:19" s="91" customFormat="1">
      <c r="A53" s="2568"/>
      <c r="B53" s="2545"/>
      <c r="C53" s="2445"/>
      <c r="D53" s="2433"/>
      <c r="E53" s="2546"/>
      <c r="F53" s="2547"/>
      <c r="G53" s="2432"/>
      <c r="H53" s="2427" t="s">
        <v>710</v>
      </c>
      <c r="I53" s="2499"/>
      <c r="J53" s="2427"/>
      <c r="K53" s="2560"/>
      <c r="L53" s="2427"/>
      <c r="M53" s="2560"/>
      <c r="N53" s="2427"/>
      <c r="O53" s="2560"/>
      <c r="P53" s="2427"/>
      <c r="Q53" s="2560"/>
      <c r="R53" s="2427"/>
      <c r="S53" s="2560"/>
    </row>
    <row r="54" spans="1:19" s="91" customFormat="1">
      <c r="A54" s="2568"/>
      <c r="B54" s="2545"/>
      <c r="C54" s="2445"/>
      <c r="D54" s="2433"/>
      <c r="E54" s="2546"/>
      <c r="F54" s="2547"/>
      <c r="G54" s="2432"/>
      <c r="H54" s="2427"/>
      <c r="I54" s="2499"/>
      <c r="J54" s="2427"/>
      <c r="K54" s="2560"/>
      <c r="L54" s="2427"/>
      <c r="M54" s="2560"/>
      <c r="N54" s="2427"/>
      <c r="O54" s="2560"/>
      <c r="P54" s="2427"/>
      <c r="Q54" s="2560"/>
      <c r="R54" s="2427"/>
      <c r="S54" s="2560"/>
    </row>
    <row r="55" spans="1:19" s="91" customFormat="1">
      <c r="A55" s="2568"/>
      <c r="B55" s="2545"/>
      <c r="C55" s="2445"/>
      <c r="D55" s="2433"/>
      <c r="E55" s="2546"/>
      <c r="F55" s="2547"/>
      <c r="G55" s="2432"/>
      <c r="H55" s="2427"/>
      <c r="I55" s="2499"/>
      <c r="J55" s="2427"/>
      <c r="K55" s="2560"/>
      <c r="L55" s="2427"/>
      <c r="M55" s="2560"/>
      <c r="N55" s="2427"/>
      <c r="O55" s="2560"/>
      <c r="P55" s="2427"/>
      <c r="Q55" s="2560"/>
      <c r="R55" s="2427"/>
      <c r="S55" s="2560"/>
    </row>
    <row r="56" spans="1:19" s="91" customFormat="1">
      <c r="A56" s="2525"/>
      <c r="B56" s="2545"/>
      <c r="C56" s="2432"/>
      <c r="D56" s="2433"/>
      <c r="E56" s="2546"/>
      <c r="F56" s="2547"/>
      <c r="G56" s="2432"/>
      <c r="H56" s="2427"/>
      <c r="I56" s="2499"/>
      <c r="J56" s="2427"/>
      <c r="K56" s="2560"/>
      <c r="L56" s="2427"/>
      <c r="M56" s="2560"/>
      <c r="N56" s="2427"/>
      <c r="O56" s="2560"/>
      <c r="P56" s="2427"/>
      <c r="Q56" s="2560"/>
      <c r="R56" s="2427"/>
      <c r="S56" s="2560"/>
    </row>
    <row r="57" spans="1:19">
      <c r="A57" s="2557"/>
      <c r="B57" s="2545"/>
      <c r="C57" s="2432"/>
      <c r="D57" s="2405"/>
      <c r="E57" s="2546"/>
      <c r="F57" s="2547"/>
      <c r="G57" s="2423"/>
      <c r="H57" s="2427"/>
      <c r="I57" s="2499"/>
      <c r="J57" s="2427"/>
      <c r="K57" s="2390"/>
      <c r="L57" s="2427"/>
      <c r="M57" s="2508"/>
      <c r="N57" s="2427"/>
      <c r="O57" s="2508"/>
      <c r="P57" s="2427"/>
      <c r="Q57" s="2508"/>
      <c r="R57" s="2427"/>
      <c r="S57" s="2508"/>
    </row>
    <row r="58" spans="1:19">
      <c r="A58" s="2557"/>
      <c r="B58" s="2545"/>
      <c r="C58" s="2432"/>
      <c r="D58" s="2405"/>
      <c r="E58" s="2546"/>
      <c r="F58" s="2547"/>
      <c r="G58" s="2423"/>
      <c r="H58" s="2427"/>
      <c r="I58" s="2499"/>
      <c r="J58" s="2427"/>
      <c r="K58" s="2508"/>
      <c r="L58" s="2427"/>
      <c r="M58" s="2508"/>
      <c r="N58" s="2427"/>
      <c r="O58" s="2508"/>
      <c r="P58" s="2427"/>
      <c r="Q58" s="2508"/>
      <c r="R58" s="2427"/>
      <c r="S58" s="2508"/>
    </row>
    <row r="59" spans="1:19">
      <c r="A59" s="2557"/>
      <c r="B59" s="2545"/>
      <c r="C59" s="2432"/>
      <c r="D59" s="2405"/>
      <c r="E59" s="2405"/>
      <c r="F59" s="2405"/>
      <c r="G59" s="2423"/>
      <c r="H59" s="2427"/>
      <c r="I59" s="2499"/>
      <c r="J59" s="2427"/>
      <c r="K59" s="2508"/>
      <c r="L59" s="2427"/>
      <c r="M59" s="2508"/>
      <c r="N59" s="2427"/>
      <c r="O59" s="2508"/>
      <c r="P59" s="2427"/>
      <c r="Q59" s="2508"/>
      <c r="R59" s="2427"/>
      <c r="S59" s="2508"/>
    </row>
    <row r="60" spans="1:19">
      <c r="A60" s="2557"/>
      <c r="B60" s="2545"/>
      <c r="C60" s="2432"/>
      <c r="D60" s="2405"/>
      <c r="E60" s="2405"/>
      <c r="F60" s="2405"/>
      <c r="G60" s="2423"/>
      <c r="H60" s="2427"/>
      <c r="I60" s="2508"/>
      <c r="J60" s="2427"/>
      <c r="K60" s="2508"/>
      <c r="L60" s="2427"/>
      <c r="M60" s="2508"/>
      <c r="N60" s="2427"/>
      <c r="O60" s="2508"/>
      <c r="P60" s="2427"/>
      <c r="Q60" s="2508"/>
      <c r="R60" s="2427"/>
      <c r="S60" s="2508"/>
    </row>
    <row r="61" spans="1:19">
      <c r="A61" s="2557"/>
      <c r="B61" s="2550"/>
      <c r="C61" s="2432"/>
      <c r="D61" s="2405"/>
      <c r="E61" s="2405"/>
      <c r="F61" s="2405"/>
      <c r="G61" s="2423"/>
      <c r="H61" s="2427"/>
      <c r="I61" s="2508"/>
      <c r="J61" s="2427"/>
      <c r="K61" s="2508"/>
      <c r="L61" s="2427"/>
      <c r="M61" s="2508"/>
      <c r="N61" s="2427"/>
      <c r="O61" s="2508"/>
      <c r="P61" s="2427"/>
      <c r="Q61" s="2508"/>
      <c r="R61" s="2427"/>
      <c r="S61" s="2508"/>
    </row>
    <row r="62" spans="1:19">
      <c r="A62" s="2557"/>
      <c r="B62" s="2444"/>
      <c r="C62" s="2432"/>
      <c r="D62" s="2405"/>
      <c r="E62" s="2405"/>
      <c r="F62" s="2405"/>
      <c r="G62" s="2423"/>
      <c r="H62" s="2427"/>
      <c r="I62" s="2508"/>
      <c r="J62" s="2427"/>
      <c r="K62" s="2508"/>
      <c r="L62" s="2427"/>
      <c r="M62" s="2508"/>
      <c r="N62" s="2427"/>
      <c r="O62" s="2508"/>
      <c r="P62" s="2427"/>
      <c r="Q62" s="2508"/>
      <c r="R62" s="2427"/>
      <c r="S62" s="2508"/>
    </row>
    <row r="63" spans="1:19">
      <c r="A63" s="2557"/>
      <c r="B63" s="2444"/>
      <c r="C63" s="2432"/>
      <c r="D63" s="2405"/>
      <c r="E63" s="2405"/>
      <c r="F63" s="2405"/>
      <c r="G63" s="2423"/>
      <c r="H63" s="2427"/>
      <c r="I63" s="2499"/>
      <c r="J63" s="2427"/>
      <c r="K63" s="2499"/>
      <c r="L63" s="2427"/>
      <c r="M63" s="2499"/>
      <c r="N63" s="2427"/>
      <c r="O63" s="2499"/>
      <c r="P63" s="2427"/>
      <c r="Q63" s="2508"/>
      <c r="R63" s="2427"/>
      <c r="S63" s="2508"/>
    </row>
    <row r="64" spans="1:19">
      <c r="A64" s="2557"/>
      <c r="B64" s="2444"/>
      <c r="C64" s="2432"/>
      <c r="D64" s="2405"/>
      <c r="E64" s="2405"/>
      <c r="F64" s="2405"/>
      <c r="G64" s="2423"/>
      <c r="H64" s="2427"/>
      <c r="I64" s="2499"/>
      <c r="J64" s="2427"/>
      <c r="K64" s="2499"/>
      <c r="L64" s="2427"/>
      <c r="M64" s="2499"/>
      <c r="N64" s="2427"/>
      <c r="O64" s="2499"/>
      <c r="P64" s="2427"/>
      <c r="Q64" s="2508"/>
      <c r="R64" s="2427"/>
      <c r="S64" s="2508"/>
    </row>
    <row r="65" spans="1:19">
      <c r="A65" s="2557"/>
      <c r="B65" s="2444"/>
      <c r="C65" s="2432"/>
      <c r="D65" s="2405"/>
      <c r="E65" s="2405"/>
      <c r="F65" s="2405"/>
      <c r="G65" s="2423"/>
      <c r="H65" s="2427"/>
      <c r="I65" s="2499"/>
      <c r="J65" s="2427"/>
      <c r="K65" s="2499"/>
      <c r="L65" s="2427"/>
      <c r="M65" s="2499"/>
      <c r="N65" s="2427"/>
      <c r="O65" s="2499"/>
      <c r="P65" s="2427"/>
      <c r="Q65" s="2508"/>
      <c r="R65" s="2427"/>
      <c r="S65" s="2508"/>
    </row>
    <row r="66" spans="1:19">
      <c r="A66" s="2557"/>
      <c r="B66" s="2444"/>
      <c r="C66" s="2432"/>
      <c r="D66" s="2405"/>
      <c r="E66" s="2405"/>
      <c r="F66" s="2405"/>
      <c r="G66" s="2423"/>
      <c r="H66" s="2427"/>
      <c r="I66" s="2499"/>
      <c r="J66" s="2427"/>
      <c r="K66" s="2499"/>
      <c r="L66" s="2427"/>
      <c r="M66" s="2499"/>
      <c r="N66" s="2427"/>
      <c r="O66" s="2499"/>
      <c r="P66" s="2427"/>
      <c r="Q66" s="2508"/>
      <c r="R66" s="2427"/>
      <c r="S66" s="2508"/>
    </row>
    <row r="67" spans="1:19" ht="15.75" thickBot="1">
      <c r="A67" s="2557"/>
      <c r="B67" s="2444"/>
      <c r="C67" s="2432"/>
      <c r="D67" s="2405"/>
      <c r="E67" s="2405"/>
      <c r="F67" s="2405"/>
      <c r="G67" s="2423"/>
      <c r="H67" s="2427"/>
      <c r="I67" s="2499"/>
      <c r="J67" s="2427"/>
      <c r="K67" s="2499"/>
      <c r="L67" s="2427"/>
      <c r="M67" s="2499"/>
      <c r="N67" s="2427"/>
      <c r="O67" s="2499"/>
      <c r="P67" s="2427"/>
      <c r="Q67" s="2508"/>
      <c r="R67" s="2427"/>
      <c r="S67" s="2508"/>
    </row>
    <row r="68" spans="1:19" ht="15.75" thickTop="1">
      <c r="A68" s="14"/>
      <c r="B68" s="15"/>
      <c r="C68" s="16"/>
      <c r="D68" s="16"/>
      <c r="E68" s="17"/>
      <c r="F68" s="18" t="s">
        <v>567</v>
      </c>
      <c r="G68" s="19"/>
      <c r="H68" s="20"/>
      <c r="I68" s="61">
        <f>SUM(I23:I67)</f>
        <v>0</v>
      </c>
      <c r="J68" s="20"/>
      <c r="K68" s="61">
        <f>SUM(K23:K67)</f>
        <v>0</v>
      </c>
      <c r="L68" s="20"/>
      <c r="M68" s="61">
        <f>SUM(M23:M67)</f>
        <v>0</v>
      </c>
      <c r="N68" s="20"/>
      <c r="O68" s="61">
        <f>SUM(O23:O67)</f>
        <v>0</v>
      </c>
      <c r="P68" s="20"/>
      <c r="Q68" s="61">
        <f>SUM(Q23:Q67)</f>
        <v>0</v>
      </c>
      <c r="R68" s="20"/>
      <c r="S68" s="61">
        <f>SUM(S23:S67)</f>
        <v>0</v>
      </c>
    </row>
    <row r="69" spans="1:19">
      <c r="A69" s="2358"/>
      <c r="B69" s="2359"/>
      <c r="C69" s="2360"/>
      <c r="D69" s="2360"/>
      <c r="E69" s="2361"/>
      <c r="F69" s="2362" t="s">
        <v>568</v>
      </c>
      <c r="G69" s="2363"/>
      <c r="H69" s="2364">
        <v>0</v>
      </c>
      <c r="I69" s="2460"/>
      <c r="J69" s="2364">
        <v>0</v>
      </c>
      <c r="K69" s="2460"/>
      <c r="L69" s="2364">
        <v>0</v>
      </c>
      <c r="M69" s="2460"/>
      <c r="N69" s="2364">
        <v>0</v>
      </c>
      <c r="O69" s="2460"/>
      <c r="P69" s="2364">
        <v>0</v>
      </c>
      <c r="Q69" s="2460"/>
      <c r="R69" s="2364">
        <v>0</v>
      </c>
      <c r="S69" s="2460"/>
    </row>
    <row r="70" spans="1:19">
      <c r="A70" s="2358"/>
      <c r="B70" s="2359"/>
      <c r="C70" s="2360"/>
      <c r="D70" s="2360"/>
      <c r="E70" s="2361"/>
      <c r="F70" s="2362" t="s">
        <v>569</v>
      </c>
      <c r="G70" s="2363"/>
      <c r="H70" s="2366"/>
      <c r="I70" s="2462">
        <f>H69*I68</f>
        <v>0</v>
      </c>
      <c r="J70" s="2366"/>
      <c r="K70" s="2462">
        <f>J69*K68</f>
        <v>0</v>
      </c>
      <c r="L70" s="2366"/>
      <c r="M70" s="2462">
        <f>L69*M68</f>
        <v>0</v>
      </c>
      <c r="N70" s="2366"/>
      <c r="O70" s="2462">
        <f>N69*O68</f>
        <v>0</v>
      </c>
      <c r="P70" s="2366"/>
      <c r="Q70" s="2462">
        <f>P69*Q68</f>
        <v>0</v>
      </c>
      <c r="R70" s="2366"/>
      <c r="S70" s="2462">
        <f>R69*S68</f>
        <v>0</v>
      </c>
    </row>
    <row r="71" spans="1:19">
      <c r="A71" s="2358"/>
      <c r="B71" s="2359"/>
      <c r="C71" s="2360"/>
      <c r="D71" s="2360"/>
      <c r="E71" s="2361"/>
      <c r="F71" s="2362"/>
      <c r="G71" s="2363"/>
      <c r="H71" s="2366"/>
      <c r="I71" s="2464"/>
      <c r="J71" s="2366"/>
      <c r="K71" s="2464"/>
      <c r="L71" s="2366"/>
      <c r="M71" s="2464"/>
      <c r="N71" s="2366"/>
      <c r="O71" s="2464"/>
      <c r="P71" s="2366"/>
      <c r="Q71" s="2464"/>
      <c r="R71" s="2366"/>
      <c r="S71" s="2464"/>
    </row>
    <row r="72" spans="1:19">
      <c r="A72" s="2358"/>
      <c r="B72" s="2359"/>
      <c r="C72" s="2360"/>
      <c r="D72" s="2360"/>
      <c r="E72" s="2361"/>
      <c r="F72" s="2362" t="s">
        <v>570</v>
      </c>
      <c r="G72" s="2363"/>
      <c r="H72" s="2368"/>
      <c r="I72" s="2465">
        <f>SUM(I68:I70)</f>
        <v>0</v>
      </c>
      <c r="J72" s="2368"/>
      <c r="K72" s="2465">
        <f>SUM(K68:K70)</f>
        <v>0</v>
      </c>
      <c r="L72" s="2368"/>
      <c r="M72" s="2465">
        <f>SUM(M68:M70)</f>
        <v>0</v>
      </c>
      <c r="N72" s="2368"/>
      <c r="O72" s="2465">
        <f>SUM(O68:O70)</f>
        <v>0</v>
      </c>
      <c r="P72" s="2368"/>
      <c r="Q72" s="2465">
        <f>SUM(Q68:Q70)</f>
        <v>0</v>
      </c>
      <c r="R72" s="2368"/>
      <c r="S72" s="2465">
        <f>SUM(S68:S70)</f>
        <v>0</v>
      </c>
    </row>
    <row r="73" spans="1:19">
      <c r="A73" s="2358"/>
      <c r="B73" s="2359"/>
      <c r="C73" s="2360"/>
      <c r="D73" s="2360"/>
      <c r="E73" s="2361"/>
      <c r="F73" s="2370" t="s">
        <v>571</v>
      </c>
      <c r="G73" s="2371"/>
      <c r="H73" s="2372"/>
      <c r="I73" s="2373" t="e">
        <f>I72/'Area Calculations'!$J$4</f>
        <v>#DIV/0!</v>
      </c>
      <c r="J73" s="2372"/>
      <c r="K73" s="2373" t="e">
        <f>K72/'Area Calculations'!$J$4</f>
        <v>#DIV/0!</v>
      </c>
      <c r="L73" s="2372"/>
      <c r="M73" s="2373" t="e">
        <f>M72/'Area Calculations'!$J$4</f>
        <v>#DIV/0!</v>
      </c>
      <c r="N73" s="2372"/>
      <c r="O73" s="2373" t="e">
        <f>O72/'Area Calculations'!$J$4</f>
        <v>#DIV/0!</v>
      </c>
      <c r="P73" s="2372"/>
      <c r="Q73" s="2373" t="e">
        <f>Q72/'Area Calculations'!$J$4</f>
        <v>#DIV/0!</v>
      </c>
      <c r="R73" s="2372"/>
      <c r="S73" s="2373" t="e">
        <f>S72/'Area Calculations'!$J$4</f>
        <v>#DIV/0!</v>
      </c>
    </row>
    <row r="74" spans="1:19">
      <c r="A74" s="2358"/>
      <c r="B74" s="2359"/>
      <c r="C74" s="2360"/>
      <c r="D74" s="2360"/>
      <c r="E74" s="2361"/>
      <c r="F74" s="2370" t="s">
        <v>572</v>
      </c>
      <c r="G74" s="2374"/>
      <c r="H74" s="2372"/>
      <c r="I74" s="2373" t="e">
        <f>I72/'Area Calculations'!#REF!</f>
        <v>#REF!</v>
      </c>
      <c r="J74" s="2372"/>
      <c r="K74" s="2373" t="e">
        <f>K72/'Area Calculations'!#REF!</f>
        <v>#REF!</v>
      </c>
      <c r="L74" s="2372"/>
      <c r="M74" s="2373" t="e">
        <f>M72/'Area Calculations'!#REF!</f>
        <v>#REF!</v>
      </c>
      <c r="N74" s="2372"/>
      <c r="O74" s="2373" t="e">
        <f>O72/'Area Calculations'!#REF!</f>
        <v>#REF!</v>
      </c>
      <c r="P74" s="2372"/>
      <c r="Q74" s="2373" t="e">
        <f>Q72/'Area Calculations'!#REF!</f>
        <v>#REF!</v>
      </c>
      <c r="R74" s="2372"/>
      <c r="S74" s="2373" t="e">
        <f>S72/'Area Calculations'!#REF!</f>
        <v>#REF!</v>
      </c>
    </row>
    <row r="75" spans="1:19" ht="15.75" thickBot="1">
      <c r="A75" s="2358"/>
      <c r="B75" s="2359"/>
      <c r="C75" s="2360"/>
      <c r="D75" s="2360"/>
      <c r="E75" s="2361"/>
      <c r="F75" s="2362"/>
      <c r="G75" s="2375"/>
      <c r="H75" s="2376"/>
      <c r="I75" s="2377"/>
      <c r="J75" s="2378"/>
      <c r="K75" s="2378"/>
      <c r="L75" s="2378"/>
      <c r="M75" s="2378"/>
      <c r="N75" s="2378"/>
      <c r="O75" s="2378"/>
      <c r="P75" s="2378"/>
      <c r="Q75" s="2378"/>
      <c r="R75" s="2378"/>
      <c r="S75" s="2378"/>
    </row>
    <row r="76" spans="1:19" ht="16.5" thickTop="1" thickBot="1">
      <c r="A76" s="726" t="s">
        <v>573</v>
      </c>
      <c r="B76" s="727"/>
      <c r="C76" s="12"/>
      <c r="D76" s="12"/>
      <c r="E76" s="12"/>
      <c r="F76" s="12"/>
      <c r="G76" s="13"/>
      <c r="H76" s="21"/>
      <c r="I76" s="21"/>
      <c r="J76" s="21"/>
      <c r="K76" s="21"/>
      <c r="L76" s="21"/>
      <c r="M76" s="21"/>
      <c r="N76" s="21"/>
      <c r="O76" s="21"/>
      <c r="P76" s="21"/>
      <c r="Q76" s="21"/>
      <c r="R76" s="21"/>
      <c r="S76" s="21"/>
    </row>
    <row r="77" spans="1:19" ht="15.75" thickTop="1">
      <c r="A77" s="2509"/>
      <c r="B77" s="2404"/>
      <c r="C77" s="2510"/>
      <c r="D77" s="2510"/>
      <c r="E77" s="2510"/>
      <c r="F77" s="2510"/>
      <c r="G77" s="2511"/>
      <c r="H77" s="2571"/>
      <c r="I77" s="2571"/>
      <c r="J77" s="2571"/>
      <c r="K77" s="2571"/>
      <c r="L77" s="2571"/>
      <c r="M77" s="2571"/>
      <c r="N77" s="2571"/>
      <c r="O77" s="2571"/>
      <c r="P77" s="2571"/>
      <c r="Q77" s="2571"/>
      <c r="R77" s="2571"/>
      <c r="S77" s="2571"/>
    </row>
    <row r="78" spans="1:19" s="2" customFormat="1">
      <c r="A78" s="2509"/>
      <c r="B78" s="2404"/>
      <c r="C78" s="2510"/>
      <c r="D78" s="2510"/>
      <c r="E78" s="2510"/>
      <c r="F78" s="2510"/>
      <c r="G78" s="2511"/>
      <c r="H78" s="2571"/>
      <c r="I78" s="2571"/>
      <c r="J78" s="2571"/>
      <c r="K78" s="2571"/>
      <c r="L78" s="2571"/>
      <c r="M78" s="2571"/>
      <c r="N78" s="2571"/>
      <c r="O78" s="2571"/>
      <c r="P78" s="2571"/>
      <c r="Q78" s="2571"/>
      <c r="R78" s="2571"/>
      <c r="S78" s="2571"/>
    </row>
    <row r="79" spans="1:19" s="2" customFormat="1" ht="15.75" thickBot="1">
      <c r="A79" s="2509"/>
      <c r="B79" s="2404"/>
      <c r="C79" s="2510"/>
      <c r="D79" s="2510"/>
      <c r="E79" s="2510"/>
      <c r="F79" s="2510"/>
      <c r="G79" s="2511"/>
      <c r="H79" s="2571"/>
      <c r="I79" s="2571"/>
      <c r="J79" s="2571"/>
      <c r="K79" s="2571"/>
      <c r="L79" s="2571"/>
      <c r="M79" s="2571"/>
      <c r="N79" s="2571"/>
      <c r="O79" s="2571"/>
      <c r="P79" s="2571"/>
      <c r="Q79" s="2571"/>
      <c r="R79" s="2571"/>
      <c r="S79" s="2571"/>
    </row>
    <row r="80" spans="1:19" ht="16.5" thickTop="1" thickBot="1">
      <c r="A80" s="726" t="s">
        <v>574</v>
      </c>
      <c r="B80" s="727"/>
      <c r="C80" s="12"/>
      <c r="D80" s="12"/>
      <c r="E80" s="12"/>
      <c r="F80" s="12"/>
      <c r="G80" s="13"/>
      <c r="H80" s="21"/>
      <c r="I80" s="21"/>
      <c r="J80" s="21"/>
      <c r="K80" s="21"/>
      <c r="L80" s="21"/>
      <c r="M80" s="21"/>
      <c r="N80" s="21"/>
      <c r="O80" s="21"/>
      <c r="P80" s="21"/>
      <c r="Q80" s="21"/>
      <c r="R80" s="21"/>
      <c r="S80" s="21"/>
    </row>
    <row r="81" spans="1:19" s="2" customFormat="1" ht="15.75" thickTop="1">
      <c r="A81" s="2509"/>
      <c r="B81" s="2404"/>
      <c r="C81" s="2510"/>
      <c r="D81" s="2510"/>
      <c r="E81" s="2510"/>
      <c r="F81" s="2510"/>
      <c r="G81" s="2511"/>
      <c r="H81" s="2571"/>
      <c r="I81" s="2571"/>
      <c r="J81" s="2571"/>
      <c r="K81" s="2571"/>
      <c r="L81" s="2571"/>
      <c r="M81" s="2571"/>
      <c r="N81" s="2571"/>
      <c r="O81" s="2571"/>
      <c r="P81" s="2571"/>
      <c r="Q81" s="2571"/>
      <c r="R81" s="2571"/>
      <c r="S81" s="2571"/>
    </row>
    <row r="82" spans="1:19" s="2" customFormat="1">
      <c r="A82" s="2509"/>
      <c r="B82" s="2404"/>
      <c r="C82" s="2510"/>
      <c r="D82" s="2510"/>
      <c r="E82" s="2510"/>
      <c r="F82" s="2510"/>
      <c r="G82" s="2511"/>
      <c r="H82" s="2571"/>
      <c r="I82" s="2571"/>
      <c r="J82" s="2571"/>
      <c r="K82" s="2571"/>
      <c r="L82" s="2571"/>
      <c r="M82" s="2571"/>
      <c r="N82" s="2571"/>
      <c r="O82" s="2571"/>
      <c r="P82" s="2571"/>
      <c r="Q82" s="2571"/>
      <c r="R82" s="2571"/>
      <c r="S82" s="2571"/>
    </row>
    <row r="83" spans="1:19" ht="15.75" thickBot="1">
      <c r="A83" s="2509"/>
      <c r="B83" s="2404"/>
      <c r="C83" s="2510"/>
      <c r="D83" s="2510"/>
      <c r="E83" s="2510"/>
      <c r="F83" s="2510"/>
      <c r="G83" s="2511"/>
      <c r="H83" s="2571"/>
      <c r="I83" s="2571"/>
      <c r="J83" s="2571"/>
      <c r="K83" s="2571"/>
      <c r="L83" s="2571"/>
      <c r="M83" s="2571"/>
      <c r="N83" s="2571"/>
      <c r="O83" s="2571"/>
      <c r="P83" s="2571"/>
      <c r="Q83" s="2571"/>
      <c r="R83" s="2571"/>
      <c r="S83" s="2571"/>
    </row>
    <row r="84" spans="1:19" ht="16.5" thickTop="1" thickBot="1">
      <c r="A84" s="726" t="s">
        <v>575</v>
      </c>
      <c r="B84" s="727"/>
      <c r="C84" s="12"/>
      <c r="D84" s="12"/>
      <c r="E84" s="12"/>
      <c r="F84" s="12"/>
      <c r="G84" s="13"/>
      <c r="H84" s="21"/>
      <c r="I84" s="21"/>
      <c r="J84" s="21"/>
      <c r="K84" s="21"/>
      <c r="L84" s="21"/>
      <c r="M84" s="21"/>
      <c r="N84" s="21"/>
      <c r="O84" s="21"/>
      <c r="P84" s="21"/>
      <c r="Q84" s="21"/>
      <c r="R84" s="21"/>
      <c r="S84" s="21"/>
    </row>
    <row r="85" spans="1:19" ht="15.75" thickTop="1">
      <c r="A85" s="2509"/>
      <c r="B85" s="2404"/>
      <c r="C85" s="2510"/>
      <c r="D85" s="2510"/>
      <c r="E85" s="2510"/>
      <c r="F85" s="2510"/>
      <c r="G85" s="2511"/>
      <c r="H85" s="2571"/>
      <c r="I85" s="2571"/>
      <c r="J85" s="2571"/>
      <c r="K85" s="2571"/>
      <c r="L85" s="2571"/>
      <c r="M85" s="2571"/>
      <c r="N85" s="2571"/>
      <c r="O85" s="2571"/>
      <c r="P85" s="2571"/>
      <c r="Q85" s="2571"/>
      <c r="R85" s="2571"/>
      <c r="S85" s="2571"/>
    </row>
    <row r="86" spans="1:19">
      <c r="A86" s="2421"/>
      <c r="B86" s="2404"/>
      <c r="C86" s="2405"/>
      <c r="D86" s="2405"/>
      <c r="E86" s="2405"/>
      <c r="F86" s="2405"/>
      <c r="G86" s="2423"/>
      <c r="H86" s="2382"/>
      <c r="I86" s="2382"/>
      <c r="J86" s="2382"/>
      <c r="K86" s="2382"/>
      <c r="L86" s="2382"/>
      <c r="M86" s="2382"/>
      <c r="N86" s="2382"/>
      <c r="O86" s="2382"/>
      <c r="P86" s="2382"/>
      <c r="Q86" s="2382"/>
      <c r="R86" s="2382"/>
      <c r="S86" s="2382"/>
    </row>
    <row r="87" spans="1:19" ht="15.75" thickBot="1">
      <c r="A87" s="2383"/>
      <c r="B87" s="2384"/>
      <c r="C87" s="2405"/>
      <c r="D87" s="2405"/>
      <c r="E87" s="2405"/>
      <c r="F87" s="2405"/>
      <c r="G87" s="2423"/>
      <c r="H87" s="2385"/>
      <c r="I87" s="2385"/>
      <c r="J87" s="2385"/>
      <c r="K87" s="2385"/>
      <c r="L87" s="2385"/>
      <c r="M87" s="2385"/>
      <c r="N87" s="2385"/>
      <c r="O87" s="2385"/>
      <c r="P87" s="2385"/>
      <c r="Q87" s="2385"/>
      <c r="R87" s="2385"/>
      <c r="S87" s="2385"/>
    </row>
    <row r="88" spans="1:19" ht="16.5" thickTop="1" thickBot="1">
      <c r="A88" s="726" t="s">
        <v>576</v>
      </c>
      <c r="B88" s="727"/>
      <c r="C88" s="12"/>
      <c r="D88" s="12"/>
      <c r="E88" s="12"/>
      <c r="F88" s="12"/>
      <c r="G88" s="13"/>
      <c r="H88" s="21"/>
      <c r="I88" s="21"/>
      <c r="J88" s="21"/>
      <c r="K88" s="21"/>
      <c r="L88" s="21"/>
      <c r="M88" s="21"/>
      <c r="N88" s="21"/>
      <c r="O88" s="21"/>
      <c r="P88" s="21"/>
      <c r="Q88" s="21"/>
      <c r="R88" s="21"/>
      <c r="S88" s="21"/>
    </row>
    <row r="89" spans="1:19" ht="15.75" thickTop="1">
      <c r="A89" s="2514"/>
      <c r="B89" s="2515"/>
      <c r="C89" s="2510"/>
      <c r="D89" s="2510"/>
      <c r="E89" s="2510"/>
      <c r="F89" s="2510"/>
      <c r="G89" s="2511"/>
      <c r="H89" s="2571"/>
      <c r="I89" s="2571"/>
      <c r="J89" s="2571"/>
      <c r="K89" s="2571"/>
      <c r="L89" s="2571"/>
      <c r="M89" s="2571"/>
      <c r="N89" s="2571"/>
      <c r="O89" s="2571"/>
      <c r="P89" s="2571"/>
      <c r="Q89" s="2571"/>
      <c r="R89" s="2571"/>
      <c r="S89" s="2571"/>
    </row>
    <row r="90" spans="1:19">
      <c r="A90" s="2383"/>
      <c r="B90" s="2384"/>
      <c r="C90" s="2405"/>
      <c r="D90" s="2405"/>
      <c r="E90" s="2405"/>
      <c r="F90" s="2405"/>
      <c r="G90" s="2423"/>
      <c r="H90" s="2388"/>
      <c r="I90" s="2388"/>
      <c r="J90" s="2388"/>
      <c r="K90" s="2388"/>
      <c r="L90" s="2388"/>
      <c r="M90" s="2388"/>
      <c r="N90" s="2388"/>
      <c r="O90" s="2388"/>
      <c r="P90" s="2388"/>
      <c r="Q90" s="2388"/>
      <c r="R90" s="2388"/>
      <c r="S90" s="2388"/>
    </row>
    <row r="91" spans="1:19" ht="15.75" thickBot="1">
      <c r="A91" s="2383"/>
      <c r="B91" s="2384"/>
      <c r="C91" s="2405"/>
      <c r="D91" s="2405"/>
      <c r="E91" s="2405"/>
      <c r="F91" s="2405"/>
      <c r="G91" s="2423"/>
      <c r="H91" s="2388"/>
      <c r="I91" s="2388"/>
      <c r="J91" s="2388"/>
      <c r="K91" s="2388"/>
      <c r="L91" s="2388"/>
      <c r="M91" s="2388"/>
      <c r="N91" s="2388"/>
      <c r="O91" s="2388"/>
      <c r="P91" s="2388"/>
      <c r="Q91" s="2388"/>
      <c r="R91" s="2388"/>
      <c r="S91" s="2388"/>
    </row>
    <row r="92" spans="1:19" ht="16.5" thickTop="1" thickBot="1">
      <c r="A92" s="726" t="s">
        <v>577</v>
      </c>
      <c r="B92" s="727"/>
      <c r="C92" s="12"/>
      <c r="D92" s="12"/>
      <c r="E92" s="12"/>
      <c r="F92" s="12"/>
      <c r="G92" s="13"/>
      <c r="H92" s="21"/>
      <c r="I92" s="21"/>
      <c r="J92" s="21"/>
      <c r="K92" s="21"/>
      <c r="L92" s="21"/>
      <c r="M92" s="21"/>
      <c r="N92" s="21"/>
      <c r="O92" s="21"/>
      <c r="P92" s="21"/>
      <c r="Q92" s="21"/>
      <c r="R92" s="21"/>
      <c r="S92" s="21"/>
    </row>
    <row r="93" spans="1:19" ht="15.75" thickTop="1">
      <c r="A93" s="2421"/>
      <c r="B93" s="2404" t="s">
        <v>578</v>
      </c>
      <c r="C93" s="2405"/>
      <c r="D93" s="2405"/>
      <c r="E93" s="2405"/>
      <c r="F93" s="2405"/>
      <c r="G93" s="2423"/>
      <c r="H93" s="2388"/>
      <c r="I93" s="2388"/>
      <c r="J93" s="2388"/>
      <c r="K93" s="2388"/>
      <c r="L93" s="2388"/>
      <c r="M93" s="2388"/>
      <c r="N93" s="2388"/>
      <c r="O93" s="2388"/>
      <c r="P93" s="2388"/>
      <c r="Q93" s="2388"/>
      <c r="R93" s="2388"/>
      <c r="S93" s="2388"/>
    </row>
    <row r="94" spans="1:19">
      <c r="A94" s="2421"/>
      <c r="B94" s="2404" t="s">
        <v>579</v>
      </c>
      <c r="C94" s="2405"/>
      <c r="D94" s="2405"/>
      <c r="E94" s="2405"/>
      <c r="F94" s="2405"/>
      <c r="G94" s="2423"/>
      <c r="H94" s="2388"/>
      <c r="I94" s="2388"/>
      <c r="J94" s="2388"/>
      <c r="K94" s="2388"/>
      <c r="L94" s="2388"/>
      <c r="M94" s="2388"/>
      <c r="N94" s="2388"/>
      <c r="O94" s="2388"/>
      <c r="P94" s="2388"/>
      <c r="Q94" s="2388"/>
      <c r="R94" s="2388"/>
      <c r="S94" s="2388"/>
    </row>
    <row r="95" spans="1:19">
      <c r="A95" s="2421"/>
      <c r="B95" s="2404" t="s">
        <v>580</v>
      </c>
      <c r="C95" s="2405"/>
      <c r="D95" s="2405"/>
      <c r="E95" s="2405"/>
      <c r="F95" s="2405"/>
      <c r="G95" s="2423"/>
      <c r="H95" s="2388"/>
      <c r="I95" s="2388"/>
      <c r="J95" s="2388"/>
      <c r="K95" s="2388"/>
      <c r="L95" s="2388"/>
      <c r="M95" s="2388"/>
      <c r="N95" s="2388"/>
      <c r="O95" s="2388"/>
      <c r="P95" s="2388"/>
      <c r="Q95" s="2388"/>
      <c r="R95" s="2388"/>
      <c r="S95" s="2388"/>
    </row>
    <row r="96" spans="1:19">
      <c r="A96" s="2421"/>
      <c r="B96" s="2404" t="s">
        <v>581</v>
      </c>
      <c r="C96" s="2405"/>
      <c r="D96" s="2405"/>
      <c r="E96" s="2405"/>
      <c r="F96" s="2405"/>
      <c r="G96" s="2423"/>
      <c r="H96" s="2388"/>
      <c r="I96" s="2388"/>
      <c r="J96" s="2388"/>
      <c r="K96" s="2388"/>
      <c r="L96" s="2388"/>
      <c r="M96" s="2388"/>
      <c r="N96" s="2388"/>
      <c r="O96" s="2388"/>
      <c r="P96" s="2388"/>
      <c r="Q96" s="2388"/>
      <c r="R96" s="2388"/>
      <c r="S96" s="2388"/>
    </row>
    <row r="97" spans="1:19" ht="15.75" thickBot="1">
      <c r="A97" s="416"/>
      <c r="B97" s="295"/>
      <c r="C97" s="184"/>
      <c r="D97" s="184"/>
      <c r="E97" s="184"/>
      <c r="F97" s="184"/>
      <c r="G97" s="296"/>
      <c r="H97" s="418"/>
      <c r="I97" s="418"/>
      <c r="J97" s="418"/>
      <c r="K97" s="418"/>
      <c r="L97" s="418"/>
      <c r="M97" s="418"/>
      <c r="N97" s="418"/>
      <c r="O97" s="418"/>
      <c r="P97" s="418"/>
      <c r="Q97" s="418"/>
      <c r="R97" s="418"/>
      <c r="S97" s="418"/>
    </row>
    <row r="98" spans="1:19" ht="16.5" thickTop="1" thickBot="1">
      <c r="A98" s="7" t="s">
        <v>582</v>
      </c>
      <c r="B98" s="8"/>
      <c r="C98" s="12"/>
      <c r="D98" s="12"/>
      <c r="E98" s="12"/>
      <c r="F98" s="12"/>
      <c r="G98" s="13"/>
      <c r="H98" s="21"/>
      <c r="I98" s="21"/>
      <c r="J98" s="21"/>
      <c r="K98" s="21"/>
      <c r="L98" s="21"/>
      <c r="M98" s="21"/>
      <c r="N98" s="21"/>
      <c r="O98" s="21"/>
      <c r="P98" s="21"/>
      <c r="Q98" s="21"/>
      <c r="R98" s="21"/>
      <c r="S98" s="21"/>
    </row>
    <row r="99" spans="1:19" ht="15.75" thickTop="1">
      <c r="A99" s="2509"/>
      <c r="B99" s="2516" t="s">
        <v>583</v>
      </c>
      <c r="C99" s="2510"/>
      <c r="D99" s="2510"/>
      <c r="E99" s="2510"/>
      <c r="F99" s="2510"/>
      <c r="G99" s="2511"/>
      <c r="H99" s="2554"/>
      <c r="I99" s="2554"/>
      <c r="J99" s="2554"/>
      <c r="K99" s="2554"/>
      <c r="L99" s="2554"/>
      <c r="M99" s="2554"/>
      <c r="N99" s="2554"/>
      <c r="O99" s="2554"/>
      <c r="P99" s="2554"/>
      <c r="Q99" s="2554"/>
      <c r="R99" s="2554"/>
      <c r="S99" s="2554"/>
    </row>
    <row r="100" spans="1:19">
      <c r="A100" s="2421"/>
      <c r="B100" s="2404" t="s">
        <v>584</v>
      </c>
      <c r="C100" s="2405"/>
      <c r="D100" s="2405"/>
      <c r="E100" s="2405"/>
      <c r="F100" s="2405"/>
      <c r="G100" s="2423"/>
      <c r="H100" s="2390"/>
      <c r="I100" s="2390"/>
      <c r="J100" s="2390"/>
      <c r="K100" s="2390"/>
      <c r="L100" s="2390"/>
      <c r="M100" s="2390"/>
      <c r="N100" s="2390"/>
      <c r="O100" s="2390"/>
      <c r="P100" s="2390"/>
      <c r="Q100" s="2390"/>
      <c r="R100" s="2390"/>
      <c r="S100" s="2390"/>
    </row>
    <row r="101" spans="1:19" ht="15.75" thickBot="1">
      <c r="A101" s="2391"/>
      <c r="B101" s="2392" t="s">
        <v>585</v>
      </c>
      <c r="C101" s="2393"/>
      <c r="D101" s="2393"/>
      <c r="E101" s="2393"/>
      <c r="F101" s="2393"/>
      <c r="G101" s="2394"/>
      <c r="H101" s="2395"/>
      <c r="I101" s="2395"/>
      <c r="J101" s="2395"/>
      <c r="K101" s="2395"/>
      <c r="L101" s="2395"/>
      <c r="M101" s="2395"/>
      <c r="N101" s="2395"/>
      <c r="O101" s="2395"/>
      <c r="P101" s="2395"/>
      <c r="Q101" s="2395"/>
      <c r="R101" s="2395"/>
      <c r="S101" s="2395"/>
    </row>
    <row r="102" spans="1:19" ht="16.5" thickTop="1" thickBot="1"/>
    <row r="103" spans="1:19" ht="16.5" thickTop="1" thickBot="1">
      <c r="A103" s="92" t="s">
        <v>586</v>
      </c>
      <c r="B103" s="94"/>
    </row>
    <row r="104" spans="1:19" ht="15.75" thickTop="1">
      <c r="A104" s="93" t="s">
        <v>487</v>
      </c>
      <c r="B104" s="2396"/>
    </row>
    <row r="105" spans="1:19">
      <c r="A105" s="2397" t="s">
        <v>491</v>
      </c>
      <c r="B105" s="2396"/>
    </row>
    <row r="106" spans="1:19">
      <c r="A106" s="2398" t="s">
        <v>494</v>
      </c>
      <c r="B106" s="2399"/>
    </row>
    <row r="107" spans="1:19">
      <c r="A107" s="2398" t="s">
        <v>497</v>
      </c>
      <c r="B107" s="2400"/>
    </row>
    <row r="108" spans="1:19" ht="15.75" thickBot="1">
      <c r="A108" s="2401" t="s">
        <v>587</v>
      </c>
      <c r="B108" s="2572"/>
    </row>
    <row r="109" spans="1:19" ht="15.75" thickTop="1"/>
    <row r="110" spans="1:19">
      <c r="A110" s="95"/>
      <c r="B110" s="1" t="s">
        <v>588</v>
      </c>
    </row>
    <row r="111" spans="1:19">
      <c r="A111" s="96"/>
      <c r="B111"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6:B76"/>
    <mergeCell ref="A80:B80"/>
    <mergeCell ref="A84:B84"/>
    <mergeCell ref="A88:B88"/>
    <mergeCell ref="A92:B92"/>
  </mergeCells>
  <conditionalFormatting sqref="H20:H30">
    <cfRule type="cellIs" dxfId="857" priority="13" operator="equal">
      <formula>"X"</formula>
    </cfRule>
    <cfRule type="cellIs" dxfId="856" priority="14" operator="equal">
      <formula>"I"</formula>
    </cfRule>
  </conditionalFormatting>
  <conditionalFormatting sqref="H32:H67">
    <cfRule type="cellIs" dxfId="855" priority="1" operator="equal">
      <formula>"X"</formula>
    </cfRule>
    <cfRule type="cellIs" dxfId="854" priority="2" operator="equal">
      <formula>"I"</formula>
    </cfRule>
  </conditionalFormatting>
  <conditionalFormatting sqref="J20:J30">
    <cfRule type="cellIs" dxfId="853" priority="15" operator="equal">
      <formula>"X"</formula>
    </cfRule>
    <cfRule type="cellIs" dxfId="852" priority="16" operator="equal">
      <formula>"I"</formula>
    </cfRule>
  </conditionalFormatting>
  <conditionalFormatting sqref="J32:J67">
    <cfRule type="cellIs" dxfId="851" priority="3" operator="equal">
      <formula>"X"</formula>
    </cfRule>
    <cfRule type="cellIs" dxfId="850" priority="4" operator="equal">
      <formula>"I"</formula>
    </cfRule>
  </conditionalFormatting>
  <conditionalFormatting sqref="L20:L30">
    <cfRule type="cellIs" dxfId="849" priority="17" operator="equal">
      <formula>"X"</formula>
    </cfRule>
    <cfRule type="cellIs" dxfId="848" priority="18" operator="equal">
      <formula>"I"</formula>
    </cfRule>
  </conditionalFormatting>
  <conditionalFormatting sqref="L32:L67">
    <cfRule type="cellIs" dxfId="847" priority="5" operator="equal">
      <formula>"X"</formula>
    </cfRule>
    <cfRule type="cellIs" dxfId="846" priority="6" operator="equal">
      <formula>"I"</formula>
    </cfRule>
  </conditionalFormatting>
  <conditionalFormatting sqref="N20:N30">
    <cfRule type="cellIs" dxfId="845" priority="19" operator="equal">
      <formula>"X"</formula>
    </cfRule>
    <cfRule type="cellIs" dxfId="844" priority="20" operator="equal">
      <formula>"I"</formula>
    </cfRule>
  </conditionalFormatting>
  <conditionalFormatting sqref="N32:N67">
    <cfRule type="cellIs" dxfId="843" priority="7" operator="equal">
      <formula>"X"</formula>
    </cfRule>
    <cfRule type="cellIs" dxfId="842" priority="8" operator="equal">
      <formula>"I"</formula>
    </cfRule>
  </conditionalFormatting>
  <conditionalFormatting sqref="P20:P30">
    <cfRule type="cellIs" dxfId="841" priority="21" operator="equal">
      <formula>"X"</formula>
    </cfRule>
    <cfRule type="cellIs" dxfId="840" priority="22" operator="equal">
      <formula>"I"</formula>
    </cfRule>
  </conditionalFormatting>
  <conditionalFormatting sqref="P32:P67">
    <cfRule type="cellIs" dxfId="839" priority="9" operator="equal">
      <formula>"X"</formula>
    </cfRule>
    <cfRule type="cellIs" dxfId="838" priority="10" operator="equal">
      <formula>"I"</formula>
    </cfRule>
  </conditionalFormatting>
  <conditionalFormatting sqref="R20:R30">
    <cfRule type="cellIs" dxfId="837" priority="23" operator="equal">
      <formula>"X"</formula>
    </cfRule>
    <cfRule type="cellIs" dxfId="836" priority="24" operator="equal">
      <formula>"I"</formula>
    </cfRule>
  </conditionalFormatting>
  <conditionalFormatting sqref="R32:R67">
    <cfRule type="cellIs" dxfId="835" priority="11" operator="equal">
      <formula>"X"</formula>
    </cfRule>
    <cfRule type="cellIs" dxfId="834" priority="12" operator="equal">
      <formula>"I"</formula>
    </cfRule>
  </conditionalFormatting>
  <hyperlinks>
    <hyperlink ref="B3" location="'Cost Summary'!A1" display="BACK TO SUMMARY SHEET" xr:uid="{41F3D4CD-1ED2-45B3-A9B3-90204ED6E7BF}"/>
  </hyperlink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47A4-AEBF-44A9-AF6A-87151C928709}">
  <dimension ref="A1:S109"/>
  <sheetViews>
    <sheetView workbookViewId="0">
      <pane xSplit="2" ySplit="9" topLeftCell="G61" activePane="bottomRight" state="frozen"/>
      <selection pane="bottomRight" activeCell="I71" sqref="I71:I72"/>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c r="G2" s="147" t="s">
        <v>476</v>
      </c>
      <c r="H2" s="732"/>
      <c r="I2" s="732"/>
      <c r="J2" s="732"/>
      <c r="K2" s="732"/>
      <c r="L2" s="732"/>
      <c r="M2" s="732"/>
      <c r="N2" s="732"/>
      <c r="O2" s="732"/>
      <c r="P2" s="732"/>
      <c r="Q2" s="732"/>
      <c r="R2" s="732"/>
      <c r="S2" s="732"/>
    </row>
    <row r="3" spans="1:19" ht="21" thickBot="1">
      <c r="B3" s="161" t="s">
        <v>477</v>
      </c>
      <c r="E3" s="175"/>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81"/>
      <c r="K4" s="729"/>
      <c r="L4" s="781"/>
      <c r="M4" s="729"/>
      <c r="N4" s="781"/>
      <c r="O4" s="729"/>
      <c r="P4" s="781"/>
      <c r="Q4" s="729"/>
      <c r="R4" s="781"/>
      <c r="S4" s="729"/>
    </row>
    <row r="5" spans="1:19">
      <c r="A5" s="2403" t="s">
        <v>489</v>
      </c>
      <c r="B5" s="2404" t="s">
        <v>1137</v>
      </c>
      <c r="C5" s="2405"/>
      <c r="D5" s="2405"/>
      <c r="E5" s="2405"/>
      <c r="F5" s="2405"/>
      <c r="G5" s="2406" t="s">
        <v>491</v>
      </c>
      <c r="H5" s="2407"/>
      <c r="I5" s="2408"/>
      <c r="J5" s="2533"/>
      <c r="K5" s="2408"/>
      <c r="L5" s="2533"/>
      <c r="M5" s="2408"/>
      <c r="N5" s="2533"/>
      <c r="O5" s="2408"/>
      <c r="P5" s="2533"/>
      <c r="Q5" s="2408"/>
      <c r="R5" s="2533"/>
      <c r="S5" s="2408"/>
    </row>
    <row r="6" spans="1:19">
      <c r="A6" s="2403" t="s">
        <v>493</v>
      </c>
      <c r="B6" s="2410" t="s">
        <v>1138</v>
      </c>
      <c r="C6" s="2405"/>
      <c r="D6" s="2405"/>
      <c r="E6" s="2405"/>
      <c r="F6" s="2405"/>
      <c r="G6" s="2406" t="s">
        <v>494</v>
      </c>
      <c r="H6" s="2411"/>
      <c r="I6" s="2412"/>
      <c r="J6" s="2534"/>
      <c r="K6" s="2412"/>
      <c r="L6" s="2534"/>
      <c r="M6" s="2412"/>
      <c r="N6" s="2534"/>
      <c r="O6" s="2412"/>
      <c r="P6" s="2534"/>
      <c r="Q6" s="2412"/>
      <c r="R6" s="2534"/>
      <c r="S6" s="2412"/>
    </row>
    <row r="7" spans="1:19">
      <c r="A7" s="2403" t="s">
        <v>496</v>
      </c>
      <c r="B7" s="2414"/>
      <c r="C7" s="2405"/>
      <c r="D7" s="2405"/>
      <c r="E7" s="2405"/>
      <c r="F7" s="2405"/>
      <c r="G7" s="2406" t="s">
        <v>497</v>
      </c>
      <c r="H7" s="2415"/>
      <c r="I7" s="2416"/>
      <c r="J7" s="2535"/>
      <c r="K7" s="2416"/>
      <c r="L7" s="2535"/>
      <c r="M7" s="2416"/>
      <c r="N7" s="2535"/>
      <c r="O7" s="2416"/>
      <c r="P7" s="2535"/>
      <c r="Q7" s="2416"/>
      <c r="R7" s="2535"/>
      <c r="S7" s="2416"/>
    </row>
    <row r="8" spans="1:19" ht="15.75" thickBot="1">
      <c r="A8" s="414" t="s">
        <v>499</v>
      </c>
      <c r="B8" s="295"/>
      <c r="C8" s="184"/>
      <c r="D8" s="184"/>
      <c r="E8" s="184"/>
      <c r="F8" s="184"/>
      <c r="G8" s="414" t="s">
        <v>499</v>
      </c>
      <c r="H8" s="2418">
        <f>I70</f>
        <v>0</v>
      </c>
      <c r="I8" s="2419"/>
      <c r="J8" s="2418">
        <f>K70</f>
        <v>0</v>
      </c>
      <c r="K8" s="2419"/>
      <c r="L8" s="2418">
        <f>M70</f>
        <v>0</v>
      </c>
      <c r="M8" s="2419"/>
      <c r="N8" s="2418">
        <f>O70</f>
        <v>0</v>
      </c>
      <c r="O8" s="2419"/>
      <c r="P8" s="2418">
        <f>Q70</f>
        <v>0</v>
      </c>
      <c r="Q8" s="2419"/>
      <c r="R8" s="2418">
        <f>S70</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52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4"/>
      <c r="I20" s="2424"/>
      <c r="J20" s="2424"/>
      <c r="K20" s="2424"/>
      <c r="L20" s="2424"/>
      <c r="M20" s="2424"/>
      <c r="N20" s="2424"/>
      <c r="O20" s="2424"/>
      <c r="P20" s="2424"/>
      <c r="Q20" s="2424"/>
      <c r="R20" s="2424"/>
      <c r="S20" s="2424"/>
    </row>
    <row r="21" spans="1:19" ht="15.75" thickBot="1">
      <c r="A21" s="59"/>
      <c r="B21" s="2428" t="s">
        <v>1137</v>
      </c>
      <c r="C21" s="56"/>
      <c r="D21" s="57"/>
      <c r="E21" s="57"/>
      <c r="F21" s="57"/>
      <c r="G21" s="63"/>
      <c r="H21" s="2424"/>
      <c r="I21" s="2424"/>
      <c r="J21" s="2424"/>
      <c r="K21" s="2424"/>
      <c r="L21" s="2424"/>
      <c r="M21" s="2424"/>
      <c r="N21" s="2424"/>
      <c r="O21" s="2424"/>
      <c r="P21" s="2424"/>
      <c r="Q21" s="2424"/>
      <c r="R21" s="2424"/>
      <c r="S21" s="2424"/>
    </row>
    <row r="22" spans="1:19">
      <c r="A22" s="2507"/>
      <c r="B22" s="2318" t="s">
        <v>512</v>
      </c>
      <c r="C22" s="2426"/>
      <c r="D22" s="2405"/>
      <c r="E22" s="2405"/>
      <c r="F22" s="2405"/>
      <c r="G22" s="2423"/>
      <c r="H22" s="2554"/>
      <c r="I22" s="2508"/>
      <c r="J22" s="2508"/>
      <c r="K22" s="2508"/>
      <c r="L22" s="2537"/>
      <c r="M22" s="2508"/>
      <c r="N22" s="2508"/>
      <c r="O22" s="2508"/>
      <c r="P22" s="2508"/>
      <c r="Q22" s="2508"/>
      <c r="R22" s="2508"/>
      <c r="S22" s="2508"/>
    </row>
    <row r="23" spans="1:19">
      <c r="A23" s="2507"/>
      <c r="B23" s="2538" t="s">
        <v>513</v>
      </c>
      <c r="C23" s="2426"/>
      <c r="D23" s="2405"/>
      <c r="E23" s="2405"/>
      <c r="F23" s="2405"/>
      <c r="G23" s="2423"/>
      <c r="H23" s="2537"/>
      <c r="I23" s="2499"/>
      <c r="J23" s="2537"/>
      <c r="K23" s="2508"/>
      <c r="L23" s="2537"/>
      <c r="M23" s="2508"/>
      <c r="N23" s="2508"/>
      <c r="O23" s="2508"/>
      <c r="P23" s="2508"/>
      <c r="Q23" s="2508"/>
      <c r="R23" s="2508"/>
      <c r="S23" s="2508"/>
    </row>
    <row r="24" spans="1:19">
      <c r="A24" s="2507"/>
      <c r="B24" s="2538" t="s">
        <v>514</v>
      </c>
      <c r="C24" s="2430"/>
      <c r="D24" s="2405"/>
      <c r="E24" s="2405"/>
      <c r="F24" s="2405"/>
      <c r="G24" s="2423"/>
      <c r="H24" s="2537"/>
      <c r="I24" s="2499"/>
      <c r="J24" s="2537"/>
      <c r="K24" s="2508"/>
      <c r="L24" s="2537"/>
      <c r="M24" s="2508"/>
      <c r="N24" s="2508"/>
      <c r="O24" s="2508"/>
      <c r="P24" s="2508"/>
      <c r="Q24" s="2508"/>
      <c r="R24" s="2508"/>
      <c r="S24" s="2508"/>
    </row>
    <row r="25" spans="1:19">
      <c r="A25" s="2507"/>
      <c r="B25" s="2573" t="s">
        <v>515</v>
      </c>
      <c r="C25" s="2430"/>
      <c r="D25" s="2405"/>
      <c r="E25" s="2405"/>
      <c r="F25" s="2405"/>
      <c r="G25" s="2423"/>
      <c r="H25" s="2537"/>
      <c r="I25" s="2499"/>
      <c r="J25" s="2537"/>
      <c r="K25" s="2508"/>
      <c r="L25" s="2537"/>
      <c r="M25" s="2508"/>
      <c r="N25" s="2508"/>
      <c r="O25" s="2508"/>
      <c r="P25" s="2508"/>
      <c r="Q25" s="2508"/>
      <c r="R25" s="2508"/>
      <c r="S25" s="2508"/>
    </row>
    <row r="26" spans="1:19" s="91" customFormat="1">
      <c r="A26" s="2574"/>
      <c r="B26" s="2573" t="s">
        <v>516</v>
      </c>
      <c r="C26" s="2432"/>
      <c r="D26" s="2433"/>
      <c r="E26" s="2433"/>
      <c r="F26" s="2433"/>
      <c r="G26" s="2432"/>
      <c r="H26" s="2537"/>
      <c r="I26" s="2499"/>
      <c r="J26" s="2539"/>
      <c r="K26" s="2575"/>
      <c r="L26" s="2539"/>
      <c r="M26" s="2575"/>
      <c r="N26" s="2575"/>
      <c r="O26" s="2575"/>
      <c r="P26" s="2575"/>
      <c r="Q26" s="2575"/>
      <c r="R26" s="2575"/>
      <c r="S26" s="2575"/>
    </row>
    <row r="27" spans="1:19" s="91" customFormat="1">
      <c r="A27" s="2574"/>
      <c r="B27" s="2573" t="s">
        <v>517</v>
      </c>
      <c r="C27" s="2432"/>
      <c r="D27" s="2433"/>
      <c r="E27" s="2433"/>
      <c r="F27" s="2433"/>
      <c r="G27" s="2432"/>
      <c r="H27" s="2537"/>
      <c r="I27" s="2499"/>
      <c r="J27" s="2539"/>
      <c r="K27" s="2575"/>
      <c r="L27" s="2539"/>
      <c r="M27" s="2575"/>
      <c r="N27" s="2575"/>
      <c r="O27" s="2575"/>
      <c r="P27" s="2575"/>
      <c r="Q27" s="2575"/>
      <c r="R27" s="2575"/>
      <c r="S27" s="2575"/>
    </row>
    <row r="28" spans="1:19" s="91" customFormat="1">
      <c r="A28" s="2574"/>
      <c r="B28" s="2573" t="s">
        <v>518</v>
      </c>
      <c r="C28" s="2432"/>
      <c r="D28" s="2433"/>
      <c r="E28" s="2433"/>
      <c r="F28" s="2433"/>
      <c r="G28" s="2432"/>
      <c r="H28" s="2537"/>
      <c r="I28" s="2499"/>
      <c r="J28" s="2539"/>
      <c r="K28" s="2575"/>
      <c r="L28" s="2539"/>
      <c r="M28" s="2575"/>
      <c r="N28" s="2575"/>
      <c r="O28" s="2575"/>
      <c r="P28" s="2575"/>
      <c r="Q28" s="2575"/>
      <c r="R28" s="2575"/>
      <c r="S28" s="2575"/>
    </row>
    <row r="29" spans="1:19" s="91" customFormat="1">
      <c r="A29" s="2574"/>
      <c r="B29" s="2576" t="s">
        <v>519</v>
      </c>
      <c r="C29" s="2432"/>
      <c r="D29" s="2433"/>
      <c r="E29" s="2433"/>
      <c r="F29" s="2433"/>
      <c r="G29" s="2432"/>
      <c r="H29" s="2537"/>
      <c r="I29" s="2499"/>
      <c r="J29" s="2539"/>
      <c r="K29" s="2575"/>
      <c r="L29" s="2539"/>
      <c r="M29" s="2575"/>
      <c r="N29" s="2575"/>
      <c r="O29" s="2575"/>
      <c r="P29" s="2575"/>
      <c r="Q29" s="2575"/>
      <c r="R29" s="2575"/>
      <c r="S29" s="2575"/>
    </row>
    <row r="30" spans="1:19" s="91" customFormat="1">
      <c r="A30" s="2574"/>
      <c r="B30" s="2577" t="s">
        <v>520</v>
      </c>
      <c r="C30" s="2435"/>
      <c r="D30" s="2436"/>
      <c r="E30" s="2436"/>
      <c r="F30" s="2436"/>
      <c r="G30" s="2435"/>
      <c r="H30" s="2439"/>
      <c r="I30" s="2578"/>
      <c r="J30" s="2443"/>
      <c r="K30" s="2579"/>
      <c r="L30" s="2443"/>
      <c r="M30" s="2579"/>
      <c r="N30" s="2579"/>
      <c r="O30" s="2579"/>
      <c r="P30" s="2579"/>
      <c r="Q30" s="2579"/>
      <c r="R30" s="2579"/>
      <c r="S30" s="2579"/>
    </row>
    <row r="31" spans="1:19" s="91" customFormat="1">
      <c r="A31" s="2574"/>
      <c r="B31" s="2545"/>
      <c r="C31" s="2432"/>
      <c r="D31" s="2433"/>
      <c r="E31" s="2433"/>
      <c r="F31" s="2433"/>
      <c r="G31" s="2432"/>
      <c r="H31" s="2537"/>
      <c r="I31" s="2499"/>
      <c r="J31" s="2539"/>
      <c r="K31" s="2575"/>
      <c r="L31" s="2539"/>
      <c r="M31" s="2575"/>
      <c r="N31" s="2575"/>
      <c r="O31" s="2575"/>
      <c r="P31" s="2575"/>
      <c r="Q31" s="2575"/>
      <c r="R31" s="2575"/>
      <c r="S31" s="2575"/>
    </row>
    <row r="32" spans="1:19" s="91" customFormat="1">
      <c r="A32" s="2580"/>
      <c r="B32" s="2545"/>
      <c r="C32" s="2445"/>
      <c r="D32" s="2433"/>
      <c r="E32" s="2433"/>
      <c r="F32" s="2433"/>
      <c r="G32" s="2432"/>
      <c r="H32" s="2537"/>
      <c r="I32" s="2499"/>
      <c r="J32" s="2539"/>
      <c r="K32" s="2575"/>
      <c r="L32" s="2539"/>
      <c r="M32" s="2575"/>
      <c r="N32" s="2575"/>
      <c r="O32" s="2575"/>
      <c r="P32" s="2575"/>
      <c r="Q32" s="2575"/>
      <c r="R32" s="2575"/>
      <c r="S32" s="2575"/>
    </row>
    <row r="33" spans="1:19" s="91" customFormat="1">
      <c r="A33" s="2580"/>
      <c r="B33" s="2545"/>
      <c r="C33" s="2445"/>
      <c r="D33" s="2433"/>
      <c r="E33" s="2433"/>
      <c r="F33" s="2433"/>
      <c r="G33" s="2432"/>
      <c r="H33" s="2537"/>
      <c r="I33" s="2499"/>
      <c r="J33" s="2539"/>
      <c r="K33" s="2575"/>
      <c r="L33" s="2539"/>
      <c r="M33" s="2575"/>
      <c r="N33" s="2575"/>
      <c r="O33" s="2575"/>
      <c r="P33" s="2575"/>
      <c r="Q33" s="2575"/>
      <c r="R33" s="2575"/>
      <c r="S33" s="2575"/>
    </row>
    <row r="34" spans="1:19" s="91" customFormat="1">
      <c r="A34" s="2580"/>
      <c r="B34" s="2545"/>
      <c r="C34" s="2445"/>
      <c r="D34" s="2433"/>
      <c r="E34" s="2433"/>
      <c r="F34" s="2433"/>
      <c r="G34" s="2432"/>
      <c r="H34" s="2537"/>
      <c r="I34" s="2499"/>
      <c r="J34" s="2539"/>
      <c r="K34" s="2575"/>
      <c r="L34" s="2539"/>
      <c r="M34" s="2575"/>
      <c r="N34" s="2575"/>
      <c r="O34" s="2575"/>
      <c r="P34" s="2575"/>
      <c r="Q34" s="2575"/>
      <c r="R34" s="2575"/>
      <c r="S34" s="2575"/>
    </row>
    <row r="35" spans="1:19" s="91" customFormat="1">
      <c r="A35" s="2580"/>
      <c r="B35" s="2545"/>
      <c r="C35" s="2445"/>
      <c r="D35" s="2433"/>
      <c r="E35" s="2433"/>
      <c r="F35" s="2433"/>
      <c r="G35" s="2432"/>
      <c r="H35" s="2537"/>
      <c r="I35" s="2499"/>
      <c r="J35" s="2539"/>
      <c r="K35" s="2575"/>
      <c r="L35" s="2539"/>
      <c r="M35" s="2575"/>
      <c r="N35" s="2575"/>
      <c r="O35" s="2575"/>
      <c r="P35" s="2575"/>
      <c r="Q35" s="2575"/>
      <c r="R35" s="2575"/>
      <c r="S35" s="2575"/>
    </row>
    <row r="36" spans="1:19" s="91" customFormat="1">
      <c r="A36" s="2580"/>
      <c r="B36" s="2545"/>
      <c r="C36" s="2445"/>
      <c r="D36" s="2433"/>
      <c r="E36" s="2433"/>
      <c r="F36" s="2433"/>
      <c r="G36" s="2432"/>
      <c r="H36" s="2537"/>
      <c r="I36" s="2499"/>
      <c r="J36" s="2539"/>
      <c r="K36" s="2575"/>
      <c r="L36" s="2539"/>
      <c r="M36" s="2575"/>
      <c r="N36" s="2575"/>
      <c r="O36" s="2575"/>
      <c r="P36" s="2575"/>
      <c r="Q36" s="2575"/>
      <c r="R36" s="2575"/>
      <c r="S36" s="2575"/>
    </row>
    <row r="37" spans="1:19" s="91" customFormat="1">
      <c r="A37" s="2580"/>
      <c r="B37" s="2545"/>
      <c r="C37" s="2445"/>
      <c r="D37" s="2433"/>
      <c r="E37" s="2546"/>
      <c r="F37" s="2547"/>
      <c r="G37" s="2432"/>
      <c r="H37" s="2537"/>
      <c r="I37" s="2499"/>
      <c r="J37" s="2539"/>
      <c r="K37" s="2575"/>
      <c r="L37" s="2539"/>
      <c r="M37" s="2575"/>
      <c r="N37" s="2575"/>
      <c r="O37" s="2575"/>
      <c r="P37" s="2575"/>
      <c r="Q37" s="2575"/>
      <c r="R37" s="2575"/>
      <c r="S37" s="2575"/>
    </row>
    <row r="38" spans="1:19" s="91" customFormat="1">
      <c r="A38" s="2580"/>
      <c r="B38" s="2545"/>
      <c r="C38" s="2445"/>
      <c r="D38" s="2433"/>
      <c r="E38" s="2546"/>
      <c r="F38" s="2547"/>
      <c r="G38" s="2432"/>
      <c r="H38" s="2537"/>
      <c r="I38" s="2499"/>
      <c r="J38" s="2539"/>
      <c r="K38" s="2575"/>
      <c r="L38" s="2539"/>
      <c r="M38" s="2575"/>
      <c r="N38" s="2575"/>
      <c r="O38" s="2575"/>
      <c r="P38" s="2575"/>
      <c r="Q38" s="2575"/>
      <c r="R38" s="2575"/>
      <c r="S38" s="2575"/>
    </row>
    <row r="39" spans="1:19" s="91" customFormat="1">
      <c r="A39" s="2580"/>
      <c r="B39" s="2545"/>
      <c r="C39" s="2445"/>
      <c r="D39" s="2433"/>
      <c r="E39" s="2546"/>
      <c r="F39" s="2547"/>
      <c r="G39" s="2432"/>
      <c r="H39" s="2537"/>
      <c r="I39" s="2499"/>
      <c r="J39" s="2539"/>
      <c r="K39" s="2575"/>
      <c r="L39" s="2539"/>
      <c r="M39" s="2575"/>
      <c r="N39" s="2575"/>
      <c r="O39" s="2575"/>
      <c r="P39" s="2575"/>
      <c r="Q39" s="2575"/>
      <c r="R39" s="2575"/>
      <c r="S39" s="2575"/>
    </row>
    <row r="40" spans="1:19" s="91" customFormat="1">
      <c r="A40" s="2580"/>
      <c r="B40" s="2581"/>
      <c r="C40" s="2445"/>
      <c r="D40" s="2433"/>
      <c r="E40" s="2546"/>
      <c r="F40" s="2547"/>
      <c r="G40" s="2432"/>
      <c r="H40" s="2537"/>
      <c r="I40" s="2499"/>
      <c r="J40" s="2539"/>
      <c r="K40" s="2575"/>
      <c r="L40" s="2539"/>
      <c r="M40" s="2575"/>
      <c r="N40" s="2575"/>
      <c r="O40" s="2575"/>
      <c r="P40" s="2575"/>
      <c r="Q40" s="2575"/>
      <c r="R40" s="2575"/>
      <c r="S40" s="2575"/>
    </row>
    <row r="41" spans="1:19" s="91" customFormat="1">
      <c r="A41" s="2580"/>
      <c r="B41" s="2582"/>
      <c r="C41" s="2445"/>
      <c r="D41" s="2433"/>
      <c r="E41" s="2546"/>
      <c r="F41" s="2547"/>
      <c r="G41" s="2432"/>
      <c r="H41" s="2537"/>
      <c r="I41" s="2499"/>
      <c r="J41" s="2539"/>
      <c r="K41" s="2575"/>
      <c r="L41" s="2539"/>
      <c r="M41" s="2575"/>
      <c r="N41" s="2575"/>
      <c r="O41" s="2575"/>
      <c r="P41" s="2575"/>
      <c r="Q41" s="2575"/>
      <c r="R41" s="2575"/>
      <c r="S41" s="2575"/>
    </row>
    <row r="42" spans="1:19" s="91" customFormat="1">
      <c r="A42" s="2580"/>
      <c r="B42" s="152"/>
      <c r="C42" s="2445"/>
      <c r="D42" s="2433"/>
      <c r="E42" s="2546"/>
      <c r="F42" s="2547"/>
      <c r="G42" s="2432"/>
      <c r="H42" s="2537"/>
      <c r="I42" s="2499"/>
      <c r="J42" s="2539"/>
      <c r="K42" s="2575"/>
      <c r="L42" s="2539"/>
      <c r="M42" s="2575"/>
      <c r="N42" s="2575"/>
      <c r="O42" s="2575"/>
      <c r="P42" s="2575"/>
      <c r="Q42" s="2575"/>
      <c r="R42" s="2575"/>
      <c r="S42" s="2575"/>
    </row>
    <row r="43" spans="1:19" s="91" customFormat="1">
      <c r="A43" s="2580"/>
      <c r="B43" s="2545"/>
      <c r="C43" s="2445"/>
      <c r="D43" s="2433"/>
      <c r="E43" s="2546"/>
      <c r="F43" s="2547"/>
      <c r="G43" s="2432"/>
      <c r="H43" s="2537"/>
      <c r="I43" s="2499"/>
      <c r="J43" s="2539"/>
      <c r="K43" s="2575"/>
      <c r="L43" s="2539"/>
      <c r="M43" s="2575"/>
      <c r="N43" s="2575"/>
      <c r="O43" s="2575"/>
      <c r="P43" s="2575"/>
      <c r="Q43" s="2575"/>
      <c r="R43" s="2575"/>
      <c r="S43" s="2575"/>
    </row>
    <row r="44" spans="1:19" s="91" customFormat="1">
      <c r="A44" s="2580"/>
      <c r="B44" s="2545"/>
      <c r="C44" s="2445"/>
      <c r="D44" s="2433"/>
      <c r="E44" s="2546"/>
      <c r="F44" s="2547"/>
      <c r="G44" s="2432"/>
      <c r="H44" s="2537"/>
      <c r="I44" s="2499"/>
      <c r="J44" s="2539"/>
      <c r="K44" s="2575"/>
      <c r="L44" s="2539"/>
      <c r="M44" s="2575"/>
      <c r="N44" s="2575"/>
      <c r="O44" s="2575"/>
      <c r="P44" s="2575"/>
      <c r="Q44" s="2575"/>
      <c r="R44" s="2575"/>
      <c r="S44" s="2575"/>
    </row>
    <row r="45" spans="1:19" s="91" customFormat="1">
      <c r="A45" s="2580"/>
      <c r="B45" s="2545"/>
      <c r="C45" s="2445"/>
      <c r="D45" s="2433"/>
      <c r="E45" s="2546"/>
      <c r="F45" s="2547"/>
      <c r="G45" s="2432"/>
      <c r="H45" s="2537"/>
      <c r="I45" s="2499"/>
      <c r="J45" s="2539"/>
      <c r="K45" s="2575"/>
      <c r="L45" s="2539"/>
      <c r="M45" s="2575"/>
      <c r="N45" s="2575"/>
      <c r="O45" s="2575"/>
      <c r="P45" s="2575"/>
      <c r="Q45" s="2575"/>
      <c r="R45" s="2575"/>
      <c r="S45" s="2575"/>
    </row>
    <row r="46" spans="1:19" s="91" customFormat="1">
      <c r="A46" s="2580"/>
      <c r="B46" s="2545"/>
      <c r="C46" s="2445"/>
      <c r="D46" s="2433"/>
      <c r="E46" s="2546"/>
      <c r="F46" s="2547"/>
      <c r="G46" s="2432"/>
      <c r="H46" s="2537"/>
      <c r="I46" s="2499"/>
      <c r="J46" s="2539"/>
      <c r="K46" s="2575"/>
      <c r="L46" s="2539"/>
      <c r="M46" s="2575"/>
      <c r="N46" s="2575"/>
      <c r="O46" s="2575"/>
      <c r="P46" s="2575"/>
      <c r="Q46" s="2575"/>
      <c r="R46" s="2575"/>
      <c r="S46" s="2575"/>
    </row>
    <row r="47" spans="1:19" s="91" customFormat="1">
      <c r="A47" s="2580"/>
      <c r="B47" s="2545"/>
      <c r="C47" s="2445"/>
      <c r="D47" s="2433"/>
      <c r="E47" s="2546"/>
      <c r="F47" s="2547"/>
      <c r="G47" s="2432"/>
      <c r="H47" s="2537"/>
      <c r="I47" s="2499"/>
      <c r="J47" s="2539"/>
      <c r="K47" s="2575"/>
      <c r="L47" s="2539"/>
      <c r="M47" s="2575"/>
      <c r="N47" s="2575"/>
      <c r="O47" s="2575"/>
      <c r="P47" s="2575"/>
      <c r="Q47" s="2575"/>
      <c r="R47" s="2575"/>
      <c r="S47" s="2575"/>
    </row>
    <row r="48" spans="1:19" s="91" customFormat="1">
      <c r="A48" s="2580"/>
      <c r="B48" s="2545"/>
      <c r="C48" s="2445"/>
      <c r="D48" s="2433"/>
      <c r="E48" s="2546"/>
      <c r="F48" s="2547"/>
      <c r="G48" s="2432"/>
      <c r="H48" s="2537"/>
      <c r="I48" s="2499"/>
      <c r="J48" s="2539"/>
      <c r="K48" s="2575"/>
      <c r="L48" s="2539"/>
      <c r="M48" s="2575"/>
      <c r="N48" s="2575"/>
      <c r="O48" s="2575"/>
      <c r="P48" s="2575"/>
      <c r="Q48" s="2575"/>
      <c r="R48" s="2575"/>
      <c r="S48" s="2575"/>
    </row>
    <row r="49" spans="1:19" s="91" customFormat="1">
      <c r="A49" s="2580"/>
      <c r="B49" s="2545"/>
      <c r="C49" s="2445"/>
      <c r="D49" s="2433"/>
      <c r="E49" s="2546"/>
      <c r="F49" s="2547"/>
      <c r="G49" s="2432"/>
      <c r="H49" s="2537"/>
      <c r="I49" s="2499"/>
      <c r="J49" s="2539"/>
      <c r="K49" s="2575"/>
      <c r="L49" s="2539"/>
      <c r="M49" s="2575"/>
      <c r="N49" s="2575"/>
      <c r="O49" s="2575"/>
      <c r="P49" s="2575"/>
      <c r="Q49" s="2575"/>
      <c r="R49" s="2575"/>
      <c r="S49" s="2575"/>
    </row>
    <row r="50" spans="1:19" s="91" customFormat="1">
      <c r="A50" s="2580"/>
      <c r="B50" s="2545"/>
      <c r="C50" s="2445"/>
      <c r="D50" s="2433"/>
      <c r="E50" s="2546"/>
      <c r="F50" s="2547"/>
      <c r="G50" s="2432"/>
      <c r="H50" s="2537"/>
      <c r="I50" s="2499"/>
      <c r="J50" s="2539"/>
      <c r="K50" s="2575"/>
      <c r="L50" s="2539"/>
      <c r="M50" s="2575"/>
      <c r="N50" s="2575"/>
      <c r="O50" s="2575"/>
      <c r="P50" s="2575"/>
      <c r="Q50" s="2575"/>
      <c r="R50" s="2575"/>
      <c r="S50" s="2575"/>
    </row>
    <row r="51" spans="1:19" s="91" customFormat="1">
      <c r="A51" s="2580"/>
      <c r="B51" s="2545"/>
      <c r="C51" s="2445"/>
      <c r="D51" s="2433"/>
      <c r="E51" s="2546"/>
      <c r="F51" s="2547"/>
      <c r="G51" s="2432"/>
      <c r="H51" s="2537"/>
      <c r="I51" s="2499"/>
      <c r="J51" s="2539"/>
      <c r="K51" s="2575"/>
      <c r="L51" s="2539"/>
      <c r="M51" s="2575"/>
      <c r="N51" s="2575"/>
      <c r="O51" s="2575"/>
      <c r="P51" s="2575"/>
      <c r="Q51" s="2575"/>
      <c r="R51" s="2575"/>
      <c r="S51" s="2575"/>
    </row>
    <row r="52" spans="1:19" s="91" customFormat="1">
      <c r="A52" s="2580"/>
      <c r="B52" s="2545"/>
      <c r="C52" s="2445"/>
      <c r="D52" s="2433"/>
      <c r="E52" s="2546"/>
      <c r="F52" s="2547"/>
      <c r="G52" s="2432"/>
      <c r="H52" s="2537"/>
      <c r="I52" s="2499"/>
      <c r="J52" s="2539"/>
      <c r="K52" s="2575"/>
      <c r="L52" s="2539"/>
      <c r="M52" s="2575"/>
      <c r="N52" s="2575"/>
      <c r="O52" s="2575"/>
      <c r="P52" s="2575"/>
      <c r="Q52" s="2575"/>
      <c r="R52" s="2575"/>
      <c r="S52" s="2575"/>
    </row>
    <row r="53" spans="1:19" s="91" customFormat="1">
      <c r="A53" s="2580"/>
      <c r="B53" s="2545"/>
      <c r="C53" s="2445"/>
      <c r="D53" s="2433"/>
      <c r="E53" s="2546"/>
      <c r="F53" s="2547"/>
      <c r="G53" s="2432"/>
      <c r="H53" s="2537"/>
      <c r="I53" s="2499"/>
      <c r="J53" s="2539"/>
      <c r="K53" s="2575"/>
      <c r="L53" s="2539"/>
      <c r="M53" s="2575"/>
      <c r="N53" s="2575"/>
      <c r="O53" s="2575"/>
      <c r="P53" s="2575"/>
      <c r="Q53" s="2575"/>
      <c r="R53" s="2575"/>
      <c r="S53" s="2575"/>
    </row>
    <row r="54" spans="1:19" s="91" customFormat="1">
      <c r="A54" s="2574"/>
      <c r="B54" s="2545"/>
      <c r="C54" s="2432"/>
      <c r="D54" s="2433"/>
      <c r="E54" s="2546"/>
      <c r="F54" s="2547"/>
      <c r="G54" s="2432"/>
      <c r="H54" s="2537"/>
      <c r="I54" s="2499"/>
      <c r="J54" s="2539"/>
      <c r="K54" s="2575"/>
      <c r="L54" s="2539"/>
      <c r="M54" s="2575"/>
      <c r="N54" s="2575"/>
      <c r="O54" s="2575"/>
      <c r="P54" s="2575"/>
      <c r="Q54" s="2575"/>
      <c r="R54" s="2575"/>
      <c r="S54" s="2575"/>
    </row>
    <row r="55" spans="1:19">
      <c r="A55" s="2507"/>
      <c r="B55" s="2545"/>
      <c r="C55" s="2432"/>
      <c r="D55" s="2405"/>
      <c r="E55" s="2546"/>
      <c r="F55" s="2547"/>
      <c r="G55" s="2423"/>
      <c r="H55" s="2537"/>
      <c r="I55" s="2499"/>
      <c r="J55" s="2390"/>
      <c r="K55" s="2390"/>
      <c r="L55" s="2390"/>
      <c r="M55" s="2508"/>
      <c r="N55" s="2508"/>
      <c r="O55" s="2508"/>
      <c r="P55" s="2508"/>
      <c r="Q55" s="2508"/>
      <c r="R55" s="2508"/>
      <c r="S55" s="2508"/>
    </row>
    <row r="56" spans="1:19">
      <c r="A56" s="2507"/>
      <c r="B56" s="2545"/>
      <c r="C56" s="2432"/>
      <c r="D56" s="2405"/>
      <c r="E56" s="2546"/>
      <c r="F56" s="2547"/>
      <c r="G56" s="2423"/>
      <c r="H56" s="2537"/>
      <c r="I56" s="2499"/>
      <c r="J56" s="2537"/>
      <c r="K56" s="2508"/>
      <c r="L56" s="2537"/>
      <c r="M56" s="2508"/>
      <c r="N56" s="2508"/>
      <c r="O56" s="2508"/>
      <c r="P56" s="2508"/>
      <c r="Q56" s="2508"/>
      <c r="R56" s="2508"/>
      <c r="S56" s="2508"/>
    </row>
    <row r="57" spans="1:19">
      <c r="A57" s="2507"/>
      <c r="B57" s="2545"/>
      <c r="C57" s="2432"/>
      <c r="D57" s="2405"/>
      <c r="E57" s="2405"/>
      <c r="F57" s="2405"/>
      <c r="G57" s="2423"/>
      <c r="H57" s="2537"/>
      <c r="I57" s="2499"/>
      <c r="J57" s="2537"/>
      <c r="K57" s="2508"/>
      <c r="L57" s="2537"/>
      <c r="M57" s="2508"/>
      <c r="N57" s="2508"/>
      <c r="O57" s="2508"/>
      <c r="P57" s="2508"/>
      <c r="Q57" s="2508"/>
      <c r="R57" s="2508"/>
      <c r="S57" s="2508"/>
    </row>
    <row r="58" spans="1:19">
      <c r="A58" s="2507"/>
      <c r="B58" s="2545"/>
      <c r="C58" s="2432"/>
      <c r="D58" s="2405"/>
      <c r="E58" s="2405"/>
      <c r="F58" s="2405"/>
      <c r="G58" s="2423"/>
      <c r="H58" s="2537"/>
      <c r="I58" s="2508"/>
      <c r="J58" s="2390"/>
      <c r="K58" s="2508"/>
      <c r="L58" s="2537"/>
      <c r="M58" s="2508"/>
      <c r="N58" s="2508"/>
      <c r="O58" s="2508"/>
      <c r="P58" s="2508"/>
      <c r="Q58" s="2508"/>
      <c r="R58" s="2508"/>
      <c r="S58" s="2508"/>
    </row>
    <row r="59" spans="1:19">
      <c r="A59" s="2507"/>
      <c r="B59" s="2550"/>
      <c r="C59" s="2432"/>
      <c r="D59" s="2405"/>
      <c r="E59" s="2405"/>
      <c r="F59" s="2405"/>
      <c r="G59" s="2423"/>
      <c r="H59" s="2537"/>
      <c r="I59" s="2508"/>
      <c r="J59" s="2537"/>
      <c r="K59" s="2508"/>
      <c r="L59" s="2537"/>
      <c r="M59" s="2508"/>
      <c r="N59" s="2508"/>
      <c r="O59" s="2508"/>
      <c r="P59" s="2508"/>
      <c r="Q59" s="2508"/>
      <c r="R59" s="2508"/>
      <c r="S59" s="2508"/>
    </row>
    <row r="60" spans="1:19">
      <c r="A60" s="2507"/>
      <c r="B60" s="2444"/>
      <c r="C60" s="2432"/>
      <c r="D60" s="2405"/>
      <c r="E60" s="2405"/>
      <c r="F60" s="2405"/>
      <c r="G60" s="2423"/>
      <c r="H60" s="2537"/>
      <c r="I60" s="2508"/>
      <c r="J60" s="2537"/>
      <c r="K60" s="2508"/>
      <c r="L60" s="2537"/>
      <c r="M60" s="2508"/>
      <c r="N60" s="2508"/>
      <c r="O60" s="2508"/>
      <c r="P60" s="2508"/>
      <c r="Q60" s="2508"/>
      <c r="R60" s="2508"/>
      <c r="S60" s="2508"/>
    </row>
    <row r="61" spans="1:19">
      <c r="A61" s="2507"/>
      <c r="B61" s="2444"/>
      <c r="C61" s="2432"/>
      <c r="D61" s="2405"/>
      <c r="E61" s="2405"/>
      <c r="F61" s="2405"/>
      <c r="G61" s="2423"/>
      <c r="H61" s="2537"/>
      <c r="I61" s="2499"/>
      <c r="J61" s="2537"/>
      <c r="K61" s="2499"/>
      <c r="L61" s="2508"/>
      <c r="M61" s="2499"/>
      <c r="N61" s="2508"/>
      <c r="O61" s="2499"/>
      <c r="P61" s="2508"/>
      <c r="Q61" s="2508"/>
      <c r="R61" s="2508"/>
      <c r="S61" s="2508"/>
    </row>
    <row r="62" spans="1:19">
      <c r="A62" s="2507"/>
      <c r="B62" s="2444"/>
      <c r="C62" s="2432"/>
      <c r="D62" s="2405"/>
      <c r="E62" s="2405"/>
      <c r="F62" s="2405"/>
      <c r="G62" s="2423"/>
      <c r="H62" s="2537"/>
      <c r="I62" s="2499"/>
      <c r="J62" s="2537"/>
      <c r="K62" s="2499"/>
      <c r="L62" s="2508"/>
      <c r="M62" s="2499"/>
      <c r="N62" s="2508"/>
      <c r="O62" s="2499"/>
      <c r="P62" s="2508"/>
      <c r="Q62" s="2508"/>
      <c r="R62" s="2508"/>
      <c r="S62" s="2508"/>
    </row>
    <row r="63" spans="1:19">
      <c r="A63" s="2507"/>
      <c r="B63" s="2444"/>
      <c r="C63" s="2432"/>
      <c r="D63" s="2405"/>
      <c r="E63" s="2405"/>
      <c r="F63" s="2405"/>
      <c r="G63" s="2423"/>
      <c r="H63" s="2537"/>
      <c r="I63" s="2499"/>
      <c r="J63" s="2537"/>
      <c r="K63" s="2499"/>
      <c r="L63" s="2508"/>
      <c r="M63" s="2499"/>
      <c r="N63" s="2508"/>
      <c r="O63" s="2499"/>
      <c r="P63" s="2508"/>
      <c r="Q63" s="2508"/>
      <c r="R63" s="2508"/>
      <c r="S63" s="2508"/>
    </row>
    <row r="64" spans="1:19">
      <c r="A64" s="2507"/>
      <c r="B64" s="2444"/>
      <c r="C64" s="2432"/>
      <c r="D64" s="2405"/>
      <c r="E64" s="2405"/>
      <c r="F64" s="2405"/>
      <c r="G64" s="2423"/>
      <c r="H64" s="2537"/>
      <c r="I64" s="2499"/>
      <c r="J64" s="2537"/>
      <c r="K64" s="2499"/>
      <c r="L64" s="2508"/>
      <c r="M64" s="2499"/>
      <c r="N64" s="2508"/>
      <c r="O64" s="2499"/>
      <c r="P64" s="2508"/>
      <c r="Q64" s="2508"/>
      <c r="R64" s="2508"/>
      <c r="S64" s="2508"/>
    </row>
    <row r="65" spans="1:19" ht="15.75" thickBot="1">
      <c r="A65" s="2507"/>
      <c r="B65" s="2444"/>
      <c r="C65" s="2432"/>
      <c r="D65" s="2405"/>
      <c r="E65" s="2405"/>
      <c r="F65" s="2405"/>
      <c r="G65" s="2423"/>
      <c r="H65" s="2537"/>
      <c r="I65" s="2499"/>
      <c r="J65" s="2537"/>
      <c r="K65" s="2499"/>
      <c r="L65" s="2508"/>
      <c r="M65" s="2499"/>
      <c r="N65" s="2508"/>
      <c r="O65" s="2499"/>
      <c r="P65" s="2508"/>
      <c r="Q65" s="2508"/>
      <c r="R65" s="2508"/>
      <c r="S65" s="2508"/>
    </row>
    <row r="66" spans="1:19" ht="15.75" thickTop="1">
      <c r="A66" s="14"/>
      <c r="B66" s="15"/>
      <c r="C66" s="16"/>
      <c r="D66" s="16"/>
      <c r="E66" s="17"/>
      <c r="F66" s="18" t="s">
        <v>567</v>
      </c>
      <c r="G66" s="19"/>
      <c r="H66" s="20"/>
      <c r="I66" s="61">
        <f>SUM(I23:I65)</f>
        <v>0</v>
      </c>
      <c r="J66" s="20"/>
      <c r="K66" s="61">
        <f>SUM(K23:K65)</f>
        <v>0</v>
      </c>
      <c r="L66" s="20"/>
      <c r="M66" s="61">
        <f>SUM(M23:M65)</f>
        <v>0</v>
      </c>
      <c r="N66" s="20"/>
      <c r="O66" s="61">
        <f>SUM(O23:O65)</f>
        <v>0</v>
      </c>
      <c r="P66" s="20"/>
      <c r="Q66" s="61">
        <f>SUM(Q23:Q65)</f>
        <v>0</v>
      </c>
      <c r="R66" s="20"/>
      <c r="S66" s="61">
        <f>SUM(S23:S65)</f>
        <v>0</v>
      </c>
    </row>
    <row r="67" spans="1:19">
      <c r="A67" s="2358"/>
      <c r="B67" s="2359"/>
      <c r="C67" s="2360"/>
      <c r="D67" s="2360"/>
      <c r="E67" s="2361"/>
      <c r="F67" s="2362" t="s">
        <v>568</v>
      </c>
      <c r="G67" s="2363"/>
      <c r="H67" s="2364">
        <v>0</v>
      </c>
      <c r="I67" s="2460"/>
      <c r="J67" s="2364">
        <v>0</v>
      </c>
      <c r="K67" s="2460"/>
      <c r="L67" s="2364">
        <v>0</v>
      </c>
      <c r="M67" s="2460"/>
      <c r="N67" s="2364">
        <v>0</v>
      </c>
      <c r="O67" s="2460"/>
      <c r="P67" s="2364">
        <v>0</v>
      </c>
      <c r="Q67" s="2460"/>
      <c r="R67" s="2364">
        <v>0</v>
      </c>
      <c r="S67" s="2460"/>
    </row>
    <row r="68" spans="1:19">
      <c r="A68" s="2358"/>
      <c r="B68" s="2359"/>
      <c r="C68" s="2360"/>
      <c r="D68" s="2360"/>
      <c r="E68" s="2361"/>
      <c r="F68" s="2362" t="s">
        <v>569</v>
      </c>
      <c r="G68" s="2363"/>
      <c r="H68" s="2366"/>
      <c r="I68" s="2462">
        <f>H67*I66</f>
        <v>0</v>
      </c>
      <c r="J68" s="2366"/>
      <c r="K68" s="2462">
        <f>J67*K66</f>
        <v>0</v>
      </c>
      <c r="L68" s="2366"/>
      <c r="M68" s="2462">
        <f>L67*M66</f>
        <v>0</v>
      </c>
      <c r="N68" s="2366"/>
      <c r="O68" s="2462">
        <f>N67*O66</f>
        <v>0</v>
      </c>
      <c r="P68" s="2366"/>
      <c r="Q68" s="2462">
        <f>P67*Q66</f>
        <v>0</v>
      </c>
      <c r="R68" s="2366"/>
      <c r="S68" s="2462">
        <f>R67*S66</f>
        <v>0</v>
      </c>
    </row>
    <row r="69" spans="1:19">
      <c r="A69" s="2358"/>
      <c r="B69" s="2359"/>
      <c r="C69" s="2360"/>
      <c r="D69" s="2360"/>
      <c r="E69" s="2361"/>
      <c r="F69" s="2362"/>
      <c r="G69" s="2363"/>
      <c r="H69" s="2366"/>
      <c r="I69" s="2464"/>
      <c r="J69" s="2366"/>
      <c r="K69" s="2464"/>
      <c r="L69" s="2366"/>
      <c r="M69" s="2464"/>
      <c r="N69" s="2366"/>
      <c r="O69" s="2464"/>
      <c r="P69" s="2366"/>
      <c r="Q69" s="2464"/>
      <c r="R69" s="2366"/>
      <c r="S69" s="2464"/>
    </row>
    <row r="70" spans="1:19">
      <c r="A70" s="2358"/>
      <c r="B70" s="2359"/>
      <c r="C70" s="2360"/>
      <c r="D70" s="2360"/>
      <c r="E70" s="2361"/>
      <c r="F70" s="2362" t="s">
        <v>570</v>
      </c>
      <c r="G70" s="2363"/>
      <c r="H70" s="2368"/>
      <c r="I70" s="2465">
        <f>SUM(I66:I68)</f>
        <v>0</v>
      </c>
      <c r="J70" s="2368"/>
      <c r="K70" s="2465">
        <f>SUM(K66:K68)</f>
        <v>0</v>
      </c>
      <c r="L70" s="2368"/>
      <c r="M70" s="2465">
        <f>SUM(M66:M68)</f>
        <v>0</v>
      </c>
      <c r="N70" s="2368"/>
      <c r="O70" s="2465">
        <f>SUM(O66:O68)</f>
        <v>0</v>
      </c>
      <c r="P70" s="2368"/>
      <c r="Q70" s="2465">
        <f>SUM(Q66:Q68)</f>
        <v>0</v>
      </c>
      <c r="R70" s="2368"/>
      <c r="S70" s="2465">
        <f>SUM(S66:S68)</f>
        <v>0</v>
      </c>
    </row>
    <row r="71" spans="1:19">
      <c r="A71" s="2358"/>
      <c r="B71" s="2359"/>
      <c r="C71" s="2360"/>
      <c r="D71" s="2360"/>
      <c r="E71" s="2361"/>
      <c r="F71" s="2370" t="s">
        <v>571</v>
      </c>
      <c r="G71" s="2371"/>
      <c r="H71" s="2372"/>
      <c r="I71" s="2373" t="e">
        <f>I70/'Area Calculations'!$J$4</f>
        <v>#DIV/0!</v>
      </c>
      <c r="J71" s="2372"/>
      <c r="K71" s="2373" t="e">
        <f>K70/'Area Calculations'!$J$4</f>
        <v>#DIV/0!</v>
      </c>
      <c r="L71" s="2372"/>
      <c r="M71" s="2373" t="e">
        <f>M70/'Area Calculations'!$J$4</f>
        <v>#DIV/0!</v>
      </c>
      <c r="N71" s="2372"/>
      <c r="O71" s="2373" t="e">
        <f>O70/'Area Calculations'!$J$4</f>
        <v>#DIV/0!</v>
      </c>
      <c r="P71" s="2372"/>
      <c r="Q71" s="2373" t="e">
        <f>Q70/'Area Calculations'!$J$4</f>
        <v>#DIV/0!</v>
      </c>
      <c r="R71" s="2372"/>
      <c r="S71" s="2373" t="e">
        <f>S70/'Area Calculations'!$J$4</f>
        <v>#DIV/0!</v>
      </c>
    </row>
    <row r="72" spans="1:19">
      <c r="A72" s="2358"/>
      <c r="B72" s="2359"/>
      <c r="C72" s="2360"/>
      <c r="D72" s="2360"/>
      <c r="E72" s="2361"/>
      <c r="F72" s="2370" t="s">
        <v>572</v>
      </c>
      <c r="G72" s="2374"/>
      <c r="H72" s="2372"/>
      <c r="I72" s="2373" t="e">
        <f>I70/'Area Calculations'!#REF!</f>
        <v>#REF!</v>
      </c>
      <c r="J72" s="2372"/>
      <c r="K72" s="2373" t="e">
        <f>K70/'Area Calculations'!#REF!</f>
        <v>#REF!</v>
      </c>
      <c r="L72" s="2372"/>
      <c r="M72" s="2373" t="e">
        <f>M70/'Area Calculations'!#REF!</f>
        <v>#REF!</v>
      </c>
      <c r="N72" s="2372"/>
      <c r="O72" s="2373" t="e">
        <f>O70/'Area Calculations'!#REF!</f>
        <v>#REF!</v>
      </c>
      <c r="P72" s="2372"/>
      <c r="Q72" s="2373" t="e">
        <f>Q70/'Area Calculations'!#REF!</f>
        <v>#REF!</v>
      </c>
      <c r="R72" s="2372"/>
      <c r="S72" s="2373" t="e">
        <f>S70/'Area Calculations'!#REF!</f>
        <v>#REF!</v>
      </c>
    </row>
    <row r="73" spans="1:19" ht="15.75" thickBot="1">
      <c r="A73" s="2358"/>
      <c r="B73" s="2359"/>
      <c r="C73" s="2360"/>
      <c r="D73" s="2360"/>
      <c r="E73" s="2361"/>
      <c r="F73" s="2362"/>
      <c r="G73" s="2375"/>
      <c r="H73" s="2376"/>
      <c r="I73" s="2377"/>
      <c r="J73" s="2376"/>
      <c r="K73" s="2377"/>
      <c r="L73" s="2376"/>
      <c r="M73" s="2377"/>
      <c r="N73" s="2376"/>
      <c r="O73" s="2377"/>
      <c r="P73" s="2376"/>
      <c r="Q73" s="2377"/>
      <c r="R73" s="2376"/>
      <c r="S73" s="2377"/>
    </row>
    <row r="74" spans="1:19" ht="16.5" thickTop="1" thickBot="1">
      <c r="A74" s="726" t="s">
        <v>573</v>
      </c>
      <c r="B74" s="727"/>
      <c r="C74" s="12"/>
      <c r="D74" s="12"/>
      <c r="E74" s="12"/>
      <c r="F74" s="12"/>
      <c r="G74" s="54"/>
      <c r="H74" s="52"/>
      <c r="I74" s="21"/>
      <c r="J74" s="21"/>
      <c r="K74" s="21"/>
      <c r="L74" s="21"/>
      <c r="M74" s="21"/>
      <c r="N74" s="21"/>
      <c r="O74" s="21"/>
      <c r="P74" s="21"/>
      <c r="Q74" s="21"/>
      <c r="R74" s="21"/>
      <c r="S74" s="21"/>
    </row>
    <row r="75" spans="1:19" ht="15.75" thickTop="1">
      <c r="A75" s="2583"/>
      <c r="B75" s="2404"/>
      <c r="C75" s="2584"/>
      <c r="D75" s="2584"/>
      <c r="E75" s="2584"/>
      <c r="F75" s="2584"/>
      <c r="G75" s="2585"/>
      <c r="H75" s="2586"/>
      <c r="I75" s="2587"/>
      <c r="J75" s="2587"/>
      <c r="K75" s="2587"/>
      <c r="L75" s="2587"/>
      <c r="M75" s="2587"/>
      <c r="N75" s="2587"/>
      <c r="O75" s="2587"/>
      <c r="P75" s="2587"/>
      <c r="Q75" s="2587"/>
      <c r="R75" s="2587"/>
      <c r="S75" s="2587"/>
    </row>
    <row r="76" spans="1:19" s="2" customFormat="1">
      <c r="A76" s="2583"/>
      <c r="B76" s="2404"/>
      <c r="C76" s="2584"/>
      <c r="D76" s="2584"/>
      <c r="E76" s="2584"/>
      <c r="F76" s="2584"/>
      <c r="G76" s="2585"/>
      <c r="H76" s="2586"/>
      <c r="I76" s="2587"/>
      <c r="J76" s="2587"/>
      <c r="K76" s="2587"/>
      <c r="L76" s="2587"/>
      <c r="M76" s="2587"/>
      <c r="N76" s="2587"/>
      <c r="O76" s="2587"/>
      <c r="P76" s="2587"/>
      <c r="Q76" s="2587"/>
      <c r="R76" s="2587"/>
      <c r="S76" s="2587"/>
    </row>
    <row r="77" spans="1:19" s="2" customFormat="1" ht="15.75" thickBot="1">
      <c r="A77" s="2583"/>
      <c r="B77" s="2404"/>
      <c r="C77" s="2584"/>
      <c r="D77" s="2584"/>
      <c r="E77" s="2584"/>
      <c r="F77" s="2584"/>
      <c r="G77" s="2585"/>
      <c r="H77" s="2586"/>
      <c r="I77" s="2587"/>
      <c r="J77" s="2587"/>
      <c r="K77" s="2587"/>
      <c r="L77" s="2587"/>
      <c r="M77" s="2587"/>
      <c r="N77" s="2587"/>
      <c r="O77" s="2587"/>
      <c r="P77" s="2587"/>
      <c r="Q77" s="2587"/>
      <c r="R77" s="2587"/>
      <c r="S77" s="2587"/>
    </row>
    <row r="78" spans="1:19" ht="16.5" thickTop="1" thickBot="1">
      <c r="A78" s="726" t="s">
        <v>574</v>
      </c>
      <c r="B78" s="727"/>
      <c r="C78" s="12"/>
      <c r="D78" s="12"/>
      <c r="E78" s="12"/>
      <c r="F78" s="12"/>
      <c r="G78" s="54"/>
      <c r="H78" s="52"/>
      <c r="I78" s="21"/>
      <c r="J78" s="21"/>
      <c r="K78" s="21"/>
      <c r="L78" s="21"/>
      <c r="M78" s="21"/>
      <c r="N78" s="21"/>
      <c r="O78" s="21"/>
      <c r="P78" s="21"/>
      <c r="Q78" s="21"/>
      <c r="R78" s="21"/>
      <c r="S78" s="21"/>
    </row>
    <row r="79" spans="1:19" s="2" customFormat="1" ht="15.75" thickTop="1">
      <c r="A79" s="2583"/>
      <c r="B79" s="2404"/>
      <c r="C79" s="2584"/>
      <c r="D79" s="2584"/>
      <c r="E79" s="2584"/>
      <c r="F79" s="2584"/>
      <c r="G79" s="2585"/>
      <c r="H79" s="2586"/>
      <c r="I79" s="2587"/>
      <c r="J79" s="2587"/>
      <c r="K79" s="2587"/>
      <c r="L79" s="2587"/>
      <c r="M79" s="2587"/>
      <c r="N79" s="2587"/>
      <c r="O79" s="2587"/>
      <c r="P79" s="2587"/>
      <c r="Q79" s="2587"/>
      <c r="R79" s="2587"/>
      <c r="S79" s="2587"/>
    </row>
    <row r="80" spans="1:19" s="2" customFormat="1">
      <c r="A80" s="2583"/>
      <c r="B80" s="2404"/>
      <c r="C80" s="2584"/>
      <c r="D80" s="2584"/>
      <c r="E80" s="2584"/>
      <c r="F80" s="2584"/>
      <c r="G80" s="2585"/>
      <c r="H80" s="2586"/>
      <c r="I80" s="2587"/>
      <c r="J80" s="2587"/>
      <c r="K80" s="2587"/>
      <c r="L80" s="2587"/>
      <c r="M80" s="2587"/>
      <c r="N80" s="2587"/>
      <c r="O80" s="2587"/>
      <c r="P80" s="2587"/>
      <c r="Q80" s="2587"/>
      <c r="R80" s="2587"/>
      <c r="S80" s="2587"/>
    </row>
    <row r="81" spans="1:19" ht="15.75" thickBot="1">
      <c r="A81" s="2583"/>
      <c r="B81" s="2404"/>
      <c r="C81" s="2584"/>
      <c r="D81" s="2584"/>
      <c r="E81" s="2584"/>
      <c r="F81" s="2584"/>
      <c r="G81" s="2585"/>
      <c r="H81" s="2586"/>
      <c r="I81" s="2587"/>
      <c r="J81" s="2587"/>
      <c r="K81" s="2587"/>
      <c r="L81" s="2587"/>
      <c r="M81" s="2587"/>
      <c r="N81" s="2587"/>
      <c r="O81" s="2587"/>
      <c r="P81" s="2587"/>
      <c r="Q81" s="2587"/>
      <c r="R81" s="2587"/>
      <c r="S81" s="2587"/>
    </row>
    <row r="82" spans="1:19" ht="16.5" thickTop="1" thickBot="1">
      <c r="A82" s="726" t="s">
        <v>575</v>
      </c>
      <c r="B82" s="727"/>
      <c r="C82" s="12"/>
      <c r="D82" s="12"/>
      <c r="E82" s="12"/>
      <c r="F82" s="12"/>
      <c r="G82" s="54"/>
      <c r="H82" s="52"/>
      <c r="I82" s="21"/>
      <c r="J82" s="21"/>
      <c r="K82" s="21"/>
      <c r="L82" s="21"/>
      <c r="M82" s="21"/>
      <c r="N82" s="21"/>
      <c r="O82" s="21"/>
      <c r="P82" s="21"/>
      <c r="Q82" s="21"/>
      <c r="R82" s="21"/>
      <c r="S82" s="21"/>
    </row>
    <row r="83" spans="1:19" ht="15.75" thickTop="1">
      <c r="A83" s="2583"/>
      <c r="B83" s="2404"/>
      <c r="C83" s="2584"/>
      <c r="D83" s="2584"/>
      <c r="E83" s="2584"/>
      <c r="F83" s="2584"/>
      <c r="G83" s="2585"/>
      <c r="H83" s="2586"/>
      <c r="I83" s="2587"/>
      <c r="J83" s="2587"/>
      <c r="K83" s="2587"/>
      <c r="L83" s="2587"/>
      <c r="M83" s="2587"/>
      <c r="N83" s="2587"/>
      <c r="O83" s="2587"/>
      <c r="P83" s="2587"/>
      <c r="Q83" s="2587"/>
      <c r="R83" s="2587"/>
      <c r="S83" s="2587"/>
    </row>
    <row r="84" spans="1:19">
      <c r="A84" s="2421"/>
      <c r="B84" s="2404"/>
      <c r="C84" s="2405"/>
      <c r="D84" s="2405"/>
      <c r="E84" s="2405"/>
      <c r="F84" s="2405"/>
      <c r="G84" s="2552"/>
      <c r="H84" s="2474"/>
      <c r="I84" s="2382"/>
      <c r="J84" s="2382"/>
      <c r="K84" s="2382"/>
      <c r="L84" s="2382"/>
      <c r="M84" s="2382"/>
      <c r="N84" s="2382"/>
      <c r="O84" s="2382"/>
      <c r="P84" s="2382"/>
      <c r="Q84" s="2382"/>
      <c r="R84" s="2382"/>
      <c r="S84" s="2382"/>
    </row>
    <row r="85" spans="1:19" ht="15.75" thickBot="1">
      <c r="A85" s="2383"/>
      <c r="B85" s="2384"/>
      <c r="C85" s="2405"/>
      <c r="D85" s="2405"/>
      <c r="E85" s="2405"/>
      <c r="F85" s="2405"/>
      <c r="G85" s="2552"/>
      <c r="H85" s="2475"/>
      <c r="I85" s="2385"/>
      <c r="J85" s="2385"/>
      <c r="K85" s="2385"/>
      <c r="L85" s="2385"/>
      <c r="M85" s="2385"/>
      <c r="N85" s="2385"/>
      <c r="O85" s="2385"/>
      <c r="P85" s="2385"/>
      <c r="Q85" s="2385"/>
      <c r="R85" s="2385"/>
      <c r="S85" s="2385"/>
    </row>
    <row r="86" spans="1:19" ht="16.5" thickTop="1" thickBot="1">
      <c r="A86" s="726" t="s">
        <v>576</v>
      </c>
      <c r="B86" s="727"/>
      <c r="C86" s="12"/>
      <c r="D86" s="12"/>
      <c r="E86" s="12"/>
      <c r="F86" s="12"/>
      <c r="G86" s="54"/>
      <c r="H86" s="52"/>
      <c r="I86" s="21"/>
      <c r="J86" s="21"/>
      <c r="K86" s="21"/>
      <c r="L86" s="21"/>
      <c r="M86" s="21"/>
      <c r="N86" s="21"/>
      <c r="O86" s="21"/>
      <c r="P86" s="21"/>
      <c r="Q86" s="21"/>
      <c r="R86" s="21"/>
      <c r="S86" s="21"/>
    </row>
    <row r="87" spans="1:19" ht="15.75" thickTop="1">
      <c r="A87" s="2588"/>
      <c r="B87" s="2589"/>
      <c r="C87" s="2584"/>
      <c r="D87" s="2584"/>
      <c r="E87" s="2584"/>
      <c r="F87" s="2584"/>
      <c r="G87" s="2585"/>
      <c r="H87" s="2586"/>
      <c r="I87" s="2587"/>
      <c r="J87" s="2587"/>
      <c r="K87" s="2587"/>
      <c r="L87" s="2587"/>
      <c r="M87" s="2587"/>
      <c r="N87" s="2587"/>
      <c r="O87" s="2587"/>
      <c r="P87" s="2587"/>
      <c r="Q87" s="2587"/>
      <c r="R87" s="2587"/>
      <c r="S87" s="2587"/>
    </row>
    <row r="88" spans="1:19">
      <c r="A88" s="2383"/>
      <c r="B88" s="2384"/>
      <c r="C88" s="2405"/>
      <c r="D88" s="2405"/>
      <c r="E88" s="2405"/>
      <c r="F88" s="2405"/>
      <c r="G88" s="2552"/>
      <c r="H88" s="2478"/>
      <c r="I88" s="2388"/>
      <c r="J88" s="2388"/>
      <c r="K88" s="2388"/>
      <c r="L88" s="2388"/>
      <c r="M88" s="2388"/>
      <c r="N88" s="2388"/>
      <c r="O88" s="2388"/>
      <c r="P88" s="2388"/>
      <c r="Q88" s="2388"/>
      <c r="R88" s="2388"/>
      <c r="S88" s="2388"/>
    </row>
    <row r="89" spans="1:19" ht="15.75" thickBot="1">
      <c r="A89" s="2383"/>
      <c r="B89" s="2384"/>
      <c r="C89" s="2405"/>
      <c r="D89" s="2405"/>
      <c r="E89" s="2405"/>
      <c r="F89" s="2405"/>
      <c r="G89" s="2552"/>
      <c r="H89" s="2478"/>
      <c r="I89" s="2388"/>
      <c r="J89" s="2388"/>
      <c r="K89" s="2388"/>
      <c r="L89" s="2388"/>
      <c r="M89" s="2388"/>
      <c r="N89" s="2388"/>
      <c r="O89" s="2388"/>
      <c r="P89" s="2388"/>
      <c r="Q89" s="2388"/>
      <c r="R89" s="2388"/>
      <c r="S89" s="2388"/>
    </row>
    <row r="90" spans="1:19" ht="16.5" thickTop="1" thickBot="1">
      <c r="A90" s="726" t="s">
        <v>577</v>
      </c>
      <c r="B90" s="727"/>
      <c r="C90" s="12"/>
      <c r="D90" s="12"/>
      <c r="E90" s="12"/>
      <c r="F90" s="12"/>
      <c r="G90" s="54"/>
      <c r="H90" s="52"/>
      <c r="I90" s="21"/>
      <c r="J90" s="21"/>
      <c r="K90" s="21"/>
      <c r="L90" s="21"/>
      <c r="M90" s="21"/>
      <c r="N90" s="21"/>
      <c r="O90" s="21"/>
      <c r="P90" s="21"/>
      <c r="Q90" s="21"/>
      <c r="R90" s="21"/>
      <c r="S90" s="21"/>
    </row>
    <row r="91" spans="1:19" ht="15.75" thickTop="1">
      <c r="A91" s="2421"/>
      <c r="B91" s="2404" t="s">
        <v>578</v>
      </c>
      <c r="C91" s="2405"/>
      <c r="D91" s="2405"/>
      <c r="E91" s="2405"/>
      <c r="F91" s="2405"/>
      <c r="G91" s="2552"/>
      <c r="H91" s="2478"/>
      <c r="I91" s="2388"/>
      <c r="J91" s="2388"/>
      <c r="K91" s="2388"/>
      <c r="L91" s="2388"/>
      <c r="M91" s="2388"/>
      <c r="N91" s="2388"/>
      <c r="O91" s="2388"/>
      <c r="P91" s="2388"/>
      <c r="Q91" s="2388"/>
      <c r="R91" s="2388"/>
      <c r="S91" s="2388"/>
    </row>
    <row r="92" spans="1:19">
      <c r="A92" s="2421"/>
      <c r="B92" s="2404" t="s">
        <v>579</v>
      </c>
      <c r="C92" s="2405"/>
      <c r="D92" s="2405"/>
      <c r="E92" s="2405"/>
      <c r="F92" s="2405"/>
      <c r="G92" s="2552"/>
      <c r="H92" s="2478"/>
      <c r="I92" s="2388"/>
      <c r="J92" s="2388"/>
      <c r="K92" s="2388"/>
      <c r="L92" s="2388"/>
      <c r="M92" s="2388"/>
      <c r="N92" s="2388"/>
      <c r="O92" s="2388"/>
      <c r="P92" s="2388"/>
      <c r="Q92" s="2388"/>
      <c r="R92" s="2388"/>
      <c r="S92" s="2388"/>
    </row>
    <row r="93" spans="1:19">
      <c r="A93" s="2421"/>
      <c r="B93" s="2404" t="s">
        <v>580</v>
      </c>
      <c r="C93" s="2405"/>
      <c r="D93" s="2405"/>
      <c r="E93" s="2405"/>
      <c r="F93" s="2405"/>
      <c r="G93" s="2552"/>
      <c r="H93" s="2478"/>
      <c r="I93" s="2388"/>
      <c r="J93" s="2388"/>
      <c r="K93" s="2388"/>
      <c r="L93" s="2388"/>
      <c r="M93" s="2388"/>
      <c r="N93" s="2388"/>
      <c r="O93" s="2388"/>
      <c r="P93" s="2388"/>
      <c r="Q93" s="2388"/>
      <c r="R93" s="2388"/>
      <c r="S93" s="2388"/>
    </row>
    <row r="94" spans="1:19">
      <c r="A94" s="2421"/>
      <c r="B94" s="2404" t="s">
        <v>581</v>
      </c>
      <c r="C94" s="2405"/>
      <c r="D94" s="2405"/>
      <c r="E94" s="2405"/>
      <c r="F94" s="2405"/>
      <c r="G94" s="2552"/>
      <c r="H94" s="2478"/>
      <c r="I94" s="2388"/>
      <c r="J94" s="2388"/>
      <c r="K94" s="2388"/>
      <c r="L94" s="2388"/>
      <c r="M94" s="2388"/>
      <c r="N94" s="2388"/>
      <c r="O94" s="2388"/>
      <c r="P94" s="2388"/>
      <c r="Q94" s="2388"/>
      <c r="R94" s="2388"/>
      <c r="S94" s="2388"/>
    </row>
    <row r="95" spans="1:19" ht="15.75" thickBot="1">
      <c r="A95" s="416"/>
      <c r="B95" s="295"/>
      <c r="C95" s="184"/>
      <c r="D95" s="184"/>
      <c r="E95" s="184"/>
      <c r="F95" s="184"/>
      <c r="G95" s="417"/>
      <c r="H95" s="53"/>
      <c r="I95" s="418"/>
      <c r="J95" s="418"/>
      <c r="K95" s="418"/>
      <c r="L95" s="418"/>
      <c r="M95" s="418"/>
      <c r="N95" s="418"/>
      <c r="O95" s="418"/>
      <c r="P95" s="418"/>
      <c r="Q95" s="418"/>
      <c r="R95" s="418"/>
      <c r="S95" s="418"/>
    </row>
    <row r="96" spans="1:19" ht="16.5" thickTop="1" thickBot="1">
      <c r="A96" s="7" t="s">
        <v>582</v>
      </c>
      <c r="B96" s="8"/>
      <c r="C96" s="12"/>
      <c r="D96" s="12"/>
      <c r="E96" s="12"/>
      <c r="F96" s="12"/>
      <c r="G96" s="54"/>
      <c r="H96" s="52"/>
      <c r="I96" s="21"/>
      <c r="J96" s="21"/>
      <c r="K96" s="21"/>
      <c r="L96" s="21"/>
      <c r="M96" s="21"/>
      <c r="N96" s="21"/>
      <c r="O96" s="21"/>
      <c r="P96" s="21"/>
      <c r="Q96" s="21"/>
      <c r="R96" s="21"/>
      <c r="S96" s="21"/>
    </row>
    <row r="97" spans="1:19" ht="15.75" thickTop="1">
      <c r="A97" s="2583"/>
      <c r="B97" s="2516" t="s">
        <v>583</v>
      </c>
      <c r="C97" s="2584"/>
      <c r="D97" s="2584"/>
      <c r="E97" s="2584"/>
      <c r="F97" s="2584"/>
      <c r="G97" s="2585"/>
      <c r="H97" s="2508"/>
      <c r="I97" s="2554"/>
      <c r="J97" s="2554"/>
      <c r="K97" s="2554"/>
      <c r="L97" s="2554"/>
      <c r="M97" s="2554"/>
      <c r="N97" s="2554"/>
      <c r="O97" s="2554"/>
      <c r="P97" s="2554"/>
      <c r="Q97" s="2554"/>
      <c r="R97" s="2554"/>
      <c r="S97" s="2554"/>
    </row>
    <row r="98" spans="1:19">
      <c r="A98" s="2421"/>
      <c r="B98" s="2404" t="s">
        <v>584</v>
      </c>
      <c r="C98" s="2405"/>
      <c r="D98" s="2405"/>
      <c r="E98" s="2405"/>
      <c r="F98" s="2405"/>
      <c r="G98" s="2552"/>
      <c r="H98" s="2481"/>
      <c r="I98" s="2390"/>
      <c r="J98" s="2390"/>
      <c r="K98" s="2390"/>
      <c r="L98" s="2390"/>
      <c r="M98" s="2390"/>
      <c r="N98" s="2390"/>
      <c r="O98" s="2390"/>
      <c r="P98" s="2390"/>
      <c r="Q98" s="2390"/>
      <c r="R98" s="2390"/>
      <c r="S98" s="2390"/>
    </row>
    <row r="99" spans="1:19" ht="15.75" thickBot="1">
      <c r="A99" s="2391"/>
      <c r="B99" s="2392" t="s">
        <v>585</v>
      </c>
      <c r="C99" s="2393"/>
      <c r="D99" s="2393"/>
      <c r="E99" s="2393"/>
      <c r="F99" s="2393"/>
      <c r="G99" s="2555"/>
      <c r="H99" s="2482"/>
      <c r="I99" s="2395"/>
      <c r="J99" s="2395"/>
      <c r="K99" s="2395"/>
      <c r="L99" s="2395"/>
      <c r="M99" s="2395"/>
      <c r="N99" s="2395"/>
      <c r="O99" s="2395"/>
      <c r="P99" s="2395"/>
      <c r="Q99" s="2395"/>
      <c r="R99" s="2395"/>
      <c r="S99" s="2395"/>
    </row>
    <row r="100" spans="1:19" ht="16.5" thickTop="1" thickBot="1"/>
    <row r="101" spans="1:19" ht="16.5" thickTop="1" thickBot="1">
      <c r="A101" s="92" t="s">
        <v>586</v>
      </c>
      <c r="B101" s="94"/>
    </row>
    <row r="102" spans="1:19" ht="15.75" thickTop="1">
      <c r="A102" s="93" t="s">
        <v>487</v>
      </c>
      <c r="B102" s="2396"/>
    </row>
    <row r="103" spans="1:19">
      <c r="A103" s="2397" t="s">
        <v>491</v>
      </c>
      <c r="B103" s="2396"/>
    </row>
    <row r="104" spans="1:19">
      <c r="A104" s="2398" t="s">
        <v>494</v>
      </c>
      <c r="B104" s="2399"/>
    </row>
    <row r="105" spans="1:19">
      <c r="A105" s="2398" t="s">
        <v>497</v>
      </c>
      <c r="B105" s="2400"/>
    </row>
    <row r="106" spans="1:19" ht="15.75" thickBot="1">
      <c r="A106" s="2401" t="s">
        <v>587</v>
      </c>
      <c r="B106" s="2402"/>
    </row>
    <row r="107" spans="1:19" ht="15.75" thickTop="1"/>
    <row r="108" spans="1:19">
      <c r="A108" s="95"/>
      <c r="B108" s="1" t="s">
        <v>588</v>
      </c>
    </row>
    <row r="109" spans="1:19">
      <c r="A109" s="96"/>
      <c r="B10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hyperlinks>
    <hyperlink ref="B3" location="'Cost Summary'!A1" display="BACK TO SUMMARY SHEET" xr:uid="{545205F6-FA4E-4375-9979-3E2AD6C37031}"/>
  </hyperlink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D3C9-72B8-41C3-9463-0257A7AEEA79}">
  <sheetPr>
    <tabColor rgb="FF92D050"/>
  </sheetPr>
  <dimension ref="A1:S116"/>
  <sheetViews>
    <sheetView zoomScale="87" zoomScaleNormal="87" workbookViewId="0">
      <pane xSplit="2" ySplit="9" topLeftCell="I40" activePane="bottomRight" state="frozen"/>
      <selection pane="bottomRight" activeCell="I40" sqref="I40"/>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1139</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1140</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ht="15.75" thickBot="1">
      <c r="A8" s="414" t="s">
        <v>499</v>
      </c>
      <c r="B8" s="295"/>
      <c r="C8" s="184"/>
      <c r="D8" s="184"/>
      <c r="E8" s="184"/>
      <c r="F8" s="184"/>
      <c r="G8" s="419" t="s">
        <v>499</v>
      </c>
      <c r="H8" s="2418">
        <f>I77</f>
        <v>0</v>
      </c>
      <c r="I8" s="2419"/>
      <c r="J8" s="2418">
        <f>K77</f>
        <v>0</v>
      </c>
      <c r="K8" s="2419"/>
      <c r="L8" s="2418">
        <f>M77</f>
        <v>0</v>
      </c>
      <c r="M8" s="2419"/>
      <c r="N8" s="2418">
        <f>O77</f>
        <v>0</v>
      </c>
      <c r="O8" s="2419"/>
      <c r="P8" s="2418">
        <f>Q77</f>
        <v>0</v>
      </c>
      <c r="Q8" s="2419"/>
      <c r="R8" s="2418">
        <f>S77</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52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2525"/>
      <c r="B22" s="2428" t="s">
        <v>1139</v>
      </c>
      <c r="C22" s="56"/>
      <c r="D22" s="57"/>
      <c r="E22" s="57"/>
      <c r="F22" s="57"/>
      <c r="G22" s="63"/>
      <c r="H22" s="2427"/>
      <c r="I22" s="58"/>
      <c r="J22" s="2427"/>
      <c r="K22" s="58"/>
      <c r="L22" s="2427"/>
      <c r="M22" s="58"/>
      <c r="N22" s="2427"/>
      <c r="O22" s="58"/>
      <c r="P22" s="2427"/>
      <c r="Q22" s="58"/>
      <c r="R22" s="2427"/>
      <c r="S22" s="58"/>
    </row>
    <row r="23" spans="1:19" ht="13.5" customHeight="1">
      <c r="A23" s="2525"/>
      <c r="B23" s="2318" t="s">
        <v>512</v>
      </c>
      <c r="C23" s="2426"/>
      <c r="D23" s="2405"/>
      <c r="E23" s="2405"/>
      <c r="F23" s="2405"/>
      <c r="G23" s="2423"/>
      <c r="H23" s="2427"/>
      <c r="I23" s="584"/>
      <c r="J23" s="2427"/>
      <c r="K23" s="584"/>
      <c r="L23" s="2427"/>
      <c r="M23" s="584"/>
      <c r="N23" s="2427"/>
      <c r="O23" s="584"/>
      <c r="P23" s="2427"/>
      <c r="Q23" s="584"/>
      <c r="R23" s="2427"/>
      <c r="S23" s="584"/>
    </row>
    <row r="24" spans="1:19">
      <c r="A24" s="2484"/>
      <c r="B24" s="2558" t="s">
        <v>513</v>
      </c>
      <c r="C24" s="2426"/>
      <c r="D24" s="2405"/>
      <c r="E24" s="2405"/>
      <c r="F24" s="2405"/>
      <c r="G24" s="2423"/>
      <c r="H24" s="2427"/>
      <c r="I24" s="2590"/>
      <c r="J24" s="2427"/>
      <c r="K24" s="584"/>
      <c r="L24" s="2427"/>
      <c r="M24" s="584"/>
      <c r="N24" s="2427"/>
      <c r="O24" s="584"/>
      <c r="P24" s="2427"/>
      <c r="Q24" s="584"/>
      <c r="R24" s="2427"/>
      <c r="S24" s="584"/>
    </row>
    <row r="25" spans="1:19">
      <c r="A25" s="2484"/>
      <c r="B25" s="2558" t="s">
        <v>514</v>
      </c>
      <c r="C25" s="2430"/>
      <c r="D25" s="2405"/>
      <c r="E25" s="2405"/>
      <c r="F25" s="2405"/>
      <c r="G25" s="2423"/>
      <c r="H25" s="2427"/>
      <c r="I25" s="2590"/>
      <c r="J25" s="2427"/>
      <c r="K25" s="584"/>
      <c r="L25" s="2427"/>
      <c r="M25" s="584"/>
      <c r="N25" s="2427"/>
      <c r="O25" s="584"/>
      <c r="P25" s="2427"/>
      <c r="Q25" s="584"/>
      <c r="R25" s="2427"/>
      <c r="S25" s="584"/>
    </row>
    <row r="26" spans="1:19">
      <c r="A26" s="2484"/>
      <c r="B26" s="2559" t="s">
        <v>515</v>
      </c>
      <c r="C26" s="2430"/>
      <c r="D26" s="2405"/>
      <c r="E26" s="2405"/>
      <c r="F26" s="2405"/>
      <c r="G26" s="2423"/>
      <c r="H26" s="2427"/>
      <c r="I26" s="2590"/>
      <c r="J26" s="2427"/>
      <c r="K26" s="584"/>
      <c r="L26" s="2427"/>
      <c r="M26" s="584"/>
      <c r="N26" s="2427"/>
      <c r="O26" s="584"/>
      <c r="P26" s="2427"/>
      <c r="Q26" s="584"/>
      <c r="R26" s="2427"/>
      <c r="S26" s="584"/>
    </row>
    <row r="27" spans="1:19" s="91" customFormat="1">
      <c r="A27" s="2525"/>
      <c r="B27" s="2559" t="s">
        <v>516</v>
      </c>
      <c r="C27" s="2432"/>
      <c r="D27" s="2433"/>
      <c r="E27" s="2433"/>
      <c r="F27" s="2433"/>
      <c r="G27" s="2432"/>
      <c r="H27" s="2427"/>
      <c r="I27" s="2590"/>
      <c r="J27" s="2427"/>
      <c r="K27" s="2560"/>
      <c r="L27" s="2427"/>
      <c r="M27" s="2560"/>
      <c r="N27" s="2427"/>
      <c r="O27" s="2560"/>
      <c r="P27" s="2427"/>
      <c r="Q27" s="2560"/>
      <c r="R27" s="2427"/>
      <c r="S27" s="2560"/>
    </row>
    <row r="28" spans="1:19" s="91" customFormat="1">
      <c r="A28" s="2525"/>
      <c r="B28" s="2559" t="s">
        <v>517</v>
      </c>
      <c r="C28" s="2432"/>
      <c r="D28" s="2433"/>
      <c r="E28" s="2433"/>
      <c r="F28" s="2433"/>
      <c r="G28" s="2432"/>
      <c r="H28" s="2427"/>
      <c r="I28" s="2590"/>
      <c r="J28" s="2427"/>
      <c r="K28" s="2560"/>
      <c r="L28" s="2427"/>
      <c r="M28" s="2560"/>
      <c r="N28" s="2427"/>
      <c r="O28" s="2560"/>
      <c r="P28" s="2427"/>
      <c r="Q28" s="2560"/>
      <c r="R28" s="2427"/>
      <c r="S28" s="2560"/>
    </row>
    <row r="29" spans="1:19" s="91" customFormat="1">
      <c r="A29" s="2525"/>
      <c r="B29" s="2559" t="s">
        <v>518</v>
      </c>
      <c r="C29" s="2432"/>
      <c r="D29" s="2433"/>
      <c r="E29" s="2433"/>
      <c r="F29" s="2433"/>
      <c r="G29" s="2432"/>
      <c r="H29" s="2427"/>
      <c r="I29" s="2590"/>
      <c r="J29" s="2427"/>
      <c r="K29" s="2560"/>
      <c r="L29" s="2427"/>
      <c r="M29" s="2560"/>
      <c r="N29" s="2427"/>
      <c r="O29" s="2560"/>
      <c r="P29" s="2427"/>
      <c r="Q29" s="2560"/>
      <c r="R29" s="2427"/>
      <c r="S29" s="2560"/>
    </row>
    <row r="30" spans="1:19" s="91" customFormat="1">
      <c r="A30" s="2525"/>
      <c r="B30" s="2559" t="s">
        <v>693</v>
      </c>
      <c r="C30" s="2432"/>
      <c r="D30" s="2433"/>
      <c r="E30" s="2433"/>
      <c r="F30" s="2433"/>
      <c r="G30" s="2432"/>
      <c r="H30" s="2427"/>
      <c r="I30" s="2590"/>
      <c r="J30" s="2427"/>
      <c r="K30" s="2560"/>
      <c r="L30" s="2427"/>
      <c r="M30" s="2560"/>
      <c r="N30" s="2427"/>
      <c r="O30" s="2560"/>
      <c r="P30" s="2427"/>
      <c r="Q30" s="2560"/>
      <c r="R30" s="2427"/>
      <c r="S30" s="2560"/>
    </row>
    <row r="31" spans="1:19" s="91" customFormat="1">
      <c r="A31" s="2525"/>
      <c r="B31" s="2561" t="s">
        <v>519</v>
      </c>
      <c r="C31" s="2432"/>
      <c r="D31" s="2433"/>
      <c r="E31" s="2433"/>
      <c r="F31" s="2433"/>
      <c r="G31" s="2432"/>
      <c r="H31" s="2427"/>
      <c r="I31" s="2590"/>
      <c r="J31" s="2427"/>
      <c r="K31" s="2560"/>
      <c r="L31" s="2427"/>
      <c r="M31" s="2560"/>
      <c r="N31" s="2427"/>
      <c r="O31" s="2560"/>
      <c r="P31" s="2427"/>
      <c r="Q31" s="2560"/>
      <c r="R31" s="2427"/>
      <c r="S31" s="2560"/>
    </row>
    <row r="32" spans="1:19" s="91" customFormat="1">
      <c r="A32" s="2525"/>
      <c r="B32" s="2562" t="s">
        <v>520</v>
      </c>
      <c r="C32" s="2435"/>
      <c r="D32" s="2436"/>
      <c r="E32" s="2436"/>
      <c r="F32" s="2436"/>
      <c r="G32" s="2435"/>
      <c r="H32" s="2439"/>
      <c r="I32" s="2563"/>
      <c r="J32" s="2443"/>
      <c r="K32" s="2564"/>
      <c r="L32" s="2443"/>
      <c r="M32" s="2564"/>
      <c r="N32" s="2564"/>
      <c r="O32" s="2564"/>
      <c r="P32" s="2564"/>
      <c r="Q32" s="2564"/>
      <c r="R32" s="2564"/>
      <c r="S32" s="2564"/>
    </row>
    <row r="33" spans="1:19" s="91" customFormat="1">
      <c r="A33" s="2525"/>
      <c r="B33" s="2545"/>
      <c r="C33" s="2432"/>
      <c r="D33" s="2433"/>
      <c r="E33" s="2433"/>
      <c r="F33" s="2433"/>
      <c r="G33" s="2432"/>
      <c r="H33" s="2427"/>
      <c r="I33" s="2590"/>
      <c r="J33" s="2427"/>
      <c r="K33" s="2560"/>
      <c r="L33" s="2427"/>
      <c r="M33" s="2560"/>
      <c r="N33" s="2427"/>
      <c r="O33" s="2560"/>
      <c r="P33" s="2427"/>
      <c r="Q33" s="2560"/>
      <c r="R33" s="2427"/>
      <c r="S33" s="2560"/>
    </row>
    <row r="34" spans="1:19" s="91" customFormat="1">
      <c r="A34" s="2568"/>
      <c r="B34" s="2591" t="s">
        <v>694</v>
      </c>
      <c r="C34" s="2449"/>
      <c r="D34" s="2592"/>
      <c r="E34" s="2592"/>
      <c r="F34" s="2592"/>
      <c r="G34" s="2593"/>
      <c r="H34" s="2453"/>
      <c r="I34" s="2594"/>
      <c r="J34" s="2453"/>
      <c r="K34" s="2595"/>
      <c r="L34" s="2453"/>
      <c r="M34" s="2595"/>
      <c r="N34" s="2453"/>
      <c r="O34" s="2595"/>
      <c r="P34" s="2453"/>
      <c r="Q34" s="2595"/>
      <c r="R34" s="2453"/>
      <c r="S34" s="2595"/>
    </row>
    <row r="35" spans="1:19" s="91" customFormat="1">
      <c r="A35" s="2568"/>
      <c r="B35" s="2545"/>
      <c r="C35" s="2445"/>
      <c r="D35" s="2433"/>
      <c r="E35" s="2433"/>
      <c r="F35" s="2433"/>
      <c r="G35" s="2432"/>
      <c r="H35" s="2427"/>
      <c r="I35" s="2590"/>
      <c r="J35" s="2427"/>
      <c r="K35" s="2560"/>
      <c r="L35" s="2427"/>
      <c r="M35" s="2560"/>
      <c r="N35" s="2427"/>
      <c r="O35" s="2560"/>
      <c r="P35" s="2427"/>
      <c r="Q35" s="2560"/>
      <c r="R35" s="2427"/>
      <c r="S35" s="2560"/>
    </row>
    <row r="36" spans="1:19" s="91" customFormat="1">
      <c r="A36" s="2568"/>
      <c r="B36" s="2596" t="s">
        <v>695</v>
      </c>
      <c r="C36" s="2455"/>
      <c r="D36" s="2597"/>
      <c r="E36" s="2597"/>
      <c r="F36" s="2597"/>
      <c r="G36" s="2598"/>
      <c r="H36" s="2459"/>
      <c r="I36" s="2599"/>
      <c r="J36" s="2459"/>
      <c r="K36" s="2600"/>
      <c r="L36" s="2459"/>
      <c r="M36" s="2600"/>
      <c r="N36" s="2459"/>
      <c r="O36" s="2600"/>
      <c r="P36" s="2459"/>
      <c r="Q36" s="2600"/>
      <c r="R36" s="2459"/>
      <c r="S36" s="2600"/>
    </row>
    <row r="37" spans="1:19" s="91" customFormat="1">
      <c r="A37" s="2568"/>
      <c r="B37" s="2545"/>
      <c r="C37" s="2445"/>
      <c r="D37" s="2433"/>
      <c r="E37" s="2433"/>
      <c r="F37" s="2433"/>
      <c r="G37" s="2432"/>
      <c r="H37" s="2427"/>
      <c r="I37" s="2590"/>
      <c r="J37" s="2427"/>
      <c r="K37" s="2560"/>
      <c r="L37" s="2427"/>
      <c r="M37" s="2560"/>
      <c r="N37" s="2427"/>
      <c r="O37" s="2560"/>
      <c r="P37" s="2427"/>
      <c r="Q37" s="2560"/>
      <c r="R37" s="2427"/>
      <c r="S37" s="2560"/>
    </row>
    <row r="38" spans="1:19" s="91" customFormat="1">
      <c r="A38" s="2568"/>
      <c r="B38" s="2591" t="s">
        <v>649</v>
      </c>
      <c r="C38" s="2449"/>
      <c r="D38" s="2592"/>
      <c r="E38" s="2592"/>
      <c r="F38" s="2592"/>
      <c r="G38" s="2593"/>
      <c r="H38" s="2453"/>
      <c r="I38" s="2594"/>
      <c r="J38" s="2453"/>
      <c r="K38" s="2595"/>
      <c r="L38" s="2453"/>
      <c r="M38" s="2595"/>
      <c r="N38" s="2453"/>
      <c r="O38" s="2595"/>
      <c r="P38" s="2453"/>
      <c r="Q38" s="2595"/>
      <c r="R38" s="2453"/>
      <c r="S38" s="2595"/>
    </row>
    <row r="39" spans="1:19" s="91" customFormat="1">
      <c r="A39" s="2568"/>
      <c r="B39" s="2545"/>
      <c r="C39" s="2445"/>
      <c r="D39" s="2433"/>
      <c r="E39" s="2433"/>
      <c r="F39" s="2433"/>
      <c r="G39" s="2432"/>
      <c r="H39" s="2427"/>
      <c r="I39" s="2590"/>
      <c r="J39" s="2427"/>
      <c r="K39" s="2560"/>
      <c r="L39" s="2427"/>
      <c r="M39" s="2560"/>
      <c r="N39" s="2427"/>
      <c r="O39" s="2560"/>
      <c r="P39" s="2427"/>
      <c r="Q39" s="2560"/>
      <c r="R39" s="2427"/>
      <c r="S39" s="2560"/>
    </row>
    <row r="40" spans="1:19" s="91" customFormat="1">
      <c r="A40" s="2568"/>
      <c r="B40" s="2596" t="s">
        <v>700</v>
      </c>
      <c r="C40" s="2455"/>
      <c r="D40" s="2597"/>
      <c r="E40" s="2597"/>
      <c r="F40" s="2597"/>
      <c r="G40" s="2598"/>
      <c r="H40" s="2459"/>
      <c r="I40" s="2599"/>
      <c r="J40" s="2459"/>
      <c r="K40" s="2600"/>
      <c r="L40" s="2459"/>
      <c r="M40" s="2600"/>
      <c r="N40" s="2459"/>
      <c r="O40" s="2600"/>
      <c r="P40" s="2459"/>
      <c r="Q40" s="2600"/>
      <c r="R40" s="2459"/>
      <c r="S40" s="2600"/>
    </row>
    <row r="41" spans="1:19" s="91" customFormat="1">
      <c r="A41" s="2568"/>
      <c r="B41" s="2545"/>
      <c r="C41" s="2445"/>
      <c r="D41" s="2433"/>
      <c r="E41" s="2433"/>
      <c r="F41" s="2433"/>
      <c r="G41" s="2432"/>
      <c r="H41" s="2427"/>
      <c r="I41" s="2590"/>
      <c r="J41" s="2427"/>
      <c r="K41" s="2560"/>
      <c r="L41" s="2427"/>
      <c r="M41" s="2560"/>
      <c r="N41" s="2427"/>
      <c r="O41" s="2560"/>
      <c r="P41" s="2427"/>
      <c r="Q41" s="2560"/>
      <c r="R41" s="2427"/>
      <c r="S41" s="2560"/>
    </row>
    <row r="42" spans="1:19" s="91" customFormat="1">
      <c r="A42" s="2568"/>
      <c r="B42" s="2591" t="s">
        <v>703</v>
      </c>
      <c r="C42" s="2449"/>
      <c r="D42" s="2592"/>
      <c r="E42" s="2592"/>
      <c r="F42" s="2592"/>
      <c r="G42" s="2593"/>
      <c r="H42" s="2453"/>
      <c r="I42" s="2594"/>
      <c r="J42" s="2453"/>
      <c r="K42" s="2595"/>
      <c r="L42" s="2453"/>
      <c r="M42" s="2595"/>
      <c r="N42" s="2453"/>
      <c r="O42" s="2595"/>
      <c r="P42" s="2453"/>
      <c r="Q42" s="2595"/>
      <c r="R42" s="2453"/>
      <c r="S42" s="2595"/>
    </row>
    <row r="43" spans="1:19" s="91" customFormat="1">
      <c r="A43" s="2568"/>
      <c r="B43" s="2545"/>
      <c r="C43" s="2445"/>
      <c r="D43" s="2433"/>
      <c r="E43" s="2433"/>
      <c r="F43" s="2433"/>
      <c r="G43" s="2432"/>
      <c r="H43" s="2427"/>
      <c r="I43" s="2590"/>
      <c r="J43" s="2427"/>
      <c r="K43" s="2560"/>
      <c r="L43" s="2427"/>
      <c r="M43" s="2560"/>
      <c r="N43" s="2427"/>
      <c r="O43" s="2560"/>
      <c r="P43" s="2427"/>
      <c r="Q43" s="2560"/>
      <c r="R43" s="2427"/>
      <c r="S43" s="2560"/>
    </row>
    <row r="44" spans="1:19" s="91" customFormat="1">
      <c r="A44" s="2568"/>
      <c r="B44" s="2596" t="s">
        <v>704</v>
      </c>
      <c r="C44" s="2455"/>
      <c r="D44" s="2597"/>
      <c r="E44" s="2597"/>
      <c r="F44" s="2597"/>
      <c r="G44" s="2598"/>
      <c r="H44" s="2459"/>
      <c r="I44" s="2599"/>
      <c r="J44" s="2459"/>
      <c r="K44" s="2600"/>
      <c r="L44" s="2459"/>
      <c r="M44" s="2600"/>
      <c r="N44" s="2459"/>
      <c r="O44" s="2600"/>
      <c r="P44" s="2459"/>
      <c r="Q44" s="2600"/>
      <c r="R44" s="2459"/>
      <c r="S44" s="2600"/>
    </row>
    <row r="45" spans="1:19" s="91" customFormat="1">
      <c r="A45" s="2568"/>
      <c r="B45" s="2545"/>
      <c r="C45" s="2445"/>
      <c r="D45" s="2433"/>
      <c r="E45" s="2433"/>
      <c r="F45" s="2433"/>
      <c r="G45" s="2432"/>
      <c r="H45" s="2427"/>
      <c r="I45" s="2590"/>
      <c r="J45" s="2427"/>
      <c r="K45" s="2560"/>
      <c r="L45" s="2427"/>
      <c r="M45" s="2560"/>
      <c r="N45" s="2427"/>
      <c r="O45" s="2560"/>
      <c r="P45" s="2427"/>
      <c r="Q45" s="2560"/>
      <c r="R45" s="2427"/>
      <c r="S45" s="2560"/>
    </row>
    <row r="46" spans="1:19" s="91" customFormat="1">
      <c r="A46" s="2568"/>
      <c r="B46" s="2591" t="s">
        <v>705</v>
      </c>
      <c r="C46" s="2449"/>
      <c r="D46" s="2592"/>
      <c r="E46" s="2592"/>
      <c r="F46" s="2592"/>
      <c r="G46" s="2593"/>
      <c r="H46" s="2453"/>
      <c r="I46" s="2594"/>
      <c r="J46" s="2453"/>
      <c r="K46" s="2595"/>
      <c r="L46" s="2453"/>
      <c r="M46" s="2595"/>
      <c r="N46" s="2453"/>
      <c r="O46" s="2595"/>
      <c r="P46" s="2453"/>
      <c r="Q46" s="2595"/>
      <c r="R46" s="2453"/>
      <c r="S46" s="2595"/>
    </row>
    <row r="47" spans="1:19" s="91" customFormat="1">
      <c r="A47" s="2568"/>
      <c r="B47" s="2545"/>
      <c r="C47" s="2445"/>
      <c r="D47" s="2433"/>
      <c r="E47" s="2433"/>
      <c r="F47" s="2433"/>
      <c r="G47" s="2432"/>
      <c r="H47" s="2427"/>
      <c r="I47" s="2590"/>
      <c r="J47" s="2427"/>
      <c r="K47" s="2560"/>
      <c r="L47" s="2427"/>
      <c r="M47" s="2560"/>
      <c r="N47" s="2427"/>
      <c r="O47" s="2560"/>
      <c r="P47" s="2427"/>
      <c r="Q47" s="2560"/>
      <c r="R47" s="2427"/>
      <c r="S47" s="2560"/>
    </row>
    <row r="48" spans="1:19" s="91" customFormat="1">
      <c r="A48" s="2568"/>
      <c r="B48" s="2601" t="s">
        <v>602</v>
      </c>
      <c r="C48" s="2455"/>
      <c r="D48" s="2597"/>
      <c r="E48" s="2597"/>
      <c r="F48" s="2597"/>
      <c r="G48" s="2598"/>
      <c r="H48" s="2459"/>
      <c r="I48" s="2599"/>
      <c r="J48" s="2459"/>
      <c r="K48" s="2600"/>
      <c r="L48" s="2459"/>
      <c r="M48" s="2600"/>
      <c r="N48" s="2459"/>
      <c r="O48" s="2600"/>
      <c r="P48" s="2459"/>
      <c r="Q48" s="2600"/>
      <c r="R48" s="2459"/>
      <c r="S48" s="2600"/>
    </row>
    <row r="49" spans="1:19" s="91" customFormat="1">
      <c r="A49" s="2568"/>
      <c r="B49" s="2545"/>
      <c r="C49" s="2445"/>
      <c r="D49" s="2433"/>
      <c r="E49" s="2433"/>
      <c r="F49" s="2433"/>
      <c r="G49" s="2432"/>
      <c r="H49" s="2427"/>
      <c r="I49" s="2590"/>
      <c r="J49" s="2427"/>
      <c r="K49" s="2560"/>
      <c r="L49" s="2427"/>
      <c r="M49" s="2560"/>
      <c r="N49" s="2427"/>
      <c r="O49" s="2560"/>
      <c r="P49" s="2427"/>
      <c r="Q49" s="2560"/>
      <c r="R49" s="2427"/>
      <c r="S49" s="2560"/>
    </row>
    <row r="50" spans="1:19" s="91" customFormat="1">
      <c r="A50" s="2568"/>
      <c r="B50" s="2545"/>
      <c r="C50" s="2445"/>
      <c r="D50" s="2433"/>
      <c r="E50" s="2433"/>
      <c r="F50" s="2433"/>
      <c r="G50" s="2432"/>
      <c r="H50" s="2427"/>
      <c r="I50" s="2590"/>
      <c r="J50" s="2427"/>
      <c r="K50" s="2560"/>
      <c r="L50" s="2427"/>
      <c r="M50" s="2560"/>
      <c r="N50" s="2427"/>
      <c r="O50" s="2560"/>
      <c r="P50" s="2427"/>
      <c r="Q50" s="2560"/>
      <c r="R50" s="2427"/>
      <c r="S50" s="2560"/>
    </row>
    <row r="51" spans="1:19" s="91" customFormat="1">
      <c r="A51" s="2568"/>
      <c r="B51" s="2545"/>
      <c r="C51" s="2445"/>
      <c r="D51" s="2433"/>
      <c r="E51" s="2433"/>
      <c r="F51" s="2433"/>
      <c r="G51" s="2432"/>
      <c r="H51" s="2427"/>
      <c r="I51" s="2590"/>
      <c r="J51" s="2427"/>
      <c r="K51" s="2560"/>
      <c r="L51" s="2427"/>
      <c r="M51" s="2560"/>
      <c r="N51" s="2427"/>
      <c r="O51" s="2560"/>
      <c r="P51" s="2427"/>
      <c r="Q51" s="2560"/>
      <c r="R51" s="2427"/>
      <c r="S51" s="2560"/>
    </row>
    <row r="52" spans="1:19" s="91" customFormat="1">
      <c r="A52" s="2568"/>
      <c r="B52" s="2545"/>
      <c r="C52" s="2445"/>
      <c r="D52" s="2433"/>
      <c r="E52" s="2433"/>
      <c r="F52" s="2433"/>
      <c r="G52" s="2432"/>
      <c r="H52" s="2427"/>
      <c r="I52" s="2590"/>
      <c r="J52" s="2427"/>
      <c r="K52" s="2560"/>
      <c r="L52" s="2427"/>
      <c r="M52" s="2560"/>
      <c r="N52" s="2427"/>
      <c r="O52" s="2560"/>
      <c r="P52" s="2427"/>
      <c r="Q52" s="2560"/>
      <c r="R52" s="2427"/>
      <c r="S52" s="2560"/>
    </row>
    <row r="53" spans="1:19" s="91" customFormat="1">
      <c r="A53" s="2568"/>
      <c r="B53" s="2545"/>
      <c r="C53" s="2445"/>
      <c r="D53" s="2433"/>
      <c r="E53" s="2433"/>
      <c r="F53" s="2433"/>
      <c r="G53" s="2432"/>
      <c r="H53" s="2427"/>
      <c r="I53" s="2590"/>
      <c r="J53" s="2427"/>
      <c r="K53" s="2560"/>
      <c r="L53" s="2427"/>
      <c r="M53" s="2560"/>
      <c r="N53" s="2427"/>
      <c r="O53" s="2560"/>
      <c r="P53" s="2427"/>
      <c r="Q53" s="2560"/>
      <c r="R53" s="2427"/>
      <c r="S53" s="2560"/>
    </row>
    <row r="54" spans="1:19" s="91" customFormat="1">
      <c r="A54" s="2568"/>
      <c r="B54" s="2545"/>
      <c r="C54" s="2445"/>
      <c r="D54" s="2433"/>
      <c r="E54" s="2433"/>
      <c r="F54" s="2433"/>
      <c r="G54" s="2432"/>
      <c r="H54" s="2427"/>
      <c r="I54" s="2590"/>
      <c r="J54" s="2427"/>
      <c r="K54" s="2560"/>
      <c r="L54" s="2427"/>
      <c r="M54" s="2560"/>
      <c r="N54" s="2427"/>
      <c r="O54" s="2560"/>
      <c r="P54" s="2427"/>
      <c r="Q54" s="2560"/>
      <c r="R54" s="2427"/>
      <c r="S54" s="2560"/>
    </row>
    <row r="55" spans="1:19" s="91" customFormat="1">
      <c r="A55" s="2568"/>
      <c r="B55" s="2545"/>
      <c r="C55" s="2445"/>
      <c r="D55" s="2433"/>
      <c r="E55" s="2433"/>
      <c r="F55" s="2433"/>
      <c r="G55" s="2432"/>
      <c r="H55" s="2427"/>
      <c r="I55" s="2590"/>
      <c r="J55" s="2427"/>
      <c r="K55" s="2560"/>
      <c r="L55" s="2427"/>
      <c r="M55" s="2560"/>
      <c r="N55" s="2427"/>
      <c r="O55" s="2560"/>
      <c r="P55" s="2427"/>
      <c r="Q55" s="2560"/>
      <c r="R55" s="2427"/>
      <c r="S55" s="2560"/>
    </row>
    <row r="56" spans="1:19" s="91" customFormat="1">
      <c r="A56" s="2568"/>
      <c r="B56" s="2545"/>
      <c r="C56" s="2445"/>
      <c r="D56" s="2433"/>
      <c r="E56" s="2546"/>
      <c r="F56" s="2547"/>
      <c r="G56" s="2432"/>
      <c r="H56" s="2427"/>
      <c r="I56" s="2590"/>
      <c r="J56" s="2427"/>
      <c r="K56" s="2560"/>
      <c r="L56" s="2427"/>
      <c r="M56" s="2560"/>
      <c r="N56" s="2427"/>
      <c r="O56" s="2560"/>
      <c r="P56" s="2427"/>
      <c r="Q56" s="2560"/>
      <c r="R56" s="2427"/>
      <c r="S56" s="2560"/>
    </row>
    <row r="57" spans="1:19" s="91" customFormat="1">
      <c r="A57" s="2568"/>
      <c r="B57" s="2545"/>
      <c r="C57" s="2445"/>
      <c r="D57" s="2433"/>
      <c r="E57" s="2546"/>
      <c r="F57" s="2547"/>
      <c r="G57" s="2432"/>
      <c r="H57" s="2427"/>
      <c r="I57" s="2590"/>
      <c r="J57" s="2427"/>
      <c r="K57" s="2560"/>
      <c r="L57" s="2427"/>
      <c r="M57" s="2560"/>
      <c r="N57" s="2427"/>
      <c r="O57" s="2560"/>
      <c r="P57" s="2427"/>
      <c r="Q57" s="2560"/>
      <c r="R57" s="2427"/>
      <c r="S57" s="2560"/>
    </row>
    <row r="58" spans="1:19" s="91" customFormat="1">
      <c r="A58" s="2568"/>
      <c r="B58" s="2545"/>
      <c r="C58" s="2445"/>
      <c r="D58" s="2433"/>
      <c r="E58" s="2546"/>
      <c r="F58" s="2547"/>
      <c r="G58" s="2432"/>
      <c r="H58" s="2427"/>
      <c r="I58" s="2590"/>
      <c r="J58" s="2427"/>
      <c r="K58" s="2560"/>
      <c r="L58" s="2427"/>
      <c r="M58" s="2560"/>
      <c r="N58" s="2427"/>
      <c r="O58" s="2560"/>
      <c r="P58" s="2427"/>
      <c r="Q58" s="2560"/>
      <c r="R58" s="2427"/>
      <c r="S58" s="2560"/>
    </row>
    <row r="59" spans="1:19" s="91" customFormat="1">
      <c r="A59" s="2568"/>
      <c r="B59" s="2569"/>
      <c r="C59" s="2445"/>
      <c r="D59" s="2433"/>
      <c r="E59" s="2546"/>
      <c r="F59" s="2547"/>
      <c r="G59" s="2432"/>
      <c r="H59" s="2427"/>
      <c r="I59" s="2590"/>
      <c r="J59" s="2427"/>
      <c r="K59" s="2560"/>
      <c r="L59" s="2427"/>
      <c r="M59" s="2560"/>
      <c r="N59" s="2427"/>
      <c r="O59" s="2560"/>
      <c r="P59" s="2427"/>
      <c r="Q59" s="2560"/>
      <c r="R59" s="2427"/>
      <c r="S59" s="2560"/>
    </row>
    <row r="60" spans="1:19" s="91" customFormat="1">
      <c r="A60" s="2568"/>
      <c r="B60" s="2570"/>
      <c r="C60" s="2445"/>
      <c r="D60" s="2433"/>
      <c r="E60" s="2546"/>
      <c r="F60" s="2547"/>
      <c r="G60" s="2432"/>
      <c r="H60" s="2427"/>
      <c r="I60" s="2590"/>
      <c r="J60" s="2427"/>
      <c r="K60" s="2560"/>
      <c r="L60" s="2427"/>
      <c r="M60" s="2560"/>
      <c r="N60" s="2427"/>
      <c r="O60" s="2560"/>
      <c r="P60" s="2427"/>
      <c r="Q60" s="2560"/>
      <c r="R60" s="2427"/>
      <c r="S60" s="2560"/>
    </row>
    <row r="61" spans="1:19" s="91" customFormat="1">
      <c r="A61" s="2568"/>
      <c r="B61" s="152"/>
      <c r="C61" s="2445"/>
      <c r="D61" s="2433"/>
      <c r="E61" s="2546"/>
      <c r="F61" s="2547"/>
      <c r="G61" s="2432"/>
      <c r="H61" s="2427"/>
      <c r="I61" s="2590"/>
      <c r="J61" s="2427"/>
      <c r="K61" s="2560"/>
      <c r="L61" s="2427"/>
      <c r="M61" s="2560"/>
      <c r="N61" s="2427"/>
      <c r="O61" s="2560"/>
      <c r="P61" s="2427"/>
      <c r="Q61" s="2560"/>
      <c r="R61" s="2427"/>
      <c r="S61" s="2560"/>
    </row>
    <row r="62" spans="1:19" s="91" customFormat="1">
      <c r="A62" s="2568"/>
      <c r="B62" s="2545"/>
      <c r="C62" s="2445"/>
      <c r="D62" s="2433"/>
      <c r="E62" s="2546"/>
      <c r="F62" s="2547"/>
      <c r="G62" s="2432"/>
      <c r="H62" s="2427"/>
      <c r="I62" s="2590"/>
      <c r="J62" s="2427"/>
      <c r="K62" s="2560"/>
      <c r="L62" s="2427"/>
      <c r="M62" s="2560"/>
      <c r="N62" s="2427"/>
      <c r="O62" s="2560"/>
      <c r="P62" s="2427"/>
      <c r="Q62" s="2560"/>
      <c r="R62" s="2427"/>
      <c r="S62" s="2560"/>
    </row>
    <row r="63" spans="1:19" s="91" customFormat="1">
      <c r="A63" s="2568"/>
      <c r="B63" s="2545"/>
      <c r="C63" s="2445"/>
      <c r="D63" s="2433"/>
      <c r="E63" s="2546"/>
      <c r="F63" s="2547"/>
      <c r="G63" s="2432"/>
      <c r="H63" s="2427"/>
      <c r="I63" s="2590"/>
      <c r="J63" s="2427"/>
      <c r="K63" s="2560"/>
      <c r="L63" s="2427"/>
      <c r="M63" s="2560"/>
      <c r="N63" s="2427"/>
      <c r="O63" s="2560"/>
      <c r="P63" s="2427"/>
      <c r="Q63" s="2560"/>
      <c r="R63" s="2427"/>
      <c r="S63" s="2560"/>
    </row>
    <row r="64" spans="1:19" s="91" customFormat="1">
      <c r="A64" s="2568"/>
      <c r="B64" s="2545"/>
      <c r="C64" s="2445"/>
      <c r="D64" s="2433"/>
      <c r="E64" s="2546"/>
      <c r="F64" s="2547"/>
      <c r="G64" s="2432"/>
      <c r="H64" s="2427"/>
      <c r="I64" s="2590"/>
      <c r="J64" s="2427"/>
      <c r="K64" s="2560"/>
      <c r="L64" s="2427"/>
      <c r="M64" s="2560"/>
      <c r="N64" s="2427"/>
      <c r="O64" s="2560"/>
      <c r="P64" s="2427"/>
      <c r="Q64" s="2560"/>
      <c r="R64" s="2427"/>
      <c r="S64" s="2560"/>
    </row>
    <row r="65" spans="1:19" s="91" customFormat="1">
      <c r="A65" s="2568"/>
      <c r="B65" s="2545"/>
      <c r="C65" s="2445"/>
      <c r="D65" s="2433"/>
      <c r="E65" s="2546"/>
      <c r="F65" s="2547"/>
      <c r="G65" s="2432"/>
      <c r="H65" s="2427"/>
      <c r="I65" s="2590"/>
      <c r="J65" s="2427"/>
      <c r="K65" s="2560"/>
      <c r="L65" s="2427"/>
      <c r="M65" s="2560"/>
      <c r="N65" s="2427"/>
      <c r="O65" s="2560"/>
      <c r="P65" s="2427"/>
      <c r="Q65" s="2560"/>
      <c r="R65" s="2427"/>
      <c r="S65" s="2560"/>
    </row>
    <row r="66" spans="1:19" s="91" customFormat="1">
      <c r="A66" s="2568"/>
      <c r="B66" s="2545"/>
      <c r="C66" s="2445"/>
      <c r="D66" s="2433"/>
      <c r="E66" s="2546"/>
      <c r="F66" s="2547"/>
      <c r="G66" s="2432"/>
      <c r="H66" s="2427"/>
      <c r="I66" s="2590"/>
      <c r="J66" s="2427"/>
      <c r="K66" s="2560"/>
      <c r="L66" s="2427"/>
      <c r="M66" s="2560"/>
      <c r="N66" s="2427"/>
      <c r="O66" s="2560"/>
      <c r="P66" s="2427"/>
      <c r="Q66" s="2560"/>
      <c r="R66" s="2427"/>
      <c r="S66" s="2560"/>
    </row>
    <row r="67" spans="1:19" s="91" customFormat="1">
      <c r="A67" s="2568"/>
      <c r="B67" s="2545"/>
      <c r="C67" s="2445"/>
      <c r="D67" s="2433"/>
      <c r="E67" s="2546"/>
      <c r="F67" s="2547"/>
      <c r="G67" s="2432"/>
      <c r="H67" s="2427"/>
      <c r="I67" s="2590"/>
      <c r="J67" s="2427"/>
      <c r="K67" s="2560"/>
      <c r="L67" s="2427"/>
      <c r="M67" s="2560"/>
      <c r="N67" s="2427"/>
      <c r="O67" s="2560"/>
      <c r="P67" s="2427"/>
      <c r="Q67" s="2560"/>
      <c r="R67" s="2427"/>
      <c r="S67" s="2560"/>
    </row>
    <row r="68" spans="1:19" s="91" customFormat="1">
      <c r="A68" s="2568"/>
      <c r="B68" s="2545"/>
      <c r="C68" s="2445"/>
      <c r="D68" s="2433"/>
      <c r="E68" s="2546"/>
      <c r="F68" s="2547"/>
      <c r="G68" s="2432"/>
      <c r="H68" s="2427"/>
      <c r="I68" s="2590"/>
      <c r="J68" s="2427"/>
      <c r="K68" s="2560"/>
      <c r="L68" s="2427"/>
      <c r="M68" s="2560"/>
      <c r="N68" s="2427"/>
      <c r="O68" s="2560"/>
      <c r="P68" s="2427"/>
      <c r="Q68" s="2560"/>
      <c r="R68" s="2427"/>
      <c r="S68" s="2560"/>
    </row>
    <row r="69" spans="1:19" s="91" customFormat="1">
      <c r="A69" s="2568"/>
      <c r="B69" s="2545"/>
      <c r="C69" s="2445"/>
      <c r="D69" s="2433"/>
      <c r="E69" s="2546"/>
      <c r="F69" s="2547"/>
      <c r="G69" s="2432"/>
      <c r="H69" s="2427"/>
      <c r="I69" s="2590"/>
      <c r="J69" s="2427"/>
      <c r="K69" s="2560"/>
      <c r="L69" s="2427"/>
      <c r="M69" s="2560"/>
      <c r="N69" s="2427"/>
      <c r="O69" s="2560"/>
      <c r="P69" s="2427"/>
      <c r="Q69" s="2560"/>
      <c r="R69" s="2427"/>
      <c r="S69" s="2560"/>
    </row>
    <row r="70" spans="1:19" s="91" customFormat="1">
      <c r="A70" s="2568"/>
      <c r="B70" s="2545"/>
      <c r="C70" s="2445"/>
      <c r="D70" s="2433"/>
      <c r="E70" s="2546"/>
      <c r="F70" s="2547"/>
      <c r="G70" s="2432"/>
      <c r="H70" s="2427"/>
      <c r="I70" s="2590"/>
      <c r="J70" s="2427"/>
      <c r="K70" s="2560"/>
      <c r="L70" s="2427"/>
      <c r="M70" s="2560"/>
      <c r="N70" s="2427"/>
      <c r="O70" s="2560"/>
      <c r="P70" s="2427"/>
      <c r="Q70" s="2560"/>
      <c r="R70" s="2427"/>
      <c r="S70" s="2560"/>
    </row>
    <row r="71" spans="1:19" s="91" customFormat="1">
      <c r="A71" s="2568"/>
      <c r="B71" s="2545"/>
      <c r="C71" s="2445"/>
      <c r="D71" s="2433"/>
      <c r="E71" s="2546"/>
      <c r="F71" s="2547"/>
      <c r="G71" s="2432"/>
      <c r="H71" s="2427"/>
      <c r="I71" s="2590"/>
      <c r="J71" s="2427"/>
      <c r="K71" s="2560"/>
      <c r="L71" s="2427"/>
      <c r="M71" s="2560"/>
      <c r="N71" s="2427"/>
      <c r="O71" s="2560"/>
      <c r="P71" s="2427"/>
      <c r="Q71" s="2560"/>
      <c r="R71" s="2427"/>
      <c r="S71" s="2560"/>
    </row>
    <row r="72" spans="1:19" s="91" customFormat="1" ht="15.75" thickBot="1">
      <c r="A72" s="2568"/>
      <c r="B72" s="2545"/>
      <c r="C72" s="2445"/>
      <c r="D72" s="2433"/>
      <c r="E72" s="2546"/>
      <c r="F72" s="2547"/>
      <c r="G72" s="2432"/>
      <c r="H72" s="2427"/>
      <c r="I72" s="2590"/>
      <c r="J72" s="2427"/>
      <c r="K72" s="2560"/>
      <c r="L72" s="2427"/>
      <c r="M72" s="2560"/>
      <c r="N72" s="2427"/>
      <c r="O72" s="2560"/>
      <c r="P72" s="2427"/>
      <c r="Q72" s="2560"/>
      <c r="R72" s="2427"/>
      <c r="S72" s="2560"/>
    </row>
    <row r="73" spans="1:19" ht="15.75" thickTop="1">
      <c r="A73" s="14"/>
      <c r="B73" s="15"/>
      <c r="C73" s="16"/>
      <c r="D73" s="16"/>
      <c r="E73" s="17"/>
      <c r="F73" s="18" t="s">
        <v>567</v>
      </c>
      <c r="G73" s="19"/>
      <c r="H73" s="20"/>
      <c r="I73" s="61">
        <f>SUM(I24:I72)</f>
        <v>0</v>
      </c>
      <c r="J73" s="20"/>
      <c r="K73" s="61">
        <f>SUM(K24:K72)</f>
        <v>0</v>
      </c>
      <c r="L73" s="20"/>
      <c r="M73" s="61">
        <f>SUM(M24:M72)</f>
        <v>0</v>
      </c>
      <c r="N73" s="20"/>
      <c r="O73" s="61">
        <f>SUM(O24:O72)</f>
        <v>0</v>
      </c>
      <c r="P73" s="20"/>
      <c r="Q73" s="61">
        <f>SUM(Q24:Q72)</f>
        <v>0</v>
      </c>
      <c r="R73" s="20"/>
      <c r="S73" s="61">
        <f>SUM(S24:S72)</f>
        <v>0</v>
      </c>
    </row>
    <row r="74" spans="1:19">
      <c r="A74" s="2358"/>
      <c r="B74" s="2359"/>
      <c r="C74" s="2360"/>
      <c r="D74" s="2360"/>
      <c r="E74" s="2361"/>
      <c r="F74" s="2362" t="s">
        <v>568</v>
      </c>
      <c r="G74" s="2363"/>
      <c r="H74" s="2364">
        <v>0</v>
      </c>
      <c r="I74" s="2460"/>
      <c r="J74" s="2364">
        <v>0</v>
      </c>
      <c r="K74" s="2460"/>
      <c r="L74" s="2364">
        <v>0</v>
      </c>
      <c r="M74" s="2460"/>
      <c r="N74" s="2364">
        <v>0</v>
      </c>
      <c r="O74" s="2460"/>
      <c r="P74" s="2364">
        <v>0</v>
      </c>
      <c r="Q74" s="2460"/>
      <c r="R74" s="2364">
        <v>0</v>
      </c>
      <c r="S74" s="2460"/>
    </row>
    <row r="75" spans="1:19">
      <c r="A75" s="2358"/>
      <c r="B75" s="2359"/>
      <c r="C75" s="2360"/>
      <c r="D75" s="2360"/>
      <c r="E75" s="2361"/>
      <c r="F75" s="2362" t="s">
        <v>569</v>
      </c>
      <c r="G75" s="2363"/>
      <c r="H75" s="2366"/>
      <c r="I75" s="2462">
        <f>H74*I73</f>
        <v>0</v>
      </c>
      <c r="J75" s="2366"/>
      <c r="K75" s="2462">
        <f>J74*K73</f>
        <v>0</v>
      </c>
      <c r="L75" s="2366"/>
      <c r="M75" s="2462">
        <f>L74*M73</f>
        <v>0</v>
      </c>
      <c r="N75" s="2366"/>
      <c r="O75" s="2462">
        <f>N74*O73</f>
        <v>0</v>
      </c>
      <c r="P75" s="2366"/>
      <c r="Q75" s="2462">
        <f>P74*Q73</f>
        <v>0</v>
      </c>
      <c r="R75" s="2366"/>
      <c r="S75" s="2462">
        <f>R74*S73</f>
        <v>0</v>
      </c>
    </row>
    <row r="76" spans="1:19">
      <c r="A76" s="2358"/>
      <c r="B76" s="2359"/>
      <c r="C76" s="2360"/>
      <c r="D76" s="2360"/>
      <c r="E76" s="2361"/>
      <c r="F76" s="2362"/>
      <c r="G76" s="2363"/>
      <c r="H76" s="2366"/>
      <c r="I76" s="2464"/>
      <c r="J76" s="2366"/>
      <c r="K76" s="2464"/>
      <c r="L76" s="2366"/>
      <c r="M76" s="2464"/>
      <c r="N76" s="2366"/>
      <c r="O76" s="2464"/>
      <c r="P76" s="2366"/>
      <c r="Q76" s="2464"/>
      <c r="R76" s="2366"/>
      <c r="S76" s="2464"/>
    </row>
    <row r="77" spans="1:19">
      <c r="A77" s="2358"/>
      <c r="B77" s="2359"/>
      <c r="C77" s="2360"/>
      <c r="D77" s="2360"/>
      <c r="E77" s="2361"/>
      <c r="F77" s="2362" t="s">
        <v>570</v>
      </c>
      <c r="G77" s="2363"/>
      <c r="H77" s="2368"/>
      <c r="I77" s="2465">
        <f>SUM(I73:I75)</f>
        <v>0</v>
      </c>
      <c r="J77" s="2368"/>
      <c r="K77" s="2465">
        <f>SUM(K73:K75)</f>
        <v>0</v>
      </c>
      <c r="L77" s="2368"/>
      <c r="M77" s="2465">
        <f>SUM(M73:M75)</f>
        <v>0</v>
      </c>
      <c r="N77" s="2368"/>
      <c r="O77" s="2465">
        <f>SUM(O73:O75)</f>
        <v>0</v>
      </c>
      <c r="P77" s="2368"/>
      <c r="Q77" s="2465">
        <f>SUM(Q73:Q75)</f>
        <v>0</v>
      </c>
      <c r="R77" s="2368"/>
      <c r="S77" s="2465">
        <f>SUM(S73:S75)</f>
        <v>0</v>
      </c>
    </row>
    <row r="78" spans="1:19">
      <c r="A78" s="2358"/>
      <c r="B78" s="2359"/>
      <c r="C78" s="2360"/>
      <c r="D78" s="2360"/>
      <c r="E78" s="2361"/>
      <c r="F78" s="2370" t="s">
        <v>571</v>
      </c>
      <c r="G78" s="2371"/>
      <c r="H78" s="2372"/>
      <c r="I78" s="2373" t="e">
        <f>I77/'Area Calculations'!$J$4</f>
        <v>#DIV/0!</v>
      </c>
      <c r="J78" s="2372"/>
      <c r="K78" s="2373" t="e">
        <f>K77/'Area Calculations'!$J$4</f>
        <v>#DIV/0!</v>
      </c>
      <c r="L78" s="2372"/>
      <c r="M78" s="2373" t="e">
        <f>M77/'Area Calculations'!$J$4</f>
        <v>#DIV/0!</v>
      </c>
      <c r="N78" s="2372"/>
      <c r="O78" s="2373" t="e">
        <f>O77/'Area Calculations'!$J$4</f>
        <v>#DIV/0!</v>
      </c>
      <c r="P78" s="2372"/>
      <c r="Q78" s="2373" t="e">
        <f>Q77/'Area Calculations'!$J$4</f>
        <v>#DIV/0!</v>
      </c>
      <c r="R78" s="2372"/>
      <c r="S78" s="2373" t="e">
        <f>S77/'Area Calculations'!$J$4</f>
        <v>#DIV/0!</v>
      </c>
    </row>
    <row r="79" spans="1:19">
      <c r="A79" s="2358"/>
      <c r="B79" s="2359"/>
      <c r="C79" s="2360"/>
      <c r="D79" s="2360"/>
      <c r="E79" s="2361"/>
      <c r="F79" s="2370" t="s">
        <v>572</v>
      </c>
      <c r="G79" s="2374"/>
      <c r="H79" s="2372"/>
      <c r="I79" s="2373" t="e">
        <f>I77/'Area Calculations'!#REF!</f>
        <v>#REF!</v>
      </c>
      <c r="J79" s="2372"/>
      <c r="K79" s="2373" t="e">
        <f>K77/'Area Calculations'!#REF!</f>
        <v>#REF!</v>
      </c>
      <c r="L79" s="2372"/>
      <c r="M79" s="2373" t="e">
        <f>M77/'Area Calculations'!#REF!</f>
        <v>#REF!</v>
      </c>
      <c r="N79" s="2372"/>
      <c r="O79" s="2373" t="e">
        <f>O77/'Area Calculations'!#REF!</f>
        <v>#REF!</v>
      </c>
      <c r="P79" s="2372"/>
      <c r="Q79" s="2373" t="e">
        <f>Q77/'Area Calculations'!#REF!</f>
        <v>#REF!</v>
      </c>
      <c r="R79" s="2372"/>
      <c r="S79" s="2373" t="e">
        <f>S77/'Area Calculations'!#REF!</f>
        <v>#REF!</v>
      </c>
    </row>
    <row r="80" spans="1:19" ht="15.75" thickBot="1">
      <c r="A80" s="2358"/>
      <c r="B80" s="2359"/>
      <c r="C80" s="2360"/>
      <c r="D80" s="2360"/>
      <c r="E80" s="2361"/>
      <c r="F80" s="2362"/>
      <c r="G80" s="2375"/>
      <c r="H80" s="2376"/>
      <c r="I80" s="2377"/>
      <c r="J80" s="2378"/>
      <c r="K80" s="2378"/>
      <c r="L80" s="2378"/>
      <c r="M80" s="2378"/>
      <c r="N80" s="2378"/>
      <c r="O80" s="2378"/>
      <c r="P80" s="2378"/>
      <c r="Q80" s="2378"/>
      <c r="R80" s="2378"/>
      <c r="S80" s="2378"/>
    </row>
    <row r="81" spans="1:19" ht="16.5" thickTop="1" thickBot="1">
      <c r="A81" s="726" t="s">
        <v>573</v>
      </c>
      <c r="B81" s="727"/>
      <c r="C81" s="12"/>
      <c r="D81" s="12"/>
      <c r="E81" s="12"/>
      <c r="F81" s="12"/>
      <c r="G81" s="13"/>
      <c r="H81" s="21"/>
      <c r="I81" s="21"/>
      <c r="J81" s="21"/>
      <c r="K81" s="21"/>
      <c r="L81" s="21"/>
      <c r="M81" s="21"/>
      <c r="N81" s="21"/>
      <c r="O81" s="21"/>
      <c r="P81" s="21"/>
      <c r="Q81" s="21"/>
      <c r="R81" s="21"/>
      <c r="S81" s="21"/>
    </row>
    <row r="82" spans="1:19" ht="15.75" thickTop="1">
      <c r="A82" s="2469"/>
      <c r="B82" s="2404"/>
      <c r="C82" s="2470"/>
      <c r="D82" s="2470"/>
      <c r="E82" s="2470"/>
      <c r="F82" s="2470"/>
      <c r="G82" s="2471"/>
      <c r="H82" s="2472"/>
      <c r="I82" s="2472"/>
      <c r="J82" s="2472"/>
      <c r="K82" s="2472"/>
      <c r="L82" s="2472"/>
      <c r="M82" s="2472"/>
      <c r="N82" s="2472"/>
      <c r="O82" s="2472"/>
      <c r="P82" s="2472"/>
      <c r="Q82" s="2472"/>
      <c r="R82" s="2472"/>
      <c r="S82" s="2472"/>
    </row>
    <row r="83" spans="1:19" s="2" customFormat="1">
      <c r="A83" s="2469"/>
      <c r="B83" s="2404"/>
      <c r="C83" s="2470"/>
      <c r="D83" s="2470"/>
      <c r="E83" s="2470"/>
      <c r="F83" s="2470"/>
      <c r="G83" s="2471"/>
      <c r="H83" s="2472"/>
      <c r="I83" s="2472"/>
      <c r="J83" s="2472"/>
      <c r="K83" s="2472"/>
      <c r="L83" s="2472"/>
      <c r="M83" s="2472"/>
      <c r="N83" s="2472"/>
      <c r="O83" s="2472"/>
      <c r="P83" s="2472"/>
      <c r="Q83" s="2472"/>
      <c r="R83" s="2472"/>
      <c r="S83" s="2472"/>
    </row>
    <row r="84" spans="1:19" s="2" customFormat="1" ht="15.75" thickBot="1">
      <c r="A84" s="2469"/>
      <c r="B84" s="2404"/>
      <c r="C84" s="2470"/>
      <c r="D84" s="2470"/>
      <c r="E84" s="2470"/>
      <c r="F84" s="2470"/>
      <c r="G84" s="2471"/>
      <c r="H84" s="2472"/>
      <c r="I84" s="2472"/>
      <c r="J84" s="2472"/>
      <c r="K84" s="2472"/>
      <c r="L84" s="2472"/>
      <c r="M84" s="2472"/>
      <c r="N84" s="2472"/>
      <c r="O84" s="2472"/>
      <c r="P84" s="2472"/>
      <c r="Q84" s="2472"/>
      <c r="R84" s="2472"/>
      <c r="S84" s="2472"/>
    </row>
    <row r="85" spans="1:19" ht="16.5" thickTop="1" thickBot="1">
      <c r="A85" s="726" t="s">
        <v>574</v>
      </c>
      <c r="B85" s="727"/>
      <c r="C85" s="12"/>
      <c r="D85" s="12"/>
      <c r="E85" s="12"/>
      <c r="F85" s="12"/>
      <c r="G85" s="13"/>
      <c r="H85" s="21"/>
      <c r="I85" s="21"/>
      <c r="J85" s="21"/>
      <c r="K85" s="21"/>
      <c r="L85" s="21"/>
      <c r="M85" s="21"/>
      <c r="N85" s="21"/>
      <c r="O85" s="21"/>
      <c r="P85" s="21"/>
      <c r="Q85" s="21"/>
      <c r="R85" s="21"/>
      <c r="S85" s="21"/>
    </row>
    <row r="86" spans="1:19" s="2" customFormat="1" ht="15.75" thickTop="1">
      <c r="A86" s="2469"/>
      <c r="B86" s="2404"/>
      <c r="C86" s="2470"/>
      <c r="D86" s="2470"/>
      <c r="E86" s="2470"/>
      <c r="F86" s="2470"/>
      <c r="G86" s="2471"/>
      <c r="H86" s="2472"/>
      <c r="I86" s="2472"/>
      <c r="J86" s="2472"/>
      <c r="K86" s="2472"/>
      <c r="L86" s="2472"/>
      <c r="M86" s="2472"/>
      <c r="N86" s="2472"/>
      <c r="O86" s="2472"/>
      <c r="P86" s="2472"/>
      <c r="Q86" s="2472"/>
      <c r="R86" s="2472"/>
      <c r="S86" s="2472"/>
    </row>
    <row r="87" spans="1:19" s="2" customFormat="1">
      <c r="A87" s="2469"/>
      <c r="B87" s="2404"/>
      <c r="C87" s="2470"/>
      <c r="D87" s="2470"/>
      <c r="E87" s="2470"/>
      <c r="F87" s="2470"/>
      <c r="G87" s="2471"/>
      <c r="H87" s="2472"/>
      <c r="I87" s="2472"/>
      <c r="J87" s="2472"/>
      <c r="K87" s="2472"/>
      <c r="L87" s="2472"/>
      <c r="M87" s="2472"/>
      <c r="N87" s="2472"/>
      <c r="O87" s="2472"/>
      <c r="P87" s="2472"/>
      <c r="Q87" s="2472"/>
      <c r="R87" s="2472"/>
      <c r="S87" s="2472"/>
    </row>
    <row r="88" spans="1:19" ht="15.75" thickBot="1">
      <c r="A88" s="2469"/>
      <c r="B88" s="2404"/>
      <c r="C88" s="2470"/>
      <c r="D88" s="2470"/>
      <c r="E88" s="2470"/>
      <c r="F88" s="2470"/>
      <c r="G88" s="2471"/>
      <c r="H88" s="2472"/>
      <c r="I88" s="2472"/>
      <c r="J88" s="2472"/>
      <c r="K88" s="2472"/>
      <c r="L88" s="2472"/>
      <c r="M88" s="2472"/>
      <c r="N88" s="2472"/>
      <c r="O88" s="2472"/>
      <c r="P88" s="2472"/>
      <c r="Q88" s="2472"/>
      <c r="R88" s="2472"/>
      <c r="S88" s="2472"/>
    </row>
    <row r="89" spans="1:19" ht="16.5" thickTop="1" thickBot="1">
      <c r="A89" s="726" t="s">
        <v>575</v>
      </c>
      <c r="B89" s="727"/>
      <c r="C89" s="12"/>
      <c r="D89" s="12"/>
      <c r="E89" s="12"/>
      <c r="F89" s="12"/>
      <c r="G89" s="13"/>
      <c r="H89" s="21"/>
      <c r="I89" s="21"/>
      <c r="J89" s="21"/>
      <c r="K89" s="21"/>
      <c r="L89" s="21"/>
      <c r="M89" s="21"/>
      <c r="N89" s="21"/>
      <c r="O89" s="21"/>
      <c r="P89" s="21"/>
      <c r="Q89" s="21"/>
      <c r="R89" s="21"/>
      <c r="S89" s="21"/>
    </row>
    <row r="90" spans="1:19" ht="15.75" thickTop="1">
      <c r="A90" s="2469"/>
      <c r="B90" s="2404"/>
      <c r="C90" s="2470"/>
      <c r="D90" s="2470"/>
      <c r="E90" s="2470"/>
      <c r="F90" s="2470"/>
      <c r="G90" s="2471"/>
      <c r="H90" s="2472"/>
      <c r="I90" s="2472"/>
      <c r="J90" s="2472"/>
      <c r="K90" s="2472"/>
      <c r="L90" s="2472"/>
      <c r="M90" s="2472"/>
      <c r="N90" s="2472"/>
      <c r="O90" s="2472"/>
      <c r="P90" s="2472"/>
      <c r="Q90" s="2472"/>
      <c r="R90" s="2472"/>
      <c r="S90" s="2472"/>
    </row>
    <row r="91" spans="1:19">
      <c r="A91" s="2421"/>
      <c r="B91" s="2404"/>
      <c r="C91" s="2405"/>
      <c r="D91" s="2405"/>
      <c r="E91" s="2405"/>
      <c r="F91" s="2405"/>
      <c r="G91" s="2423"/>
      <c r="H91" s="2382"/>
      <c r="I91" s="2382"/>
      <c r="J91" s="2382"/>
      <c r="K91" s="2382"/>
      <c r="L91" s="2382"/>
      <c r="M91" s="2382"/>
      <c r="N91" s="2382"/>
      <c r="O91" s="2382"/>
      <c r="P91" s="2382"/>
      <c r="Q91" s="2382"/>
      <c r="R91" s="2382"/>
      <c r="S91" s="2382"/>
    </row>
    <row r="92" spans="1:19" ht="15.75" thickBot="1">
      <c r="A92" s="2383"/>
      <c r="B92" s="2384"/>
      <c r="C92" s="2405"/>
      <c r="D92" s="2405"/>
      <c r="E92" s="2405"/>
      <c r="F92" s="2405"/>
      <c r="G92" s="2423"/>
      <c r="H92" s="2385"/>
      <c r="I92" s="2385"/>
      <c r="J92" s="2385"/>
      <c r="K92" s="2385"/>
      <c r="L92" s="2385"/>
      <c r="M92" s="2385"/>
      <c r="N92" s="2385"/>
      <c r="O92" s="2385"/>
      <c r="P92" s="2385"/>
      <c r="Q92" s="2385"/>
      <c r="R92" s="2385"/>
      <c r="S92" s="2385"/>
    </row>
    <row r="93" spans="1:19" ht="16.5" thickTop="1" thickBot="1">
      <c r="A93" s="726" t="s">
        <v>576</v>
      </c>
      <c r="B93" s="727"/>
      <c r="C93" s="12"/>
      <c r="D93" s="12"/>
      <c r="E93" s="12"/>
      <c r="F93" s="12"/>
      <c r="G93" s="13"/>
      <c r="H93" s="21"/>
      <c r="I93" s="21"/>
      <c r="J93" s="21"/>
      <c r="K93" s="21"/>
      <c r="L93" s="21"/>
      <c r="M93" s="21"/>
      <c r="N93" s="21"/>
      <c r="O93" s="21"/>
      <c r="P93" s="21"/>
      <c r="Q93" s="21"/>
      <c r="R93" s="21"/>
      <c r="S93" s="21"/>
    </row>
    <row r="94" spans="1:19" ht="15.75" thickTop="1">
      <c r="A94" s="2476"/>
      <c r="B94" s="2477"/>
      <c r="C94" s="2470"/>
      <c r="D94" s="2470"/>
      <c r="E94" s="2470"/>
      <c r="F94" s="2470"/>
      <c r="G94" s="2471"/>
      <c r="H94" s="2472"/>
      <c r="I94" s="2472"/>
      <c r="J94" s="2472"/>
      <c r="K94" s="2472"/>
      <c r="L94" s="2472"/>
      <c r="M94" s="2472"/>
      <c r="N94" s="2472"/>
      <c r="O94" s="2472"/>
      <c r="P94" s="2472"/>
      <c r="Q94" s="2472"/>
      <c r="R94" s="2472"/>
      <c r="S94" s="2472"/>
    </row>
    <row r="95" spans="1:19">
      <c r="A95" s="2383"/>
      <c r="B95" s="2384"/>
      <c r="C95" s="2405"/>
      <c r="D95" s="2405"/>
      <c r="E95" s="2405"/>
      <c r="F95" s="2405"/>
      <c r="G95" s="2423"/>
      <c r="H95" s="2388"/>
      <c r="I95" s="2388"/>
      <c r="J95" s="2388"/>
      <c r="K95" s="2388"/>
      <c r="L95" s="2388"/>
      <c r="M95" s="2388"/>
      <c r="N95" s="2388"/>
      <c r="O95" s="2388"/>
      <c r="P95" s="2388"/>
      <c r="Q95" s="2388"/>
      <c r="R95" s="2388"/>
      <c r="S95" s="2388"/>
    </row>
    <row r="96" spans="1:19" ht="15.75" thickBot="1">
      <c r="A96" s="2383"/>
      <c r="B96" s="2384"/>
      <c r="C96" s="2405"/>
      <c r="D96" s="2405"/>
      <c r="E96" s="2405"/>
      <c r="F96" s="2405"/>
      <c r="G96" s="2423"/>
      <c r="H96" s="2388"/>
      <c r="I96" s="2388"/>
      <c r="J96" s="2388"/>
      <c r="K96" s="2388"/>
      <c r="L96" s="2388"/>
      <c r="M96" s="2388"/>
      <c r="N96" s="2388"/>
      <c r="O96" s="2388"/>
      <c r="P96" s="2388"/>
      <c r="Q96" s="2388"/>
      <c r="R96" s="2388"/>
      <c r="S96" s="2388"/>
    </row>
    <row r="97" spans="1:19" ht="16.5" thickTop="1" thickBot="1">
      <c r="A97" s="726" t="s">
        <v>577</v>
      </c>
      <c r="B97" s="727"/>
      <c r="C97" s="12"/>
      <c r="D97" s="12"/>
      <c r="E97" s="12"/>
      <c r="F97" s="12"/>
      <c r="G97" s="13"/>
      <c r="H97" s="21"/>
      <c r="I97" s="21"/>
      <c r="J97" s="21"/>
      <c r="K97" s="21"/>
      <c r="L97" s="21"/>
      <c r="M97" s="21"/>
      <c r="N97" s="21"/>
      <c r="O97" s="21"/>
      <c r="P97" s="21"/>
      <c r="Q97" s="21"/>
      <c r="R97" s="21"/>
      <c r="S97" s="21"/>
    </row>
    <row r="98" spans="1:19" ht="15.75" thickTop="1">
      <c r="A98" s="2421"/>
      <c r="B98" s="2404" t="s">
        <v>578</v>
      </c>
      <c r="C98" s="2405"/>
      <c r="D98" s="2405"/>
      <c r="E98" s="2405"/>
      <c r="F98" s="2405"/>
      <c r="G98" s="2423"/>
      <c r="H98" s="2388"/>
      <c r="I98" s="2388"/>
      <c r="J98" s="2388"/>
      <c r="K98" s="2388"/>
      <c r="L98" s="2388"/>
      <c r="M98" s="2388"/>
      <c r="N98" s="2388"/>
      <c r="O98" s="2388"/>
      <c r="P98" s="2388"/>
      <c r="Q98" s="2388"/>
      <c r="R98" s="2388"/>
      <c r="S98" s="2388"/>
    </row>
    <row r="99" spans="1:19">
      <c r="A99" s="2421"/>
      <c r="B99" s="2404" t="s">
        <v>579</v>
      </c>
      <c r="C99" s="2405"/>
      <c r="D99" s="2405"/>
      <c r="E99" s="2405"/>
      <c r="F99" s="2405"/>
      <c r="G99" s="2423"/>
      <c r="H99" s="2388"/>
      <c r="I99" s="2388"/>
      <c r="J99" s="2388"/>
      <c r="K99" s="2388"/>
      <c r="L99" s="2388"/>
      <c r="M99" s="2388"/>
      <c r="N99" s="2388"/>
      <c r="O99" s="2388"/>
      <c r="P99" s="2388"/>
      <c r="Q99" s="2388"/>
      <c r="R99" s="2388"/>
      <c r="S99" s="2388"/>
    </row>
    <row r="100" spans="1:19">
      <c r="A100" s="2421"/>
      <c r="B100" s="2404" t="s">
        <v>580</v>
      </c>
      <c r="C100" s="2405"/>
      <c r="D100" s="2405"/>
      <c r="E100" s="2405"/>
      <c r="F100" s="2405"/>
      <c r="G100" s="2423"/>
      <c r="H100" s="2388"/>
      <c r="I100" s="2388"/>
      <c r="J100" s="2388"/>
      <c r="K100" s="2388"/>
      <c r="L100" s="2388"/>
      <c r="M100" s="2388"/>
      <c r="N100" s="2388"/>
      <c r="O100" s="2388"/>
      <c r="P100" s="2388"/>
      <c r="Q100" s="2388"/>
      <c r="R100" s="2388"/>
      <c r="S100" s="2388"/>
    </row>
    <row r="101" spans="1:19">
      <c r="A101" s="2421"/>
      <c r="B101" s="2404" t="s">
        <v>581</v>
      </c>
      <c r="C101" s="2405"/>
      <c r="D101" s="2405"/>
      <c r="E101" s="2405"/>
      <c r="F101" s="2405"/>
      <c r="G101" s="2423"/>
      <c r="H101" s="2388"/>
      <c r="I101" s="2388"/>
      <c r="J101" s="2388"/>
      <c r="K101" s="2388"/>
      <c r="L101" s="2388"/>
      <c r="M101" s="2388"/>
      <c r="N101" s="2388"/>
      <c r="O101" s="2388"/>
      <c r="P101" s="2388"/>
      <c r="Q101" s="2388"/>
      <c r="R101" s="2388"/>
      <c r="S101" s="2388"/>
    </row>
    <row r="102" spans="1:19" ht="15.75" thickBot="1">
      <c r="A102" s="416"/>
      <c r="B102" s="295"/>
      <c r="C102" s="184"/>
      <c r="D102" s="184"/>
      <c r="E102" s="184"/>
      <c r="F102" s="184"/>
      <c r="G102" s="296"/>
      <c r="H102" s="418"/>
      <c r="I102" s="418"/>
      <c r="J102" s="418"/>
      <c r="K102" s="418"/>
      <c r="L102" s="418"/>
      <c r="M102" s="418"/>
      <c r="N102" s="418"/>
      <c r="O102" s="418"/>
      <c r="P102" s="418"/>
      <c r="Q102" s="418"/>
      <c r="R102" s="418"/>
      <c r="S102" s="418"/>
    </row>
    <row r="103" spans="1:19" ht="16.5" thickTop="1" thickBot="1">
      <c r="A103" s="7" t="s">
        <v>582</v>
      </c>
      <c r="B103" s="8"/>
      <c r="C103" s="12"/>
      <c r="D103" s="12"/>
      <c r="E103" s="12"/>
      <c r="F103" s="12"/>
      <c r="G103" s="13"/>
      <c r="H103" s="21"/>
      <c r="I103" s="21"/>
      <c r="J103" s="21"/>
      <c r="K103" s="21"/>
      <c r="L103" s="21"/>
      <c r="M103" s="21"/>
      <c r="N103" s="21"/>
      <c r="O103" s="21"/>
      <c r="P103" s="21"/>
      <c r="Q103" s="21"/>
      <c r="R103" s="21"/>
      <c r="S103" s="21"/>
    </row>
    <row r="104" spans="1:19" ht="15.75" thickTop="1">
      <c r="A104" s="2469"/>
      <c r="B104" s="2479" t="s">
        <v>583</v>
      </c>
      <c r="C104" s="2470"/>
      <c r="D104" s="2470"/>
      <c r="E104" s="2470"/>
      <c r="F104" s="2470"/>
      <c r="G104" s="2471"/>
      <c r="H104" s="2480"/>
      <c r="I104" s="2480"/>
      <c r="J104" s="2480"/>
      <c r="K104" s="2480"/>
      <c r="L104" s="2480"/>
      <c r="M104" s="2480"/>
      <c r="N104" s="2480"/>
      <c r="O104" s="2480"/>
      <c r="P104" s="2480"/>
      <c r="Q104" s="2480"/>
      <c r="R104" s="2480"/>
      <c r="S104" s="2480"/>
    </row>
    <row r="105" spans="1:19">
      <c r="A105" s="2421"/>
      <c r="B105" s="2404" t="s">
        <v>584</v>
      </c>
      <c r="C105" s="2405"/>
      <c r="D105" s="2405"/>
      <c r="E105" s="2405"/>
      <c r="F105" s="2405"/>
      <c r="G105" s="2423"/>
      <c r="H105" s="2390"/>
      <c r="I105" s="2390"/>
      <c r="J105" s="2390"/>
      <c r="K105" s="2390"/>
      <c r="L105" s="2390"/>
      <c r="M105" s="2390"/>
      <c r="N105" s="2390"/>
      <c r="O105" s="2390"/>
      <c r="P105" s="2390"/>
      <c r="Q105" s="2390"/>
      <c r="R105" s="2390"/>
      <c r="S105" s="2390"/>
    </row>
    <row r="106" spans="1:19" ht="15.75" thickBot="1">
      <c r="A106" s="2391"/>
      <c r="B106" s="2392" t="s">
        <v>585</v>
      </c>
      <c r="C106" s="2393"/>
      <c r="D106" s="2393"/>
      <c r="E106" s="2393"/>
      <c r="F106" s="2393"/>
      <c r="G106" s="2394"/>
      <c r="H106" s="2395"/>
      <c r="I106" s="2395"/>
      <c r="J106" s="2395"/>
      <c r="K106" s="2395"/>
      <c r="L106" s="2395"/>
      <c r="M106" s="2395"/>
      <c r="N106" s="2395"/>
      <c r="O106" s="2395"/>
      <c r="P106" s="2395"/>
      <c r="Q106" s="2395"/>
      <c r="R106" s="2395"/>
      <c r="S106" s="2395"/>
    </row>
    <row r="107" spans="1:19" ht="16.5" thickTop="1" thickBot="1"/>
    <row r="108" spans="1:19" ht="16.5" thickTop="1" thickBot="1">
      <c r="A108" s="92" t="s">
        <v>586</v>
      </c>
      <c r="B108" s="94"/>
    </row>
    <row r="109" spans="1:19" ht="16.5" thickTop="1" thickBot="1">
      <c r="A109" s="93" t="s">
        <v>487</v>
      </c>
      <c r="B109" s="94"/>
    </row>
    <row r="110" spans="1:19" ht="15.75" thickTop="1">
      <c r="A110" s="2397" t="s">
        <v>491</v>
      </c>
      <c r="B110" s="2396"/>
    </row>
    <row r="111" spans="1:19">
      <c r="A111" s="2398" t="s">
        <v>494</v>
      </c>
      <c r="B111" s="2399"/>
    </row>
    <row r="112" spans="1:19">
      <c r="A112" s="2398" t="s">
        <v>497</v>
      </c>
      <c r="B112" s="2400"/>
    </row>
    <row r="113" spans="1:2" ht="15.75" thickBot="1">
      <c r="A113" s="2401" t="s">
        <v>587</v>
      </c>
      <c r="B113" s="2402">
        <f>H8</f>
        <v>0</v>
      </c>
    </row>
    <row r="114" spans="1:2" ht="15.75" thickTop="1"/>
    <row r="115" spans="1:2">
      <c r="A115" s="95"/>
      <c r="B115" s="1" t="s">
        <v>588</v>
      </c>
    </row>
    <row r="116" spans="1:2">
      <c r="A116" s="96"/>
      <c r="B116"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81:B81"/>
    <mergeCell ref="A85:B85"/>
    <mergeCell ref="A89:B89"/>
    <mergeCell ref="A93:B93"/>
    <mergeCell ref="A97:B97"/>
  </mergeCells>
  <conditionalFormatting sqref="H21:H31 H33:H72 J33:J72 L33:L72 N33:N72 P33:P72 R33:R72">
    <cfRule type="cellIs" dxfId="833" priority="13" operator="equal">
      <formula>"X"</formula>
    </cfRule>
    <cfRule type="cellIs" dxfId="832" priority="14" operator="equal">
      <formula>"I"</formula>
    </cfRule>
  </conditionalFormatting>
  <conditionalFormatting sqref="J21:J31">
    <cfRule type="cellIs" dxfId="831" priority="15" operator="equal">
      <formula>"X"</formula>
    </cfRule>
    <cfRule type="cellIs" dxfId="830" priority="16" operator="equal">
      <formula>"I"</formula>
    </cfRule>
  </conditionalFormatting>
  <conditionalFormatting sqref="L21:L31">
    <cfRule type="cellIs" dxfId="829" priority="17" operator="equal">
      <formula>"X"</formula>
    </cfRule>
    <cfRule type="cellIs" dxfId="828" priority="18" operator="equal">
      <formula>"I"</formula>
    </cfRule>
  </conditionalFormatting>
  <conditionalFormatting sqref="N21:N31">
    <cfRule type="cellIs" dxfId="827" priority="19" operator="equal">
      <formula>"X"</formula>
    </cfRule>
    <cfRule type="cellIs" dxfId="826" priority="20" operator="equal">
      <formula>"I"</formula>
    </cfRule>
  </conditionalFormatting>
  <conditionalFormatting sqref="P21:P31">
    <cfRule type="cellIs" dxfId="825" priority="21" operator="equal">
      <formula>"X"</formula>
    </cfRule>
    <cfRule type="cellIs" dxfId="824" priority="22" operator="equal">
      <formula>"I"</formula>
    </cfRule>
  </conditionalFormatting>
  <conditionalFormatting sqref="R21:R31">
    <cfRule type="cellIs" dxfId="823" priority="23" operator="equal">
      <formula>"X"</formula>
    </cfRule>
    <cfRule type="cellIs" dxfId="822" priority="24" operator="equal">
      <formula>"I"</formula>
    </cfRule>
  </conditionalFormatting>
  <hyperlinks>
    <hyperlink ref="B3" location="'Cost Summary'!A1" display="BACK TO SUMMARY SHEET" xr:uid="{DB878E5D-1D34-4E16-8EBA-2DB3034FC1E0}"/>
  </hyperlink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8DEF-1AF9-40C7-B5EE-A0D8658CBA19}">
  <sheetPr>
    <tabColor rgb="FF92D050"/>
  </sheetPr>
  <dimension ref="A1:S98"/>
  <sheetViews>
    <sheetView workbookViewId="0">
      <pane xSplit="2" ySplit="9" topLeftCell="C29" activePane="bottomRight" state="frozen"/>
      <selection pane="bottomRight" activeCell="F42" sqref="F42"/>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633</v>
      </c>
      <c r="C5" s="2405"/>
      <c r="D5" s="2405"/>
      <c r="E5" s="2405"/>
      <c r="F5" s="2405"/>
      <c r="G5" s="2406" t="s">
        <v>491</v>
      </c>
      <c r="H5" s="2518"/>
      <c r="I5" s="2518"/>
      <c r="J5" s="2518"/>
      <c r="K5" s="2518"/>
      <c r="L5" s="2518"/>
      <c r="M5" s="2518"/>
      <c r="N5" s="2518"/>
      <c r="O5" s="2518"/>
      <c r="P5" s="2518"/>
      <c r="Q5" s="2518"/>
      <c r="R5" s="2409"/>
      <c r="S5" s="2408"/>
    </row>
    <row r="6" spans="1:19">
      <c r="A6" s="2403" t="s">
        <v>493</v>
      </c>
      <c r="B6" s="2410" t="s">
        <v>632</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ht="15.75" thickBot="1">
      <c r="A8" s="414" t="s">
        <v>499</v>
      </c>
      <c r="B8" s="295"/>
      <c r="C8" s="184"/>
      <c r="D8" s="184"/>
      <c r="E8" s="184"/>
      <c r="F8" s="184"/>
      <c r="G8" s="419" t="s">
        <v>499</v>
      </c>
      <c r="H8" s="2418">
        <f>I59</f>
        <v>104000</v>
      </c>
      <c r="I8" s="2419"/>
      <c r="J8" s="2418">
        <f>K59</f>
        <v>0</v>
      </c>
      <c r="K8" s="2419"/>
      <c r="L8" s="2418">
        <f>M59</f>
        <v>0</v>
      </c>
      <c r="M8" s="2419"/>
      <c r="N8" s="2418">
        <f>O59</f>
        <v>0</v>
      </c>
      <c r="O8" s="2419"/>
      <c r="P8" s="2418">
        <f>Q59</f>
        <v>0</v>
      </c>
      <c r="Q8" s="2419"/>
      <c r="R8" s="2418">
        <f>S59</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483"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2484"/>
      <c r="B22" s="2428" t="s">
        <v>633</v>
      </c>
      <c r="C22" s="56"/>
      <c r="D22" s="57"/>
      <c r="E22" s="57"/>
      <c r="F22" s="57"/>
      <c r="G22" s="63"/>
      <c r="H22" s="2427"/>
      <c r="I22" s="58"/>
      <c r="J22" s="2427"/>
      <c r="K22" s="58"/>
      <c r="L22" s="2427"/>
      <c r="M22" s="58"/>
      <c r="N22" s="2427"/>
      <c r="O22" s="58"/>
      <c r="P22" s="2427"/>
      <c r="Q22" s="58"/>
      <c r="R22" s="2427"/>
      <c r="S22" s="58"/>
    </row>
    <row r="23" spans="1:19">
      <c r="A23" s="2602"/>
      <c r="B23" s="2318" t="s">
        <v>512</v>
      </c>
      <c r="C23" s="2426"/>
      <c r="D23" s="2405"/>
      <c r="E23" s="2405"/>
      <c r="F23" s="2405"/>
      <c r="G23" s="2423"/>
      <c r="H23" s="2427"/>
      <c r="I23" s="584"/>
      <c r="J23" s="2427"/>
      <c r="K23" s="584"/>
      <c r="L23" s="2427"/>
      <c r="M23" s="584"/>
      <c r="N23" s="2427"/>
      <c r="O23" s="584"/>
      <c r="P23" s="2427"/>
      <c r="Q23" s="584"/>
      <c r="R23" s="2427"/>
      <c r="S23" s="584"/>
    </row>
    <row r="24" spans="1:19">
      <c r="A24" s="2602"/>
      <c r="B24" s="2429" t="s">
        <v>513</v>
      </c>
      <c r="C24" s="2426"/>
      <c r="D24" s="2405"/>
      <c r="E24" s="2405"/>
      <c r="F24" s="2405"/>
      <c r="G24" s="2423"/>
      <c r="H24" s="2427"/>
      <c r="I24" s="583"/>
      <c r="J24" s="2427"/>
      <c r="K24" s="584"/>
      <c r="L24" s="2427"/>
      <c r="M24" s="584"/>
      <c r="N24" s="2427"/>
      <c r="O24" s="584"/>
      <c r="P24" s="2427"/>
      <c r="Q24" s="584"/>
      <c r="R24" s="2427"/>
      <c r="S24" s="584"/>
    </row>
    <row r="25" spans="1:19">
      <c r="A25" s="2484"/>
      <c r="B25" s="2429" t="s">
        <v>514</v>
      </c>
      <c r="C25" s="2430"/>
      <c r="D25" s="2405"/>
      <c r="E25" s="2405"/>
      <c r="F25" s="2405"/>
      <c r="G25" s="2423"/>
      <c r="H25" s="2427"/>
      <c r="I25" s="583"/>
      <c r="J25" s="2427"/>
      <c r="K25" s="584"/>
      <c r="L25" s="2427"/>
      <c r="M25" s="584"/>
      <c r="N25" s="2427"/>
      <c r="O25" s="584"/>
      <c r="P25" s="2427"/>
      <c r="Q25" s="584"/>
      <c r="R25" s="2427"/>
      <c r="S25" s="584"/>
    </row>
    <row r="26" spans="1:19">
      <c r="A26" s="2484"/>
      <c r="B26" s="2603" t="s">
        <v>515</v>
      </c>
      <c r="C26" s="2430"/>
      <c r="D26" s="2405"/>
      <c r="E26" s="2405"/>
      <c r="F26" s="2405"/>
      <c r="G26" s="2423"/>
      <c r="H26" s="2427"/>
      <c r="I26" s="583"/>
      <c r="J26" s="2427"/>
      <c r="K26" s="584"/>
      <c r="L26" s="2427"/>
      <c r="M26" s="584"/>
      <c r="N26" s="2427"/>
      <c r="O26" s="584"/>
      <c r="P26" s="2427"/>
      <c r="Q26" s="584"/>
      <c r="R26" s="2427"/>
      <c r="S26" s="584"/>
    </row>
    <row r="27" spans="1:19" s="91" customFormat="1">
      <c r="A27" s="2602"/>
      <c r="B27" s="2603" t="s">
        <v>516</v>
      </c>
      <c r="C27" s="2432"/>
      <c r="D27" s="2433"/>
      <c r="E27" s="2433"/>
      <c r="F27" s="2433"/>
      <c r="G27" s="2432"/>
      <c r="H27" s="2427"/>
      <c r="I27" s="583"/>
      <c r="J27" s="2427"/>
      <c r="K27" s="2486"/>
      <c r="L27" s="2427"/>
      <c r="M27" s="2486"/>
      <c r="N27" s="2427"/>
      <c r="O27" s="2486"/>
      <c r="P27" s="2427"/>
      <c r="Q27" s="2486"/>
      <c r="R27" s="2427"/>
      <c r="S27" s="2486"/>
    </row>
    <row r="28" spans="1:19" s="91" customFormat="1">
      <c r="A28" s="2602"/>
      <c r="B28" s="2603" t="s">
        <v>517</v>
      </c>
      <c r="C28" s="2432"/>
      <c r="D28" s="2433"/>
      <c r="E28" s="2433"/>
      <c r="F28" s="2433"/>
      <c r="G28" s="2432"/>
      <c r="H28" s="2427"/>
      <c r="I28" s="583"/>
      <c r="J28" s="2427"/>
      <c r="K28" s="2486"/>
      <c r="L28" s="2427"/>
      <c r="M28" s="2486"/>
      <c r="N28" s="2427"/>
      <c r="O28" s="2486"/>
      <c r="P28" s="2427"/>
      <c r="Q28" s="2486"/>
      <c r="R28" s="2427"/>
      <c r="S28" s="2486"/>
    </row>
    <row r="29" spans="1:19" s="91" customFormat="1">
      <c r="A29" s="2602"/>
      <c r="B29" s="2603" t="s">
        <v>518</v>
      </c>
      <c r="C29" s="2432"/>
      <c r="D29" s="2433"/>
      <c r="E29" s="2433"/>
      <c r="F29" s="2433"/>
      <c r="G29" s="2432"/>
      <c r="H29" s="2427"/>
      <c r="I29" s="583"/>
      <c r="J29" s="2427"/>
      <c r="K29" s="2486"/>
      <c r="L29" s="2427"/>
      <c r="M29" s="2486"/>
      <c r="N29" s="2427"/>
      <c r="O29" s="2486"/>
      <c r="P29" s="2427"/>
      <c r="Q29" s="2486"/>
      <c r="R29" s="2427"/>
      <c r="S29" s="2486"/>
    </row>
    <row r="30" spans="1:19" s="91" customFormat="1">
      <c r="A30" s="2602"/>
      <c r="B30" s="2603" t="s">
        <v>693</v>
      </c>
      <c r="C30" s="2432"/>
      <c r="D30" s="2433"/>
      <c r="E30" s="2433"/>
      <c r="F30" s="2433"/>
      <c r="G30" s="2432"/>
      <c r="H30" s="2427"/>
      <c r="I30" s="583"/>
      <c r="J30" s="2427"/>
      <c r="K30" s="2486"/>
      <c r="L30" s="2427"/>
      <c r="M30" s="2486"/>
      <c r="N30" s="2427"/>
      <c r="O30" s="2486"/>
      <c r="P30" s="2427"/>
      <c r="Q30" s="2486"/>
      <c r="R30" s="2427"/>
      <c r="S30" s="2486"/>
    </row>
    <row r="31" spans="1:19" s="91" customFormat="1">
      <c r="A31" s="2602"/>
      <c r="B31" s="2487" t="s">
        <v>519</v>
      </c>
      <c r="C31" s="2432"/>
      <c r="D31" s="2433"/>
      <c r="E31" s="2433"/>
      <c r="F31" s="2433"/>
      <c r="G31" s="2432"/>
      <c r="H31" s="2427"/>
      <c r="I31" s="583"/>
      <c r="J31" s="2427"/>
      <c r="K31" s="2486"/>
      <c r="L31" s="2427"/>
      <c r="M31" s="2486"/>
      <c r="N31" s="2427"/>
      <c r="O31" s="2486"/>
      <c r="P31" s="2427"/>
      <c r="Q31" s="2486"/>
      <c r="R31" s="2427"/>
      <c r="S31" s="2486"/>
    </row>
    <row r="32" spans="1:19" s="91" customFormat="1">
      <c r="A32" s="2602"/>
      <c r="B32" s="2488" t="s">
        <v>520</v>
      </c>
      <c r="C32" s="2435"/>
      <c r="D32" s="2436"/>
      <c r="E32" s="2436"/>
      <c r="F32" s="2436"/>
      <c r="G32" s="2435"/>
      <c r="H32" s="2439"/>
      <c r="I32" s="586"/>
      <c r="J32" s="2443"/>
      <c r="K32" s="2489"/>
      <c r="L32" s="2443"/>
      <c r="M32" s="2489"/>
      <c r="N32" s="2489"/>
      <c r="O32" s="2489"/>
      <c r="P32" s="2489"/>
      <c r="Q32" s="2489"/>
      <c r="R32" s="2489"/>
      <c r="S32" s="2489"/>
    </row>
    <row r="33" spans="1:19" s="91" customFormat="1">
      <c r="A33" s="2604"/>
      <c r="B33" s="2545"/>
      <c r="C33" s="2445"/>
      <c r="D33" s="2433"/>
      <c r="E33" s="2433"/>
      <c r="F33" s="2433"/>
      <c r="G33" s="2432"/>
      <c r="H33" s="2427"/>
      <c r="I33" s="583"/>
      <c r="J33" s="2427"/>
      <c r="K33" s="2486"/>
      <c r="L33" s="2427"/>
      <c r="M33" s="2486"/>
      <c r="N33" s="2427"/>
      <c r="O33" s="2486"/>
      <c r="P33" s="2427"/>
      <c r="Q33" s="2486"/>
      <c r="R33" s="2427"/>
      <c r="S33" s="2486"/>
    </row>
    <row r="34" spans="1:19" s="91" customFormat="1">
      <c r="A34" s="2604"/>
      <c r="B34" s="2591" t="s">
        <v>694</v>
      </c>
      <c r="C34" s="2449"/>
      <c r="D34" s="2592"/>
      <c r="E34" s="2592"/>
      <c r="F34" s="2592"/>
      <c r="G34" s="2593"/>
      <c r="H34" s="2453"/>
      <c r="I34" s="587"/>
      <c r="J34" s="2453"/>
      <c r="K34" s="2605"/>
      <c r="L34" s="2453"/>
      <c r="M34" s="2605"/>
      <c r="N34" s="2453"/>
      <c r="O34" s="2605"/>
      <c r="P34" s="2453"/>
      <c r="Q34" s="2605"/>
      <c r="R34" s="2453"/>
      <c r="S34" s="2605"/>
    </row>
    <row r="35" spans="1:19" s="91" customFormat="1">
      <c r="A35" s="2604"/>
      <c r="B35" s="2545"/>
      <c r="C35" s="2445"/>
      <c r="D35" s="2433"/>
      <c r="E35" s="2433"/>
      <c r="F35" s="2433"/>
      <c r="G35" s="2432"/>
      <c r="H35" s="2427"/>
      <c r="I35" s="583"/>
      <c r="J35" s="2427"/>
      <c r="K35" s="2486"/>
      <c r="L35" s="2427"/>
      <c r="M35" s="2486"/>
      <c r="N35" s="2427"/>
      <c r="O35" s="2486"/>
      <c r="P35" s="2427"/>
      <c r="Q35" s="2486"/>
      <c r="R35" s="2427"/>
      <c r="S35" s="2486"/>
    </row>
    <row r="36" spans="1:19" s="91" customFormat="1">
      <c r="A36" s="2604"/>
      <c r="B36" s="2596" t="s">
        <v>695</v>
      </c>
      <c r="C36" s="2455"/>
      <c r="D36" s="2597"/>
      <c r="E36" s="2597"/>
      <c r="F36" s="2597"/>
      <c r="G36" s="2598"/>
      <c r="H36" s="2459"/>
      <c r="I36" s="588"/>
      <c r="J36" s="2459"/>
      <c r="K36" s="2606"/>
      <c r="L36" s="2459"/>
      <c r="M36" s="2606"/>
      <c r="N36" s="2459"/>
      <c r="O36" s="2606"/>
      <c r="P36" s="2459"/>
      <c r="Q36" s="2606"/>
      <c r="R36" s="2459"/>
      <c r="S36" s="2606"/>
    </row>
    <row r="37" spans="1:19" s="91" customFormat="1">
      <c r="A37" s="2604"/>
      <c r="B37" s="2545"/>
      <c r="C37" s="2445"/>
      <c r="D37" s="2433"/>
      <c r="E37" s="2433"/>
      <c r="F37" s="2433"/>
      <c r="G37" s="2432"/>
      <c r="H37" s="2427"/>
      <c r="I37" s="583"/>
      <c r="J37" s="2427"/>
      <c r="K37" s="2486"/>
      <c r="L37" s="2427"/>
      <c r="M37" s="2486"/>
      <c r="N37" s="2427"/>
      <c r="O37" s="2486"/>
      <c r="P37" s="2427"/>
      <c r="Q37" s="2486"/>
      <c r="R37" s="2427"/>
      <c r="S37" s="2486"/>
    </row>
    <row r="38" spans="1:19" s="91" customFormat="1">
      <c r="A38" s="2604"/>
      <c r="B38" s="2591" t="s">
        <v>649</v>
      </c>
      <c r="C38" s="2449"/>
      <c r="D38" s="2592"/>
      <c r="E38" s="2592"/>
      <c r="F38" s="2592"/>
      <c r="G38" s="2593"/>
      <c r="H38" s="2453"/>
      <c r="I38" s="587"/>
      <c r="J38" s="2453"/>
      <c r="K38" s="2605"/>
      <c r="L38" s="2453"/>
      <c r="M38" s="2605"/>
      <c r="N38" s="2453"/>
      <c r="O38" s="2605"/>
      <c r="P38" s="2453"/>
      <c r="Q38" s="2605"/>
      <c r="R38" s="2453"/>
      <c r="S38" s="2605"/>
    </row>
    <row r="39" spans="1:19" s="91" customFormat="1">
      <c r="A39" s="2604"/>
      <c r="B39" s="2545"/>
      <c r="C39" s="2445"/>
      <c r="D39" s="2433"/>
      <c r="E39" s="2433"/>
      <c r="F39" s="2433"/>
      <c r="G39" s="2432"/>
      <c r="H39" s="2427"/>
      <c r="I39" s="583"/>
      <c r="J39" s="2427"/>
      <c r="K39" s="2486"/>
      <c r="L39" s="2427"/>
      <c r="M39" s="2486"/>
      <c r="N39" s="2427"/>
      <c r="O39" s="2486"/>
      <c r="P39" s="2427"/>
      <c r="Q39" s="2486"/>
      <c r="R39" s="2427"/>
      <c r="S39" s="2486"/>
    </row>
    <row r="40" spans="1:19" s="91" customFormat="1">
      <c r="A40" s="2604"/>
      <c r="B40" s="2596" t="s">
        <v>700</v>
      </c>
      <c r="C40" s="2455"/>
      <c r="D40" s="2597"/>
      <c r="E40" s="2597"/>
      <c r="F40" s="2597"/>
      <c r="G40" s="2598"/>
      <c r="H40" s="2459"/>
      <c r="I40" s="588"/>
      <c r="J40" s="2459"/>
      <c r="K40" s="2606"/>
      <c r="L40" s="2459"/>
      <c r="M40" s="2606"/>
      <c r="N40" s="2459"/>
      <c r="O40" s="2606"/>
      <c r="P40" s="2459"/>
      <c r="Q40" s="2606"/>
      <c r="R40" s="2459"/>
      <c r="S40" s="2606"/>
    </row>
    <row r="41" spans="1:19" s="91" customFormat="1">
      <c r="A41" s="2604"/>
      <c r="B41" s="2545" t="s">
        <v>1141</v>
      </c>
      <c r="C41" s="2445"/>
      <c r="D41" s="2607">
        <v>26</v>
      </c>
      <c r="E41" s="2433" t="s">
        <v>714</v>
      </c>
      <c r="F41" s="2433">
        <v>2000</v>
      </c>
      <c r="G41" s="2432">
        <f>D41*F41</f>
        <v>52000</v>
      </c>
      <c r="H41" s="2427"/>
      <c r="I41" s="583">
        <f>G41</f>
        <v>52000</v>
      </c>
      <c r="J41" s="2427"/>
      <c r="K41" s="2486"/>
      <c r="L41" s="2427"/>
      <c r="M41" s="2486"/>
      <c r="N41" s="2427"/>
      <c r="O41" s="2486"/>
      <c r="P41" s="2427"/>
      <c r="Q41" s="2486"/>
      <c r="R41" s="2427"/>
      <c r="S41" s="2486"/>
    </row>
    <row r="42" spans="1:19" s="91" customFormat="1">
      <c r="A42" s="2604"/>
      <c r="B42" s="2545" t="s">
        <v>1142</v>
      </c>
      <c r="C42" s="2445"/>
      <c r="D42" s="2607">
        <v>26</v>
      </c>
      <c r="E42" s="2433" t="s">
        <v>714</v>
      </c>
      <c r="F42" s="2433">
        <f>F41</f>
        <v>2000</v>
      </c>
      <c r="G42" s="2432">
        <f>D42*F42</f>
        <v>52000</v>
      </c>
      <c r="H42" s="2427"/>
      <c r="I42" s="583">
        <f>G42</f>
        <v>52000</v>
      </c>
      <c r="J42" s="2427"/>
      <c r="K42" s="2486"/>
      <c r="L42" s="2427"/>
      <c r="M42" s="2486"/>
      <c r="N42" s="2427"/>
      <c r="O42" s="2486"/>
      <c r="P42" s="2427"/>
      <c r="Q42" s="2486"/>
      <c r="R42" s="2427"/>
      <c r="S42" s="2486"/>
    </row>
    <row r="43" spans="1:19" s="91" customFormat="1">
      <c r="A43" s="2604"/>
      <c r="B43" s="2545"/>
      <c r="C43" s="2445"/>
      <c r="D43" s="2433"/>
      <c r="E43" s="2433"/>
      <c r="F43" s="2433"/>
      <c r="G43" s="2432"/>
      <c r="H43" s="2427"/>
      <c r="I43" s="583"/>
      <c r="J43" s="2427"/>
      <c r="K43" s="2486"/>
      <c r="L43" s="2427"/>
      <c r="M43" s="2486"/>
      <c r="N43" s="2427"/>
      <c r="O43" s="2486"/>
      <c r="P43" s="2427"/>
      <c r="Q43" s="2486"/>
      <c r="R43" s="2427"/>
      <c r="S43" s="2486"/>
    </row>
    <row r="44" spans="1:19" s="91" customFormat="1">
      <c r="A44" s="2604"/>
      <c r="B44" s="2591" t="s">
        <v>703</v>
      </c>
      <c r="C44" s="2449"/>
      <c r="D44" s="2592"/>
      <c r="E44" s="2592"/>
      <c r="F44" s="2592"/>
      <c r="G44" s="2593"/>
      <c r="H44" s="2453"/>
      <c r="I44" s="587"/>
      <c r="J44" s="2453"/>
      <c r="K44" s="2605"/>
      <c r="L44" s="2453"/>
      <c r="M44" s="2605"/>
      <c r="N44" s="2453"/>
      <c r="O44" s="2605"/>
      <c r="P44" s="2453"/>
      <c r="Q44" s="2605"/>
      <c r="R44" s="2453"/>
      <c r="S44" s="2605"/>
    </row>
    <row r="45" spans="1:19" s="91" customFormat="1">
      <c r="A45" s="2604"/>
      <c r="B45" s="2545"/>
      <c r="C45" s="2445"/>
      <c r="D45" s="2433"/>
      <c r="E45" s="2433"/>
      <c r="F45" s="2433"/>
      <c r="G45" s="2432"/>
      <c r="H45" s="2427"/>
      <c r="I45" s="583"/>
      <c r="J45" s="2427"/>
      <c r="K45" s="2486"/>
      <c r="L45" s="2427"/>
      <c r="M45" s="2486"/>
      <c r="N45" s="2427"/>
      <c r="O45" s="2486"/>
      <c r="P45" s="2427"/>
      <c r="Q45" s="2486"/>
      <c r="R45" s="2427"/>
      <c r="S45" s="2486"/>
    </row>
    <row r="46" spans="1:19" s="91" customFormat="1">
      <c r="A46" s="2604"/>
      <c r="B46" s="2596" t="s">
        <v>704</v>
      </c>
      <c r="C46" s="2455"/>
      <c r="D46" s="2597"/>
      <c r="E46" s="2597"/>
      <c r="F46" s="2597"/>
      <c r="G46" s="2598"/>
      <c r="H46" s="2459"/>
      <c r="I46" s="588"/>
      <c r="J46" s="2459"/>
      <c r="K46" s="2606"/>
      <c r="L46" s="2459"/>
      <c r="M46" s="2606"/>
      <c r="N46" s="2459"/>
      <c r="O46" s="2606"/>
      <c r="P46" s="2459"/>
      <c r="Q46" s="2606"/>
      <c r="R46" s="2459"/>
      <c r="S46" s="2606"/>
    </row>
    <row r="47" spans="1:19" s="91" customFormat="1">
      <c r="A47" s="2604"/>
      <c r="B47" s="2545"/>
      <c r="C47" s="2445"/>
      <c r="D47" s="2433"/>
      <c r="E47" s="2433"/>
      <c r="F47" s="2433"/>
      <c r="G47" s="2432"/>
      <c r="H47" s="2427"/>
      <c r="I47" s="583"/>
      <c r="J47" s="2427"/>
      <c r="K47" s="2486"/>
      <c r="L47" s="2427"/>
      <c r="M47" s="2486"/>
      <c r="N47" s="2427"/>
      <c r="O47" s="2486"/>
      <c r="P47" s="2427"/>
      <c r="Q47" s="2486"/>
      <c r="R47" s="2427"/>
      <c r="S47" s="2486"/>
    </row>
    <row r="48" spans="1:19" s="91" customFormat="1">
      <c r="A48" s="2604"/>
      <c r="B48" s="2591" t="s">
        <v>705</v>
      </c>
      <c r="C48" s="2449"/>
      <c r="D48" s="2592"/>
      <c r="E48" s="2592"/>
      <c r="F48" s="2592"/>
      <c r="G48" s="2593"/>
      <c r="H48" s="2453"/>
      <c r="I48" s="587"/>
      <c r="J48" s="2453"/>
      <c r="K48" s="2605"/>
      <c r="L48" s="2453"/>
      <c r="M48" s="2605"/>
      <c r="N48" s="2453"/>
      <c r="O48" s="2605"/>
      <c r="P48" s="2453"/>
      <c r="Q48" s="2605"/>
      <c r="R48" s="2453"/>
      <c r="S48" s="2605"/>
    </row>
    <row r="49" spans="1:19" s="91" customFormat="1">
      <c r="A49" s="2604"/>
      <c r="B49" s="2545"/>
      <c r="C49" s="2445"/>
      <c r="D49" s="2433"/>
      <c r="E49" s="2433"/>
      <c r="F49" s="2433"/>
      <c r="G49" s="2432"/>
      <c r="H49" s="2427"/>
      <c r="I49" s="583"/>
      <c r="J49" s="2427"/>
      <c r="K49" s="2486"/>
      <c r="L49" s="2427"/>
      <c r="M49" s="2486"/>
      <c r="N49" s="2427"/>
      <c r="O49" s="2486"/>
      <c r="P49" s="2427"/>
      <c r="Q49" s="2486"/>
      <c r="R49" s="2427"/>
      <c r="S49" s="2486"/>
    </row>
    <row r="50" spans="1:19" s="91" customFormat="1">
      <c r="A50" s="2604"/>
      <c r="B50" s="2601" t="s">
        <v>602</v>
      </c>
      <c r="C50" s="2455"/>
      <c r="D50" s="2597"/>
      <c r="E50" s="2597"/>
      <c r="F50" s="2597"/>
      <c r="G50" s="2598"/>
      <c r="H50" s="2459"/>
      <c r="I50" s="588"/>
      <c r="J50" s="2459"/>
      <c r="K50" s="2606"/>
      <c r="L50" s="2459"/>
      <c r="M50" s="2606"/>
      <c r="N50" s="2459"/>
      <c r="O50" s="2606"/>
      <c r="P50" s="2459"/>
      <c r="Q50" s="2606"/>
      <c r="R50" s="2459"/>
      <c r="S50" s="2606"/>
    </row>
    <row r="51" spans="1:19" s="91" customFormat="1">
      <c r="A51" s="2604"/>
      <c r="B51" s="2545"/>
      <c r="C51" s="2445"/>
      <c r="D51" s="2433"/>
      <c r="E51" s="2433"/>
      <c r="F51" s="2433"/>
      <c r="G51" s="2432"/>
      <c r="H51" s="2427"/>
      <c r="I51" s="583"/>
      <c r="J51" s="2427"/>
      <c r="K51" s="2486"/>
      <c r="L51" s="2427"/>
      <c r="M51" s="2486"/>
      <c r="N51" s="2427"/>
      <c r="O51" s="2486"/>
      <c r="P51" s="2427"/>
      <c r="Q51" s="2486"/>
      <c r="R51" s="2427"/>
      <c r="S51" s="2486"/>
    </row>
    <row r="52" spans="1:19" s="91" customFormat="1">
      <c r="A52" s="2604"/>
      <c r="B52" s="2545"/>
      <c r="C52" s="2445"/>
      <c r="D52" s="2433"/>
      <c r="E52" s="2433"/>
      <c r="F52" s="2433"/>
      <c r="G52" s="2432"/>
      <c r="H52" s="2427"/>
      <c r="I52" s="583"/>
      <c r="J52" s="2427"/>
      <c r="K52" s="2486"/>
      <c r="L52" s="2427"/>
      <c r="M52" s="2486"/>
      <c r="N52" s="2427"/>
      <c r="O52" s="2486"/>
      <c r="P52" s="2427"/>
      <c r="Q52" s="2486"/>
      <c r="R52" s="2427"/>
      <c r="S52" s="2486"/>
    </row>
    <row r="53" spans="1:19" s="91" customFormat="1">
      <c r="A53" s="2604"/>
      <c r="B53" s="2545"/>
      <c r="C53" s="2445"/>
      <c r="D53" s="2433"/>
      <c r="E53" s="2433"/>
      <c r="F53" s="2433"/>
      <c r="G53" s="2432"/>
      <c r="H53" s="2427"/>
      <c r="I53" s="583"/>
      <c r="J53" s="2427"/>
      <c r="K53" s="2486"/>
      <c r="L53" s="2427"/>
      <c r="M53" s="2486"/>
      <c r="N53" s="2427"/>
      <c r="O53" s="2486"/>
      <c r="P53" s="2427"/>
      <c r="Q53" s="2486"/>
      <c r="R53" s="2427"/>
      <c r="S53" s="2486"/>
    </row>
    <row r="54" spans="1:19" s="91" customFormat="1" ht="15.75" thickBot="1">
      <c r="A54" s="2604"/>
      <c r="B54" s="2545"/>
      <c r="C54" s="2445"/>
      <c r="D54" s="2433"/>
      <c r="E54" s="2546"/>
      <c r="F54" s="2547"/>
      <c r="G54" s="2432"/>
      <c r="H54" s="2427"/>
      <c r="I54" s="583"/>
      <c r="J54" s="2427"/>
      <c r="K54" s="2486"/>
      <c r="L54" s="2427"/>
      <c r="M54" s="2486"/>
      <c r="N54" s="2427"/>
      <c r="O54" s="2486"/>
      <c r="P54" s="2427"/>
      <c r="Q54" s="2486"/>
      <c r="R54" s="2427"/>
      <c r="S54" s="2486"/>
    </row>
    <row r="55" spans="1:19" ht="15.75" thickTop="1">
      <c r="A55" s="14"/>
      <c r="B55" s="15"/>
      <c r="C55" s="16"/>
      <c r="D55" s="16"/>
      <c r="E55" s="17"/>
      <c r="F55" s="18" t="s">
        <v>567</v>
      </c>
      <c r="G55" s="19"/>
      <c r="H55" s="20"/>
      <c r="I55" s="61">
        <f>SUM(I24:I54)</f>
        <v>104000</v>
      </c>
      <c r="J55" s="20"/>
      <c r="K55" s="61">
        <f>SUM(K24:K54)</f>
        <v>0</v>
      </c>
      <c r="L55" s="20"/>
      <c r="M55" s="61">
        <f>SUM(M24:M54)</f>
        <v>0</v>
      </c>
      <c r="N55" s="20"/>
      <c r="O55" s="61">
        <f>SUM(O24:O54)</f>
        <v>0</v>
      </c>
      <c r="P55" s="20"/>
      <c r="Q55" s="61">
        <f>SUM(Q24:Q54)</f>
        <v>0</v>
      </c>
      <c r="R55" s="20"/>
      <c r="S55" s="61">
        <f>SUM(S24:S54)</f>
        <v>0</v>
      </c>
    </row>
    <row r="56" spans="1:19">
      <c r="A56" s="2358"/>
      <c r="B56" s="2359"/>
      <c r="C56" s="2360"/>
      <c r="D56" s="2360"/>
      <c r="E56" s="2361"/>
      <c r="F56" s="2362" t="s">
        <v>568</v>
      </c>
      <c r="G56" s="2363"/>
      <c r="H56" s="2364">
        <v>0</v>
      </c>
      <c r="I56" s="2460"/>
      <c r="J56" s="2364">
        <v>0</v>
      </c>
      <c r="K56" s="2460"/>
      <c r="L56" s="2364">
        <v>0</v>
      </c>
      <c r="M56" s="2460"/>
      <c r="N56" s="2364">
        <v>0</v>
      </c>
      <c r="O56" s="2460"/>
      <c r="P56" s="2364">
        <v>0</v>
      </c>
      <c r="Q56" s="2460"/>
      <c r="R56" s="2364">
        <v>0</v>
      </c>
      <c r="S56" s="2460"/>
    </row>
    <row r="57" spans="1:19">
      <c r="A57" s="2358"/>
      <c r="B57" s="2359"/>
      <c r="C57" s="2360"/>
      <c r="D57" s="2360"/>
      <c r="E57" s="2361"/>
      <c r="F57" s="2362" t="s">
        <v>569</v>
      </c>
      <c r="G57" s="2363"/>
      <c r="H57" s="2366"/>
      <c r="I57" s="2462">
        <f>H56*I55</f>
        <v>0</v>
      </c>
      <c r="J57" s="2366"/>
      <c r="K57" s="2462">
        <f>J56*K55</f>
        <v>0</v>
      </c>
      <c r="L57" s="2366"/>
      <c r="M57" s="2462">
        <f>L56*M55</f>
        <v>0</v>
      </c>
      <c r="N57" s="2366"/>
      <c r="O57" s="2462">
        <f>N56*O55</f>
        <v>0</v>
      </c>
      <c r="P57" s="2366"/>
      <c r="Q57" s="2462">
        <f>P56*Q55</f>
        <v>0</v>
      </c>
      <c r="R57" s="2366"/>
      <c r="S57" s="2462">
        <f>R56*S55</f>
        <v>0</v>
      </c>
    </row>
    <row r="58" spans="1:19">
      <c r="A58" s="2358"/>
      <c r="B58" s="2359"/>
      <c r="C58" s="2360"/>
      <c r="D58" s="2360"/>
      <c r="E58" s="2361"/>
      <c r="F58" s="2362"/>
      <c r="G58" s="2363"/>
      <c r="H58" s="2366"/>
      <c r="I58" s="2464"/>
      <c r="J58" s="2366"/>
      <c r="K58" s="2464"/>
      <c r="L58" s="2366"/>
      <c r="M58" s="2464"/>
      <c r="N58" s="2366"/>
      <c r="O58" s="2464"/>
      <c r="P58" s="2366"/>
      <c r="Q58" s="2464"/>
      <c r="R58" s="2366"/>
      <c r="S58" s="2464"/>
    </row>
    <row r="59" spans="1:19">
      <c r="A59" s="2358"/>
      <c r="B59" s="2359"/>
      <c r="C59" s="2360"/>
      <c r="D59" s="2360"/>
      <c r="E59" s="2361"/>
      <c r="F59" s="2362" t="s">
        <v>570</v>
      </c>
      <c r="G59" s="2363"/>
      <c r="H59" s="2368"/>
      <c r="I59" s="2465">
        <f>SUM(I55:I57)</f>
        <v>104000</v>
      </c>
      <c r="J59" s="2368"/>
      <c r="K59" s="2465">
        <f>SUM(K55:K57)</f>
        <v>0</v>
      </c>
      <c r="L59" s="2368"/>
      <c r="M59" s="2465">
        <f>SUM(M55:M57)</f>
        <v>0</v>
      </c>
      <c r="N59" s="2368"/>
      <c r="O59" s="2465">
        <f>SUM(O55:O57)</f>
        <v>0</v>
      </c>
      <c r="P59" s="2368"/>
      <c r="Q59" s="2465">
        <f>SUM(Q55:Q57)</f>
        <v>0</v>
      </c>
      <c r="R59" s="2368"/>
      <c r="S59" s="2465">
        <f>SUM(S55:S57)</f>
        <v>0</v>
      </c>
    </row>
    <row r="60" spans="1:19">
      <c r="A60" s="2358"/>
      <c r="B60" s="2359"/>
      <c r="C60" s="2360"/>
      <c r="D60" s="2360"/>
      <c r="E60" s="2361"/>
      <c r="F60" s="2370" t="s">
        <v>571</v>
      </c>
      <c r="G60" s="2371"/>
      <c r="H60" s="2372"/>
      <c r="I60" s="2373" t="e">
        <f>I59/'Area Calculations'!$J$4</f>
        <v>#DIV/0!</v>
      </c>
      <c r="J60" s="2372"/>
      <c r="K60" s="2373" t="e">
        <f>K59/'Area Calculations'!$J$4</f>
        <v>#DIV/0!</v>
      </c>
      <c r="L60" s="2372"/>
      <c r="M60" s="2373" t="e">
        <f>M59/'Area Calculations'!$J$4</f>
        <v>#DIV/0!</v>
      </c>
      <c r="N60" s="2372"/>
      <c r="O60" s="2373" t="e">
        <f>O59/'Area Calculations'!$J$4</f>
        <v>#DIV/0!</v>
      </c>
      <c r="P60" s="2372"/>
      <c r="Q60" s="2373" t="e">
        <f>Q59/'Area Calculations'!$J$4</f>
        <v>#DIV/0!</v>
      </c>
      <c r="R60" s="2372"/>
      <c r="S60" s="2373" t="e">
        <f>S59/'Area Calculations'!$J$4</f>
        <v>#DIV/0!</v>
      </c>
    </row>
    <row r="61" spans="1:19">
      <c r="A61" s="2358"/>
      <c r="B61" s="2359"/>
      <c r="C61" s="2360"/>
      <c r="D61" s="2360"/>
      <c r="E61" s="2361"/>
      <c r="F61" s="2370" t="s">
        <v>572</v>
      </c>
      <c r="G61" s="2374"/>
      <c r="H61" s="2372"/>
      <c r="I61" s="2373" t="e">
        <f>I59/'Area Calculations'!#REF!</f>
        <v>#REF!</v>
      </c>
      <c r="J61" s="2372"/>
      <c r="K61" s="2373" t="e">
        <f>K59/'Area Calculations'!#REF!</f>
        <v>#REF!</v>
      </c>
      <c r="L61" s="2372"/>
      <c r="M61" s="2373" t="e">
        <f>M59/'Area Calculations'!#REF!</f>
        <v>#REF!</v>
      </c>
      <c r="N61" s="2372"/>
      <c r="O61" s="2373" t="e">
        <f>O59/'Area Calculations'!#REF!</f>
        <v>#REF!</v>
      </c>
      <c r="P61" s="2372"/>
      <c r="Q61" s="2373" t="e">
        <f>Q59/'Area Calculations'!#REF!</f>
        <v>#REF!</v>
      </c>
      <c r="R61" s="2372"/>
      <c r="S61" s="2373" t="e">
        <f>S59/'Area Calculations'!#REF!</f>
        <v>#REF!</v>
      </c>
    </row>
    <row r="62" spans="1:19" ht="15.75" thickBot="1">
      <c r="A62" s="2358"/>
      <c r="B62" s="2359"/>
      <c r="C62" s="2360"/>
      <c r="D62" s="2360"/>
      <c r="E62" s="2361"/>
      <c r="F62" s="2362"/>
      <c r="G62" s="2375"/>
      <c r="H62" s="2376"/>
      <c r="I62" s="2377"/>
      <c r="J62" s="2376"/>
      <c r="K62" s="2377"/>
      <c r="L62" s="2376"/>
      <c r="M62" s="2377"/>
      <c r="N62" s="2376"/>
      <c r="O62" s="2377"/>
      <c r="P62" s="2376"/>
      <c r="Q62" s="2377"/>
      <c r="R62" s="2376"/>
      <c r="S62" s="2377"/>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2469"/>
      <c r="B64" s="2404"/>
      <c r="C64" s="2470"/>
      <c r="D64" s="2470"/>
      <c r="E64" s="2470"/>
      <c r="F64" s="2470"/>
      <c r="G64" s="2471"/>
      <c r="H64" s="2472"/>
      <c r="I64" s="2472"/>
      <c r="J64" s="2472"/>
      <c r="K64" s="2472"/>
      <c r="L64" s="2472"/>
      <c r="M64" s="2472"/>
      <c r="N64" s="2472"/>
      <c r="O64" s="2472"/>
      <c r="P64" s="2472"/>
      <c r="Q64" s="2472"/>
      <c r="R64" s="2472"/>
      <c r="S64" s="2472"/>
    </row>
    <row r="65" spans="1:19" s="2" customFormat="1">
      <c r="A65" s="2469"/>
      <c r="B65" s="2404"/>
      <c r="C65" s="2470"/>
      <c r="D65" s="2470"/>
      <c r="E65" s="2470"/>
      <c r="F65" s="2470"/>
      <c r="G65" s="2471"/>
      <c r="H65" s="2472"/>
      <c r="I65" s="2472"/>
      <c r="J65" s="2472"/>
      <c r="K65" s="2472"/>
      <c r="L65" s="2472"/>
      <c r="M65" s="2472"/>
      <c r="N65" s="2472"/>
      <c r="O65" s="2472"/>
      <c r="P65" s="2472"/>
      <c r="Q65" s="2472"/>
      <c r="R65" s="2472"/>
      <c r="S65" s="2472"/>
    </row>
    <row r="66" spans="1:19" s="2" customFormat="1" ht="15.75" thickBot="1">
      <c r="A66" s="2469"/>
      <c r="B66" s="2404"/>
      <c r="C66" s="2470"/>
      <c r="D66" s="2470"/>
      <c r="E66" s="2470"/>
      <c r="F66" s="2470"/>
      <c r="G66" s="2471"/>
      <c r="H66" s="2472"/>
      <c r="I66" s="2472"/>
      <c r="J66" s="2472"/>
      <c r="K66" s="2472"/>
      <c r="L66" s="2472"/>
      <c r="M66" s="2472"/>
      <c r="N66" s="2472"/>
      <c r="O66" s="2472"/>
      <c r="P66" s="2472"/>
      <c r="Q66" s="2472"/>
      <c r="R66" s="2472"/>
      <c r="S66" s="2472"/>
    </row>
    <row r="67" spans="1:19" ht="16.5" thickTop="1" thickBot="1">
      <c r="A67" s="726" t="s">
        <v>574</v>
      </c>
      <c r="B67" s="727"/>
      <c r="C67" s="12"/>
      <c r="D67" s="12"/>
      <c r="E67" s="12"/>
      <c r="F67" s="12"/>
      <c r="G67" s="13"/>
      <c r="H67" s="21"/>
      <c r="I67" s="21"/>
      <c r="J67" s="21"/>
      <c r="K67" s="21"/>
      <c r="L67" s="21"/>
      <c r="M67" s="21"/>
      <c r="N67" s="21"/>
      <c r="O67" s="21"/>
      <c r="P67" s="21"/>
      <c r="Q67" s="21"/>
      <c r="R67" s="21"/>
      <c r="S67" s="21"/>
    </row>
    <row r="68" spans="1:19" s="2" customFormat="1" ht="15.75" thickTop="1">
      <c r="A68" s="2469"/>
      <c r="B68" s="2404"/>
      <c r="C68" s="2470"/>
      <c r="D68" s="2470"/>
      <c r="E68" s="2470"/>
      <c r="F68" s="2470"/>
      <c r="G68" s="2471"/>
      <c r="H68" s="2472"/>
      <c r="I68" s="2472"/>
      <c r="J68" s="2472"/>
      <c r="K68" s="2472"/>
      <c r="L68" s="2472"/>
      <c r="M68" s="2472"/>
      <c r="N68" s="2472"/>
      <c r="O68" s="2472"/>
      <c r="P68" s="2472"/>
      <c r="Q68" s="2472"/>
      <c r="R68" s="2472"/>
      <c r="S68" s="2472"/>
    </row>
    <row r="69" spans="1:19" s="2" customFormat="1">
      <c r="A69" s="2469"/>
      <c r="B69" s="2404"/>
      <c r="C69" s="2470"/>
      <c r="D69" s="2470"/>
      <c r="E69" s="2470"/>
      <c r="F69" s="2470"/>
      <c r="G69" s="2471"/>
      <c r="H69" s="2472"/>
      <c r="I69" s="2472"/>
      <c r="J69" s="2472"/>
      <c r="K69" s="2472"/>
      <c r="L69" s="2472"/>
      <c r="M69" s="2472"/>
      <c r="N69" s="2472"/>
      <c r="O69" s="2472"/>
      <c r="P69" s="2472"/>
      <c r="Q69" s="2472"/>
      <c r="R69" s="2472"/>
      <c r="S69" s="2472"/>
    </row>
    <row r="70" spans="1:19" ht="15.75" thickBot="1">
      <c r="A70" s="2469"/>
      <c r="B70" s="2404"/>
      <c r="C70" s="2470"/>
      <c r="D70" s="2470"/>
      <c r="E70" s="2470"/>
      <c r="F70" s="2470"/>
      <c r="G70" s="2471"/>
      <c r="H70" s="2472"/>
      <c r="I70" s="2472"/>
      <c r="J70" s="2472"/>
      <c r="K70" s="2472"/>
      <c r="L70" s="2472"/>
      <c r="M70" s="2472"/>
      <c r="N70" s="2472"/>
      <c r="O70" s="2472"/>
      <c r="P70" s="2472"/>
      <c r="Q70" s="2472"/>
      <c r="R70" s="2472"/>
      <c r="S70" s="2472"/>
    </row>
    <row r="71" spans="1:19" ht="16.5" thickTop="1" thickBot="1">
      <c r="A71" s="726" t="s">
        <v>575</v>
      </c>
      <c r="B71" s="727"/>
      <c r="C71" s="12"/>
      <c r="D71" s="12"/>
      <c r="E71" s="12"/>
      <c r="F71" s="12"/>
      <c r="G71" s="13"/>
      <c r="H71" s="21"/>
      <c r="I71" s="21"/>
      <c r="J71" s="21"/>
      <c r="K71" s="21"/>
      <c r="L71" s="21"/>
      <c r="M71" s="21"/>
      <c r="N71" s="21"/>
      <c r="O71" s="21"/>
      <c r="P71" s="21"/>
      <c r="Q71" s="21"/>
      <c r="R71" s="21"/>
      <c r="S71" s="21"/>
    </row>
    <row r="72" spans="1:19" ht="15.75" thickTop="1">
      <c r="A72" s="2469"/>
      <c r="B72" s="2404"/>
      <c r="C72" s="2470"/>
      <c r="D72" s="2470"/>
      <c r="E72" s="2470"/>
      <c r="F72" s="2470"/>
      <c r="G72" s="2471"/>
      <c r="H72" s="2472"/>
      <c r="I72" s="2472"/>
      <c r="J72" s="2472"/>
      <c r="K72" s="2472"/>
      <c r="L72" s="2472"/>
      <c r="M72" s="2472"/>
      <c r="N72" s="2472"/>
      <c r="O72" s="2472"/>
      <c r="P72" s="2472"/>
      <c r="Q72" s="2472"/>
      <c r="R72" s="2472"/>
      <c r="S72" s="2472"/>
    </row>
    <row r="73" spans="1:19">
      <c r="A73" s="2421"/>
      <c r="B73" s="2404"/>
      <c r="C73" s="2405"/>
      <c r="D73" s="2405"/>
      <c r="E73" s="2405"/>
      <c r="F73" s="2405"/>
      <c r="G73" s="2423"/>
      <c r="H73" s="2382"/>
      <c r="I73" s="2382"/>
      <c r="J73" s="2382"/>
      <c r="K73" s="2382"/>
      <c r="L73" s="2382"/>
      <c r="M73" s="2382"/>
      <c r="N73" s="2382"/>
      <c r="O73" s="2382"/>
      <c r="P73" s="2382"/>
      <c r="Q73" s="2382"/>
      <c r="R73" s="2382"/>
      <c r="S73" s="2382"/>
    </row>
    <row r="74" spans="1:19" ht="15.75" thickBot="1">
      <c r="A74" s="2383"/>
      <c r="B74" s="2384"/>
      <c r="C74" s="2405"/>
      <c r="D74" s="2405"/>
      <c r="E74" s="2405"/>
      <c r="F74" s="2405"/>
      <c r="G74" s="2423"/>
      <c r="H74" s="2385"/>
      <c r="I74" s="2385"/>
      <c r="J74" s="2385"/>
      <c r="K74" s="2385"/>
      <c r="L74" s="2385"/>
      <c r="M74" s="2385"/>
      <c r="N74" s="2385"/>
      <c r="O74" s="2385"/>
      <c r="P74" s="2385"/>
      <c r="Q74" s="2385"/>
      <c r="R74" s="2385"/>
      <c r="S74" s="2385"/>
    </row>
    <row r="75" spans="1:19"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2476"/>
      <c r="B76" s="2477"/>
      <c r="C76" s="2470"/>
      <c r="D76" s="2470"/>
      <c r="E76" s="2470"/>
      <c r="F76" s="2470"/>
      <c r="G76" s="2471"/>
      <c r="H76" s="2472"/>
      <c r="I76" s="2472"/>
      <c r="J76" s="2472"/>
      <c r="K76" s="2472"/>
      <c r="L76" s="2472"/>
      <c r="M76" s="2472"/>
      <c r="N76" s="2472"/>
      <c r="O76" s="2472"/>
      <c r="P76" s="2472"/>
      <c r="Q76" s="2472"/>
      <c r="R76" s="2472"/>
      <c r="S76" s="2472"/>
    </row>
    <row r="77" spans="1:19">
      <c r="A77" s="2383"/>
      <c r="B77" s="2384"/>
      <c r="C77" s="2405"/>
      <c r="D77" s="2405"/>
      <c r="E77" s="2405"/>
      <c r="F77" s="2405"/>
      <c r="G77" s="2423"/>
      <c r="H77" s="2388"/>
      <c r="I77" s="2388"/>
      <c r="J77" s="2388"/>
      <c r="K77" s="2388"/>
      <c r="L77" s="2388"/>
      <c r="M77" s="2388"/>
      <c r="N77" s="2388"/>
      <c r="O77" s="2388"/>
      <c r="P77" s="2388"/>
      <c r="Q77" s="2388"/>
      <c r="R77" s="2388"/>
      <c r="S77" s="2388"/>
    </row>
    <row r="78" spans="1:19" ht="15.75" thickBot="1">
      <c r="A78" s="2383"/>
      <c r="B78" s="2384"/>
      <c r="C78" s="2405"/>
      <c r="D78" s="2405"/>
      <c r="E78" s="2405"/>
      <c r="F78" s="2405"/>
      <c r="G78" s="2423"/>
      <c r="H78" s="2388"/>
      <c r="I78" s="2388"/>
      <c r="J78" s="2388"/>
      <c r="K78" s="2388"/>
      <c r="L78" s="2388"/>
      <c r="M78" s="2388"/>
      <c r="N78" s="2388"/>
      <c r="O78" s="2388"/>
      <c r="P78" s="2388"/>
      <c r="Q78" s="2388"/>
      <c r="R78" s="2388"/>
      <c r="S78" s="2388"/>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2421"/>
      <c r="B80" s="2404" t="s">
        <v>578</v>
      </c>
      <c r="C80" s="2405"/>
      <c r="D80" s="2405"/>
      <c r="E80" s="2405"/>
      <c r="F80" s="2405"/>
      <c r="G80" s="2423"/>
      <c r="H80" s="2388"/>
      <c r="I80" s="2388"/>
      <c r="J80" s="2388"/>
      <c r="K80" s="2388"/>
      <c r="L80" s="2388"/>
      <c r="M80" s="2388"/>
      <c r="N80" s="2388"/>
      <c r="O80" s="2388"/>
      <c r="P80" s="2388"/>
      <c r="Q80" s="2388"/>
      <c r="R80" s="2388"/>
      <c r="S80" s="2388"/>
    </row>
    <row r="81" spans="1:19">
      <c r="A81" s="2421"/>
      <c r="B81" s="2404" t="s">
        <v>579</v>
      </c>
      <c r="C81" s="2405"/>
      <c r="D81" s="2405"/>
      <c r="E81" s="2405"/>
      <c r="F81" s="2405"/>
      <c r="G81" s="2423"/>
      <c r="H81" s="2388"/>
      <c r="I81" s="2388"/>
      <c r="J81" s="2388"/>
      <c r="K81" s="2388"/>
      <c r="L81" s="2388"/>
      <c r="M81" s="2388"/>
      <c r="N81" s="2388"/>
      <c r="O81" s="2388"/>
      <c r="P81" s="2388"/>
      <c r="Q81" s="2388"/>
      <c r="R81" s="2388"/>
      <c r="S81" s="2388"/>
    </row>
    <row r="82" spans="1:19">
      <c r="A82" s="2421"/>
      <c r="B82" s="2404" t="s">
        <v>580</v>
      </c>
      <c r="C82" s="2405"/>
      <c r="D82" s="2405"/>
      <c r="E82" s="2405"/>
      <c r="F82" s="2405"/>
      <c r="G82" s="2423"/>
      <c r="H82" s="2388"/>
      <c r="I82" s="2388"/>
      <c r="J82" s="2388"/>
      <c r="K82" s="2388"/>
      <c r="L82" s="2388"/>
      <c r="M82" s="2388"/>
      <c r="N82" s="2388"/>
      <c r="O82" s="2388"/>
      <c r="P82" s="2388"/>
      <c r="Q82" s="2388"/>
      <c r="R82" s="2388"/>
      <c r="S82" s="2388"/>
    </row>
    <row r="83" spans="1:19">
      <c r="A83" s="2421"/>
      <c r="B83" s="2404" t="s">
        <v>581</v>
      </c>
      <c r="C83" s="2405"/>
      <c r="D83" s="2405"/>
      <c r="E83" s="2405"/>
      <c r="F83" s="2405"/>
      <c r="G83" s="2423"/>
      <c r="H83" s="2388"/>
      <c r="I83" s="2388"/>
      <c r="J83" s="2388"/>
      <c r="K83" s="2388"/>
      <c r="L83" s="2388"/>
      <c r="M83" s="2388"/>
      <c r="N83" s="2388"/>
      <c r="O83" s="2388"/>
      <c r="P83" s="2388"/>
      <c r="Q83" s="2388"/>
      <c r="R83" s="2388"/>
      <c r="S83" s="2388"/>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2469"/>
      <c r="B86" s="2479" t="s">
        <v>583</v>
      </c>
      <c r="C86" s="2470"/>
      <c r="D86" s="2470"/>
      <c r="E86" s="2470"/>
      <c r="F86" s="2470"/>
      <c r="G86" s="2471"/>
      <c r="H86" s="2480"/>
      <c r="I86" s="2480"/>
      <c r="J86" s="2480"/>
      <c r="K86" s="2480"/>
      <c r="L86" s="2480"/>
      <c r="M86" s="2480"/>
      <c r="N86" s="2480"/>
      <c r="O86" s="2480"/>
      <c r="P86" s="2480"/>
      <c r="Q86" s="2480"/>
      <c r="R86" s="2480"/>
      <c r="S86" s="2480"/>
    </row>
    <row r="87" spans="1:19">
      <c r="A87" s="2421"/>
      <c r="B87" s="2404" t="s">
        <v>584</v>
      </c>
      <c r="C87" s="2405"/>
      <c r="D87" s="2405"/>
      <c r="E87" s="2405"/>
      <c r="F87" s="2405"/>
      <c r="G87" s="2423"/>
      <c r="H87" s="2390"/>
      <c r="I87" s="2390"/>
      <c r="J87" s="2390"/>
      <c r="K87" s="2390"/>
      <c r="L87" s="2390"/>
      <c r="M87" s="2390"/>
      <c r="N87" s="2390"/>
      <c r="O87" s="2390"/>
      <c r="P87" s="2390"/>
      <c r="Q87" s="2390"/>
      <c r="R87" s="2390"/>
      <c r="S87" s="2390"/>
    </row>
    <row r="88" spans="1:19" ht="15.75" thickBot="1">
      <c r="A88" s="2391"/>
      <c r="B88" s="2392" t="s">
        <v>585</v>
      </c>
      <c r="C88" s="2393"/>
      <c r="D88" s="2393"/>
      <c r="E88" s="2393"/>
      <c r="F88" s="2393"/>
      <c r="G88" s="2394"/>
      <c r="H88" s="2395"/>
      <c r="I88" s="2395"/>
      <c r="J88" s="2395"/>
      <c r="K88" s="2395"/>
      <c r="L88" s="2395"/>
      <c r="M88" s="2395"/>
      <c r="N88" s="2395"/>
      <c r="O88" s="2395"/>
      <c r="P88" s="2395"/>
      <c r="Q88" s="2395"/>
      <c r="R88" s="2395"/>
      <c r="S88" s="2395"/>
    </row>
    <row r="89" spans="1:19" ht="16.5" thickTop="1" thickBot="1"/>
    <row r="90" spans="1:19" ht="16.5" thickTop="1" thickBot="1">
      <c r="A90" s="92" t="s">
        <v>586</v>
      </c>
      <c r="B90" s="94"/>
    </row>
    <row r="91" spans="1:19" ht="15.75" thickTop="1">
      <c r="A91" s="93" t="s">
        <v>487</v>
      </c>
      <c r="B91" s="2396"/>
    </row>
    <row r="92" spans="1:19">
      <c r="A92" s="2397" t="s">
        <v>491</v>
      </c>
      <c r="B92" s="2396"/>
    </row>
    <row r="93" spans="1:19">
      <c r="A93" s="2398" t="s">
        <v>494</v>
      </c>
      <c r="B93" s="2399"/>
    </row>
    <row r="94" spans="1:19">
      <c r="A94" s="2398" t="s">
        <v>497</v>
      </c>
      <c r="B94" s="2400"/>
    </row>
    <row r="95" spans="1:19" ht="15.75" thickBot="1">
      <c r="A95" s="2401" t="s">
        <v>587</v>
      </c>
      <c r="B95" s="2402">
        <f>H8</f>
        <v>104000</v>
      </c>
    </row>
    <row r="96" spans="1:19" ht="15.75" thickTop="1"/>
    <row r="97" spans="1:2">
      <c r="A97" s="95"/>
      <c r="B97" s="1" t="s">
        <v>588</v>
      </c>
    </row>
    <row r="98" spans="1:2">
      <c r="A98" s="96"/>
      <c r="B98"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3:B63"/>
    <mergeCell ref="A67:B67"/>
    <mergeCell ref="A71:B71"/>
    <mergeCell ref="A75:B75"/>
    <mergeCell ref="A79:B79"/>
  </mergeCells>
  <conditionalFormatting sqref="H21:H31 H33:H54 J33:J54 L33:L54 N33:N54 P33:P54 R33:R54">
    <cfRule type="cellIs" dxfId="821" priority="13" operator="equal">
      <formula>"X"</formula>
    </cfRule>
    <cfRule type="cellIs" dxfId="820" priority="14" operator="equal">
      <formula>"I"</formula>
    </cfRule>
  </conditionalFormatting>
  <conditionalFormatting sqref="J21:J31">
    <cfRule type="cellIs" dxfId="819" priority="15" operator="equal">
      <formula>"X"</formula>
    </cfRule>
    <cfRule type="cellIs" dxfId="818" priority="16" operator="equal">
      <formula>"I"</formula>
    </cfRule>
  </conditionalFormatting>
  <conditionalFormatting sqref="L21:L31">
    <cfRule type="cellIs" dxfId="817" priority="17" operator="equal">
      <formula>"X"</formula>
    </cfRule>
    <cfRule type="cellIs" dxfId="816" priority="18" operator="equal">
      <formula>"I"</formula>
    </cfRule>
  </conditionalFormatting>
  <conditionalFormatting sqref="N21:N31">
    <cfRule type="cellIs" dxfId="815" priority="19" operator="equal">
      <formula>"X"</formula>
    </cfRule>
    <cfRule type="cellIs" dxfId="814" priority="20" operator="equal">
      <formula>"I"</formula>
    </cfRule>
  </conditionalFormatting>
  <conditionalFormatting sqref="P21:P31">
    <cfRule type="cellIs" dxfId="813" priority="21" operator="equal">
      <formula>"X"</formula>
    </cfRule>
    <cfRule type="cellIs" dxfId="812" priority="22" operator="equal">
      <formula>"I"</formula>
    </cfRule>
  </conditionalFormatting>
  <conditionalFormatting sqref="R21:R31">
    <cfRule type="cellIs" dxfId="811" priority="23" operator="equal">
      <formula>"X"</formula>
    </cfRule>
    <cfRule type="cellIs" dxfId="810" priority="24" operator="equal">
      <formula>"I"</formula>
    </cfRule>
  </conditionalFormatting>
  <hyperlinks>
    <hyperlink ref="B3" location="'Cost Summary'!A1" display="BACK TO SUMMARY SHEET" xr:uid="{506E711B-2410-4A23-897C-C5F076476EBB}"/>
  </hyperlink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C0EB-3CBA-471C-AAC8-9412644CC620}">
  <sheetPr>
    <tabColor rgb="FF92D050"/>
  </sheetPr>
  <dimension ref="A1:S93"/>
  <sheetViews>
    <sheetView workbookViewId="0">
      <pane xSplit="2" ySplit="9" topLeftCell="C20" activePane="bottomRight" state="frozen"/>
      <selection pane="bottomRight" activeCell="B34" sqref="B34"/>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1143</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1144</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I54</f>
        <v>0</v>
      </c>
      <c r="I8" s="2419"/>
      <c r="J8" s="2418">
        <f>K54</f>
        <v>0</v>
      </c>
      <c r="K8" s="2419"/>
      <c r="L8" s="2418">
        <f>M54</f>
        <v>0</v>
      </c>
      <c r="M8" s="2419"/>
      <c r="N8" s="2418">
        <f>O54</f>
        <v>0</v>
      </c>
      <c r="O8" s="2419"/>
      <c r="P8" s="2418">
        <f>Q54</f>
        <v>0</v>
      </c>
      <c r="Q8" s="2419"/>
      <c r="R8" s="2418">
        <f>S54</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483"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84"/>
      <c r="B21" s="2428" t="s">
        <v>1143</v>
      </c>
      <c r="C21" s="56"/>
      <c r="D21" s="57"/>
      <c r="E21" s="57"/>
      <c r="F21" s="57"/>
      <c r="G21" s="63"/>
      <c r="H21" s="2427"/>
      <c r="I21" s="58"/>
      <c r="J21" s="2427"/>
      <c r="K21" s="58"/>
      <c r="L21" s="2427"/>
      <c r="M21" s="58"/>
      <c r="N21" s="2427"/>
      <c r="O21" s="58"/>
      <c r="P21" s="2427"/>
      <c r="Q21" s="58"/>
      <c r="R21" s="2427"/>
      <c r="S21" s="58"/>
    </row>
    <row r="22" spans="1:19">
      <c r="A22" s="2602"/>
      <c r="B22" s="2318" t="s">
        <v>512</v>
      </c>
      <c r="C22" s="2426"/>
      <c r="D22" s="2405"/>
      <c r="E22" s="2405"/>
      <c r="F22" s="2405"/>
      <c r="G22" s="2423"/>
      <c r="H22" s="2427"/>
      <c r="I22" s="584"/>
      <c r="J22" s="2427"/>
      <c r="K22" s="584"/>
      <c r="L22" s="2427"/>
      <c r="M22" s="584"/>
      <c r="N22" s="2427"/>
      <c r="O22" s="584"/>
      <c r="P22" s="2427"/>
      <c r="Q22" s="584"/>
      <c r="R22" s="2427"/>
      <c r="S22" s="584"/>
    </row>
    <row r="23" spans="1:19">
      <c r="A23" s="2602"/>
      <c r="B23" s="2429" t="s">
        <v>513</v>
      </c>
      <c r="C23" s="2426"/>
      <c r="D23" s="2405"/>
      <c r="E23" s="2405"/>
      <c r="F23" s="2405"/>
      <c r="G23" s="2423"/>
      <c r="H23" s="2427"/>
      <c r="I23" s="583"/>
      <c r="J23" s="2427"/>
      <c r="K23" s="584"/>
      <c r="L23" s="2427"/>
      <c r="M23" s="584"/>
      <c r="N23" s="2427"/>
      <c r="O23" s="584"/>
      <c r="P23" s="2427"/>
      <c r="Q23" s="584"/>
      <c r="R23" s="2427"/>
      <c r="S23" s="584"/>
    </row>
    <row r="24" spans="1:19">
      <c r="A24" s="2484"/>
      <c r="B24" s="2429" t="s">
        <v>514</v>
      </c>
      <c r="C24" s="2430"/>
      <c r="D24" s="2405"/>
      <c r="E24" s="2405"/>
      <c r="F24" s="2405"/>
      <c r="G24" s="2423"/>
      <c r="H24" s="2427"/>
      <c r="I24" s="583"/>
      <c r="J24" s="2427"/>
      <c r="K24" s="584"/>
      <c r="L24" s="2427"/>
      <c r="M24" s="584"/>
      <c r="N24" s="2427"/>
      <c r="O24" s="584"/>
      <c r="P24" s="2427"/>
      <c r="Q24" s="584"/>
      <c r="R24" s="2427"/>
      <c r="S24" s="584"/>
    </row>
    <row r="25" spans="1:19">
      <c r="A25" s="2484"/>
      <c r="B25" s="2603" t="s">
        <v>515</v>
      </c>
      <c r="C25" s="2430"/>
      <c r="D25" s="2405"/>
      <c r="E25" s="2405"/>
      <c r="F25" s="2405"/>
      <c r="G25" s="2423"/>
      <c r="H25" s="2427"/>
      <c r="I25" s="583"/>
      <c r="J25" s="2427"/>
      <c r="K25" s="584"/>
      <c r="L25" s="2427"/>
      <c r="M25" s="584"/>
      <c r="N25" s="2427"/>
      <c r="O25" s="584"/>
      <c r="P25" s="2427"/>
      <c r="Q25" s="584"/>
      <c r="R25" s="2427"/>
      <c r="S25" s="584"/>
    </row>
    <row r="26" spans="1:19" s="91" customFormat="1">
      <c r="A26" s="2602"/>
      <c r="B26" s="2603" t="s">
        <v>516</v>
      </c>
      <c r="C26" s="2432"/>
      <c r="D26" s="2433"/>
      <c r="E26" s="2433"/>
      <c r="F26" s="2433"/>
      <c r="G26" s="2432"/>
      <c r="H26" s="2427"/>
      <c r="I26" s="583"/>
      <c r="J26" s="2427"/>
      <c r="K26" s="2486"/>
      <c r="L26" s="2427"/>
      <c r="M26" s="2486"/>
      <c r="N26" s="2427"/>
      <c r="O26" s="2486"/>
      <c r="P26" s="2427"/>
      <c r="Q26" s="2486"/>
      <c r="R26" s="2427"/>
      <c r="S26" s="2486"/>
    </row>
    <row r="27" spans="1:19" s="91" customFormat="1">
      <c r="A27" s="2602"/>
      <c r="B27" s="2603" t="s">
        <v>517</v>
      </c>
      <c r="C27" s="2432"/>
      <c r="D27" s="2433"/>
      <c r="E27" s="2433"/>
      <c r="F27" s="2433"/>
      <c r="G27" s="2432"/>
      <c r="H27" s="2427"/>
      <c r="I27" s="583"/>
      <c r="J27" s="2427"/>
      <c r="K27" s="2486"/>
      <c r="L27" s="2427"/>
      <c r="M27" s="2486"/>
      <c r="N27" s="2427"/>
      <c r="O27" s="2486"/>
      <c r="P27" s="2427"/>
      <c r="Q27" s="2486"/>
      <c r="R27" s="2427"/>
      <c r="S27" s="2486"/>
    </row>
    <row r="28" spans="1:19" s="91" customFormat="1">
      <c r="A28" s="2602"/>
      <c r="B28" s="2603" t="s">
        <v>518</v>
      </c>
      <c r="C28" s="2432"/>
      <c r="D28" s="2433"/>
      <c r="E28" s="2433"/>
      <c r="F28" s="2433"/>
      <c r="G28" s="2432"/>
      <c r="H28" s="2427"/>
      <c r="I28" s="583"/>
      <c r="J28" s="2427"/>
      <c r="K28" s="2486"/>
      <c r="L28" s="2427"/>
      <c r="M28" s="2486"/>
      <c r="N28" s="2427"/>
      <c r="O28" s="2486"/>
      <c r="P28" s="2427"/>
      <c r="Q28" s="2486"/>
      <c r="R28" s="2427"/>
      <c r="S28" s="2486"/>
    </row>
    <row r="29" spans="1:19" s="91" customFormat="1">
      <c r="A29" s="2602"/>
      <c r="B29" s="2603" t="s">
        <v>693</v>
      </c>
      <c r="C29" s="2432"/>
      <c r="D29" s="2433"/>
      <c r="E29" s="2433"/>
      <c r="F29" s="2433"/>
      <c r="G29" s="2432"/>
      <c r="H29" s="2427"/>
      <c r="I29" s="583"/>
      <c r="J29" s="2427"/>
      <c r="K29" s="2486"/>
      <c r="L29" s="2427"/>
      <c r="M29" s="2486"/>
      <c r="N29" s="2427"/>
      <c r="O29" s="2486"/>
      <c r="P29" s="2427"/>
      <c r="Q29" s="2486"/>
      <c r="R29" s="2427"/>
      <c r="S29" s="2486"/>
    </row>
    <row r="30" spans="1:19" s="91" customFormat="1">
      <c r="A30" s="2602"/>
      <c r="B30" s="2487" t="s">
        <v>519</v>
      </c>
      <c r="C30" s="2432"/>
      <c r="D30" s="2433"/>
      <c r="E30" s="2433"/>
      <c r="F30" s="2433"/>
      <c r="G30" s="2432"/>
      <c r="H30" s="2427"/>
      <c r="I30" s="583"/>
      <c r="J30" s="2427"/>
      <c r="K30" s="2486"/>
      <c r="L30" s="2427"/>
      <c r="M30" s="2486"/>
      <c r="N30" s="2427"/>
      <c r="O30" s="2486"/>
      <c r="P30" s="2427"/>
      <c r="Q30" s="2486"/>
      <c r="R30" s="2427"/>
      <c r="S30" s="2486"/>
    </row>
    <row r="31" spans="1:19" s="91" customFormat="1">
      <c r="A31" s="2602"/>
      <c r="B31" s="2488" t="s">
        <v>520</v>
      </c>
      <c r="C31" s="2435"/>
      <c r="D31" s="2436"/>
      <c r="E31" s="2436"/>
      <c r="F31" s="2436"/>
      <c r="G31" s="2435"/>
      <c r="H31" s="2439"/>
      <c r="I31" s="586"/>
      <c r="J31" s="2443"/>
      <c r="K31" s="2489"/>
      <c r="L31" s="2443"/>
      <c r="M31" s="2489"/>
      <c r="N31" s="2489"/>
      <c r="O31" s="2489"/>
      <c r="P31" s="2489"/>
      <c r="Q31" s="2489"/>
      <c r="R31" s="2489"/>
      <c r="S31" s="2489"/>
    </row>
    <row r="32" spans="1:19" s="91" customFormat="1">
      <c r="A32" s="2604"/>
      <c r="B32" s="2545"/>
      <c r="C32" s="2445"/>
      <c r="D32" s="2433"/>
      <c r="E32" s="2433"/>
      <c r="F32" s="2433"/>
      <c r="G32" s="2432"/>
      <c r="H32" s="2427"/>
      <c r="I32" s="583"/>
      <c r="J32" s="2427"/>
      <c r="K32" s="2486"/>
      <c r="L32" s="2427"/>
      <c r="M32" s="2486"/>
      <c r="N32" s="2427"/>
      <c r="O32" s="2486"/>
      <c r="P32" s="2427"/>
      <c r="Q32" s="2486"/>
      <c r="R32" s="2427"/>
      <c r="S32" s="2486"/>
    </row>
    <row r="33" spans="1:19" s="91" customFormat="1">
      <c r="A33" s="2604"/>
      <c r="B33" s="2545"/>
      <c r="C33" s="2445"/>
      <c r="D33" s="2433"/>
      <c r="E33" s="2433"/>
      <c r="F33" s="2433"/>
      <c r="G33" s="2432"/>
      <c r="H33" s="2427"/>
      <c r="I33" s="583"/>
      <c r="J33" s="2427"/>
      <c r="K33" s="2486"/>
      <c r="L33" s="2427"/>
      <c r="M33" s="2486"/>
      <c r="N33" s="2427"/>
      <c r="O33" s="2486"/>
      <c r="P33" s="2427"/>
      <c r="Q33" s="2486"/>
      <c r="R33" s="2427"/>
      <c r="S33" s="2486"/>
    </row>
    <row r="34" spans="1:19" s="91" customFormat="1">
      <c r="A34" s="2604"/>
      <c r="B34" s="2545"/>
      <c r="C34" s="2445"/>
      <c r="D34" s="2433"/>
      <c r="E34" s="2433"/>
      <c r="F34" s="2433"/>
      <c r="G34" s="2432"/>
      <c r="H34" s="2427"/>
      <c r="I34" s="583"/>
      <c r="J34" s="2427"/>
      <c r="K34" s="2486"/>
      <c r="L34" s="2427"/>
      <c r="M34" s="2486"/>
      <c r="N34" s="2427"/>
      <c r="O34" s="2486"/>
      <c r="P34" s="2427"/>
      <c r="Q34" s="2486"/>
      <c r="R34" s="2427"/>
      <c r="S34" s="2486"/>
    </row>
    <row r="35" spans="1:19" s="91" customFormat="1">
      <c r="A35" s="2604"/>
      <c r="B35" s="2545"/>
      <c r="C35" s="2445"/>
      <c r="D35" s="2433"/>
      <c r="E35" s="2546"/>
      <c r="F35" s="2547"/>
      <c r="G35" s="2432"/>
      <c r="H35" s="2427"/>
      <c r="I35" s="583"/>
      <c r="J35" s="2427"/>
      <c r="K35" s="2486"/>
      <c r="L35" s="2427"/>
      <c r="M35" s="2486"/>
      <c r="N35" s="2427"/>
      <c r="O35" s="2486"/>
      <c r="P35" s="2427"/>
      <c r="Q35" s="2486"/>
      <c r="R35" s="2427"/>
      <c r="S35" s="2486"/>
    </row>
    <row r="36" spans="1:19" s="91" customFormat="1">
      <c r="A36" s="2604"/>
      <c r="B36" s="2545"/>
      <c r="C36" s="2445"/>
      <c r="D36" s="2433"/>
      <c r="E36" s="2546"/>
      <c r="F36" s="2547"/>
      <c r="G36" s="2432"/>
      <c r="H36" s="2427"/>
      <c r="I36" s="583"/>
      <c r="J36" s="2427"/>
      <c r="K36" s="2486"/>
      <c r="L36" s="2427"/>
      <c r="M36" s="2486"/>
      <c r="N36" s="2427"/>
      <c r="O36" s="2486"/>
      <c r="P36" s="2427"/>
      <c r="Q36" s="2486"/>
      <c r="R36" s="2427"/>
      <c r="S36" s="2486"/>
    </row>
    <row r="37" spans="1:19" s="91" customFormat="1">
      <c r="A37" s="2604"/>
      <c r="B37" s="2545"/>
      <c r="C37" s="2445"/>
      <c r="D37" s="2433"/>
      <c r="E37" s="2546"/>
      <c r="F37" s="2547"/>
      <c r="G37" s="2432"/>
      <c r="H37" s="2427"/>
      <c r="I37" s="583"/>
      <c r="J37" s="2427"/>
      <c r="K37" s="2486"/>
      <c r="L37" s="2427"/>
      <c r="M37" s="2486"/>
      <c r="N37" s="2427"/>
      <c r="O37" s="2486"/>
      <c r="P37" s="2427"/>
      <c r="Q37" s="2486"/>
      <c r="R37" s="2427"/>
      <c r="S37" s="2486"/>
    </row>
    <row r="38" spans="1:19" s="91" customFormat="1">
      <c r="A38" s="2604"/>
      <c r="B38" s="2569"/>
      <c r="C38" s="2445"/>
      <c r="D38" s="2433"/>
      <c r="E38" s="2546"/>
      <c r="F38" s="2547"/>
      <c r="G38" s="2432"/>
      <c r="H38" s="2427"/>
      <c r="I38" s="583"/>
      <c r="J38" s="2427"/>
      <c r="K38" s="2486"/>
      <c r="L38" s="2427"/>
      <c r="M38" s="2486"/>
      <c r="N38" s="2427"/>
      <c r="O38" s="2486"/>
      <c r="P38" s="2427"/>
      <c r="Q38" s="2486"/>
      <c r="R38" s="2427"/>
      <c r="S38" s="2486"/>
    </row>
    <row r="39" spans="1:19" s="91" customFormat="1">
      <c r="A39" s="2604"/>
      <c r="B39" s="2570"/>
      <c r="C39" s="2445"/>
      <c r="D39" s="2433"/>
      <c r="E39" s="2546"/>
      <c r="F39" s="2547"/>
      <c r="G39" s="2432"/>
      <c r="H39" s="2427" t="s">
        <v>710</v>
      </c>
      <c r="I39" s="583"/>
      <c r="J39" s="2427"/>
      <c r="K39" s="2486"/>
      <c r="L39" s="2427"/>
      <c r="M39" s="2486"/>
      <c r="N39" s="2427"/>
      <c r="O39" s="2486"/>
      <c r="P39" s="2427"/>
      <c r="Q39" s="2486"/>
      <c r="R39" s="2427"/>
      <c r="S39" s="2486"/>
    </row>
    <row r="40" spans="1:19" s="91" customFormat="1">
      <c r="A40" s="2604"/>
      <c r="B40" s="152"/>
      <c r="C40" s="2445"/>
      <c r="D40" s="2433"/>
      <c r="E40" s="2546"/>
      <c r="F40" s="2547"/>
      <c r="G40" s="2432"/>
      <c r="H40" s="2427"/>
      <c r="I40" s="583"/>
      <c r="J40" s="2427"/>
      <c r="K40" s="2486"/>
      <c r="L40" s="2427"/>
      <c r="M40" s="2486"/>
      <c r="N40" s="2427"/>
      <c r="O40" s="2486"/>
      <c r="P40" s="2427"/>
      <c r="Q40" s="2486"/>
      <c r="R40" s="2427"/>
      <c r="S40" s="2486"/>
    </row>
    <row r="41" spans="1:19" s="91" customFormat="1">
      <c r="A41" s="2604"/>
      <c r="B41" s="2545"/>
      <c r="C41" s="2445"/>
      <c r="D41" s="2433"/>
      <c r="E41" s="2546"/>
      <c r="F41" s="2547"/>
      <c r="G41" s="2432"/>
      <c r="H41" s="2427"/>
      <c r="I41" s="583"/>
      <c r="J41" s="2427"/>
      <c r="K41" s="2486"/>
      <c r="L41" s="2427"/>
      <c r="M41" s="2486"/>
      <c r="N41" s="2427"/>
      <c r="O41" s="2486"/>
      <c r="P41" s="2427"/>
      <c r="Q41" s="2486"/>
      <c r="R41" s="2427"/>
      <c r="S41" s="2486"/>
    </row>
    <row r="42" spans="1:19" s="91" customFormat="1">
      <c r="A42" s="2604"/>
      <c r="B42" s="2545"/>
      <c r="C42" s="2445"/>
      <c r="D42" s="2433"/>
      <c r="E42" s="2546"/>
      <c r="F42" s="2547"/>
      <c r="G42" s="2432"/>
      <c r="H42" s="2427"/>
      <c r="I42" s="583"/>
      <c r="J42" s="2427"/>
      <c r="K42" s="2486"/>
      <c r="L42" s="2427"/>
      <c r="M42" s="2486"/>
      <c r="N42" s="2427"/>
      <c r="O42" s="2486"/>
      <c r="P42" s="2427"/>
      <c r="Q42" s="2486"/>
      <c r="R42" s="2427"/>
      <c r="S42" s="2486"/>
    </row>
    <row r="43" spans="1:19" s="91" customFormat="1">
      <c r="A43" s="2604"/>
      <c r="B43" s="2545"/>
      <c r="C43" s="2445"/>
      <c r="D43" s="2433"/>
      <c r="E43" s="2546"/>
      <c r="F43" s="2547"/>
      <c r="G43" s="2432"/>
      <c r="H43" s="2427"/>
      <c r="I43" s="583"/>
      <c r="J43" s="2427"/>
      <c r="K43" s="2486"/>
      <c r="L43" s="2427"/>
      <c r="M43" s="2486"/>
      <c r="N43" s="2427"/>
      <c r="O43" s="2486"/>
      <c r="P43" s="2427"/>
      <c r="Q43" s="2486"/>
      <c r="R43" s="2427"/>
      <c r="S43" s="2486"/>
    </row>
    <row r="44" spans="1:19" s="91" customFormat="1">
      <c r="A44" s="2604"/>
      <c r="B44" s="2545"/>
      <c r="C44" s="2445"/>
      <c r="D44" s="2433"/>
      <c r="E44" s="2546"/>
      <c r="F44" s="2547"/>
      <c r="G44" s="2432"/>
      <c r="H44" s="2427"/>
      <c r="I44" s="583"/>
      <c r="J44" s="2427"/>
      <c r="K44" s="2486"/>
      <c r="L44" s="2427"/>
      <c r="M44" s="2486"/>
      <c r="N44" s="2427"/>
      <c r="O44" s="2486"/>
      <c r="P44" s="2427"/>
      <c r="Q44" s="2486"/>
      <c r="R44" s="2427"/>
      <c r="S44" s="2486"/>
    </row>
    <row r="45" spans="1:19" s="91" customFormat="1">
      <c r="A45" s="2604"/>
      <c r="B45" s="2545"/>
      <c r="C45" s="2445"/>
      <c r="D45" s="2433"/>
      <c r="E45" s="2546"/>
      <c r="F45" s="2547"/>
      <c r="G45" s="2432"/>
      <c r="H45" s="2427"/>
      <c r="I45" s="583"/>
      <c r="J45" s="2427"/>
      <c r="K45" s="2486"/>
      <c r="L45" s="2427"/>
      <c r="M45" s="2486"/>
      <c r="N45" s="2427"/>
      <c r="O45" s="2486"/>
      <c r="P45" s="2427"/>
      <c r="Q45" s="2486"/>
      <c r="R45" s="2427"/>
      <c r="S45" s="2486"/>
    </row>
    <row r="46" spans="1:19" s="91" customFormat="1">
      <c r="A46" s="2604"/>
      <c r="B46" s="2545"/>
      <c r="C46" s="2445"/>
      <c r="D46" s="2433"/>
      <c r="E46" s="2546"/>
      <c r="F46" s="2547"/>
      <c r="G46" s="2432"/>
      <c r="H46" s="2427"/>
      <c r="I46" s="583"/>
      <c r="J46" s="2427"/>
      <c r="K46" s="2486"/>
      <c r="L46" s="2427"/>
      <c r="M46" s="2486"/>
      <c r="N46" s="2427"/>
      <c r="O46" s="2486"/>
      <c r="P46" s="2427"/>
      <c r="Q46" s="2486"/>
      <c r="R46" s="2427"/>
      <c r="S46" s="2486"/>
    </row>
    <row r="47" spans="1:19" s="91" customFormat="1">
      <c r="A47" s="2604"/>
      <c r="B47" s="2545"/>
      <c r="C47" s="2445"/>
      <c r="D47" s="2433"/>
      <c r="E47" s="2546"/>
      <c r="F47" s="2547"/>
      <c r="G47" s="2432"/>
      <c r="H47" s="2427"/>
      <c r="I47" s="583"/>
      <c r="J47" s="2427"/>
      <c r="K47" s="2486"/>
      <c r="L47" s="2427"/>
      <c r="M47" s="2486"/>
      <c r="N47" s="2427"/>
      <c r="O47" s="2486"/>
      <c r="P47" s="2427"/>
      <c r="Q47" s="2486"/>
      <c r="R47" s="2427"/>
      <c r="S47" s="2486"/>
    </row>
    <row r="48" spans="1:19" s="91" customFormat="1">
      <c r="A48" s="2604"/>
      <c r="B48" s="2545"/>
      <c r="C48" s="2445"/>
      <c r="D48" s="2433"/>
      <c r="E48" s="2546"/>
      <c r="F48" s="2547"/>
      <c r="G48" s="2432"/>
      <c r="H48" s="2427"/>
      <c r="I48" s="583"/>
      <c r="J48" s="2427"/>
      <c r="K48" s="2486"/>
      <c r="L48" s="2427"/>
      <c r="M48" s="2486"/>
      <c r="N48" s="2427"/>
      <c r="O48" s="2486"/>
      <c r="P48" s="2427"/>
      <c r="Q48" s="2486"/>
      <c r="R48" s="2427"/>
      <c r="S48" s="2486"/>
    </row>
    <row r="49" spans="1:19" s="91" customFormat="1">
      <c r="A49" s="2604"/>
      <c r="B49" s="2545"/>
      <c r="C49" s="2445"/>
      <c r="D49" s="2433"/>
      <c r="E49" s="2546"/>
      <c r="F49" s="2547"/>
      <c r="G49" s="2432"/>
      <c r="H49" s="2427"/>
      <c r="I49" s="583"/>
      <c r="J49" s="2427"/>
      <c r="K49" s="2486"/>
      <c r="L49" s="2427"/>
      <c r="M49" s="2486"/>
      <c r="N49" s="2427"/>
      <c r="O49" s="2486"/>
      <c r="P49" s="2427"/>
      <c r="Q49" s="2486"/>
      <c r="R49" s="2427"/>
      <c r="S49" s="2486"/>
    </row>
    <row r="50" spans="1:19">
      <c r="A50" s="14"/>
      <c r="B50" s="15"/>
      <c r="C50" s="16"/>
      <c r="D50" s="16"/>
      <c r="E50" s="17"/>
      <c r="F50" s="18" t="s">
        <v>567</v>
      </c>
      <c r="G50" s="19"/>
      <c r="H50" s="20"/>
      <c r="I50" s="61">
        <f>SUM(I23:I49)</f>
        <v>0</v>
      </c>
      <c r="J50" s="20"/>
      <c r="K50" s="61">
        <f>SUM(K23:K49)</f>
        <v>0</v>
      </c>
      <c r="L50" s="20"/>
      <c r="M50" s="61">
        <f>SUM(M23:M49)</f>
        <v>0</v>
      </c>
      <c r="N50" s="20"/>
      <c r="O50" s="61">
        <f>SUM(O23:O49)</f>
        <v>0</v>
      </c>
      <c r="P50" s="20"/>
      <c r="Q50" s="61">
        <f>SUM(Q23:Q49)</f>
        <v>0</v>
      </c>
      <c r="R50" s="20"/>
      <c r="S50" s="61">
        <f>SUM(S23:S49)</f>
        <v>0</v>
      </c>
    </row>
    <row r="51" spans="1:19">
      <c r="A51" s="2358"/>
      <c r="B51" s="2359"/>
      <c r="C51" s="2360"/>
      <c r="D51" s="2360"/>
      <c r="E51" s="2361"/>
      <c r="F51" s="2362" t="s">
        <v>568</v>
      </c>
      <c r="G51" s="2363"/>
      <c r="H51" s="2364">
        <v>0</v>
      </c>
      <c r="I51" s="2460"/>
      <c r="J51" s="2364">
        <v>0</v>
      </c>
      <c r="K51" s="2460"/>
      <c r="L51" s="2364">
        <v>0</v>
      </c>
      <c r="M51" s="2460"/>
      <c r="N51" s="2364">
        <v>0</v>
      </c>
      <c r="O51" s="2460"/>
      <c r="P51" s="2364">
        <v>0</v>
      </c>
      <c r="Q51" s="2460"/>
      <c r="R51" s="2364">
        <v>0</v>
      </c>
      <c r="S51" s="2460"/>
    </row>
    <row r="52" spans="1:19">
      <c r="A52" s="2358"/>
      <c r="B52" s="2359"/>
      <c r="C52" s="2360"/>
      <c r="D52" s="2360"/>
      <c r="E52" s="2361"/>
      <c r="F52" s="2362" t="s">
        <v>569</v>
      </c>
      <c r="G52" s="2363"/>
      <c r="H52" s="2366"/>
      <c r="I52" s="2462">
        <f>H51*I50</f>
        <v>0</v>
      </c>
      <c r="J52" s="2366"/>
      <c r="K52" s="2462">
        <f>J51*K50</f>
        <v>0</v>
      </c>
      <c r="L52" s="2366"/>
      <c r="M52" s="2462">
        <f>L51*M50</f>
        <v>0</v>
      </c>
      <c r="N52" s="2366"/>
      <c r="O52" s="2462">
        <f>N51*O50</f>
        <v>0</v>
      </c>
      <c r="P52" s="2366"/>
      <c r="Q52" s="2462">
        <f>P51*Q50</f>
        <v>0</v>
      </c>
      <c r="R52" s="2366"/>
      <c r="S52" s="2462">
        <f>R51*S50</f>
        <v>0</v>
      </c>
    </row>
    <row r="53" spans="1:19">
      <c r="A53" s="2358"/>
      <c r="B53" s="2359"/>
      <c r="C53" s="2360"/>
      <c r="D53" s="2360"/>
      <c r="E53" s="2361"/>
      <c r="F53" s="2362"/>
      <c r="G53" s="2363"/>
      <c r="H53" s="2366"/>
      <c r="I53" s="2464"/>
      <c r="J53" s="2366"/>
      <c r="K53" s="2464"/>
      <c r="L53" s="2366"/>
      <c r="M53" s="2464"/>
      <c r="N53" s="2366"/>
      <c r="O53" s="2464"/>
      <c r="P53" s="2366"/>
      <c r="Q53" s="2464"/>
      <c r="R53" s="2366"/>
      <c r="S53" s="2464"/>
    </row>
    <row r="54" spans="1:19">
      <c r="A54" s="2358"/>
      <c r="B54" s="2359"/>
      <c r="C54" s="2360"/>
      <c r="D54" s="2360"/>
      <c r="E54" s="2361"/>
      <c r="F54" s="2362" t="s">
        <v>570</v>
      </c>
      <c r="G54" s="2363"/>
      <c r="H54" s="2368"/>
      <c r="I54" s="2465">
        <f>SUM(I50:I52)</f>
        <v>0</v>
      </c>
      <c r="J54" s="2368"/>
      <c r="K54" s="2465">
        <f>SUM(K50:K52)</f>
        <v>0</v>
      </c>
      <c r="L54" s="2368"/>
      <c r="M54" s="2465">
        <f>SUM(M50:M52)</f>
        <v>0</v>
      </c>
      <c r="N54" s="2368"/>
      <c r="O54" s="2465">
        <f>SUM(O50:O52)</f>
        <v>0</v>
      </c>
      <c r="P54" s="2368"/>
      <c r="Q54" s="2465">
        <f>SUM(Q50:Q52)</f>
        <v>0</v>
      </c>
      <c r="R54" s="2368"/>
      <c r="S54" s="2465">
        <f>SUM(S50:S52)</f>
        <v>0</v>
      </c>
    </row>
    <row r="55" spans="1:19">
      <c r="A55" s="2358"/>
      <c r="B55" s="2359"/>
      <c r="C55" s="2360"/>
      <c r="D55" s="2360"/>
      <c r="E55" s="2361"/>
      <c r="F55" s="2370" t="s">
        <v>571</v>
      </c>
      <c r="G55" s="2371"/>
      <c r="H55" s="2372"/>
      <c r="I55" s="2373" t="e">
        <f>I54/'Area Calculations'!$J$4</f>
        <v>#DIV/0!</v>
      </c>
      <c r="J55" s="2372"/>
      <c r="K55" s="2373" t="e">
        <f>K54/'Area Calculations'!$J$4</f>
        <v>#DIV/0!</v>
      </c>
      <c r="L55" s="2372"/>
      <c r="M55" s="2373" t="e">
        <f>M54/'Area Calculations'!$J$4</f>
        <v>#DIV/0!</v>
      </c>
      <c r="N55" s="2372"/>
      <c r="O55" s="2373" t="e">
        <f>O54/'Area Calculations'!$J$4</f>
        <v>#DIV/0!</v>
      </c>
      <c r="P55" s="2372"/>
      <c r="Q55" s="2373" t="e">
        <f>Q54/'Area Calculations'!$J$4</f>
        <v>#DIV/0!</v>
      </c>
      <c r="R55" s="2372"/>
      <c r="S55" s="2373" t="e">
        <f>S54/'Area Calculations'!$J$4</f>
        <v>#DIV/0!</v>
      </c>
    </row>
    <row r="56" spans="1:19">
      <c r="A56" s="2358"/>
      <c r="B56" s="2359"/>
      <c r="C56" s="2360"/>
      <c r="D56" s="2360"/>
      <c r="E56" s="2361"/>
      <c r="F56" s="2370" t="s">
        <v>572</v>
      </c>
      <c r="G56" s="2374"/>
      <c r="H56" s="2372"/>
      <c r="I56" s="2373" t="e">
        <f>I54/'Area Calculations'!#REF!</f>
        <v>#REF!</v>
      </c>
      <c r="J56" s="2372"/>
      <c r="K56" s="2373" t="e">
        <f>K54/'Area Calculations'!#REF!</f>
        <v>#REF!</v>
      </c>
      <c r="L56" s="2372"/>
      <c r="M56" s="2373" t="e">
        <f>M54/'Area Calculations'!#REF!</f>
        <v>#REF!</v>
      </c>
      <c r="N56" s="2372"/>
      <c r="O56" s="2373" t="e">
        <f>O54/'Area Calculations'!#REF!</f>
        <v>#REF!</v>
      </c>
      <c r="P56" s="2372"/>
      <c r="Q56" s="2373" t="e">
        <f>Q54/'Area Calculations'!#REF!</f>
        <v>#REF!</v>
      </c>
      <c r="R56" s="2372"/>
      <c r="S56" s="2373" t="e">
        <f>S54/'Area Calculations'!#REF!</f>
        <v>#REF!</v>
      </c>
    </row>
    <row r="57" spans="1:19">
      <c r="A57" s="2358"/>
      <c r="B57" s="2359"/>
      <c r="C57" s="2360"/>
      <c r="D57" s="2360"/>
      <c r="E57" s="2361"/>
      <c r="F57" s="2362"/>
      <c r="G57" s="2375"/>
      <c r="H57" s="2376"/>
      <c r="I57" s="2377"/>
      <c r="J57" s="2376"/>
      <c r="K57" s="2377"/>
      <c r="L57" s="2376"/>
      <c r="M57" s="2377"/>
      <c r="N57" s="2376"/>
      <c r="O57" s="2377"/>
      <c r="P57" s="2376"/>
      <c r="Q57" s="2377"/>
      <c r="R57" s="2376"/>
      <c r="S57" s="2377"/>
    </row>
    <row r="58" spans="1:19">
      <c r="A58" s="726" t="s">
        <v>573</v>
      </c>
      <c r="B58" s="727"/>
      <c r="C58" s="12"/>
      <c r="D58" s="12"/>
      <c r="E58" s="12"/>
      <c r="F58" s="12"/>
      <c r="G58" s="13"/>
      <c r="H58" s="21"/>
      <c r="I58" s="21"/>
      <c r="J58" s="21"/>
      <c r="K58" s="21"/>
      <c r="L58" s="21"/>
      <c r="M58" s="21"/>
      <c r="N58" s="21"/>
      <c r="O58" s="21"/>
      <c r="P58" s="21"/>
      <c r="Q58" s="21"/>
      <c r="R58" s="21"/>
      <c r="S58" s="21"/>
    </row>
    <row r="59" spans="1:19">
      <c r="A59" s="2469"/>
      <c r="B59" s="2404"/>
      <c r="C59" s="2470"/>
      <c r="D59" s="2470"/>
      <c r="E59" s="2470"/>
      <c r="F59" s="2470"/>
      <c r="G59" s="2471"/>
      <c r="H59" s="2472"/>
      <c r="I59" s="2472"/>
      <c r="J59" s="2472"/>
      <c r="K59" s="2472"/>
      <c r="L59" s="2472"/>
      <c r="M59" s="2472"/>
      <c r="N59" s="2472"/>
      <c r="O59" s="2472"/>
      <c r="P59" s="2472"/>
      <c r="Q59" s="2472"/>
      <c r="R59" s="2472"/>
      <c r="S59" s="2472"/>
    </row>
    <row r="60" spans="1:19" s="2" customFormat="1">
      <c r="A60" s="2469"/>
      <c r="B60" s="2404"/>
      <c r="C60" s="2470"/>
      <c r="D60" s="2470"/>
      <c r="E60" s="2470"/>
      <c r="F60" s="2470"/>
      <c r="G60" s="2471"/>
      <c r="H60" s="2472"/>
      <c r="I60" s="2472"/>
      <c r="J60" s="2472"/>
      <c r="K60" s="2472"/>
      <c r="L60" s="2472"/>
      <c r="M60" s="2472"/>
      <c r="N60" s="2472"/>
      <c r="O60" s="2472"/>
      <c r="P60" s="2472"/>
      <c r="Q60" s="2472"/>
      <c r="R60" s="2472"/>
      <c r="S60" s="2472"/>
    </row>
    <row r="61" spans="1:19" s="2" customFormat="1">
      <c r="A61" s="2469"/>
      <c r="B61" s="2404"/>
      <c r="C61" s="2470"/>
      <c r="D61" s="2470"/>
      <c r="E61" s="2470"/>
      <c r="F61" s="2470"/>
      <c r="G61" s="2471"/>
      <c r="H61" s="2472"/>
      <c r="I61" s="2472"/>
      <c r="J61" s="2472"/>
      <c r="K61" s="2472"/>
      <c r="L61" s="2472"/>
      <c r="M61" s="2472"/>
      <c r="N61" s="2472"/>
      <c r="O61" s="2472"/>
      <c r="P61" s="2472"/>
      <c r="Q61" s="2472"/>
      <c r="R61" s="2472"/>
      <c r="S61" s="2472"/>
    </row>
    <row r="62" spans="1:19">
      <c r="A62" s="726" t="s">
        <v>574</v>
      </c>
      <c r="B62" s="727"/>
      <c r="C62" s="12"/>
      <c r="D62" s="12"/>
      <c r="E62" s="12"/>
      <c r="F62" s="12"/>
      <c r="G62" s="13"/>
      <c r="H62" s="21"/>
      <c r="I62" s="21"/>
      <c r="J62" s="21"/>
      <c r="K62" s="21"/>
      <c r="L62" s="21"/>
      <c r="M62" s="21"/>
      <c r="N62" s="21"/>
      <c r="O62" s="21"/>
      <c r="P62" s="21"/>
      <c r="Q62" s="21"/>
      <c r="R62" s="21"/>
      <c r="S62" s="21"/>
    </row>
    <row r="63" spans="1:19" s="2" customFormat="1">
      <c r="A63" s="2469"/>
      <c r="B63" s="2404"/>
      <c r="C63" s="2470"/>
      <c r="D63" s="2470"/>
      <c r="E63" s="2470"/>
      <c r="F63" s="2470"/>
      <c r="G63" s="2471"/>
      <c r="H63" s="2472"/>
      <c r="I63" s="2472"/>
      <c r="J63" s="2472"/>
      <c r="K63" s="2472"/>
      <c r="L63" s="2472"/>
      <c r="M63" s="2472"/>
      <c r="N63" s="2472"/>
      <c r="O63" s="2472"/>
      <c r="P63" s="2472"/>
      <c r="Q63" s="2472"/>
      <c r="R63" s="2472"/>
      <c r="S63" s="2472"/>
    </row>
    <row r="64" spans="1:19" s="2" customFormat="1">
      <c r="A64" s="2469"/>
      <c r="B64" s="2404"/>
      <c r="C64" s="2470"/>
      <c r="D64" s="2470"/>
      <c r="E64" s="2470"/>
      <c r="F64" s="2470"/>
      <c r="G64" s="2471"/>
      <c r="H64" s="2472"/>
      <c r="I64" s="2472"/>
      <c r="J64" s="2472"/>
      <c r="K64" s="2472"/>
      <c r="L64" s="2472"/>
      <c r="M64" s="2472"/>
      <c r="N64" s="2472"/>
      <c r="O64" s="2472"/>
      <c r="P64" s="2472"/>
      <c r="Q64" s="2472"/>
      <c r="R64" s="2472"/>
      <c r="S64" s="2472"/>
    </row>
    <row r="65" spans="1:19">
      <c r="A65" s="2469"/>
      <c r="B65" s="2404"/>
      <c r="C65" s="2470"/>
      <c r="D65" s="2470"/>
      <c r="E65" s="2470"/>
      <c r="F65" s="2470"/>
      <c r="G65" s="2471"/>
      <c r="H65" s="2472"/>
      <c r="I65" s="2472"/>
      <c r="J65" s="2472"/>
      <c r="K65" s="2472"/>
      <c r="L65" s="2472"/>
      <c r="M65" s="2472"/>
      <c r="N65" s="2472"/>
      <c r="O65" s="2472"/>
      <c r="P65" s="2472"/>
      <c r="Q65" s="2472"/>
      <c r="R65" s="2472"/>
      <c r="S65" s="2472"/>
    </row>
    <row r="66" spans="1:19">
      <c r="A66" s="726" t="s">
        <v>575</v>
      </c>
      <c r="B66" s="727"/>
      <c r="C66" s="12"/>
      <c r="D66" s="12"/>
      <c r="E66" s="12"/>
      <c r="F66" s="12"/>
      <c r="G66" s="13"/>
      <c r="H66" s="21"/>
      <c r="I66" s="21"/>
      <c r="J66" s="21"/>
      <c r="K66" s="21"/>
      <c r="L66" s="21"/>
      <c r="M66" s="21"/>
      <c r="N66" s="21"/>
      <c r="O66" s="21"/>
      <c r="P66" s="21"/>
      <c r="Q66" s="21"/>
      <c r="R66" s="21"/>
      <c r="S66" s="21"/>
    </row>
    <row r="67" spans="1:19">
      <c r="A67" s="2469"/>
      <c r="B67" s="2404"/>
      <c r="C67" s="2470"/>
      <c r="D67" s="2470"/>
      <c r="E67" s="2470"/>
      <c r="F67" s="2470"/>
      <c r="G67" s="2471"/>
      <c r="H67" s="2472"/>
      <c r="I67" s="2472"/>
      <c r="J67" s="2472"/>
      <c r="K67" s="2472"/>
      <c r="L67" s="2472"/>
      <c r="M67" s="2472"/>
      <c r="N67" s="2472"/>
      <c r="O67" s="2472"/>
      <c r="P67" s="2472"/>
      <c r="Q67" s="2472"/>
      <c r="R67" s="2472"/>
      <c r="S67" s="2472"/>
    </row>
    <row r="68" spans="1:19">
      <c r="A68" s="2421"/>
      <c r="B68" s="2404"/>
      <c r="C68" s="2405"/>
      <c r="D68" s="2405"/>
      <c r="E68" s="2405"/>
      <c r="F68" s="2405"/>
      <c r="G68" s="2423"/>
      <c r="H68" s="2382"/>
      <c r="I68" s="2382"/>
      <c r="J68" s="2382"/>
      <c r="K68" s="2382"/>
      <c r="L68" s="2382"/>
      <c r="M68" s="2382"/>
      <c r="N68" s="2382"/>
      <c r="O68" s="2382"/>
      <c r="P68" s="2382"/>
      <c r="Q68" s="2382"/>
      <c r="R68" s="2382"/>
      <c r="S68" s="2382"/>
    </row>
    <row r="69" spans="1:19">
      <c r="A69" s="2383"/>
      <c r="B69" s="2384"/>
      <c r="C69" s="2405"/>
      <c r="D69" s="2405"/>
      <c r="E69" s="2405"/>
      <c r="F69" s="2405"/>
      <c r="G69" s="2423"/>
      <c r="H69" s="2385"/>
      <c r="I69" s="2385"/>
      <c r="J69" s="2385"/>
      <c r="K69" s="2385"/>
      <c r="L69" s="2385"/>
      <c r="M69" s="2385"/>
      <c r="N69" s="2385"/>
      <c r="O69" s="2385"/>
      <c r="P69" s="2385"/>
      <c r="Q69" s="2385"/>
      <c r="R69" s="2385"/>
      <c r="S69" s="2385"/>
    </row>
    <row r="70" spans="1:19">
      <c r="A70" s="726" t="s">
        <v>576</v>
      </c>
      <c r="B70" s="727"/>
      <c r="C70" s="12"/>
      <c r="D70" s="12"/>
      <c r="E70" s="12"/>
      <c r="F70" s="12"/>
      <c r="G70" s="13"/>
      <c r="H70" s="21"/>
      <c r="I70" s="21"/>
      <c r="J70" s="21"/>
      <c r="K70" s="21"/>
      <c r="L70" s="21"/>
      <c r="M70" s="21"/>
      <c r="N70" s="21"/>
      <c r="O70" s="21"/>
      <c r="P70" s="21"/>
      <c r="Q70" s="21"/>
      <c r="R70" s="21"/>
      <c r="S70" s="21"/>
    </row>
    <row r="71" spans="1:19">
      <c r="A71" s="2476"/>
      <c r="B71" s="2477"/>
      <c r="C71" s="2470"/>
      <c r="D71" s="2470"/>
      <c r="E71" s="2470"/>
      <c r="F71" s="2470"/>
      <c r="G71" s="2471"/>
      <c r="H71" s="2472"/>
      <c r="I71" s="2472"/>
      <c r="J71" s="2472"/>
      <c r="K71" s="2472"/>
      <c r="L71" s="2472"/>
      <c r="M71" s="2472"/>
      <c r="N71" s="2472"/>
      <c r="O71" s="2472"/>
      <c r="P71" s="2472"/>
      <c r="Q71" s="2472"/>
      <c r="R71" s="2472"/>
      <c r="S71" s="2472"/>
    </row>
    <row r="72" spans="1:19">
      <c r="A72" s="2383"/>
      <c r="B72" s="2384"/>
      <c r="C72" s="2405"/>
      <c r="D72" s="2405"/>
      <c r="E72" s="2405"/>
      <c r="F72" s="2405"/>
      <c r="G72" s="2423"/>
      <c r="H72" s="2388"/>
      <c r="I72" s="2388"/>
      <c r="J72" s="2388"/>
      <c r="K72" s="2388"/>
      <c r="L72" s="2388"/>
      <c r="M72" s="2388"/>
      <c r="N72" s="2388"/>
      <c r="O72" s="2388"/>
      <c r="P72" s="2388"/>
      <c r="Q72" s="2388"/>
      <c r="R72" s="2388"/>
      <c r="S72" s="2388"/>
    </row>
    <row r="73" spans="1:19">
      <c r="A73" s="2383"/>
      <c r="B73" s="2384"/>
      <c r="C73" s="2405"/>
      <c r="D73" s="2405"/>
      <c r="E73" s="2405"/>
      <c r="F73" s="2405"/>
      <c r="G73" s="2423"/>
      <c r="H73" s="2388"/>
      <c r="I73" s="2388"/>
      <c r="J73" s="2388"/>
      <c r="K73" s="2388"/>
      <c r="L73" s="2388"/>
      <c r="M73" s="2388"/>
      <c r="N73" s="2388"/>
      <c r="O73" s="2388"/>
      <c r="P73" s="2388"/>
      <c r="Q73" s="2388"/>
      <c r="R73" s="2388"/>
      <c r="S73" s="2388"/>
    </row>
    <row r="74" spans="1:19">
      <c r="A74" s="726" t="s">
        <v>577</v>
      </c>
      <c r="B74" s="727"/>
      <c r="C74" s="12"/>
      <c r="D74" s="12"/>
      <c r="E74" s="12"/>
      <c r="F74" s="12"/>
      <c r="G74" s="13"/>
      <c r="H74" s="21"/>
      <c r="I74" s="21"/>
      <c r="J74" s="21"/>
      <c r="K74" s="21"/>
      <c r="L74" s="21"/>
      <c r="M74" s="21"/>
      <c r="N74" s="21"/>
      <c r="O74" s="21"/>
      <c r="P74" s="21"/>
      <c r="Q74" s="21"/>
      <c r="R74" s="21"/>
      <c r="S74" s="21"/>
    </row>
    <row r="75" spans="1:19">
      <c r="A75" s="2421"/>
      <c r="B75" s="2404" t="s">
        <v>578</v>
      </c>
      <c r="C75" s="2405"/>
      <c r="D75" s="2405"/>
      <c r="E75" s="2405"/>
      <c r="F75" s="2405"/>
      <c r="G75" s="2423"/>
      <c r="H75" s="2388"/>
      <c r="I75" s="2388"/>
      <c r="J75" s="2388"/>
      <c r="K75" s="2388"/>
      <c r="L75" s="2388"/>
      <c r="M75" s="2388"/>
      <c r="N75" s="2388"/>
      <c r="O75" s="2388"/>
      <c r="P75" s="2388"/>
      <c r="Q75" s="2388"/>
      <c r="R75" s="2388"/>
      <c r="S75" s="2388"/>
    </row>
    <row r="76" spans="1:19">
      <c r="A76" s="2421"/>
      <c r="B76" s="2404" t="s">
        <v>579</v>
      </c>
      <c r="C76" s="2405"/>
      <c r="D76" s="2405"/>
      <c r="E76" s="2405"/>
      <c r="F76" s="2405"/>
      <c r="G76" s="2423"/>
      <c r="H76" s="2388"/>
      <c r="I76" s="2388"/>
      <c r="J76" s="2388"/>
      <c r="K76" s="2388"/>
      <c r="L76" s="2388"/>
      <c r="M76" s="2388"/>
      <c r="N76" s="2388"/>
      <c r="O76" s="2388"/>
      <c r="P76" s="2388"/>
      <c r="Q76" s="2388"/>
      <c r="R76" s="2388"/>
      <c r="S76" s="2388"/>
    </row>
    <row r="77" spans="1:19">
      <c r="A77" s="2421"/>
      <c r="B77" s="2404" t="s">
        <v>580</v>
      </c>
      <c r="C77" s="2405"/>
      <c r="D77" s="2405"/>
      <c r="E77" s="2405"/>
      <c r="F77" s="2405"/>
      <c r="G77" s="2423"/>
      <c r="H77" s="2388"/>
      <c r="I77" s="2388"/>
      <c r="J77" s="2388"/>
      <c r="K77" s="2388"/>
      <c r="L77" s="2388"/>
      <c r="M77" s="2388"/>
      <c r="N77" s="2388"/>
      <c r="O77" s="2388"/>
      <c r="P77" s="2388"/>
      <c r="Q77" s="2388"/>
      <c r="R77" s="2388"/>
      <c r="S77" s="2388"/>
    </row>
    <row r="78" spans="1:19">
      <c r="A78" s="2421"/>
      <c r="B78" s="2404" t="s">
        <v>581</v>
      </c>
      <c r="C78" s="2405"/>
      <c r="D78" s="2405"/>
      <c r="E78" s="2405"/>
      <c r="F78" s="2405"/>
      <c r="G78" s="2423"/>
      <c r="H78" s="2388"/>
      <c r="I78" s="2388"/>
      <c r="J78" s="2388"/>
      <c r="K78" s="2388"/>
      <c r="L78" s="2388"/>
      <c r="M78" s="2388"/>
      <c r="N78" s="2388"/>
      <c r="O78" s="2388"/>
      <c r="P78" s="2388"/>
      <c r="Q78" s="2388"/>
      <c r="R78" s="2388"/>
      <c r="S78" s="2388"/>
    </row>
    <row r="79" spans="1:19">
      <c r="A79" s="416"/>
      <c r="B79" s="295"/>
      <c r="C79" s="184"/>
      <c r="D79" s="184"/>
      <c r="E79" s="184"/>
      <c r="F79" s="184"/>
      <c r="G79" s="296"/>
      <c r="H79" s="418"/>
      <c r="I79" s="418"/>
      <c r="J79" s="418"/>
      <c r="K79" s="418"/>
      <c r="L79" s="418"/>
      <c r="M79" s="418"/>
      <c r="N79" s="418"/>
      <c r="O79" s="418"/>
      <c r="P79" s="418"/>
      <c r="Q79" s="418"/>
      <c r="R79" s="418"/>
      <c r="S79" s="418"/>
    </row>
    <row r="80" spans="1:19">
      <c r="A80" s="7" t="s">
        <v>582</v>
      </c>
      <c r="B80" s="8"/>
      <c r="C80" s="12"/>
      <c r="D80" s="12"/>
      <c r="E80" s="12"/>
      <c r="F80" s="12"/>
      <c r="G80" s="13"/>
      <c r="H80" s="21"/>
      <c r="I80" s="21"/>
      <c r="J80" s="21"/>
      <c r="K80" s="21"/>
      <c r="L80" s="21"/>
      <c r="M80" s="21"/>
      <c r="N80" s="21"/>
      <c r="O80" s="21"/>
      <c r="P80" s="21"/>
      <c r="Q80" s="21"/>
      <c r="R80" s="21"/>
      <c r="S80" s="21"/>
    </row>
    <row r="81" spans="1:19">
      <c r="A81" s="2469"/>
      <c r="B81" s="2479" t="s">
        <v>583</v>
      </c>
      <c r="C81" s="2470"/>
      <c r="D81" s="2470"/>
      <c r="E81" s="2470"/>
      <c r="F81" s="2470"/>
      <c r="G81" s="2471"/>
      <c r="H81" s="2480"/>
      <c r="I81" s="2480"/>
      <c r="J81" s="2480"/>
      <c r="K81" s="2480"/>
      <c r="L81" s="2480"/>
      <c r="M81" s="2480"/>
      <c r="N81" s="2480"/>
      <c r="O81" s="2480"/>
      <c r="P81" s="2480"/>
      <c r="Q81" s="2480"/>
      <c r="R81" s="2480"/>
      <c r="S81" s="2480"/>
    </row>
    <row r="82" spans="1:19">
      <c r="A82" s="2421"/>
      <c r="B82" s="2404" t="s">
        <v>584</v>
      </c>
      <c r="C82" s="2405"/>
      <c r="D82" s="2405"/>
      <c r="E82" s="2405"/>
      <c r="F82" s="2405"/>
      <c r="G82" s="2423"/>
      <c r="H82" s="2390"/>
      <c r="I82" s="2390"/>
      <c r="J82" s="2390"/>
      <c r="K82" s="2390"/>
      <c r="L82" s="2390"/>
      <c r="M82" s="2390"/>
      <c r="N82" s="2390"/>
      <c r="O82" s="2390"/>
      <c r="P82" s="2390"/>
      <c r="Q82" s="2390"/>
      <c r="R82" s="2390"/>
      <c r="S82" s="2390"/>
    </row>
    <row r="83" spans="1:19">
      <c r="A83" s="2391"/>
      <c r="B83" s="2392" t="s">
        <v>585</v>
      </c>
      <c r="C83" s="2393"/>
      <c r="D83" s="2393"/>
      <c r="E83" s="2393"/>
      <c r="F83" s="2393"/>
      <c r="G83" s="2394"/>
      <c r="H83" s="2395"/>
      <c r="I83" s="2395"/>
      <c r="J83" s="2395"/>
      <c r="K83" s="2395"/>
      <c r="L83" s="2395"/>
      <c r="M83" s="2395"/>
      <c r="N83" s="2395"/>
      <c r="O83" s="2395"/>
      <c r="P83" s="2395"/>
      <c r="Q83" s="2395"/>
      <c r="R83" s="2395"/>
      <c r="S83" s="2395"/>
    </row>
    <row r="85" spans="1:19">
      <c r="A85" s="92" t="s">
        <v>586</v>
      </c>
      <c r="B85" s="94"/>
    </row>
    <row r="86" spans="1:19">
      <c r="A86" s="93" t="s">
        <v>487</v>
      </c>
      <c r="B86" s="2396"/>
    </row>
    <row r="87" spans="1:19">
      <c r="A87" s="2397" t="s">
        <v>491</v>
      </c>
      <c r="B87" s="2396"/>
    </row>
    <row r="88" spans="1:19">
      <c r="A88" s="2398" t="s">
        <v>494</v>
      </c>
      <c r="B88" s="2399"/>
    </row>
    <row r="89" spans="1:19">
      <c r="A89" s="2398" t="s">
        <v>497</v>
      </c>
      <c r="B89" s="2400"/>
    </row>
    <row r="90" spans="1:19">
      <c r="A90" s="2401" t="s">
        <v>587</v>
      </c>
      <c r="B90" s="2402"/>
    </row>
    <row r="92" spans="1:19">
      <c r="A92" s="95"/>
      <c r="B92" s="1" t="s">
        <v>588</v>
      </c>
    </row>
    <row r="93" spans="1:19">
      <c r="A93" s="96"/>
      <c r="B93"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8:B58"/>
    <mergeCell ref="A62:B62"/>
    <mergeCell ref="A66:B66"/>
    <mergeCell ref="A70:B70"/>
    <mergeCell ref="A74:B74"/>
  </mergeCells>
  <conditionalFormatting sqref="H20:H30">
    <cfRule type="cellIs" dxfId="809" priority="13" operator="equal">
      <formula>"X"</formula>
    </cfRule>
    <cfRule type="cellIs" dxfId="808" priority="14" operator="equal">
      <formula>"I"</formula>
    </cfRule>
  </conditionalFormatting>
  <conditionalFormatting sqref="H32:H49">
    <cfRule type="cellIs" dxfId="807" priority="1" operator="equal">
      <formula>"X"</formula>
    </cfRule>
    <cfRule type="cellIs" dxfId="806" priority="2" operator="equal">
      <formula>"I"</formula>
    </cfRule>
  </conditionalFormatting>
  <conditionalFormatting sqref="J20:J30">
    <cfRule type="cellIs" dxfId="805" priority="15" operator="equal">
      <formula>"X"</formula>
    </cfRule>
    <cfRule type="cellIs" dxfId="804" priority="16" operator="equal">
      <formula>"I"</formula>
    </cfRule>
  </conditionalFormatting>
  <conditionalFormatting sqref="J32:J49">
    <cfRule type="cellIs" dxfId="803" priority="3" operator="equal">
      <formula>"X"</formula>
    </cfRule>
    <cfRule type="cellIs" dxfId="802" priority="4" operator="equal">
      <formula>"I"</formula>
    </cfRule>
  </conditionalFormatting>
  <conditionalFormatting sqref="L20:L30">
    <cfRule type="cellIs" dxfId="801" priority="17" operator="equal">
      <formula>"X"</formula>
    </cfRule>
    <cfRule type="cellIs" dxfId="800" priority="18" operator="equal">
      <formula>"I"</formula>
    </cfRule>
  </conditionalFormatting>
  <conditionalFormatting sqref="L32:L49">
    <cfRule type="cellIs" dxfId="799" priority="5" operator="equal">
      <formula>"X"</formula>
    </cfRule>
    <cfRule type="cellIs" dxfId="798" priority="6" operator="equal">
      <formula>"I"</formula>
    </cfRule>
  </conditionalFormatting>
  <conditionalFormatting sqref="N20:N30">
    <cfRule type="cellIs" dxfId="797" priority="19" operator="equal">
      <formula>"X"</formula>
    </cfRule>
    <cfRule type="cellIs" dxfId="796" priority="20" operator="equal">
      <formula>"I"</formula>
    </cfRule>
  </conditionalFormatting>
  <conditionalFormatting sqref="N32:N49">
    <cfRule type="cellIs" dxfId="795" priority="7" operator="equal">
      <formula>"X"</formula>
    </cfRule>
    <cfRule type="cellIs" dxfId="794" priority="8" operator="equal">
      <formula>"I"</formula>
    </cfRule>
  </conditionalFormatting>
  <conditionalFormatting sqref="P20:P30">
    <cfRule type="cellIs" dxfId="793" priority="21" operator="equal">
      <formula>"X"</formula>
    </cfRule>
    <cfRule type="cellIs" dxfId="792" priority="22" operator="equal">
      <formula>"I"</formula>
    </cfRule>
  </conditionalFormatting>
  <conditionalFormatting sqref="P32:P49">
    <cfRule type="cellIs" dxfId="791" priority="9" operator="equal">
      <formula>"X"</formula>
    </cfRule>
    <cfRule type="cellIs" dxfId="790" priority="10" operator="equal">
      <formula>"I"</formula>
    </cfRule>
  </conditionalFormatting>
  <conditionalFormatting sqref="R20:R30">
    <cfRule type="cellIs" dxfId="789" priority="23" operator="equal">
      <formula>"X"</formula>
    </cfRule>
    <cfRule type="cellIs" dxfId="788" priority="24" operator="equal">
      <formula>"I"</formula>
    </cfRule>
  </conditionalFormatting>
  <conditionalFormatting sqref="R32:R49">
    <cfRule type="cellIs" dxfId="787" priority="11" operator="equal">
      <formula>"X"</formula>
    </cfRule>
    <cfRule type="cellIs" dxfId="786" priority="12" operator="equal">
      <formula>"I"</formula>
    </cfRule>
  </conditionalFormatting>
  <hyperlinks>
    <hyperlink ref="B3" location="'Cost Summary'!A1" display="BACK TO SUMMARY SHEET" xr:uid="{3BAE4457-726C-4E70-8609-377A567B6045}"/>
  </hyperlink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6D22-8EBE-457E-A429-7DDBB2089E04}">
  <sheetPr>
    <tabColor rgb="FF92D050"/>
  </sheetPr>
  <dimension ref="A1:S93"/>
  <sheetViews>
    <sheetView workbookViewId="0">
      <pane xSplit="2" ySplit="9" topLeftCell="C20" activePane="bottomRight" state="frozen"/>
      <selection pane="bottomRight" activeCell="B33" sqref="B3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1145</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1146</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I54</f>
        <v>0</v>
      </c>
      <c r="I8" s="2419"/>
      <c r="J8" s="2418">
        <f>K54</f>
        <v>0</v>
      </c>
      <c r="K8" s="2419"/>
      <c r="L8" s="2418">
        <f>M54</f>
        <v>0</v>
      </c>
      <c r="M8" s="2419"/>
      <c r="N8" s="2418">
        <f>O54</f>
        <v>0</v>
      </c>
      <c r="O8" s="2419"/>
      <c r="P8" s="2418">
        <f>Q54</f>
        <v>0</v>
      </c>
      <c r="Q8" s="2419"/>
      <c r="R8" s="2418">
        <f>S54</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483"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84"/>
      <c r="B21" s="2428" t="s">
        <v>1145</v>
      </c>
      <c r="C21" s="56"/>
      <c r="D21" s="57"/>
      <c r="E21" s="57"/>
      <c r="F21" s="57"/>
      <c r="G21" s="63"/>
      <c r="H21" s="2427"/>
      <c r="I21" s="58"/>
      <c r="J21" s="2427"/>
      <c r="K21" s="58"/>
      <c r="L21" s="2427"/>
      <c r="M21" s="58"/>
      <c r="N21" s="2427"/>
      <c r="O21" s="58"/>
      <c r="P21" s="2427"/>
      <c r="Q21" s="58"/>
      <c r="R21" s="2427"/>
      <c r="S21" s="58"/>
    </row>
    <row r="22" spans="1:19">
      <c r="A22" s="2602"/>
      <c r="B22" s="2318" t="s">
        <v>512</v>
      </c>
      <c r="C22" s="2426"/>
      <c r="D22" s="2405"/>
      <c r="E22" s="2405"/>
      <c r="F22" s="2405"/>
      <c r="G22" s="2423"/>
      <c r="H22" s="2427"/>
      <c r="I22" s="584"/>
      <c r="J22" s="2427"/>
      <c r="K22" s="584"/>
      <c r="L22" s="2427"/>
      <c r="M22" s="584"/>
      <c r="N22" s="2427"/>
      <c r="O22" s="584"/>
      <c r="P22" s="2427"/>
      <c r="Q22" s="584"/>
      <c r="R22" s="2427"/>
      <c r="S22" s="584"/>
    </row>
    <row r="23" spans="1:19">
      <c r="A23" s="2602"/>
      <c r="B23" s="2429" t="s">
        <v>513</v>
      </c>
      <c r="C23" s="2426"/>
      <c r="D23" s="2405"/>
      <c r="E23" s="2405"/>
      <c r="F23" s="2405"/>
      <c r="G23" s="2423"/>
      <c r="H23" s="2427"/>
      <c r="I23" s="583"/>
      <c r="J23" s="2427"/>
      <c r="K23" s="584"/>
      <c r="L23" s="2427"/>
      <c r="M23" s="584"/>
      <c r="N23" s="2427"/>
      <c r="O23" s="584"/>
      <c r="P23" s="2427"/>
      <c r="Q23" s="584"/>
      <c r="R23" s="2427"/>
      <c r="S23" s="584"/>
    </row>
    <row r="24" spans="1:19">
      <c r="A24" s="2484"/>
      <c r="B24" s="2429" t="s">
        <v>514</v>
      </c>
      <c r="C24" s="2430"/>
      <c r="D24" s="2405"/>
      <c r="E24" s="2405"/>
      <c r="F24" s="2405"/>
      <c r="G24" s="2423"/>
      <c r="H24" s="2427"/>
      <c r="I24" s="583"/>
      <c r="J24" s="2427"/>
      <c r="K24" s="584"/>
      <c r="L24" s="2427"/>
      <c r="M24" s="584"/>
      <c r="N24" s="2427"/>
      <c r="O24" s="584"/>
      <c r="P24" s="2427"/>
      <c r="Q24" s="584"/>
      <c r="R24" s="2427"/>
      <c r="S24" s="584"/>
    </row>
    <row r="25" spans="1:19">
      <c r="A25" s="2484"/>
      <c r="B25" s="2603" t="s">
        <v>515</v>
      </c>
      <c r="C25" s="2430"/>
      <c r="D25" s="2405"/>
      <c r="E25" s="2405"/>
      <c r="F25" s="2405"/>
      <c r="G25" s="2423"/>
      <c r="H25" s="2427"/>
      <c r="I25" s="583"/>
      <c r="J25" s="2427"/>
      <c r="K25" s="584"/>
      <c r="L25" s="2427"/>
      <c r="M25" s="584"/>
      <c r="N25" s="2427"/>
      <c r="O25" s="584"/>
      <c r="P25" s="2427"/>
      <c r="Q25" s="584"/>
      <c r="R25" s="2427"/>
      <c r="S25" s="584"/>
    </row>
    <row r="26" spans="1:19" s="91" customFormat="1">
      <c r="A26" s="2602"/>
      <c r="B26" s="2603" t="s">
        <v>516</v>
      </c>
      <c r="C26" s="2432"/>
      <c r="D26" s="2433"/>
      <c r="E26" s="2433"/>
      <c r="F26" s="2433"/>
      <c r="G26" s="2432"/>
      <c r="H26" s="2427"/>
      <c r="I26" s="583"/>
      <c r="J26" s="2427"/>
      <c r="K26" s="2486"/>
      <c r="L26" s="2427"/>
      <c r="M26" s="2486"/>
      <c r="N26" s="2427"/>
      <c r="O26" s="2486"/>
      <c r="P26" s="2427"/>
      <c r="Q26" s="2486"/>
      <c r="R26" s="2427"/>
      <c r="S26" s="2486"/>
    </row>
    <row r="27" spans="1:19" s="91" customFormat="1">
      <c r="A27" s="2602"/>
      <c r="B27" s="2603" t="s">
        <v>517</v>
      </c>
      <c r="C27" s="2432"/>
      <c r="D27" s="2433"/>
      <c r="E27" s="2433"/>
      <c r="F27" s="2433"/>
      <c r="G27" s="2432"/>
      <c r="H27" s="2427"/>
      <c r="I27" s="583"/>
      <c r="J27" s="2427"/>
      <c r="K27" s="2486"/>
      <c r="L27" s="2427"/>
      <c r="M27" s="2486"/>
      <c r="N27" s="2427"/>
      <c r="O27" s="2486"/>
      <c r="P27" s="2427"/>
      <c r="Q27" s="2486"/>
      <c r="R27" s="2427"/>
      <c r="S27" s="2486"/>
    </row>
    <row r="28" spans="1:19" s="91" customFormat="1">
      <c r="A28" s="2602"/>
      <c r="B28" s="2603" t="s">
        <v>518</v>
      </c>
      <c r="C28" s="2432"/>
      <c r="D28" s="2433"/>
      <c r="E28" s="2433"/>
      <c r="F28" s="2433"/>
      <c r="G28" s="2432"/>
      <c r="H28" s="2427"/>
      <c r="I28" s="583"/>
      <c r="J28" s="2427"/>
      <c r="K28" s="2486"/>
      <c r="L28" s="2427"/>
      <c r="M28" s="2486"/>
      <c r="N28" s="2427"/>
      <c r="O28" s="2486"/>
      <c r="P28" s="2427"/>
      <c r="Q28" s="2486"/>
      <c r="R28" s="2427"/>
      <c r="S28" s="2486"/>
    </row>
    <row r="29" spans="1:19" s="91" customFormat="1">
      <c r="A29" s="2602"/>
      <c r="B29" s="2603" t="s">
        <v>693</v>
      </c>
      <c r="C29" s="2432"/>
      <c r="D29" s="2433"/>
      <c r="E29" s="2433"/>
      <c r="F29" s="2433"/>
      <c r="G29" s="2432"/>
      <c r="H29" s="2427"/>
      <c r="I29" s="583"/>
      <c r="J29" s="2427"/>
      <c r="K29" s="2486"/>
      <c r="L29" s="2427"/>
      <c r="M29" s="2486"/>
      <c r="N29" s="2427"/>
      <c r="O29" s="2486"/>
      <c r="P29" s="2427"/>
      <c r="Q29" s="2486"/>
      <c r="R29" s="2427"/>
      <c r="S29" s="2486"/>
    </row>
    <row r="30" spans="1:19" s="91" customFormat="1">
      <c r="A30" s="2602"/>
      <c r="B30" s="2487" t="s">
        <v>519</v>
      </c>
      <c r="C30" s="2432"/>
      <c r="D30" s="2433"/>
      <c r="E30" s="2433"/>
      <c r="F30" s="2433"/>
      <c r="G30" s="2432"/>
      <c r="H30" s="2427"/>
      <c r="I30" s="583"/>
      <c r="J30" s="2427"/>
      <c r="K30" s="2486"/>
      <c r="L30" s="2427"/>
      <c r="M30" s="2486"/>
      <c r="N30" s="2427"/>
      <c r="O30" s="2486"/>
      <c r="P30" s="2427"/>
      <c r="Q30" s="2486"/>
      <c r="R30" s="2427"/>
      <c r="S30" s="2486"/>
    </row>
    <row r="31" spans="1:19" s="91" customFormat="1">
      <c r="A31" s="2602"/>
      <c r="B31" s="2488" t="s">
        <v>520</v>
      </c>
      <c r="C31" s="2435"/>
      <c r="D31" s="2436"/>
      <c r="E31" s="2436"/>
      <c r="F31" s="2436"/>
      <c r="G31" s="2435"/>
      <c r="H31" s="2439"/>
      <c r="I31" s="586"/>
      <c r="J31" s="2443"/>
      <c r="K31" s="2489"/>
      <c r="L31" s="2443"/>
      <c r="M31" s="2489"/>
      <c r="N31" s="2489"/>
      <c r="O31" s="2489"/>
      <c r="P31" s="2489"/>
      <c r="Q31" s="2489"/>
      <c r="R31" s="2489"/>
      <c r="S31" s="2489"/>
    </row>
    <row r="32" spans="1:19" s="91" customFormat="1">
      <c r="A32" s="2604"/>
      <c r="B32" s="2545"/>
      <c r="C32" s="2445"/>
      <c r="D32" s="2433"/>
      <c r="E32" s="2433"/>
      <c r="F32" s="2433"/>
      <c r="G32" s="2432"/>
      <c r="H32" s="2427"/>
      <c r="I32" s="583"/>
      <c r="J32" s="2427"/>
      <c r="K32" s="2486"/>
      <c r="L32" s="2427"/>
      <c r="M32" s="2486"/>
      <c r="N32" s="2427"/>
      <c r="O32" s="2486"/>
      <c r="P32" s="2427"/>
      <c r="Q32" s="2486"/>
      <c r="R32" s="2427"/>
      <c r="S32" s="2486"/>
    </row>
    <row r="33" spans="1:19" s="91" customFormat="1">
      <c r="A33" s="2604"/>
      <c r="B33" s="2545"/>
      <c r="C33" s="2445"/>
      <c r="D33" s="2433"/>
      <c r="E33" s="2433"/>
      <c r="F33" s="2433"/>
      <c r="G33" s="2432"/>
      <c r="H33" s="2427"/>
      <c r="I33" s="583"/>
      <c r="J33" s="2427"/>
      <c r="K33" s="2486"/>
      <c r="L33" s="2427"/>
      <c r="M33" s="2486"/>
      <c r="N33" s="2427"/>
      <c r="O33" s="2486"/>
      <c r="P33" s="2427"/>
      <c r="Q33" s="2486"/>
      <c r="R33" s="2427"/>
      <c r="S33" s="2486"/>
    </row>
    <row r="34" spans="1:19" s="91" customFormat="1">
      <c r="A34" s="2604"/>
      <c r="B34" s="2545"/>
      <c r="C34" s="2445"/>
      <c r="D34" s="2433"/>
      <c r="E34" s="2433"/>
      <c r="F34" s="2433"/>
      <c r="G34" s="2432"/>
      <c r="H34" s="2427"/>
      <c r="I34" s="583"/>
      <c r="J34" s="2427"/>
      <c r="K34" s="2486"/>
      <c r="L34" s="2427"/>
      <c r="M34" s="2486"/>
      <c r="N34" s="2427"/>
      <c r="O34" s="2486"/>
      <c r="P34" s="2427"/>
      <c r="Q34" s="2486"/>
      <c r="R34" s="2427"/>
      <c r="S34" s="2486"/>
    </row>
    <row r="35" spans="1:19" s="91" customFormat="1">
      <c r="A35" s="2604"/>
      <c r="B35" s="2545"/>
      <c r="C35" s="2445"/>
      <c r="D35" s="2433"/>
      <c r="E35" s="2546"/>
      <c r="F35" s="2547"/>
      <c r="G35" s="2432"/>
      <c r="H35" s="2427"/>
      <c r="I35" s="583"/>
      <c r="J35" s="2427"/>
      <c r="K35" s="2486"/>
      <c r="L35" s="2427"/>
      <c r="M35" s="2486"/>
      <c r="N35" s="2427"/>
      <c r="O35" s="2486"/>
      <c r="P35" s="2427"/>
      <c r="Q35" s="2486"/>
      <c r="R35" s="2427"/>
      <c r="S35" s="2486"/>
    </row>
    <row r="36" spans="1:19" s="91" customFormat="1">
      <c r="A36" s="2604"/>
      <c r="B36" s="2545"/>
      <c r="C36" s="2445"/>
      <c r="D36" s="2433"/>
      <c r="E36" s="2546"/>
      <c r="F36" s="2547"/>
      <c r="G36" s="2432"/>
      <c r="H36" s="2427"/>
      <c r="I36" s="583"/>
      <c r="J36" s="2427"/>
      <c r="K36" s="2486"/>
      <c r="L36" s="2427"/>
      <c r="M36" s="2486"/>
      <c r="N36" s="2427"/>
      <c r="O36" s="2486"/>
      <c r="P36" s="2427"/>
      <c r="Q36" s="2486"/>
      <c r="R36" s="2427"/>
      <c r="S36" s="2486"/>
    </row>
    <row r="37" spans="1:19" s="91" customFormat="1">
      <c r="A37" s="2604"/>
      <c r="B37" s="2545"/>
      <c r="C37" s="2445"/>
      <c r="D37" s="2433"/>
      <c r="E37" s="2546"/>
      <c r="F37" s="2547"/>
      <c r="G37" s="2432"/>
      <c r="H37" s="2427"/>
      <c r="I37" s="583"/>
      <c r="J37" s="2427"/>
      <c r="K37" s="2486"/>
      <c r="L37" s="2427"/>
      <c r="M37" s="2486"/>
      <c r="N37" s="2427"/>
      <c r="O37" s="2486"/>
      <c r="P37" s="2427"/>
      <c r="Q37" s="2486"/>
      <c r="R37" s="2427"/>
      <c r="S37" s="2486"/>
    </row>
    <row r="38" spans="1:19" s="91" customFormat="1">
      <c r="A38" s="2604"/>
      <c r="B38" s="2569"/>
      <c r="C38" s="2445"/>
      <c r="D38" s="2433"/>
      <c r="E38" s="2546"/>
      <c r="F38" s="2547"/>
      <c r="G38" s="2432"/>
      <c r="H38" s="2427"/>
      <c r="I38" s="583"/>
      <c r="J38" s="2427"/>
      <c r="K38" s="2486"/>
      <c r="L38" s="2427"/>
      <c r="M38" s="2486"/>
      <c r="N38" s="2427"/>
      <c r="O38" s="2486"/>
      <c r="P38" s="2427"/>
      <c r="Q38" s="2486"/>
      <c r="R38" s="2427"/>
      <c r="S38" s="2486"/>
    </row>
    <row r="39" spans="1:19" s="91" customFormat="1">
      <c r="A39" s="2604"/>
      <c r="B39" s="2570"/>
      <c r="C39" s="2445"/>
      <c r="D39" s="2433"/>
      <c r="E39" s="2546"/>
      <c r="F39" s="2547"/>
      <c r="G39" s="2432"/>
      <c r="H39" s="2427" t="s">
        <v>710</v>
      </c>
      <c r="I39" s="583"/>
      <c r="J39" s="2427"/>
      <c r="K39" s="2486"/>
      <c r="L39" s="2427"/>
      <c r="M39" s="2486"/>
      <c r="N39" s="2427"/>
      <c r="O39" s="2486"/>
      <c r="P39" s="2427"/>
      <c r="Q39" s="2486"/>
      <c r="R39" s="2427"/>
      <c r="S39" s="2486"/>
    </row>
    <row r="40" spans="1:19" s="91" customFormat="1">
      <c r="A40" s="2604"/>
      <c r="B40" s="152"/>
      <c r="C40" s="2445"/>
      <c r="D40" s="2433"/>
      <c r="E40" s="2546"/>
      <c r="F40" s="2547"/>
      <c r="G40" s="2432"/>
      <c r="H40" s="2427"/>
      <c r="I40" s="583"/>
      <c r="J40" s="2427"/>
      <c r="K40" s="2486"/>
      <c r="L40" s="2427"/>
      <c r="M40" s="2486"/>
      <c r="N40" s="2427"/>
      <c r="O40" s="2486"/>
      <c r="P40" s="2427"/>
      <c r="Q40" s="2486"/>
      <c r="R40" s="2427"/>
      <c r="S40" s="2486"/>
    </row>
    <row r="41" spans="1:19" s="91" customFormat="1">
      <c r="A41" s="2604"/>
      <c r="B41" s="2545"/>
      <c r="C41" s="2445"/>
      <c r="D41" s="2433"/>
      <c r="E41" s="2546"/>
      <c r="F41" s="2547"/>
      <c r="G41" s="2432"/>
      <c r="H41" s="2427"/>
      <c r="I41" s="583"/>
      <c r="J41" s="2427"/>
      <c r="K41" s="2486"/>
      <c r="L41" s="2427"/>
      <c r="M41" s="2486"/>
      <c r="N41" s="2427"/>
      <c r="O41" s="2486"/>
      <c r="P41" s="2427"/>
      <c r="Q41" s="2486"/>
      <c r="R41" s="2427"/>
      <c r="S41" s="2486"/>
    </row>
    <row r="42" spans="1:19" s="91" customFormat="1">
      <c r="A42" s="2604"/>
      <c r="B42" s="2545"/>
      <c r="C42" s="2445"/>
      <c r="D42" s="2433"/>
      <c r="E42" s="2546"/>
      <c r="F42" s="2547"/>
      <c r="G42" s="2432"/>
      <c r="H42" s="2427"/>
      <c r="I42" s="583"/>
      <c r="J42" s="2427"/>
      <c r="K42" s="2486"/>
      <c r="L42" s="2427"/>
      <c r="M42" s="2486"/>
      <c r="N42" s="2427"/>
      <c r="O42" s="2486"/>
      <c r="P42" s="2427"/>
      <c r="Q42" s="2486"/>
      <c r="R42" s="2427"/>
      <c r="S42" s="2486"/>
    </row>
    <row r="43" spans="1:19" s="91" customFormat="1">
      <c r="A43" s="2604"/>
      <c r="B43" s="2545"/>
      <c r="C43" s="2445"/>
      <c r="D43" s="2433"/>
      <c r="E43" s="2546"/>
      <c r="F43" s="2547"/>
      <c r="G43" s="2432"/>
      <c r="H43" s="2427"/>
      <c r="I43" s="583"/>
      <c r="J43" s="2427"/>
      <c r="K43" s="2486"/>
      <c r="L43" s="2427"/>
      <c r="M43" s="2486"/>
      <c r="N43" s="2427"/>
      <c r="O43" s="2486"/>
      <c r="P43" s="2427"/>
      <c r="Q43" s="2486"/>
      <c r="R43" s="2427"/>
      <c r="S43" s="2486"/>
    </row>
    <row r="44" spans="1:19" s="91" customFormat="1">
      <c r="A44" s="2604"/>
      <c r="B44" s="2545"/>
      <c r="C44" s="2445"/>
      <c r="D44" s="2433"/>
      <c r="E44" s="2546"/>
      <c r="F44" s="2547"/>
      <c r="G44" s="2432"/>
      <c r="H44" s="2427"/>
      <c r="I44" s="583"/>
      <c r="J44" s="2427"/>
      <c r="K44" s="2486"/>
      <c r="L44" s="2427"/>
      <c r="M44" s="2486"/>
      <c r="N44" s="2427"/>
      <c r="O44" s="2486"/>
      <c r="P44" s="2427"/>
      <c r="Q44" s="2486"/>
      <c r="R44" s="2427"/>
      <c r="S44" s="2486"/>
    </row>
    <row r="45" spans="1:19" s="91" customFormat="1">
      <c r="A45" s="2604"/>
      <c r="B45" s="2545"/>
      <c r="C45" s="2445"/>
      <c r="D45" s="2433"/>
      <c r="E45" s="2546"/>
      <c r="F45" s="2547"/>
      <c r="G45" s="2432"/>
      <c r="H45" s="2427"/>
      <c r="I45" s="583"/>
      <c r="J45" s="2427"/>
      <c r="K45" s="2486"/>
      <c r="L45" s="2427"/>
      <c r="M45" s="2486"/>
      <c r="N45" s="2427"/>
      <c r="O45" s="2486"/>
      <c r="P45" s="2427"/>
      <c r="Q45" s="2486"/>
      <c r="R45" s="2427"/>
      <c r="S45" s="2486"/>
    </row>
    <row r="46" spans="1:19" s="91" customFormat="1">
      <c r="A46" s="2604"/>
      <c r="B46" s="2545"/>
      <c r="C46" s="2445"/>
      <c r="D46" s="2433"/>
      <c r="E46" s="2546"/>
      <c r="F46" s="2547"/>
      <c r="G46" s="2432"/>
      <c r="H46" s="2427"/>
      <c r="I46" s="583"/>
      <c r="J46" s="2427"/>
      <c r="K46" s="2486"/>
      <c r="L46" s="2427"/>
      <c r="M46" s="2486"/>
      <c r="N46" s="2427"/>
      <c r="O46" s="2486"/>
      <c r="P46" s="2427"/>
      <c r="Q46" s="2486"/>
      <c r="R46" s="2427"/>
      <c r="S46" s="2486"/>
    </row>
    <row r="47" spans="1:19" s="91" customFormat="1">
      <c r="A47" s="2604"/>
      <c r="B47" s="2545"/>
      <c r="C47" s="2445"/>
      <c r="D47" s="2433"/>
      <c r="E47" s="2546"/>
      <c r="F47" s="2547"/>
      <c r="G47" s="2432"/>
      <c r="H47" s="2427"/>
      <c r="I47" s="583"/>
      <c r="J47" s="2427"/>
      <c r="K47" s="2486"/>
      <c r="L47" s="2427"/>
      <c r="M47" s="2486"/>
      <c r="N47" s="2427"/>
      <c r="O47" s="2486"/>
      <c r="P47" s="2427"/>
      <c r="Q47" s="2486"/>
      <c r="R47" s="2427"/>
      <c r="S47" s="2486"/>
    </row>
    <row r="48" spans="1:19" s="91" customFormat="1">
      <c r="A48" s="2604"/>
      <c r="B48" s="2545"/>
      <c r="C48" s="2445"/>
      <c r="D48" s="2433"/>
      <c r="E48" s="2546"/>
      <c r="F48" s="2547"/>
      <c r="G48" s="2432"/>
      <c r="H48" s="2427"/>
      <c r="I48" s="583"/>
      <c r="J48" s="2427"/>
      <c r="K48" s="2486"/>
      <c r="L48" s="2427"/>
      <c r="M48" s="2486"/>
      <c r="N48" s="2427"/>
      <c r="O48" s="2486"/>
      <c r="P48" s="2427"/>
      <c r="Q48" s="2486"/>
      <c r="R48" s="2427"/>
      <c r="S48" s="2486"/>
    </row>
    <row r="49" spans="1:19" s="91" customFormat="1">
      <c r="A49" s="2604"/>
      <c r="B49" s="2545"/>
      <c r="C49" s="2445"/>
      <c r="D49" s="2433"/>
      <c r="E49" s="2546"/>
      <c r="F49" s="2547"/>
      <c r="G49" s="2432"/>
      <c r="H49" s="2427"/>
      <c r="I49" s="583"/>
      <c r="J49" s="2427"/>
      <c r="K49" s="2486"/>
      <c r="L49" s="2427"/>
      <c r="M49" s="2486"/>
      <c r="N49" s="2427"/>
      <c r="O49" s="2486"/>
      <c r="P49" s="2427"/>
      <c r="Q49" s="2486"/>
      <c r="R49" s="2427"/>
      <c r="S49" s="2486"/>
    </row>
    <row r="50" spans="1:19">
      <c r="A50" s="14"/>
      <c r="B50" s="15"/>
      <c r="C50" s="16"/>
      <c r="D50" s="16"/>
      <c r="E50" s="17"/>
      <c r="F50" s="18" t="s">
        <v>567</v>
      </c>
      <c r="G50" s="19"/>
      <c r="H50" s="20"/>
      <c r="I50" s="61">
        <f>SUM(I23:I49)</f>
        <v>0</v>
      </c>
      <c r="J50" s="20"/>
      <c r="K50" s="61">
        <f>SUM(K23:K49)</f>
        <v>0</v>
      </c>
      <c r="L50" s="20"/>
      <c r="M50" s="61">
        <f>SUM(M23:M49)</f>
        <v>0</v>
      </c>
      <c r="N50" s="20"/>
      <c r="O50" s="61">
        <f>SUM(O23:O49)</f>
        <v>0</v>
      </c>
      <c r="P50" s="20"/>
      <c r="Q50" s="61">
        <f>SUM(Q23:Q49)</f>
        <v>0</v>
      </c>
      <c r="R50" s="20"/>
      <c r="S50" s="61">
        <f>SUM(S23:S49)</f>
        <v>0</v>
      </c>
    </row>
    <row r="51" spans="1:19">
      <c r="A51" s="2358"/>
      <c r="B51" s="2359"/>
      <c r="C51" s="2360"/>
      <c r="D51" s="2360"/>
      <c r="E51" s="2361"/>
      <c r="F51" s="2362" t="s">
        <v>568</v>
      </c>
      <c r="G51" s="2363"/>
      <c r="H51" s="2364">
        <v>0</v>
      </c>
      <c r="I51" s="2460"/>
      <c r="J51" s="2364">
        <v>0</v>
      </c>
      <c r="K51" s="2460"/>
      <c r="L51" s="2364">
        <v>0</v>
      </c>
      <c r="M51" s="2460"/>
      <c r="N51" s="2364">
        <v>0</v>
      </c>
      <c r="O51" s="2460"/>
      <c r="P51" s="2364">
        <v>0</v>
      </c>
      <c r="Q51" s="2460"/>
      <c r="R51" s="2364">
        <v>0</v>
      </c>
      <c r="S51" s="2460"/>
    </row>
    <row r="52" spans="1:19">
      <c r="A52" s="2358"/>
      <c r="B52" s="2359"/>
      <c r="C52" s="2360"/>
      <c r="D52" s="2360"/>
      <c r="E52" s="2361"/>
      <c r="F52" s="2362" t="s">
        <v>569</v>
      </c>
      <c r="G52" s="2363"/>
      <c r="H52" s="2366"/>
      <c r="I52" s="2462">
        <f>H51*I50</f>
        <v>0</v>
      </c>
      <c r="J52" s="2366"/>
      <c r="K52" s="2462">
        <f>J51*K50</f>
        <v>0</v>
      </c>
      <c r="L52" s="2366"/>
      <c r="M52" s="2462">
        <f>L51*M50</f>
        <v>0</v>
      </c>
      <c r="N52" s="2366"/>
      <c r="O52" s="2462">
        <f>N51*O50</f>
        <v>0</v>
      </c>
      <c r="P52" s="2366"/>
      <c r="Q52" s="2462">
        <f>P51*Q50</f>
        <v>0</v>
      </c>
      <c r="R52" s="2366"/>
      <c r="S52" s="2462">
        <f>R51*S50</f>
        <v>0</v>
      </c>
    </row>
    <row r="53" spans="1:19">
      <c r="A53" s="2358"/>
      <c r="B53" s="2359"/>
      <c r="C53" s="2360"/>
      <c r="D53" s="2360"/>
      <c r="E53" s="2361"/>
      <c r="F53" s="2362"/>
      <c r="G53" s="2363"/>
      <c r="H53" s="2366"/>
      <c r="I53" s="2464"/>
      <c r="J53" s="2366"/>
      <c r="K53" s="2464"/>
      <c r="L53" s="2366"/>
      <c r="M53" s="2464"/>
      <c r="N53" s="2366"/>
      <c r="O53" s="2464"/>
      <c r="P53" s="2366"/>
      <c r="Q53" s="2464"/>
      <c r="R53" s="2366"/>
      <c r="S53" s="2464"/>
    </row>
    <row r="54" spans="1:19">
      <c r="A54" s="2358"/>
      <c r="B54" s="2359"/>
      <c r="C54" s="2360"/>
      <c r="D54" s="2360"/>
      <c r="E54" s="2361"/>
      <c r="F54" s="2362" t="s">
        <v>570</v>
      </c>
      <c r="G54" s="2363"/>
      <c r="H54" s="2368"/>
      <c r="I54" s="2465">
        <f>SUM(I50:I52)</f>
        <v>0</v>
      </c>
      <c r="J54" s="2368"/>
      <c r="K54" s="2465">
        <f>SUM(K50:K52)</f>
        <v>0</v>
      </c>
      <c r="L54" s="2368"/>
      <c r="M54" s="2465">
        <f>SUM(M50:M52)</f>
        <v>0</v>
      </c>
      <c r="N54" s="2368"/>
      <c r="O54" s="2465">
        <f>SUM(O50:O52)</f>
        <v>0</v>
      </c>
      <c r="P54" s="2368"/>
      <c r="Q54" s="2465">
        <f>SUM(Q50:Q52)</f>
        <v>0</v>
      </c>
      <c r="R54" s="2368"/>
      <c r="S54" s="2465">
        <f>SUM(S50:S52)</f>
        <v>0</v>
      </c>
    </row>
    <row r="55" spans="1:19">
      <c r="A55" s="2358"/>
      <c r="B55" s="2359"/>
      <c r="C55" s="2360"/>
      <c r="D55" s="2360"/>
      <c r="E55" s="2361"/>
      <c r="F55" s="2370" t="s">
        <v>571</v>
      </c>
      <c r="G55" s="2371"/>
      <c r="H55" s="2372"/>
      <c r="I55" s="2373" t="e">
        <f>I54/'Area Calculations'!$J$4</f>
        <v>#DIV/0!</v>
      </c>
      <c r="J55" s="2372"/>
      <c r="K55" s="2373" t="e">
        <f>K54/'Area Calculations'!$J$4</f>
        <v>#DIV/0!</v>
      </c>
      <c r="L55" s="2372"/>
      <c r="M55" s="2373" t="e">
        <f>M54/'Area Calculations'!$J$4</f>
        <v>#DIV/0!</v>
      </c>
      <c r="N55" s="2372"/>
      <c r="O55" s="2373" t="e">
        <f>O54/'Area Calculations'!$J$4</f>
        <v>#DIV/0!</v>
      </c>
      <c r="P55" s="2372"/>
      <c r="Q55" s="2373" t="e">
        <f>Q54/'Area Calculations'!$J$4</f>
        <v>#DIV/0!</v>
      </c>
      <c r="R55" s="2372"/>
      <c r="S55" s="2373" t="e">
        <f>S54/'Area Calculations'!$J$4</f>
        <v>#DIV/0!</v>
      </c>
    </row>
    <row r="56" spans="1:19">
      <c r="A56" s="2358"/>
      <c r="B56" s="2359"/>
      <c r="C56" s="2360"/>
      <c r="D56" s="2360"/>
      <c r="E56" s="2361"/>
      <c r="F56" s="2370" t="s">
        <v>572</v>
      </c>
      <c r="G56" s="2374"/>
      <c r="H56" s="2372"/>
      <c r="I56" s="2373" t="e">
        <f>I54/'Area Calculations'!#REF!</f>
        <v>#REF!</v>
      </c>
      <c r="J56" s="2372"/>
      <c r="K56" s="2373" t="e">
        <f>K54/'Area Calculations'!#REF!</f>
        <v>#REF!</v>
      </c>
      <c r="L56" s="2372"/>
      <c r="M56" s="2373" t="e">
        <f>M54/'Area Calculations'!#REF!</f>
        <v>#REF!</v>
      </c>
      <c r="N56" s="2372"/>
      <c r="O56" s="2373" t="e">
        <f>O54/'Area Calculations'!#REF!</f>
        <v>#REF!</v>
      </c>
      <c r="P56" s="2372"/>
      <c r="Q56" s="2373" t="e">
        <f>Q54/'Area Calculations'!#REF!</f>
        <v>#REF!</v>
      </c>
      <c r="R56" s="2372"/>
      <c r="S56" s="2373" t="e">
        <f>S54/'Area Calculations'!#REF!</f>
        <v>#REF!</v>
      </c>
    </row>
    <row r="57" spans="1:19">
      <c r="A57" s="2358"/>
      <c r="B57" s="2359"/>
      <c r="C57" s="2360"/>
      <c r="D57" s="2360"/>
      <c r="E57" s="2361"/>
      <c r="F57" s="2362"/>
      <c r="G57" s="2375"/>
      <c r="H57" s="2376"/>
      <c r="I57" s="2377"/>
      <c r="J57" s="2376"/>
      <c r="K57" s="2377"/>
      <c r="L57" s="2376"/>
      <c r="M57" s="2377"/>
      <c r="N57" s="2376"/>
      <c r="O57" s="2377"/>
      <c r="P57" s="2376"/>
      <c r="Q57" s="2377"/>
      <c r="R57" s="2376"/>
      <c r="S57" s="2377"/>
    </row>
    <row r="58" spans="1:19">
      <c r="A58" s="726" t="s">
        <v>573</v>
      </c>
      <c r="B58" s="727"/>
      <c r="C58" s="12"/>
      <c r="D58" s="12"/>
      <c r="E58" s="12"/>
      <c r="F58" s="12"/>
      <c r="G58" s="13"/>
      <c r="H58" s="21"/>
      <c r="I58" s="21"/>
      <c r="J58" s="21"/>
      <c r="K58" s="21"/>
      <c r="L58" s="21"/>
      <c r="M58" s="21"/>
      <c r="N58" s="21"/>
      <c r="O58" s="21"/>
      <c r="P58" s="21"/>
      <c r="Q58" s="21"/>
      <c r="R58" s="21"/>
      <c r="S58" s="21"/>
    </row>
    <row r="59" spans="1:19">
      <c r="A59" s="2469"/>
      <c r="B59" s="2404"/>
      <c r="C59" s="2608"/>
      <c r="D59" s="2608"/>
      <c r="E59" s="2608"/>
      <c r="F59" s="2608"/>
      <c r="G59" s="2609"/>
      <c r="H59" s="2610"/>
      <c r="I59" s="2610"/>
      <c r="J59" s="2610"/>
      <c r="K59" s="2610"/>
      <c r="L59" s="2610"/>
      <c r="M59" s="2610"/>
      <c r="N59" s="2610"/>
      <c r="O59" s="2610"/>
      <c r="P59" s="2610"/>
      <c r="Q59" s="2610"/>
      <c r="R59" s="2610"/>
      <c r="S59" s="2610"/>
    </row>
    <row r="60" spans="1:19" s="2" customFormat="1">
      <c r="A60" s="2469"/>
      <c r="B60" s="2404"/>
      <c r="C60" s="2608"/>
      <c r="D60" s="2608"/>
      <c r="E60" s="2608"/>
      <c r="F60" s="2608"/>
      <c r="G60" s="2609"/>
      <c r="H60" s="2610"/>
      <c r="I60" s="2610"/>
      <c r="J60" s="2610"/>
      <c r="K60" s="2610"/>
      <c r="L60" s="2610"/>
      <c r="M60" s="2610"/>
      <c r="N60" s="2610"/>
      <c r="O60" s="2610"/>
      <c r="P60" s="2610"/>
      <c r="Q60" s="2610"/>
      <c r="R60" s="2610"/>
      <c r="S60" s="2610"/>
    </row>
    <row r="61" spans="1:19" s="2" customFormat="1">
      <c r="A61" s="2469"/>
      <c r="B61" s="2404"/>
      <c r="C61" s="2608"/>
      <c r="D61" s="2608"/>
      <c r="E61" s="2608"/>
      <c r="F61" s="2608"/>
      <c r="G61" s="2609"/>
      <c r="H61" s="2610"/>
      <c r="I61" s="2610"/>
      <c r="J61" s="2610"/>
      <c r="K61" s="2610"/>
      <c r="L61" s="2610"/>
      <c r="M61" s="2610"/>
      <c r="N61" s="2610"/>
      <c r="O61" s="2610"/>
      <c r="P61" s="2610"/>
      <c r="Q61" s="2610"/>
      <c r="R61" s="2610"/>
      <c r="S61" s="2610"/>
    </row>
    <row r="62" spans="1:19">
      <c r="A62" s="726" t="s">
        <v>574</v>
      </c>
      <c r="B62" s="727"/>
      <c r="C62" s="12"/>
      <c r="D62" s="12"/>
      <c r="E62" s="12"/>
      <c r="F62" s="12"/>
      <c r="G62" s="13"/>
      <c r="H62" s="21"/>
      <c r="I62" s="21"/>
      <c r="J62" s="21"/>
      <c r="K62" s="21"/>
      <c r="L62" s="21"/>
      <c r="M62" s="21"/>
      <c r="N62" s="21"/>
      <c r="O62" s="21"/>
      <c r="P62" s="21"/>
      <c r="Q62" s="21"/>
      <c r="R62" s="21"/>
      <c r="S62" s="21"/>
    </row>
    <row r="63" spans="1:19" s="2" customFormat="1">
      <c r="A63" s="2469"/>
      <c r="B63" s="2404"/>
      <c r="C63" s="2608"/>
      <c r="D63" s="2608"/>
      <c r="E63" s="2608"/>
      <c r="F63" s="2608"/>
      <c r="G63" s="2609"/>
      <c r="H63" s="2610"/>
      <c r="I63" s="2610"/>
      <c r="J63" s="2610"/>
      <c r="K63" s="2610"/>
      <c r="L63" s="2610"/>
      <c r="M63" s="2610"/>
      <c r="N63" s="2610"/>
      <c r="O63" s="2610"/>
      <c r="P63" s="2610"/>
      <c r="Q63" s="2610"/>
      <c r="R63" s="2610"/>
      <c r="S63" s="2610"/>
    </row>
    <row r="64" spans="1:19" s="2" customFormat="1">
      <c r="A64" s="2469"/>
      <c r="B64" s="2404"/>
      <c r="C64" s="2608"/>
      <c r="D64" s="2608"/>
      <c r="E64" s="2608"/>
      <c r="F64" s="2608"/>
      <c r="G64" s="2609"/>
      <c r="H64" s="2610"/>
      <c r="I64" s="2610"/>
      <c r="J64" s="2610"/>
      <c r="K64" s="2610"/>
      <c r="L64" s="2610"/>
      <c r="M64" s="2610"/>
      <c r="N64" s="2610"/>
      <c r="O64" s="2610"/>
      <c r="P64" s="2610"/>
      <c r="Q64" s="2610"/>
      <c r="R64" s="2610"/>
      <c r="S64" s="2610"/>
    </row>
    <row r="65" spans="1:19">
      <c r="A65" s="2469"/>
      <c r="B65" s="2404"/>
      <c r="C65" s="2608"/>
      <c r="D65" s="2608"/>
      <c r="E65" s="2608"/>
      <c r="F65" s="2608"/>
      <c r="G65" s="2609"/>
      <c r="H65" s="2610"/>
      <c r="I65" s="2610"/>
      <c r="J65" s="2610"/>
      <c r="K65" s="2610"/>
      <c r="L65" s="2610"/>
      <c r="M65" s="2610"/>
      <c r="N65" s="2610"/>
      <c r="O65" s="2610"/>
      <c r="P65" s="2610"/>
      <c r="Q65" s="2610"/>
      <c r="R65" s="2610"/>
      <c r="S65" s="2610"/>
    </row>
    <row r="66" spans="1:19">
      <c r="A66" s="726" t="s">
        <v>575</v>
      </c>
      <c r="B66" s="727"/>
      <c r="C66" s="12"/>
      <c r="D66" s="12"/>
      <c r="E66" s="12"/>
      <c r="F66" s="12"/>
      <c r="G66" s="13"/>
      <c r="H66" s="21"/>
      <c r="I66" s="21"/>
      <c r="J66" s="21"/>
      <c r="K66" s="21"/>
      <c r="L66" s="21"/>
      <c r="M66" s="21"/>
      <c r="N66" s="21"/>
      <c r="O66" s="21"/>
      <c r="P66" s="21"/>
      <c r="Q66" s="21"/>
      <c r="R66" s="21"/>
      <c r="S66" s="21"/>
    </row>
    <row r="67" spans="1:19">
      <c r="A67" s="2469"/>
      <c r="B67" s="2404"/>
      <c r="C67" s="2608"/>
      <c r="D67" s="2608"/>
      <c r="E67" s="2608"/>
      <c r="F67" s="2608"/>
      <c r="G67" s="2609"/>
      <c r="H67" s="2610"/>
      <c r="I67" s="2610"/>
      <c r="J67" s="2610"/>
      <c r="K67" s="2610"/>
      <c r="L67" s="2610"/>
      <c r="M67" s="2610"/>
      <c r="N67" s="2610"/>
      <c r="O67" s="2610"/>
      <c r="P67" s="2610"/>
      <c r="Q67" s="2610"/>
      <c r="R67" s="2610"/>
      <c r="S67" s="2610"/>
    </row>
    <row r="68" spans="1:19">
      <c r="A68" s="2421"/>
      <c r="B68" s="2404"/>
      <c r="C68" s="2405"/>
      <c r="D68" s="2405"/>
      <c r="E68" s="2405"/>
      <c r="F68" s="2405"/>
      <c r="G68" s="2423"/>
      <c r="H68" s="2382"/>
      <c r="I68" s="2382"/>
      <c r="J68" s="2382"/>
      <c r="K68" s="2382"/>
      <c r="L68" s="2382"/>
      <c r="M68" s="2382"/>
      <c r="N68" s="2382"/>
      <c r="O68" s="2382"/>
      <c r="P68" s="2382"/>
      <c r="Q68" s="2382"/>
      <c r="R68" s="2382"/>
      <c r="S68" s="2382"/>
    </row>
    <row r="69" spans="1:19">
      <c r="A69" s="2383"/>
      <c r="B69" s="2384"/>
      <c r="C69" s="2405"/>
      <c r="D69" s="2405"/>
      <c r="E69" s="2405"/>
      <c r="F69" s="2405"/>
      <c r="G69" s="2423"/>
      <c r="H69" s="2385"/>
      <c r="I69" s="2385"/>
      <c r="J69" s="2385"/>
      <c r="K69" s="2385"/>
      <c r="L69" s="2385"/>
      <c r="M69" s="2385"/>
      <c r="N69" s="2385"/>
      <c r="O69" s="2385"/>
      <c r="P69" s="2385"/>
      <c r="Q69" s="2385"/>
      <c r="R69" s="2385"/>
      <c r="S69" s="2385"/>
    </row>
    <row r="70" spans="1:19">
      <c r="A70" s="726" t="s">
        <v>576</v>
      </c>
      <c r="B70" s="727"/>
      <c r="C70" s="12"/>
      <c r="D70" s="12"/>
      <c r="E70" s="12"/>
      <c r="F70" s="12"/>
      <c r="G70" s="13"/>
      <c r="H70" s="21"/>
      <c r="I70" s="21"/>
      <c r="J70" s="21"/>
      <c r="K70" s="21"/>
      <c r="L70" s="21"/>
      <c r="M70" s="21"/>
      <c r="N70" s="21"/>
      <c r="O70" s="21"/>
      <c r="P70" s="21"/>
      <c r="Q70" s="21"/>
      <c r="R70" s="21"/>
      <c r="S70" s="21"/>
    </row>
    <row r="71" spans="1:19">
      <c r="A71" s="2476"/>
      <c r="B71" s="2611"/>
      <c r="C71" s="2608"/>
      <c r="D71" s="2608"/>
      <c r="E71" s="2608"/>
      <c r="F71" s="2608"/>
      <c r="G71" s="2609"/>
      <c r="H71" s="2610"/>
      <c r="I71" s="2610"/>
      <c r="J71" s="2610"/>
      <c r="K71" s="2610"/>
      <c r="L71" s="2610"/>
      <c r="M71" s="2610"/>
      <c r="N71" s="2610"/>
      <c r="O71" s="2610"/>
      <c r="P71" s="2610"/>
      <c r="Q71" s="2610"/>
      <c r="R71" s="2610"/>
      <c r="S71" s="2610"/>
    </row>
    <row r="72" spans="1:19">
      <c r="A72" s="2383"/>
      <c r="B72" s="2384"/>
      <c r="C72" s="2405"/>
      <c r="D72" s="2405"/>
      <c r="E72" s="2405"/>
      <c r="F72" s="2405"/>
      <c r="G72" s="2423"/>
      <c r="H72" s="2388"/>
      <c r="I72" s="2388"/>
      <c r="J72" s="2388"/>
      <c r="K72" s="2388"/>
      <c r="L72" s="2388"/>
      <c r="M72" s="2388"/>
      <c r="N72" s="2388"/>
      <c r="O72" s="2388"/>
      <c r="P72" s="2388"/>
      <c r="Q72" s="2388"/>
      <c r="R72" s="2388"/>
      <c r="S72" s="2388"/>
    </row>
    <row r="73" spans="1:19">
      <c r="A73" s="2383"/>
      <c r="B73" s="2384"/>
      <c r="C73" s="2405"/>
      <c r="D73" s="2405"/>
      <c r="E73" s="2405"/>
      <c r="F73" s="2405"/>
      <c r="G73" s="2423"/>
      <c r="H73" s="2388"/>
      <c r="I73" s="2388"/>
      <c r="J73" s="2388"/>
      <c r="K73" s="2388"/>
      <c r="L73" s="2388"/>
      <c r="M73" s="2388"/>
      <c r="N73" s="2388"/>
      <c r="O73" s="2388"/>
      <c r="P73" s="2388"/>
      <c r="Q73" s="2388"/>
      <c r="R73" s="2388"/>
      <c r="S73" s="2388"/>
    </row>
    <row r="74" spans="1:19">
      <c r="A74" s="726" t="s">
        <v>577</v>
      </c>
      <c r="B74" s="727"/>
      <c r="C74" s="12"/>
      <c r="D74" s="12"/>
      <c r="E74" s="12"/>
      <c r="F74" s="12"/>
      <c r="G74" s="13"/>
      <c r="H74" s="21"/>
      <c r="I74" s="21"/>
      <c r="J74" s="21"/>
      <c r="K74" s="21"/>
      <c r="L74" s="21"/>
      <c r="M74" s="21"/>
      <c r="N74" s="21"/>
      <c r="O74" s="21"/>
      <c r="P74" s="21"/>
      <c r="Q74" s="21"/>
      <c r="R74" s="21"/>
      <c r="S74" s="21"/>
    </row>
    <row r="75" spans="1:19">
      <c r="A75" s="2421"/>
      <c r="B75" s="2404" t="s">
        <v>578</v>
      </c>
      <c r="C75" s="2405"/>
      <c r="D75" s="2405"/>
      <c r="E75" s="2405"/>
      <c r="F75" s="2405"/>
      <c r="G75" s="2423"/>
      <c r="H75" s="2388"/>
      <c r="I75" s="2388"/>
      <c r="J75" s="2388"/>
      <c r="K75" s="2388"/>
      <c r="L75" s="2388"/>
      <c r="M75" s="2388"/>
      <c r="N75" s="2388"/>
      <c r="O75" s="2388"/>
      <c r="P75" s="2388"/>
      <c r="Q75" s="2388"/>
      <c r="R75" s="2388"/>
      <c r="S75" s="2388"/>
    </row>
    <row r="76" spans="1:19">
      <c r="A76" s="2421"/>
      <c r="B76" s="2404" t="s">
        <v>579</v>
      </c>
      <c r="C76" s="2405"/>
      <c r="D76" s="2405"/>
      <c r="E76" s="2405"/>
      <c r="F76" s="2405"/>
      <c r="G76" s="2423"/>
      <c r="H76" s="2388"/>
      <c r="I76" s="2388"/>
      <c r="J76" s="2388"/>
      <c r="K76" s="2388"/>
      <c r="L76" s="2388"/>
      <c r="M76" s="2388"/>
      <c r="N76" s="2388"/>
      <c r="O76" s="2388"/>
      <c r="P76" s="2388"/>
      <c r="Q76" s="2388"/>
      <c r="R76" s="2388"/>
      <c r="S76" s="2388"/>
    </row>
    <row r="77" spans="1:19">
      <c r="A77" s="2421"/>
      <c r="B77" s="2404" t="s">
        <v>580</v>
      </c>
      <c r="C77" s="2405"/>
      <c r="D77" s="2405"/>
      <c r="E77" s="2405"/>
      <c r="F77" s="2405"/>
      <c r="G77" s="2423"/>
      <c r="H77" s="2388"/>
      <c r="I77" s="2388"/>
      <c r="J77" s="2388"/>
      <c r="K77" s="2388"/>
      <c r="L77" s="2388"/>
      <c r="M77" s="2388"/>
      <c r="N77" s="2388"/>
      <c r="O77" s="2388"/>
      <c r="P77" s="2388"/>
      <c r="Q77" s="2388"/>
      <c r="R77" s="2388"/>
      <c r="S77" s="2388"/>
    </row>
    <row r="78" spans="1:19">
      <c r="A78" s="2421"/>
      <c r="B78" s="2404" t="s">
        <v>581</v>
      </c>
      <c r="C78" s="2405"/>
      <c r="D78" s="2405"/>
      <c r="E78" s="2405"/>
      <c r="F78" s="2405"/>
      <c r="G78" s="2423"/>
      <c r="H78" s="2388"/>
      <c r="I78" s="2388"/>
      <c r="J78" s="2388"/>
      <c r="K78" s="2388"/>
      <c r="L78" s="2388"/>
      <c r="M78" s="2388"/>
      <c r="N78" s="2388"/>
      <c r="O78" s="2388"/>
      <c r="P78" s="2388"/>
      <c r="Q78" s="2388"/>
      <c r="R78" s="2388"/>
      <c r="S78" s="2388"/>
    </row>
    <row r="79" spans="1:19">
      <c r="A79" s="416"/>
      <c r="B79" s="295"/>
      <c r="C79" s="184"/>
      <c r="D79" s="184"/>
      <c r="E79" s="184"/>
      <c r="F79" s="184"/>
      <c r="G79" s="296"/>
      <c r="H79" s="418"/>
      <c r="I79" s="418"/>
      <c r="J79" s="418"/>
      <c r="K79" s="418"/>
      <c r="L79" s="418"/>
      <c r="M79" s="418"/>
      <c r="N79" s="418"/>
      <c r="O79" s="418"/>
      <c r="P79" s="418"/>
      <c r="Q79" s="418"/>
      <c r="R79" s="418"/>
      <c r="S79" s="418"/>
    </row>
    <row r="80" spans="1:19">
      <c r="A80" s="7" t="s">
        <v>582</v>
      </c>
      <c r="B80" s="8"/>
      <c r="C80" s="12"/>
      <c r="D80" s="12"/>
      <c r="E80" s="12"/>
      <c r="F80" s="12"/>
      <c r="G80" s="13"/>
      <c r="H80" s="21"/>
      <c r="I80" s="21"/>
      <c r="J80" s="21"/>
      <c r="K80" s="21"/>
      <c r="L80" s="21"/>
      <c r="M80" s="21"/>
      <c r="N80" s="21"/>
      <c r="O80" s="21"/>
      <c r="P80" s="21"/>
      <c r="Q80" s="21"/>
      <c r="R80" s="21"/>
      <c r="S80" s="21"/>
    </row>
    <row r="81" spans="1:19">
      <c r="A81" s="2469"/>
      <c r="B81" s="2612" t="s">
        <v>583</v>
      </c>
      <c r="C81" s="2608"/>
      <c r="D81" s="2608"/>
      <c r="E81" s="2608"/>
      <c r="F81" s="2608"/>
      <c r="G81" s="2609"/>
      <c r="H81" s="2480"/>
      <c r="I81" s="2480"/>
      <c r="J81" s="2480"/>
      <c r="K81" s="2480"/>
      <c r="L81" s="2480"/>
      <c r="M81" s="2480"/>
      <c r="N81" s="2480"/>
      <c r="O81" s="2480"/>
      <c r="P81" s="2480"/>
      <c r="Q81" s="2480"/>
      <c r="R81" s="2480"/>
      <c r="S81" s="2480"/>
    </row>
    <row r="82" spans="1:19">
      <c r="A82" s="2421"/>
      <c r="B82" s="2404" t="s">
        <v>584</v>
      </c>
      <c r="C82" s="2405"/>
      <c r="D82" s="2405"/>
      <c r="E82" s="2405"/>
      <c r="F82" s="2405"/>
      <c r="G82" s="2423"/>
      <c r="H82" s="2390"/>
      <c r="I82" s="2390"/>
      <c r="J82" s="2390"/>
      <c r="K82" s="2390"/>
      <c r="L82" s="2390"/>
      <c r="M82" s="2390"/>
      <c r="N82" s="2390"/>
      <c r="O82" s="2390"/>
      <c r="P82" s="2390"/>
      <c r="Q82" s="2390"/>
      <c r="R82" s="2390"/>
      <c r="S82" s="2390"/>
    </row>
    <row r="83" spans="1:19">
      <c r="A83" s="2391"/>
      <c r="B83" s="2392" t="s">
        <v>585</v>
      </c>
      <c r="C83" s="2393"/>
      <c r="D83" s="2393"/>
      <c r="E83" s="2393"/>
      <c r="F83" s="2393"/>
      <c r="G83" s="2394"/>
      <c r="H83" s="2395"/>
      <c r="I83" s="2395"/>
      <c r="J83" s="2395"/>
      <c r="K83" s="2395"/>
      <c r="L83" s="2395"/>
      <c r="M83" s="2395"/>
      <c r="N83" s="2395"/>
      <c r="O83" s="2395"/>
      <c r="P83" s="2395"/>
      <c r="Q83" s="2395"/>
      <c r="R83" s="2395"/>
      <c r="S83" s="2395"/>
    </row>
    <row r="85" spans="1:19">
      <c r="A85" s="92" t="s">
        <v>586</v>
      </c>
      <c r="B85" s="94"/>
    </row>
    <row r="86" spans="1:19">
      <c r="A86" s="93" t="s">
        <v>487</v>
      </c>
      <c r="B86" s="2396"/>
    </row>
    <row r="87" spans="1:19">
      <c r="A87" s="2397" t="s">
        <v>491</v>
      </c>
      <c r="B87" s="2396"/>
    </row>
    <row r="88" spans="1:19">
      <c r="A88" s="2398" t="s">
        <v>494</v>
      </c>
      <c r="B88" s="2399"/>
    </row>
    <row r="89" spans="1:19">
      <c r="A89" s="2398" t="s">
        <v>497</v>
      </c>
      <c r="B89" s="2400"/>
    </row>
    <row r="90" spans="1:19">
      <c r="A90" s="2401" t="s">
        <v>587</v>
      </c>
      <c r="B90" s="2402"/>
    </row>
    <row r="92" spans="1:19">
      <c r="A92" s="95"/>
      <c r="B92" s="1" t="s">
        <v>588</v>
      </c>
    </row>
    <row r="93" spans="1:19">
      <c r="A93" s="96"/>
      <c r="B93"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8:B58"/>
    <mergeCell ref="A62:B62"/>
    <mergeCell ref="A66:B66"/>
    <mergeCell ref="A70:B70"/>
    <mergeCell ref="A74:B74"/>
  </mergeCells>
  <conditionalFormatting sqref="H20:H30">
    <cfRule type="cellIs" dxfId="785" priority="13" operator="equal">
      <formula>"X"</formula>
    </cfRule>
    <cfRule type="cellIs" dxfId="784" priority="14" operator="equal">
      <formula>"I"</formula>
    </cfRule>
  </conditionalFormatting>
  <conditionalFormatting sqref="H32:H49">
    <cfRule type="cellIs" dxfId="783" priority="1" operator="equal">
      <formula>"X"</formula>
    </cfRule>
    <cfRule type="cellIs" dxfId="782" priority="2" operator="equal">
      <formula>"I"</formula>
    </cfRule>
  </conditionalFormatting>
  <conditionalFormatting sqref="J20:J30">
    <cfRule type="cellIs" dxfId="781" priority="15" operator="equal">
      <formula>"X"</formula>
    </cfRule>
    <cfRule type="cellIs" dxfId="780" priority="16" operator="equal">
      <formula>"I"</formula>
    </cfRule>
  </conditionalFormatting>
  <conditionalFormatting sqref="J32:J49">
    <cfRule type="cellIs" dxfId="779" priority="3" operator="equal">
      <formula>"X"</formula>
    </cfRule>
    <cfRule type="cellIs" dxfId="778" priority="4" operator="equal">
      <formula>"I"</formula>
    </cfRule>
  </conditionalFormatting>
  <conditionalFormatting sqref="L20:L30">
    <cfRule type="cellIs" dxfId="777" priority="17" operator="equal">
      <formula>"X"</formula>
    </cfRule>
    <cfRule type="cellIs" dxfId="776" priority="18" operator="equal">
      <formula>"I"</formula>
    </cfRule>
  </conditionalFormatting>
  <conditionalFormatting sqref="L32:L49">
    <cfRule type="cellIs" dxfId="775" priority="5" operator="equal">
      <formula>"X"</formula>
    </cfRule>
    <cfRule type="cellIs" dxfId="774" priority="6" operator="equal">
      <formula>"I"</formula>
    </cfRule>
  </conditionalFormatting>
  <conditionalFormatting sqref="N20:N30">
    <cfRule type="cellIs" dxfId="773" priority="19" operator="equal">
      <formula>"X"</formula>
    </cfRule>
    <cfRule type="cellIs" dxfId="772" priority="20" operator="equal">
      <formula>"I"</formula>
    </cfRule>
  </conditionalFormatting>
  <conditionalFormatting sqref="N32:N49">
    <cfRule type="cellIs" dxfId="771" priority="7" operator="equal">
      <formula>"X"</formula>
    </cfRule>
    <cfRule type="cellIs" dxfId="770" priority="8" operator="equal">
      <formula>"I"</formula>
    </cfRule>
  </conditionalFormatting>
  <conditionalFormatting sqref="P20:P30">
    <cfRule type="cellIs" dxfId="769" priority="21" operator="equal">
      <formula>"X"</formula>
    </cfRule>
    <cfRule type="cellIs" dxfId="768" priority="22" operator="equal">
      <formula>"I"</formula>
    </cfRule>
  </conditionalFormatting>
  <conditionalFormatting sqref="P32:P49">
    <cfRule type="cellIs" dxfId="767" priority="9" operator="equal">
      <formula>"X"</formula>
    </cfRule>
    <cfRule type="cellIs" dxfId="766" priority="10" operator="equal">
      <formula>"I"</formula>
    </cfRule>
  </conditionalFormatting>
  <conditionalFormatting sqref="R20:R30">
    <cfRule type="cellIs" dxfId="765" priority="23" operator="equal">
      <formula>"X"</formula>
    </cfRule>
    <cfRule type="cellIs" dxfId="764" priority="24" operator="equal">
      <formula>"I"</formula>
    </cfRule>
  </conditionalFormatting>
  <conditionalFormatting sqref="R32:R49">
    <cfRule type="cellIs" dxfId="763" priority="11" operator="equal">
      <formula>"X"</formula>
    </cfRule>
    <cfRule type="cellIs" dxfId="762" priority="12" operator="equal">
      <formula>"I"</formula>
    </cfRule>
  </conditionalFormatting>
  <hyperlinks>
    <hyperlink ref="B3" location="'Cost Summary'!A1" display="BACK TO SUMMARY SHEET" xr:uid="{FA114969-BE1C-4C23-93BC-4977FE245C57}"/>
  </hyperlink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F8A8-0DF4-457A-89FD-957801F70E27}">
  <sheetPr>
    <tabColor rgb="FF92D050"/>
  </sheetPr>
  <dimension ref="A1:S98"/>
  <sheetViews>
    <sheetView zoomScale="95" zoomScaleNormal="95" workbookViewId="0">
      <pane xSplit="2" ySplit="9" topLeftCell="C28" activePane="bottomRight" state="frozen"/>
      <selection pane="bottomRight" activeCell="F48" sqref="F48"/>
      <selection pane="bottomLeft" sqref="A1:B1"/>
      <selection pane="topRight" sqref="A1:B1"/>
    </sheetView>
  </sheetViews>
  <sheetFormatPr defaultRowHeight="15"/>
  <cols>
    <col min="1" max="1" width="11" customWidth="1"/>
    <col min="2" max="2" width="70.7109375" style="1" customWidth="1"/>
    <col min="3" max="3" width="13.42578125" style="2" customWidth="1"/>
    <col min="4" max="4" width="11.42578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79"/>
      <c r="S4" s="779"/>
    </row>
    <row r="5" spans="1:19">
      <c r="A5" s="2403" t="s">
        <v>489</v>
      </c>
      <c r="B5" s="2404" t="s">
        <v>1147</v>
      </c>
      <c r="C5" s="2405"/>
      <c r="D5" s="2405"/>
      <c r="E5" s="2405"/>
      <c r="F5" s="2405"/>
      <c r="G5" s="2406" t="s">
        <v>491</v>
      </c>
      <c r="H5" s="2518"/>
      <c r="I5" s="2518"/>
      <c r="J5" s="2518"/>
      <c r="K5" s="2518"/>
      <c r="L5" s="2518"/>
      <c r="M5" s="2518"/>
      <c r="N5" s="2518"/>
      <c r="O5" s="2518"/>
      <c r="P5" s="2518"/>
      <c r="Q5" s="2518"/>
      <c r="R5" s="2518"/>
      <c r="S5" s="2518"/>
    </row>
    <row r="6" spans="1:19">
      <c r="A6" s="2403" t="s">
        <v>493</v>
      </c>
      <c r="B6" s="2410" t="s">
        <v>634</v>
      </c>
      <c r="C6" s="2405"/>
      <c r="D6" s="2405"/>
      <c r="E6" s="2405"/>
      <c r="F6" s="2405"/>
      <c r="G6" s="2406" t="s">
        <v>494</v>
      </c>
      <c r="H6" s="2519"/>
      <c r="I6" s="2519"/>
      <c r="J6" s="2519"/>
      <c r="K6" s="2519"/>
      <c r="L6" s="2519"/>
      <c r="M6" s="2519"/>
      <c r="N6" s="2519"/>
      <c r="O6" s="2519"/>
      <c r="P6" s="2519"/>
      <c r="Q6" s="2519"/>
      <c r="R6" s="2519"/>
      <c r="S6" s="2519"/>
    </row>
    <row r="7" spans="1:19">
      <c r="A7" s="2403" t="s">
        <v>496</v>
      </c>
      <c r="B7" s="2414"/>
      <c r="C7" s="2405"/>
      <c r="D7" s="2405"/>
      <c r="E7" s="2405"/>
      <c r="F7" s="2405"/>
      <c r="G7" s="2406" t="s">
        <v>497</v>
      </c>
      <c r="H7" s="2520"/>
      <c r="I7" s="2520"/>
      <c r="J7" s="2520"/>
      <c r="K7" s="2520"/>
      <c r="L7" s="2520"/>
      <c r="M7" s="2520"/>
      <c r="N7" s="2520"/>
      <c r="O7" s="2520"/>
      <c r="P7" s="2520"/>
      <c r="Q7" s="2520"/>
      <c r="R7" s="2520"/>
      <c r="S7" s="2520"/>
    </row>
    <row r="8" spans="1:19" ht="15.75" thickBot="1">
      <c r="A8" s="414" t="s">
        <v>499</v>
      </c>
      <c r="B8" s="295"/>
      <c r="C8" s="184"/>
      <c r="D8" s="184"/>
      <c r="E8" s="184"/>
      <c r="F8" s="184"/>
      <c r="G8" s="419" t="s">
        <v>499</v>
      </c>
      <c r="H8" s="2418">
        <f>I59</f>
        <v>5180.6000000000004</v>
      </c>
      <c r="I8" s="2419"/>
      <c r="J8" s="2418">
        <f>K59</f>
        <v>0</v>
      </c>
      <c r="K8" s="2419"/>
      <c r="L8" s="2418">
        <f>M59</f>
        <v>0</v>
      </c>
      <c r="M8" s="2419"/>
      <c r="N8" s="2418">
        <f>O59</f>
        <v>0</v>
      </c>
      <c r="O8" s="2419"/>
      <c r="P8" s="2418">
        <f>Q59</f>
        <v>0</v>
      </c>
      <c r="Q8" s="2419"/>
      <c r="R8" s="2418">
        <f>S59</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13"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4"/>
      <c r="I21" s="2424"/>
      <c r="J21" s="2424"/>
      <c r="K21" s="2424"/>
      <c r="L21" s="2424"/>
      <c r="M21" s="2424"/>
      <c r="N21" s="2424"/>
      <c r="O21" s="2424"/>
      <c r="P21" s="2424"/>
      <c r="Q21" s="2424"/>
      <c r="R21" s="2424"/>
      <c r="S21" s="2424"/>
    </row>
    <row r="22" spans="1:19" hidden="1">
      <c r="A22" s="2421"/>
      <c r="B22" s="2404"/>
      <c r="C22" s="2426"/>
      <c r="D22" s="2405"/>
      <c r="E22" s="2405"/>
      <c r="F22" s="2405"/>
      <c r="G22" s="2423"/>
      <c r="H22" s="2427"/>
      <c r="I22" s="2424"/>
      <c r="J22" s="2427"/>
      <c r="K22" s="2424"/>
      <c r="L22" s="2427"/>
      <c r="M22" s="2424"/>
      <c r="N22" s="2427"/>
      <c r="O22" s="2424"/>
      <c r="P22" s="2427"/>
      <c r="Q22" s="2424"/>
      <c r="R22" s="2427"/>
      <c r="S22" s="2424"/>
    </row>
    <row r="23" spans="1:19" ht="16.5" thickTop="1" thickBot="1">
      <c r="A23" s="59"/>
      <c r="B23" s="2428" t="s">
        <v>1147</v>
      </c>
      <c r="C23" s="56"/>
      <c r="D23" s="57"/>
      <c r="E23" s="57"/>
      <c r="F23" s="57"/>
      <c r="G23" s="63"/>
      <c r="H23" s="2427"/>
      <c r="I23" s="2614"/>
      <c r="J23" s="2427"/>
      <c r="K23" s="2615"/>
      <c r="L23" s="2427"/>
      <c r="M23" s="2615"/>
      <c r="N23" s="2427"/>
      <c r="O23" s="2615"/>
      <c r="P23" s="2427"/>
      <c r="Q23" s="2615"/>
      <c r="R23" s="2427"/>
      <c r="S23" s="2615"/>
    </row>
    <row r="24" spans="1:19">
      <c r="A24" s="2484"/>
      <c r="B24" s="2318" t="s">
        <v>512</v>
      </c>
      <c r="C24" s="2426"/>
      <c r="D24" s="2405"/>
      <c r="E24" s="2405"/>
      <c r="F24" s="2405"/>
      <c r="G24" s="2423"/>
      <c r="H24" s="2427"/>
      <c r="I24" s="2614"/>
      <c r="J24" s="2427"/>
      <c r="K24" s="2615"/>
      <c r="L24" s="2427"/>
      <c r="M24" s="2615"/>
      <c r="N24" s="2427"/>
      <c r="O24" s="2615"/>
      <c r="P24" s="2427"/>
      <c r="Q24" s="2615"/>
      <c r="R24" s="2427"/>
      <c r="S24" s="2615"/>
    </row>
    <row r="25" spans="1:19">
      <c r="A25" s="2484"/>
      <c r="B25" s="2558" t="s">
        <v>513</v>
      </c>
      <c r="C25" s="2426"/>
      <c r="D25" s="2405"/>
      <c r="E25" s="2405"/>
      <c r="F25" s="2405"/>
      <c r="G25" s="2423"/>
      <c r="H25" s="2427"/>
      <c r="I25" s="2614"/>
      <c r="J25" s="2427"/>
      <c r="K25" s="2616"/>
      <c r="L25" s="2427"/>
      <c r="M25" s="2616"/>
      <c r="N25" s="2427"/>
      <c r="O25" s="2616"/>
      <c r="P25" s="2427"/>
      <c r="Q25" s="2616"/>
      <c r="R25" s="2427"/>
      <c r="S25" s="2616"/>
    </row>
    <row r="26" spans="1:19">
      <c r="A26" s="2484"/>
      <c r="B26" s="2558" t="s">
        <v>514</v>
      </c>
      <c r="C26" s="2430"/>
      <c r="D26" s="2405"/>
      <c r="E26" s="2405"/>
      <c r="F26" s="2405"/>
      <c r="G26" s="2423"/>
      <c r="H26" s="2427"/>
      <c r="I26" s="2614"/>
      <c r="J26" s="2427"/>
      <c r="K26" s="2616"/>
      <c r="L26" s="2427"/>
      <c r="M26" s="2616"/>
      <c r="N26" s="2427"/>
      <c r="O26" s="2616"/>
      <c r="P26" s="2427"/>
      <c r="Q26" s="2616"/>
      <c r="R26" s="2427"/>
      <c r="S26" s="2616"/>
    </row>
    <row r="27" spans="1:19">
      <c r="A27" s="2484"/>
      <c r="B27" s="2559" t="s">
        <v>515</v>
      </c>
      <c r="C27" s="2430"/>
      <c r="D27" s="2405"/>
      <c r="E27" s="2405"/>
      <c r="F27" s="2405"/>
      <c r="G27" s="2423"/>
      <c r="H27" s="2427"/>
      <c r="I27" s="2614"/>
      <c r="J27" s="2427"/>
      <c r="K27" s="2616"/>
      <c r="L27" s="2427"/>
      <c r="M27" s="2616"/>
      <c r="N27" s="2427"/>
      <c r="O27" s="2616"/>
      <c r="P27" s="2427"/>
      <c r="Q27" s="2616"/>
      <c r="R27" s="2427"/>
      <c r="S27" s="2616"/>
    </row>
    <row r="28" spans="1:19" s="91" customFormat="1">
      <c r="A28" s="2602"/>
      <c r="B28" s="2559" t="s">
        <v>516</v>
      </c>
      <c r="C28" s="2432"/>
      <c r="D28" s="2433"/>
      <c r="E28" s="2433"/>
      <c r="F28" s="2433"/>
      <c r="G28" s="2432"/>
      <c r="H28" s="2427"/>
      <c r="I28" s="2614"/>
      <c r="J28" s="2427"/>
      <c r="K28" s="2615"/>
      <c r="L28" s="2427"/>
      <c r="M28" s="2615"/>
      <c r="N28" s="2427"/>
      <c r="O28" s="2615"/>
      <c r="P28" s="2427"/>
      <c r="Q28" s="2615"/>
      <c r="R28" s="2427"/>
      <c r="S28" s="2615"/>
    </row>
    <row r="29" spans="1:19" s="91" customFormat="1">
      <c r="A29" s="2602"/>
      <c r="B29" s="2559" t="s">
        <v>517</v>
      </c>
      <c r="C29" s="2432"/>
      <c r="D29" s="2433"/>
      <c r="E29" s="2433"/>
      <c r="F29" s="2433"/>
      <c r="G29" s="2432"/>
      <c r="H29" s="2427"/>
      <c r="I29" s="2614"/>
      <c r="J29" s="2427"/>
      <c r="K29" s="2615"/>
      <c r="L29" s="2427"/>
      <c r="M29" s="2615"/>
      <c r="N29" s="2427"/>
      <c r="O29" s="2615"/>
      <c r="P29" s="2427"/>
      <c r="Q29" s="2615"/>
      <c r="R29" s="2427"/>
      <c r="S29" s="2615"/>
    </row>
    <row r="30" spans="1:19" s="91" customFormat="1">
      <c r="A30" s="2602"/>
      <c r="B30" s="2559" t="s">
        <v>518</v>
      </c>
      <c r="C30" s="2432"/>
      <c r="D30" s="2433"/>
      <c r="E30" s="2433"/>
      <c r="F30" s="2433"/>
      <c r="G30" s="2432"/>
      <c r="H30" s="2427"/>
      <c r="I30" s="2614"/>
      <c r="J30" s="2427"/>
      <c r="K30" s="2615"/>
      <c r="L30" s="2427"/>
      <c r="M30" s="2615"/>
      <c r="N30" s="2427"/>
      <c r="O30" s="2615"/>
      <c r="P30" s="2427"/>
      <c r="Q30" s="2615"/>
      <c r="R30" s="2427"/>
      <c r="S30" s="2615"/>
    </row>
    <row r="31" spans="1:19" s="91" customFormat="1">
      <c r="A31" s="2602"/>
      <c r="B31" s="2561" t="s">
        <v>519</v>
      </c>
      <c r="C31" s="2432"/>
      <c r="D31" s="2433"/>
      <c r="E31" s="2433"/>
      <c r="F31" s="2433"/>
      <c r="G31" s="2432"/>
      <c r="H31" s="2427"/>
      <c r="I31" s="2614"/>
      <c r="J31" s="2427"/>
      <c r="K31" s="2615"/>
      <c r="L31" s="2427"/>
      <c r="M31" s="2615"/>
      <c r="N31" s="2427"/>
      <c r="O31" s="2615"/>
      <c r="P31" s="2427"/>
      <c r="Q31" s="2615"/>
      <c r="R31" s="2427"/>
      <c r="S31" s="2615"/>
    </row>
    <row r="32" spans="1:19" s="91" customFormat="1">
      <c r="A32" s="2602"/>
      <c r="B32" s="2562" t="s">
        <v>520</v>
      </c>
      <c r="C32" s="2435"/>
      <c r="D32" s="2436"/>
      <c r="E32" s="2436"/>
      <c r="F32" s="2436"/>
      <c r="G32" s="2435"/>
      <c r="H32" s="2439"/>
      <c r="I32" s="2563"/>
      <c r="J32" s="2443"/>
      <c r="K32" s="2564"/>
      <c r="L32" s="2443"/>
      <c r="M32" s="2564"/>
      <c r="N32" s="2564"/>
      <c r="O32" s="2564"/>
      <c r="P32" s="2564"/>
      <c r="Q32" s="2564"/>
      <c r="R32" s="2564"/>
      <c r="S32" s="2564"/>
    </row>
    <row r="33" spans="1:19" s="91" customFormat="1">
      <c r="A33" s="2602"/>
      <c r="B33" s="2545"/>
      <c r="C33" s="2432"/>
      <c r="D33" s="2433"/>
      <c r="E33" s="2433"/>
      <c r="F33" s="2433"/>
      <c r="G33" s="2432"/>
      <c r="H33" s="2427"/>
      <c r="I33" s="2614"/>
      <c r="J33" s="2427"/>
      <c r="K33" s="2615"/>
      <c r="L33" s="2427"/>
      <c r="M33" s="2615"/>
      <c r="N33" s="2427"/>
      <c r="O33" s="2615"/>
      <c r="P33" s="2427"/>
      <c r="Q33" s="2615"/>
      <c r="R33" s="2427"/>
      <c r="S33" s="2615"/>
    </row>
    <row r="34" spans="1:19" s="91" customFormat="1">
      <c r="A34" s="2568"/>
      <c r="B34" s="2591" t="s">
        <v>694</v>
      </c>
      <c r="C34" s="2449"/>
      <c r="D34" s="2592"/>
      <c r="E34" s="2592"/>
      <c r="F34" s="2592"/>
      <c r="G34" s="2593"/>
      <c r="H34" s="2453"/>
      <c r="I34" s="2594"/>
      <c r="J34" s="2453"/>
      <c r="K34" s="2595"/>
      <c r="L34" s="2453"/>
      <c r="M34" s="2595"/>
      <c r="N34" s="2453"/>
      <c r="O34" s="2595"/>
      <c r="P34" s="2453"/>
      <c r="Q34" s="2595"/>
      <c r="R34" s="2453"/>
      <c r="S34" s="2595"/>
    </row>
    <row r="35" spans="1:19" s="91" customFormat="1">
      <c r="A35" s="2568"/>
      <c r="B35" s="2545"/>
      <c r="C35" s="2445"/>
      <c r="D35" s="2433"/>
      <c r="E35" s="2433"/>
      <c r="F35" s="2433"/>
      <c r="G35" s="2432"/>
      <c r="H35" s="2427"/>
      <c r="I35" s="2590"/>
      <c r="J35" s="2427"/>
      <c r="K35" s="2560"/>
      <c r="L35" s="2427"/>
      <c r="M35" s="2560"/>
      <c r="N35" s="2427"/>
      <c r="O35" s="2560"/>
      <c r="P35" s="2427"/>
      <c r="Q35" s="2560"/>
      <c r="R35" s="2427"/>
      <c r="S35" s="2560"/>
    </row>
    <row r="36" spans="1:19" s="91" customFormat="1">
      <c r="A36" s="2568"/>
      <c r="B36" s="2596" t="s">
        <v>695</v>
      </c>
      <c r="C36" s="2455"/>
      <c r="D36" s="2597"/>
      <c r="E36" s="2597"/>
      <c r="F36" s="2597"/>
      <c r="G36" s="2598"/>
      <c r="H36" s="2459"/>
      <c r="I36" s="2599"/>
      <c r="J36" s="2459"/>
      <c r="K36" s="2600"/>
      <c r="L36" s="2459"/>
      <c r="M36" s="2600"/>
      <c r="N36" s="2459"/>
      <c r="O36" s="2600"/>
      <c r="P36" s="2459"/>
      <c r="Q36" s="2600"/>
      <c r="R36" s="2459"/>
      <c r="S36" s="2600"/>
    </row>
    <row r="37" spans="1:19" s="91" customFormat="1">
      <c r="A37" s="2568"/>
      <c r="B37" s="2545" t="s">
        <v>1148</v>
      </c>
      <c r="C37" s="2445" t="s">
        <v>697</v>
      </c>
      <c r="D37" s="2607">
        <v>2</v>
      </c>
      <c r="E37" s="2433" t="s">
        <v>714</v>
      </c>
      <c r="F37" s="2433">
        <v>300</v>
      </c>
      <c r="G37" s="2432">
        <f>D37*F37</f>
        <v>600</v>
      </c>
      <c r="H37" s="2427"/>
      <c r="I37" s="2432">
        <f>G37</f>
        <v>600</v>
      </c>
      <c r="J37" s="2427"/>
      <c r="K37" s="2560"/>
      <c r="L37" s="2427"/>
      <c r="M37" s="2560"/>
      <c r="N37" s="2427"/>
      <c r="O37" s="2560"/>
      <c r="P37" s="2427"/>
      <c r="Q37" s="2560"/>
      <c r="R37" s="2427"/>
      <c r="S37" s="2560"/>
    </row>
    <row r="38" spans="1:19" s="91" customFormat="1">
      <c r="A38" s="2568"/>
      <c r="B38" s="2545"/>
      <c r="C38" s="2445"/>
      <c r="D38" s="2433"/>
      <c r="E38" s="2433"/>
      <c r="F38" s="2433"/>
      <c r="G38" s="2432"/>
      <c r="H38" s="2427"/>
      <c r="I38" s="2590"/>
      <c r="J38" s="2427"/>
      <c r="K38" s="2560"/>
      <c r="L38" s="2427"/>
      <c r="M38" s="2560"/>
      <c r="N38" s="2427"/>
      <c r="O38" s="2560"/>
      <c r="P38" s="2427"/>
      <c r="Q38" s="2560"/>
      <c r="R38" s="2427"/>
      <c r="S38" s="2560"/>
    </row>
    <row r="39" spans="1:19" s="91" customFormat="1">
      <c r="A39" s="2568"/>
      <c r="B39" s="2591" t="s">
        <v>649</v>
      </c>
      <c r="C39" s="2449"/>
      <c r="D39" s="2592"/>
      <c r="E39" s="2592"/>
      <c r="F39" s="2592"/>
      <c r="G39" s="2593"/>
      <c r="H39" s="2453"/>
      <c r="I39" s="2594"/>
      <c r="J39" s="2453"/>
      <c r="K39" s="2595"/>
      <c r="L39" s="2453"/>
      <c r="M39" s="2595"/>
      <c r="N39" s="2453"/>
      <c r="O39" s="2595"/>
      <c r="P39" s="2453"/>
      <c r="Q39" s="2595"/>
      <c r="R39" s="2453"/>
      <c r="S39" s="2595"/>
    </row>
    <row r="40" spans="1:19" s="91" customFormat="1">
      <c r="A40" s="2568"/>
      <c r="B40" s="2545"/>
      <c r="C40" s="2445"/>
      <c r="D40" s="2433"/>
      <c r="E40" s="2433"/>
      <c r="F40" s="2433"/>
      <c r="G40" s="2432"/>
      <c r="H40" s="2427"/>
      <c r="I40" s="2590"/>
      <c r="J40" s="2427"/>
      <c r="K40" s="2560"/>
      <c r="L40" s="2427"/>
      <c r="M40" s="2560"/>
      <c r="N40" s="2427"/>
      <c r="O40" s="2560"/>
      <c r="P40" s="2427"/>
      <c r="Q40" s="2560"/>
      <c r="R40" s="2427"/>
      <c r="S40" s="2560"/>
    </row>
    <row r="41" spans="1:19" s="91" customFormat="1">
      <c r="A41" s="2568"/>
      <c r="B41" s="2596" t="s">
        <v>700</v>
      </c>
      <c r="C41" s="2455"/>
      <c r="D41" s="2597"/>
      <c r="E41" s="2597"/>
      <c r="F41" s="2597"/>
      <c r="G41" s="2598"/>
      <c r="H41" s="2459"/>
      <c r="I41" s="2599"/>
      <c r="J41" s="2459"/>
      <c r="K41" s="2600"/>
      <c r="L41" s="2459"/>
      <c r="M41" s="2600"/>
      <c r="N41" s="2459"/>
      <c r="O41" s="2600"/>
      <c r="P41" s="2459"/>
      <c r="Q41" s="2600"/>
      <c r="R41" s="2459"/>
      <c r="S41" s="2600"/>
    </row>
    <row r="42" spans="1:19" s="91" customFormat="1">
      <c r="A42" s="2568"/>
      <c r="B42" s="2545" t="s">
        <v>701</v>
      </c>
      <c r="C42" s="2445" t="s">
        <v>702</v>
      </c>
      <c r="D42" s="2607">
        <f>'Cost Summary'!$N$7</f>
        <v>11678</v>
      </c>
      <c r="E42" s="2433" t="s">
        <v>723</v>
      </c>
      <c r="F42" s="2433">
        <v>0.2</v>
      </c>
      <c r="G42" s="2432">
        <f>D42*F42</f>
        <v>2335.6</v>
      </c>
      <c r="H42" s="2427"/>
      <c r="I42" s="2432">
        <f>G42</f>
        <v>2335.6</v>
      </c>
      <c r="J42" s="2427"/>
      <c r="K42" s="2560"/>
      <c r="L42" s="2427"/>
      <c r="M42" s="2560"/>
      <c r="N42" s="2427"/>
      <c r="O42" s="2560"/>
      <c r="P42" s="2427"/>
      <c r="Q42" s="2560"/>
      <c r="R42" s="2427"/>
      <c r="S42" s="2560"/>
    </row>
    <row r="43" spans="1:19" s="91" customFormat="1">
      <c r="A43" s="2568"/>
      <c r="B43" s="2545"/>
      <c r="C43" s="2445"/>
      <c r="D43" s="2433"/>
      <c r="E43" s="2433"/>
      <c r="F43" s="2433"/>
      <c r="G43" s="2432"/>
      <c r="H43" s="2427"/>
      <c r="I43" s="2590"/>
      <c r="J43" s="2427"/>
      <c r="K43" s="2560"/>
      <c r="L43" s="2427"/>
      <c r="M43" s="2560"/>
      <c r="N43" s="2427"/>
      <c r="O43" s="2560"/>
      <c r="P43" s="2427"/>
      <c r="Q43" s="2560"/>
      <c r="R43" s="2427"/>
      <c r="S43" s="2560"/>
    </row>
    <row r="44" spans="1:19" s="91" customFormat="1">
      <c r="A44" s="2568"/>
      <c r="B44" s="2591" t="s">
        <v>703</v>
      </c>
      <c r="C44" s="2449"/>
      <c r="D44" s="2592"/>
      <c r="E44" s="2592"/>
      <c r="F44" s="2592"/>
      <c r="G44" s="2593"/>
      <c r="H44" s="2453"/>
      <c r="I44" s="2594"/>
      <c r="J44" s="2453"/>
      <c r="K44" s="2595"/>
      <c r="L44" s="2453"/>
      <c r="M44" s="2595"/>
      <c r="N44" s="2453"/>
      <c r="O44" s="2595"/>
      <c r="P44" s="2453"/>
      <c r="Q44" s="2595"/>
      <c r="R44" s="2453"/>
      <c r="S44" s="2595"/>
    </row>
    <row r="45" spans="1:19" s="91" customFormat="1">
      <c r="A45" s="2568"/>
      <c r="B45" s="2545"/>
      <c r="C45" s="2445"/>
      <c r="D45" s="2433"/>
      <c r="E45" s="2433"/>
      <c r="F45" s="2433"/>
      <c r="G45" s="2432"/>
      <c r="H45" s="2427"/>
      <c r="I45" s="2590"/>
      <c r="J45" s="2427"/>
      <c r="K45" s="2560"/>
      <c r="L45" s="2427"/>
      <c r="M45" s="2560"/>
      <c r="N45" s="2427"/>
      <c r="O45" s="2560"/>
      <c r="P45" s="2427"/>
      <c r="Q45" s="2560"/>
      <c r="R45" s="2427"/>
      <c r="S45" s="2560"/>
    </row>
    <row r="46" spans="1:19" s="91" customFormat="1">
      <c r="A46" s="2568"/>
      <c r="B46" s="2596" t="s">
        <v>704</v>
      </c>
      <c r="C46" s="2455"/>
      <c r="D46" s="2597"/>
      <c r="E46" s="2597"/>
      <c r="F46" s="2597"/>
      <c r="G46" s="2598"/>
      <c r="H46" s="2459"/>
      <c r="I46" s="2599"/>
      <c r="J46" s="2459"/>
      <c r="K46" s="2600"/>
      <c r="L46" s="2459"/>
      <c r="M46" s="2600"/>
      <c r="N46" s="2459"/>
      <c r="O46" s="2600"/>
      <c r="P46" s="2459"/>
      <c r="Q46" s="2600"/>
      <c r="R46" s="2459"/>
      <c r="S46" s="2600"/>
    </row>
    <row r="47" spans="1:19" s="91" customFormat="1">
      <c r="A47" s="2568"/>
      <c r="B47" s="2545" t="s">
        <v>701</v>
      </c>
      <c r="C47" s="2445" t="s">
        <v>741</v>
      </c>
      <c r="D47" s="2607">
        <f>'Cost Summary'!$R$7</f>
        <v>11225</v>
      </c>
      <c r="E47" s="2433" t="s">
        <v>723</v>
      </c>
      <c r="F47" s="2433">
        <v>0.2</v>
      </c>
      <c r="G47" s="2432">
        <f>D47*F47</f>
        <v>2245</v>
      </c>
      <c r="H47" s="2427"/>
      <c r="I47" s="2432">
        <f>G47</f>
        <v>2245</v>
      </c>
      <c r="J47" s="2427"/>
      <c r="K47" s="2560"/>
      <c r="L47" s="2427"/>
      <c r="M47" s="2560"/>
      <c r="N47" s="2427"/>
      <c r="O47" s="2560"/>
      <c r="P47" s="2427"/>
      <c r="Q47" s="2560"/>
      <c r="R47" s="2427"/>
      <c r="S47" s="2560"/>
    </row>
    <row r="48" spans="1:19" s="91" customFormat="1">
      <c r="A48" s="2568"/>
      <c r="B48" s="2545"/>
      <c r="C48" s="2445"/>
      <c r="D48" s="2433"/>
      <c r="E48" s="2433"/>
      <c r="F48" s="2433"/>
      <c r="G48" s="2432"/>
      <c r="H48" s="2427"/>
      <c r="I48" s="2590"/>
      <c r="J48" s="2427"/>
      <c r="K48" s="2560"/>
      <c r="L48" s="2427"/>
      <c r="M48" s="2560"/>
      <c r="N48" s="2427"/>
      <c r="O48" s="2560"/>
      <c r="P48" s="2427"/>
      <c r="Q48" s="2560"/>
      <c r="R48" s="2427"/>
      <c r="S48" s="2560"/>
    </row>
    <row r="49" spans="1:19" s="91" customFormat="1">
      <c r="A49" s="2568"/>
      <c r="B49" s="2591" t="s">
        <v>705</v>
      </c>
      <c r="C49" s="2449"/>
      <c r="D49" s="2592"/>
      <c r="E49" s="2592"/>
      <c r="F49" s="2592"/>
      <c r="G49" s="2593"/>
      <c r="H49" s="2453"/>
      <c r="I49" s="2594"/>
      <c r="J49" s="2453"/>
      <c r="K49" s="2595"/>
      <c r="L49" s="2453"/>
      <c r="M49" s="2595"/>
      <c r="N49" s="2453"/>
      <c r="O49" s="2595"/>
      <c r="P49" s="2453"/>
      <c r="Q49" s="2595"/>
      <c r="R49" s="2453"/>
      <c r="S49" s="2595"/>
    </row>
    <row r="50" spans="1:19" s="91" customFormat="1">
      <c r="A50" s="2568"/>
      <c r="B50" s="2545"/>
      <c r="C50" s="2445"/>
      <c r="D50" s="2433"/>
      <c r="E50" s="2433"/>
      <c r="F50" s="2433"/>
      <c r="G50" s="2432"/>
      <c r="H50" s="2427"/>
      <c r="I50" s="2590"/>
      <c r="J50" s="2427"/>
      <c r="K50" s="2560"/>
      <c r="L50" s="2427"/>
      <c r="M50" s="2560"/>
      <c r="N50" s="2427"/>
      <c r="O50" s="2560"/>
      <c r="P50" s="2427"/>
      <c r="Q50" s="2560"/>
      <c r="R50" s="2427"/>
      <c r="S50" s="2560"/>
    </row>
    <row r="51" spans="1:19" s="91" customFormat="1">
      <c r="A51" s="2568"/>
      <c r="B51" s="2601" t="s">
        <v>602</v>
      </c>
      <c r="C51" s="2455"/>
      <c r="D51" s="2597"/>
      <c r="E51" s="2597"/>
      <c r="F51" s="2597"/>
      <c r="G51" s="2598"/>
      <c r="H51" s="2459"/>
      <c r="I51" s="2599"/>
      <c r="J51" s="2459"/>
      <c r="K51" s="2600"/>
      <c r="L51" s="2459"/>
      <c r="M51" s="2600"/>
      <c r="N51" s="2459"/>
      <c r="O51" s="2600"/>
      <c r="P51" s="2459"/>
      <c r="Q51" s="2600"/>
      <c r="R51" s="2459"/>
      <c r="S51" s="2600"/>
    </row>
    <row r="52" spans="1:19" s="91" customFormat="1">
      <c r="A52" s="2568"/>
      <c r="B52" s="2545"/>
      <c r="C52" s="2445"/>
      <c r="D52" s="2433"/>
      <c r="E52" s="2433"/>
      <c r="F52" s="2433"/>
      <c r="G52" s="2432"/>
      <c r="H52" s="2427"/>
      <c r="I52" s="2590"/>
      <c r="J52" s="2427"/>
      <c r="K52" s="2560"/>
      <c r="L52" s="2427"/>
      <c r="M52" s="2560"/>
      <c r="N52" s="2427"/>
      <c r="O52" s="2560"/>
      <c r="P52" s="2427"/>
      <c r="Q52" s="2560"/>
      <c r="R52" s="2427"/>
      <c r="S52" s="2560"/>
    </row>
    <row r="53" spans="1:19" s="91" customFormat="1">
      <c r="A53" s="2568"/>
      <c r="B53" s="2545"/>
      <c r="C53" s="2445"/>
      <c r="D53" s="2433"/>
      <c r="E53" s="2433"/>
      <c r="F53" s="2433"/>
      <c r="G53" s="2432"/>
      <c r="H53" s="2427"/>
      <c r="I53" s="2590"/>
      <c r="J53" s="2427"/>
      <c r="K53" s="2560"/>
      <c r="L53" s="2427"/>
      <c r="M53" s="2560"/>
      <c r="N53" s="2427"/>
      <c r="O53" s="2560"/>
      <c r="P53" s="2427"/>
      <c r="Q53" s="2560"/>
      <c r="R53" s="2427"/>
      <c r="S53" s="2560"/>
    </row>
    <row r="54" spans="1:19" s="91" customFormat="1" ht="15.75" thickBot="1">
      <c r="A54" s="2568"/>
      <c r="B54" s="2545"/>
      <c r="C54" s="2445"/>
      <c r="D54" s="2433"/>
      <c r="E54" s="2546"/>
      <c r="F54" s="2547"/>
      <c r="G54" s="2432"/>
      <c r="H54" s="2427"/>
      <c r="I54" s="2614"/>
      <c r="J54" s="2427"/>
      <c r="K54" s="2615"/>
      <c r="L54" s="2427"/>
      <c r="M54" s="2615"/>
      <c r="N54" s="2427"/>
      <c r="O54" s="2615"/>
      <c r="P54" s="2427"/>
      <c r="Q54" s="2615"/>
      <c r="R54" s="2427"/>
      <c r="S54" s="2615"/>
    </row>
    <row r="55" spans="1:19" ht="15.75" thickTop="1">
      <c r="A55" s="14"/>
      <c r="B55" s="15"/>
      <c r="C55" s="16"/>
      <c r="D55" s="16"/>
      <c r="E55" s="17"/>
      <c r="F55" s="18" t="s">
        <v>567</v>
      </c>
      <c r="G55" s="19"/>
      <c r="H55" s="20"/>
      <c r="I55" s="61">
        <f>SUM(I25:I54)</f>
        <v>5180.6000000000004</v>
      </c>
      <c r="J55" s="20"/>
      <c r="K55" s="61">
        <f>SUM(K25:K54)</f>
        <v>0</v>
      </c>
      <c r="L55" s="20"/>
      <c r="M55" s="61">
        <f>SUM(M25:M54)</f>
        <v>0</v>
      </c>
      <c r="N55" s="20"/>
      <c r="O55" s="61">
        <f>SUM(O25:O54)</f>
        <v>0</v>
      </c>
      <c r="P55" s="20"/>
      <c r="Q55" s="61">
        <f>SUM(Q25:Q54)</f>
        <v>0</v>
      </c>
      <c r="R55" s="20"/>
      <c r="S55" s="61">
        <f>SUM(S25:S54)</f>
        <v>0</v>
      </c>
    </row>
    <row r="56" spans="1:19">
      <c r="A56" s="2358"/>
      <c r="B56" s="2359"/>
      <c r="C56" s="2360"/>
      <c r="D56" s="2360"/>
      <c r="E56" s="2361"/>
      <c r="F56" s="2362" t="s">
        <v>568</v>
      </c>
      <c r="G56" s="2363"/>
      <c r="H56" s="2364">
        <v>0</v>
      </c>
      <c r="I56" s="2460"/>
      <c r="J56" s="2364">
        <v>0</v>
      </c>
      <c r="K56" s="2460"/>
      <c r="L56" s="2364">
        <v>0</v>
      </c>
      <c r="M56" s="2460"/>
      <c r="N56" s="2364">
        <v>0</v>
      </c>
      <c r="O56" s="2460"/>
      <c r="P56" s="2364">
        <v>0</v>
      </c>
      <c r="Q56" s="2460"/>
      <c r="R56" s="2364">
        <v>0</v>
      </c>
      <c r="S56" s="2460"/>
    </row>
    <row r="57" spans="1:19">
      <c r="A57" s="2358"/>
      <c r="B57" s="2359"/>
      <c r="C57" s="2360"/>
      <c r="D57" s="2360"/>
      <c r="E57" s="2361"/>
      <c r="F57" s="2362" t="s">
        <v>569</v>
      </c>
      <c r="G57" s="2363"/>
      <c r="H57" s="2366"/>
      <c r="I57" s="2462">
        <f>H56*I55</f>
        <v>0</v>
      </c>
      <c r="J57" s="2366"/>
      <c r="K57" s="2462">
        <f>J56*K55</f>
        <v>0</v>
      </c>
      <c r="L57" s="2366"/>
      <c r="M57" s="2462">
        <f>L56*M55</f>
        <v>0</v>
      </c>
      <c r="N57" s="2366"/>
      <c r="O57" s="2462">
        <f>N56*O55</f>
        <v>0</v>
      </c>
      <c r="P57" s="2366"/>
      <c r="Q57" s="2462">
        <f>P56*Q55</f>
        <v>0</v>
      </c>
      <c r="R57" s="2366"/>
      <c r="S57" s="2462">
        <f>R56*S55</f>
        <v>0</v>
      </c>
    </row>
    <row r="58" spans="1:19">
      <c r="A58" s="2358"/>
      <c r="B58" s="2359"/>
      <c r="C58" s="2360"/>
      <c r="D58" s="2360"/>
      <c r="E58" s="2361"/>
      <c r="F58" s="2362"/>
      <c r="G58" s="2363"/>
      <c r="H58" s="2366"/>
      <c r="I58" s="2464"/>
      <c r="J58" s="2366"/>
      <c r="K58" s="2464"/>
      <c r="L58" s="2366"/>
      <c r="M58" s="2464"/>
      <c r="N58" s="2366"/>
      <c r="O58" s="2464"/>
      <c r="P58" s="2366"/>
      <c r="Q58" s="2464"/>
      <c r="R58" s="2366"/>
      <c r="S58" s="2464"/>
    </row>
    <row r="59" spans="1:19">
      <c r="A59" s="2358"/>
      <c r="B59" s="2359"/>
      <c r="C59" s="2360"/>
      <c r="D59" s="2360"/>
      <c r="E59" s="2361"/>
      <c r="F59" s="2362" t="s">
        <v>570</v>
      </c>
      <c r="G59" s="2363"/>
      <c r="H59" s="2368"/>
      <c r="I59" s="2465">
        <f>SUM(I55:I57)</f>
        <v>5180.6000000000004</v>
      </c>
      <c r="J59" s="2368"/>
      <c r="K59" s="2465">
        <f>SUM(K55:K57)</f>
        <v>0</v>
      </c>
      <c r="L59" s="2368"/>
      <c r="M59" s="2465">
        <f>SUM(M55:M57)</f>
        <v>0</v>
      </c>
      <c r="N59" s="2368"/>
      <c r="O59" s="2465">
        <f>SUM(O55:O57)</f>
        <v>0</v>
      </c>
      <c r="P59" s="2368"/>
      <c r="Q59" s="2465">
        <f>SUM(Q55:Q57)</f>
        <v>0</v>
      </c>
      <c r="R59" s="2368"/>
      <c r="S59" s="2465">
        <f>SUM(S55:S57)</f>
        <v>0</v>
      </c>
    </row>
    <row r="60" spans="1:19">
      <c r="A60" s="2358"/>
      <c r="B60" s="2359"/>
      <c r="C60" s="2360"/>
      <c r="D60" s="2360"/>
      <c r="E60" s="2361"/>
      <c r="F60" s="2370" t="s">
        <v>571</v>
      </c>
      <c r="G60" s="2371"/>
      <c r="H60" s="2372"/>
      <c r="I60" s="2373" t="e">
        <f>I59/'Area Calculations'!$J$4</f>
        <v>#DIV/0!</v>
      </c>
      <c r="J60" s="2372"/>
      <c r="K60" s="2373" t="e">
        <f>K59/'Area Calculations'!$J$4</f>
        <v>#DIV/0!</v>
      </c>
      <c r="L60" s="2372"/>
      <c r="M60" s="2373" t="e">
        <f>M59/'Area Calculations'!$J$4</f>
        <v>#DIV/0!</v>
      </c>
      <c r="N60" s="2372"/>
      <c r="O60" s="2373" t="e">
        <f>O59/'Area Calculations'!$J$4</f>
        <v>#DIV/0!</v>
      </c>
      <c r="P60" s="2372"/>
      <c r="Q60" s="2373" t="e">
        <f>Q59/'Area Calculations'!$J$4</f>
        <v>#DIV/0!</v>
      </c>
      <c r="R60" s="2372"/>
      <c r="S60" s="2373" t="e">
        <f>S59/'Area Calculations'!$J$4</f>
        <v>#DIV/0!</v>
      </c>
    </row>
    <row r="61" spans="1:19">
      <c r="A61" s="2358"/>
      <c r="B61" s="2359"/>
      <c r="C61" s="2360"/>
      <c r="D61" s="2360"/>
      <c r="E61" s="2361"/>
      <c r="F61" s="2370" t="s">
        <v>572</v>
      </c>
      <c r="G61" s="2374"/>
      <c r="H61" s="2372"/>
      <c r="I61" s="2373" t="e">
        <f>I59/'Area Calculations'!#REF!</f>
        <v>#REF!</v>
      </c>
      <c r="J61" s="2372"/>
      <c r="K61" s="2373" t="e">
        <f>K59/'Area Calculations'!#REF!</f>
        <v>#REF!</v>
      </c>
      <c r="L61" s="2372"/>
      <c r="M61" s="2373" t="e">
        <f>M59/'Area Calculations'!#REF!</f>
        <v>#REF!</v>
      </c>
      <c r="N61" s="2372"/>
      <c r="O61" s="2373" t="e">
        <f>O59/'Area Calculations'!#REF!</f>
        <v>#REF!</v>
      </c>
      <c r="P61" s="2372"/>
      <c r="Q61" s="2373" t="e">
        <f>Q59/'Area Calculations'!#REF!</f>
        <v>#REF!</v>
      </c>
      <c r="R61" s="2372"/>
      <c r="S61" s="2373" t="e">
        <f>S59/'Area Calculations'!#REF!</f>
        <v>#REF!</v>
      </c>
    </row>
    <row r="62" spans="1:19" ht="15.75" thickBot="1">
      <c r="A62" s="2358"/>
      <c r="B62" s="2359"/>
      <c r="C62" s="2360"/>
      <c r="D62" s="2360"/>
      <c r="E62" s="2361"/>
      <c r="F62" s="2362"/>
      <c r="G62" s="2375"/>
      <c r="H62" s="2376"/>
      <c r="I62" s="2377"/>
      <c r="J62" s="2376"/>
      <c r="K62" s="2377"/>
      <c r="L62" s="2376"/>
      <c r="M62" s="2377"/>
      <c r="N62" s="2376"/>
      <c r="O62" s="2377"/>
      <c r="P62" s="2376"/>
      <c r="Q62" s="2377"/>
      <c r="R62" s="2376"/>
      <c r="S62" s="2377"/>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2617"/>
      <c r="B64" s="2404"/>
      <c r="C64" s="2618"/>
      <c r="D64" s="2618"/>
      <c r="E64" s="2618"/>
      <c r="F64" s="2618"/>
      <c r="G64" s="2619"/>
      <c r="H64" s="2620"/>
      <c r="I64" s="2620"/>
      <c r="J64" s="2620"/>
      <c r="K64" s="2620"/>
      <c r="L64" s="2620"/>
      <c r="M64" s="2620"/>
      <c r="N64" s="2620"/>
      <c r="O64" s="2620"/>
      <c r="P64" s="2620"/>
      <c r="Q64" s="2620"/>
      <c r="R64" s="2620"/>
      <c r="S64" s="2620"/>
    </row>
    <row r="65" spans="1:19" s="2" customFormat="1">
      <c r="A65" s="2617"/>
      <c r="B65" s="2404"/>
      <c r="C65" s="2618"/>
      <c r="D65" s="2618"/>
      <c r="E65" s="2618"/>
      <c r="F65" s="2618"/>
      <c r="G65" s="2619"/>
      <c r="H65" s="2620"/>
      <c r="I65" s="2620"/>
      <c r="J65" s="2620"/>
      <c r="K65" s="2620"/>
      <c r="L65" s="2620"/>
      <c r="M65" s="2620"/>
      <c r="N65" s="2620"/>
      <c r="O65" s="2620"/>
      <c r="P65" s="2620"/>
      <c r="Q65" s="2620"/>
      <c r="R65" s="2620"/>
      <c r="S65" s="2620"/>
    </row>
    <row r="66" spans="1:19" s="2" customFormat="1" ht="15.75" thickBot="1">
      <c r="A66" s="2617"/>
      <c r="B66" s="2404"/>
      <c r="C66" s="2618"/>
      <c r="D66" s="2618"/>
      <c r="E66" s="2618"/>
      <c r="F66" s="2618"/>
      <c r="G66" s="2619"/>
      <c r="H66" s="2620"/>
      <c r="I66" s="2620"/>
      <c r="J66" s="2620"/>
      <c r="K66" s="2620"/>
      <c r="L66" s="2620"/>
      <c r="M66" s="2620"/>
      <c r="N66" s="2620"/>
      <c r="O66" s="2620"/>
      <c r="P66" s="2620"/>
      <c r="Q66" s="2620"/>
      <c r="R66" s="2620"/>
      <c r="S66" s="2620"/>
    </row>
    <row r="67" spans="1:19" ht="16.5" thickTop="1" thickBot="1">
      <c r="A67" s="726" t="s">
        <v>574</v>
      </c>
      <c r="B67" s="727"/>
      <c r="C67" s="12"/>
      <c r="D67" s="12"/>
      <c r="E67" s="12"/>
      <c r="F67" s="12"/>
      <c r="G67" s="13"/>
      <c r="H67" s="21"/>
      <c r="I67" s="21"/>
      <c r="J67" s="21"/>
      <c r="K67" s="21"/>
      <c r="L67" s="21"/>
      <c r="M67" s="21"/>
      <c r="N67" s="21"/>
      <c r="O67" s="21"/>
      <c r="P67" s="21"/>
      <c r="Q67" s="21"/>
      <c r="R67" s="21"/>
      <c r="S67" s="21"/>
    </row>
    <row r="68" spans="1:19" s="2" customFormat="1" ht="15.75" thickTop="1">
      <c r="A68" s="2617"/>
      <c r="B68" s="2404"/>
      <c r="C68" s="2618"/>
      <c r="D68" s="2618"/>
      <c r="E68" s="2618"/>
      <c r="F68" s="2618"/>
      <c r="G68" s="2619"/>
      <c r="H68" s="2620"/>
      <c r="I68" s="2620"/>
      <c r="J68" s="2620"/>
      <c r="K68" s="2620"/>
      <c r="L68" s="2620"/>
      <c r="M68" s="2620"/>
      <c r="N68" s="2620"/>
      <c r="O68" s="2620"/>
      <c r="P68" s="2620"/>
      <c r="Q68" s="2620"/>
      <c r="R68" s="2620"/>
      <c r="S68" s="2620"/>
    </row>
    <row r="69" spans="1:19" s="2" customFormat="1">
      <c r="A69" s="2617"/>
      <c r="B69" s="2404"/>
      <c r="C69" s="2618"/>
      <c r="D69" s="2618"/>
      <c r="E69" s="2618"/>
      <c r="F69" s="2618"/>
      <c r="G69" s="2619"/>
      <c r="H69" s="2620"/>
      <c r="I69" s="2620"/>
      <c r="J69" s="2620"/>
      <c r="K69" s="2620"/>
      <c r="L69" s="2620"/>
      <c r="M69" s="2620"/>
      <c r="N69" s="2620"/>
      <c r="O69" s="2620"/>
      <c r="P69" s="2620"/>
      <c r="Q69" s="2620"/>
      <c r="R69" s="2620"/>
      <c r="S69" s="2620"/>
    </row>
    <row r="70" spans="1:19" ht="15.75" thickBot="1">
      <c r="A70" s="2617"/>
      <c r="B70" s="2404"/>
      <c r="C70" s="2618"/>
      <c r="D70" s="2618"/>
      <c r="E70" s="2618"/>
      <c r="F70" s="2618"/>
      <c r="G70" s="2619"/>
      <c r="H70" s="2620"/>
      <c r="I70" s="2620"/>
      <c r="J70" s="2620"/>
      <c r="K70" s="2620"/>
      <c r="L70" s="2620"/>
      <c r="M70" s="2620"/>
      <c r="N70" s="2620"/>
      <c r="O70" s="2620"/>
      <c r="P70" s="2620"/>
      <c r="Q70" s="2620"/>
      <c r="R70" s="2620"/>
      <c r="S70" s="2620"/>
    </row>
    <row r="71" spans="1:19" ht="16.5" thickTop="1" thickBot="1">
      <c r="A71" s="726" t="s">
        <v>575</v>
      </c>
      <c r="B71" s="727"/>
      <c r="C71" s="12"/>
      <c r="D71" s="12"/>
      <c r="E71" s="12"/>
      <c r="F71" s="12"/>
      <c r="G71" s="13"/>
      <c r="H71" s="21"/>
      <c r="I71" s="21"/>
      <c r="J71" s="21"/>
      <c r="K71" s="21"/>
      <c r="L71" s="21"/>
      <c r="M71" s="21"/>
      <c r="N71" s="21"/>
      <c r="O71" s="21"/>
      <c r="P71" s="21"/>
      <c r="Q71" s="21"/>
      <c r="R71" s="21"/>
      <c r="S71" s="21"/>
    </row>
    <row r="72" spans="1:19" ht="15.75" thickTop="1">
      <c r="A72" s="2617"/>
      <c r="B72" s="2404"/>
      <c r="C72" s="2618"/>
      <c r="D72" s="2618"/>
      <c r="E72" s="2618"/>
      <c r="F72" s="2618"/>
      <c r="G72" s="2619"/>
      <c r="H72" s="2620"/>
      <c r="I72" s="2620"/>
      <c r="J72" s="2620"/>
      <c r="K72" s="2620"/>
      <c r="L72" s="2620"/>
      <c r="M72" s="2620"/>
      <c r="N72" s="2620"/>
      <c r="O72" s="2620"/>
      <c r="P72" s="2620"/>
      <c r="Q72" s="2620"/>
      <c r="R72" s="2620"/>
      <c r="S72" s="2620"/>
    </row>
    <row r="73" spans="1:19">
      <c r="A73" s="2421"/>
      <c r="B73" s="2404"/>
      <c r="C73" s="2405"/>
      <c r="D73" s="2405"/>
      <c r="E73" s="2405"/>
      <c r="F73" s="2405"/>
      <c r="G73" s="2423"/>
      <c r="H73" s="2382"/>
      <c r="I73" s="2382"/>
      <c r="J73" s="2382"/>
      <c r="K73" s="2382"/>
      <c r="L73" s="2382"/>
      <c r="M73" s="2382"/>
      <c r="N73" s="2382"/>
      <c r="O73" s="2382"/>
      <c r="P73" s="2382"/>
      <c r="Q73" s="2382"/>
      <c r="R73" s="2382"/>
      <c r="S73" s="2382"/>
    </row>
    <row r="74" spans="1:19" ht="15.75" thickBot="1">
      <c r="A74" s="2383"/>
      <c r="B74" s="2384"/>
      <c r="C74" s="2405"/>
      <c r="D74" s="2405"/>
      <c r="E74" s="2405"/>
      <c r="F74" s="2405"/>
      <c r="G74" s="2423"/>
      <c r="H74" s="2385"/>
      <c r="I74" s="2385"/>
      <c r="J74" s="2385"/>
      <c r="K74" s="2385"/>
      <c r="L74" s="2385"/>
      <c r="M74" s="2385"/>
      <c r="N74" s="2385"/>
      <c r="O74" s="2385"/>
      <c r="P74" s="2385"/>
      <c r="Q74" s="2385"/>
      <c r="R74" s="2385"/>
      <c r="S74" s="2385"/>
    </row>
    <row r="75" spans="1:19"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2621"/>
      <c r="B76" s="2622"/>
      <c r="C76" s="2618"/>
      <c r="D76" s="2618"/>
      <c r="E76" s="2618"/>
      <c r="F76" s="2618"/>
      <c r="G76" s="2619"/>
      <c r="H76" s="2620"/>
      <c r="I76" s="2620"/>
      <c r="J76" s="2620"/>
      <c r="K76" s="2620"/>
      <c r="L76" s="2620"/>
      <c r="M76" s="2620"/>
      <c r="N76" s="2620"/>
      <c r="O76" s="2620"/>
      <c r="P76" s="2620"/>
      <c r="Q76" s="2620"/>
      <c r="R76" s="2620"/>
      <c r="S76" s="2620"/>
    </row>
    <row r="77" spans="1:19">
      <c r="A77" s="2383"/>
      <c r="B77" s="2384"/>
      <c r="C77" s="2405"/>
      <c r="D77" s="2405"/>
      <c r="E77" s="2405"/>
      <c r="F77" s="2405"/>
      <c r="G77" s="2423"/>
      <c r="H77" s="2388"/>
      <c r="I77" s="2388"/>
      <c r="J77" s="2388"/>
      <c r="K77" s="2388"/>
      <c r="L77" s="2388"/>
      <c r="M77" s="2388"/>
      <c r="N77" s="2388"/>
      <c r="O77" s="2388"/>
      <c r="P77" s="2388"/>
      <c r="Q77" s="2388"/>
      <c r="R77" s="2388"/>
      <c r="S77" s="2388"/>
    </row>
    <row r="78" spans="1:19" ht="15.75" thickBot="1">
      <c r="A78" s="2383"/>
      <c r="B78" s="2384"/>
      <c r="C78" s="2405"/>
      <c r="D78" s="2405"/>
      <c r="E78" s="2405"/>
      <c r="F78" s="2405"/>
      <c r="G78" s="2423"/>
      <c r="H78" s="2388"/>
      <c r="I78" s="2388"/>
      <c r="J78" s="2388"/>
      <c r="K78" s="2388"/>
      <c r="L78" s="2388"/>
      <c r="M78" s="2388"/>
      <c r="N78" s="2388"/>
      <c r="O78" s="2388"/>
      <c r="P78" s="2388"/>
      <c r="Q78" s="2388"/>
      <c r="R78" s="2388"/>
      <c r="S78" s="2388"/>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2421"/>
      <c r="B80" s="2404" t="s">
        <v>578</v>
      </c>
      <c r="C80" s="2405"/>
      <c r="D80" s="2405"/>
      <c r="E80" s="2405"/>
      <c r="F80" s="2405"/>
      <c r="G80" s="2423"/>
      <c r="H80" s="2388"/>
      <c r="I80" s="2388"/>
      <c r="J80" s="2388"/>
      <c r="K80" s="2388"/>
      <c r="L80" s="2388"/>
      <c r="M80" s="2388"/>
      <c r="N80" s="2388"/>
      <c r="O80" s="2388"/>
      <c r="P80" s="2388"/>
      <c r="Q80" s="2388"/>
      <c r="R80" s="2388"/>
      <c r="S80" s="2388"/>
    </row>
    <row r="81" spans="1:19">
      <c r="A81" s="2421"/>
      <c r="B81" s="2404" t="s">
        <v>579</v>
      </c>
      <c r="C81" s="2405"/>
      <c r="D81" s="2405"/>
      <c r="E81" s="2405"/>
      <c r="F81" s="2405"/>
      <c r="G81" s="2423"/>
      <c r="H81" s="2388"/>
      <c r="I81" s="2388"/>
      <c r="J81" s="2388"/>
      <c r="K81" s="2388"/>
      <c r="L81" s="2388"/>
      <c r="M81" s="2388"/>
      <c r="N81" s="2388"/>
      <c r="O81" s="2388"/>
      <c r="P81" s="2388"/>
      <c r="Q81" s="2388"/>
      <c r="R81" s="2388"/>
      <c r="S81" s="2388"/>
    </row>
    <row r="82" spans="1:19">
      <c r="A82" s="2421"/>
      <c r="B82" s="2404" t="s">
        <v>580</v>
      </c>
      <c r="C82" s="2405"/>
      <c r="D82" s="2405"/>
      <c r="E82" s="2405"/>
      <c r="F82" s="2405"/>
      <c r="G82" s="2423"/>
      <c r="H82" s="2388"/>
      <c r="I82" s="2388"/>
      <c r="J82" s="2388"/>
      <c r="K82" s="2388"/>
      <c r="L82" s="2388"/>
      <c r="M82" s="2388"/>
      <c r="N82" s="2388"/>
      <c r="O82" s="2388"/>
      <c r="P82" s="2388"/>
      <c r="Q82" s="2388"/>
      <c r="R82" s="2388"/>
      <c r="S82" s="2388"/>
    </row>
    <row r="83" spans="1:19">
      <c r="A83" s="2421"/>
      <c r="B83" s="2404" t="s">
        <v>581</v>
      </c>
      <c r="C83" s="2405"/>
      <c r="D83" s="2405"/>
      <c r="E83" s="2405"/>
      <c r="F83" s="2405"/>
      <c r="G83" s="2423"/>
      <c r="H83" s="2388"/>
      <c r="I83" s="2388"/>
      <c r="J83" s="2388"/>
      <c r="K83" s="2388"/>
      <c r="L83" s="2388"/>
      <c r="M83" s="2388"/>
      <c r="N83" s="2388"/>
      <c r="O83" s="2388"/>
      <c r="P83" s="2388"/>
      <c r="Q83" s="2388"/>
      <c r="R83" s="2388"/>
      <c r="S83" s="2388"/>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2617"/>
      <c r="B86" s="2623" t="s">
        <v>583</v>
      </c>
      <c r="C86" s="2618"/>
      <c r="D86" s="2618"/>
      <c r="E86" s="2618"/>
      <c r="F86" s="2618"/>
      <c r="G86" s="2619"/>
      <c r="H86" s="2624"/>
      <c r="I86" s="2624"/>
      <c r="J86" s="2624"/>
      <c r="K86" s="2624"/>
      <c r="L86" s="2624"/>
      <c r="M86" s="2624"/>
      <c r="N86" s="2624"/>
      <c r="O86" s="2624"/>
      <c r="P86" s="2624"/>
      <c r="Q86" s="2624"/>
      <c r="R86" s="2624"/>
      <c r="S86" s="2624"/>
    </row>
    <row r="87" spans="1:19">
      <c r="A87" s="2421"/>
      <c r="B87" s="2404" t="s">
        <v>584</v>
      </c>
      <c r="C87" s="2405"/>
      <c r="D87" s="2405"/>
      <c r="E87" s="2405"/>
      <c r="F87" s="2405"/>
      <c r="G87" s="2423"/>
      <c r="H87" s="2390"/>
      <c r="I87" s="2390"/>
      <c r="J87" s="2390"/>
      <c r="K87" s="2390"/>
      <c r="L87" s="2390"/>
      <c r="M87" s="2390"/>
      <c r="N87" s="2390"/>
      <c r="O87" s="2390"/>
      <c r="P87" s="2390"/>
      <c r="Q87" s="2390"/>
      <c r="R87" s="2390"/>
      <c r="S87" s="2390"/>
    </row>
    <row r="88" spans="1:19" ht="15.75" thickBot="1">
      <c r="A88" s="2391"/>
      <c r="B88" s="2392" t="s">
        <v>585</v>
      </c>
      <c r="C88" s="2393"/>
      <c r="D88" s="2393"/>
      <c r="E88" s="2393"/>
      <c r="F88" s="2393"/>
      <c r="G88" s="2394"/>
      <c r="H88" s="2395"/>
      <c r="I88" s="2395"/>
      <c r="J88" s="2395"/>
      <c r="K88" s="2395"/>
      <c r="L88" s="2395"/>
      <c r="M88" s="2395"/>
      <c r="N88" s="2395"/>
      <c r="O88" s="2395"/>
      <c r="P88" s="2395"/>
      <c r="Q88" s="2395"/>
      <c r="R88" s="2395"/>
      <c r="S88" s="2395"/>
    </row>
    <row r="89" spans="1:19" ht="16.5" thickTop="1" thickBot="1"/>
    <row r="90" spans="1:19" ht="16.5" thickTop="1" thickBot="1">
      <c r="A90" s="92" t="s">
        <v>586</v>
      </c>
      <c r="B90" s="94"/>
    </row>
    <row r="91" spans="1:19" ht="15.75" thickTop="1">
      <c r="A91" s="93" t="s">
        <v>487</v>
      </c>
      <c r="B91" s="2396"/>
    </row>
    <row r="92" spans="1:19">
      <c r="A92" s="2397" t="s">
        <v>491</v>
      </c>
      <c r="B92" s="2396"/>
    </row>
    <row r="93" spans="1:19">
      <c r="A93" s="2398" t="s">
        <v>494</v>
      </c>
      <c r="B93" s="2399"/>
    </row>
    <row r="94" spans="1:19">
      <c r="A94" s="2398" t="s">
        <v>497</v>
      </c>
      <c r="B94" s="2400"/>
    </row>
    <row r="95" spans="1:19" ht="15.75" thickBot="1">
      <c r="A95" s="2401" t="s">
        <v>587</v>
      </c>
      <c r="B95" s="2402">
        <f>H8</f>
        <v>5180.6000000000004</v>
      </c>
    </row>
    <row r="96" spans="1:19" ht="15.75" thickTop="1"/>
    <row r="97" spans="1:2">
      <c r="A97" s="95"/>
      <c r="B97" s="1" t="s">
        <v>588</v>
      </c>
    </row>
    <row r="98" spans="1:2">
      <c r="A98" s="96"/>
      <c r="B98"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3:B63"/>
    <mergeCell ref="A67:B67"/>
    <mergeCell ref="A71:B71"/>
    <mergeCell ref="A75:B75"/>
    <mergeCell ref="A79:B79"/>
  </mergeCells>
  <conditionalFormatting sqref="H22:H31 H33:H54 J33:J54 L33:L54 N33:N54 P33:P54 R33:R54">
    <cfRule type="cellIs" dxfId="761" priority="13" operator="equal">
      <formula>"X"</formula>
    </cfRule>
    <cfRule type="cellIs" dxfId="760" priority="14" operator="equal">
      <formula>"I"</formula>
    </cfRule>
  </conditionalFormatting>
  <conditionalFormatting sqref="J22:J31">
    <cfRule type="cellIs" dxfId="759" priority="15" operator="equal">
      <formula>"X"</formula>
    </cfRule>
    <cfRule type="cellIs" dxfId="758" priority="16" operator="equal">
      <formula>"I"</formula>
    </cfRule>
  </conditionalFormatting>
  <conditionalFormatting sqref="L22:L31">
    <cfRule type="cellIs" dxfId="757" priority="17" operator="equal">
      <formula>"X"</formula>
    </cfRule>
    <cfRule type="cellIs" dxfId="756" priority="18" operator="equal">
      <formula>"I"</formula>
    </cfRule>
  </conditionalFormatting>
  <conditionalFormatting sqref="N22:N31">
    <cfRule type="cellIs" dxfId="755" priority="19" operator="equal">
      <formula>"X"</formula>
    </cfRule>
    <cfRule type="cellIs" dxfId="754" priority="20" operator="equal">
      <formula>"I"</formula>
    </cfRule>
  </conditionalFormatting>
  <conditionalFormatting sqref="P22:P31">
    <cfRule type="cellIs" dxfId="753" priority="21" operator="equal">
      <formula>"X"</formula>
    </cfRule>
    <cfRule type="cellIs" dxfId="752" priority="22" operator="equal">
      <formula>"I"</formula>
    </cfRule>
  </conditionalFormatting>
  <conditionalFormatting sqref="R22:R31">
    <cfRule type="cellIs" dxfId="751" priority="23" operator="equal">
      <formula>"X"</formula>
    </cfRule>
    <cfRule type="cellIs" dxfId="750" priority="24" operator="equal">
      <formula>"I"</formula>
    </cfRule>
  </conditionalFormatting>
  <hyperlinks>
    <hyperlink ref="B3" location="'Cost Summary'!A1" display="BACK TO SUMMARY SHEET" xr:uid="{7BBCA38B-B50F-4BDF-A674-D42B687B2A3E}"/>
  </hyperlink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FD25-B7AD-4CF5-A74E-3DBD55B6B7A9}">
  <sheetPr>
    <tabColor rgb="FF92D050"/>
  </sheetPr>
  <dimension ref="A1:S99"/>
  <sheetViews>
    <sheetView zoomScale="91" zoomScaleNormal="91" workbookViewId="0">
      <pane xSplit="2" ySplit="9" topLeftCell="H54" activePane="bottomRight" state="frozen"/>
      <selection pane="bottomRight" activeCell="A56" sqref="A34:XFD56"/>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1149</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1150</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ht="15.75" thickBot="1">
      <c r="A8" s="414" t="s">
        <v>499</v>
      </c>
      <c r="B8" s="295"/>
      <c r="C8" s="184"/>
      <c r="D8" s="184"/>
      <c r="E8" s="184"/>
      <c r="F8" s="184"/>
      <c r="G8" s="419" t="s">
        <v>499</v>
      </c>
      <c r="H8" s="2625">
        <f>I60</f>
        <v>0</v>
      </c>
      <c r="I8" s="2625"/>
      <c r="J8" s="2625">
        <f>K60</f>
        <v>0</v>
      </c>
      <c r="K8" s="2625"/>
      <c r="L8" s="2625">
        <f>M60</f>
        <v>0</v>
      </c>
      <c r="M8" s="2625"/>
      <c r="N8" s="2625">
        <f>O60</f>
        <v>0</v>
      </c>
      <c r="O8" s="2625"/>
      <c r="P8" s="2625">
        <f>Q60</f>
        <v>0</v>
      </c>
      <c r="Q8" s="2625"/>
      <c r="R8" s="2420">
        <f>S60</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26"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2627"/>
      <c r="B21" s="2428" t="s">
        <v>1149</v>
      </c>
      <c r="C21" s="56"/>
      <c r="D21" s="57"/>
      <c r="E21" s="57"/>
      <c r="F21" s="57"/>
      <c r="G21" s="63"/>
      <c r="H21" s="2427"/>
      <c r="I21" s="2590"/>
      <c r="J21" s="2427"/>
      <c r="K21" s="2616"/>
      <c r="L21" s="2427"/>
      <c r="M21" s="2616"/>
      <c r="N21" s="2427"/>
      <c r="O21" s="2616"/>
      <c r="P21" s="2427"/>
      <c r="Q21" s="2616"/>
      <c r="R21" s="2427"/>
      <c r="S21" s="2616"/>
    </row>
    <row r="22" spans="1:19">
      <c r="A22" s="2628"/>
      <c r="B22" s="2318" t="s">
        <v>512</v>
      </c>
      <c r="C22" s="2426"/>
      <c r="D22" s="2405"/>
      <c r="E22" s="2405"/>
      <c r="F22" s="2405"/>
      <c r="G22" s="2423"/>
      <c r="H22" s="2427"/>
      <c r="I22" s="2590"/>
      <c r="J22" s="2427"/>
      <c r="K22" s="2616"/>
      <c r="L22" s="2427"/>
      <c r="M22" s="2616"/>
      <c r="N22" s="2427"/>
      <c r="O22" s="2616"/>
      <c r="P22" s="2427"/>
      <c r="Q22" s="2616"/>
      <c r="R22" s="2427"/>
      <c r="S22" s="2616"/>
    </row>
    <row r="23" spans="1:19">
      <c r="A23" s="2628"/>
      <c r="B23" s="2629" t="s">
        <v>513</v>
      </c>
      <c r="C23" s="2426"/>
      <c r="D23" s="2405"/>
      <c r="E23" s="2405"/>
      <c r="F23" s="2405"/>
      <c r="G23" s="2423"/>
      <c r="H23" s="2427"/>
      <c r="I23" s="2590"/>
      <c r="J23" s="2427"/>
      <c r="K23" s="2616"/>
      <c r="L23" s="2427"/>
      <c r="M23" s="2616"/>
      <c r="N23" s="2427"/>
      <c r="O23" s="2616"/>
      <c r="P23" s="2427"/>
      <c r="Q23" s="2616"/>
      <c r="R23" s="2427"/>
      <c r="S23" s="2616"/>
    </row>
    <row r="24" spans="1:19">
      <c r="A24" s="2627"/>
      <c r="B24" s="2629" t="s">
        <v>514</v>
      </c>
      <c r="C24" s="2430"/>
      <c r="D24" s="2405"/>
      <c r="E24" s="2405"/>
      <c r="F24" s="2405"/>
      <c r="G24" s="2423"/>
      <c r="H24" s="2427"/>
      <c r="I24" s="2590"/>
      <c r="J24" s="2427"/>
      <c r="K24" s="2616"/>
      <c r="L24" s="2427"/>
      <c r="M24" s="2616"/>
      <c r="N24" s="2427"/>
      <c r="O24" s="2616"/>
      <c r="P24" s="2427"/>
      <c r="Q24" s="2616"/>
      <c r="R24" s="2427"/>
      <c r="S24" s="2616"/>
    </row>
    <row r="25" spans="1:19">
      <c r="A25" s="2627"/>
      <c r="B25" s="2630" t="s">
        <v>515</v>
      </c>
      <c r="C25" s="2430"/>
      <c r="D25" s="2405"/>
      <c r="E25" s="2405"/>
      <c r="F25" s="2405"/>
      <c r="G25" s="2423"/>
      <c r="H25" s="2427"/>
      <c r="I25" s="2590"/>
      <c r="J25" s="2427"/>
      <c r="K25" s="2616"/>
      <c r="L25" s="2427"/>
      <c r="M25" s="2616"/>
      <c r="N25" s="2427"/>
      <c r="O25" s="2616"/>
      <c r="P25" s="2427"/>
      <c r="Q25" s="2616"/>
      <c r="R25" s="2427"/>
      <c r="S25" s="2616"/>
    </row>
    <row r="26" spans="1:19" s="91" customFormat="1">
      <c r="A26" s="2628"/>
      <c r="B26" s="2630" t="s">
        <v>516</v>
      </c>
      <c r="C26" s="2432"/>
      <c r="D26" s="2433"/>
      <c r="E26" s="2433"/>
      <c r="F26" s="2433"/>
      <c r="G26" s="2432"/>
      <c r="H26" s="2427"/>
      <c r="I26" s="2590"/>
      <c r="J26" s="2427"/>
      <c r="K26" s="2631"/>
      <c r="L26" s="2427"/>
      <c r="M26" s="2631"/>
      <c r="N26" s="2427"/>
      <c r="O26" s="2631"/>
      <c r="P26" s="2427"/>
      <c r="Q26" s="2631"/>
      <c r="R26" s="2427"/>
      <c r="S26" s="2631"/>
    </row>
    <row r="27" spans="1:19" s="91" customFormat="1">
      <c r="A27" s="2628"/>
      <c r="B27" s="2630" t="s">
        <v>517</v>
      </c>
      <c r="C27" s="2432"/>
      <c r="D27" s="2433"/>
      <c r="E27" s="2433"/>
      <c r="F27" s="2433"/>
      <c r="G27" s="2432"/>
      <c r="H27" s="2427"/>
      <c r="I27" s="2590"/>
      <c r="J27" s="2427"/>
      <c r="K27" s="2631"/>
      <c r="L27" s="2427"/>
      <c r="M27" s="2631"/>
      <c r="N27" s="2427"/>
      <c r="O27" s="2631"/>
      <c r="P27" s="2427"/>
      <c r="Q27" s="2631"/>
      <c r="R27" s="2427"/>
      <c r="S27" s="2631"/>
    </row>
    <row r="28" spans="1:19" s="91" customFormat="1">
      <c r="A28" s="2628"/>
      <c r="B28" s="2630" t="s">
        <v>518</v>
      </c>
      <c r="C28" s="2432"/>
      <c r="D28" s="2433"/>
      <c r="E28" s="2433"/>
      <c r="F28" s="2433"/>
      <c r="G28" s="2432"/>
      <c r="H28" s="2427"/>
      <c r="I28" s="2590"/>
      <c r="J28" s="2427"/>
      <c r="K28" s="2631"/>
      <c r="L28" s="2427"/>
      <c r="M28" s="2631"/>
      <c r="N28" s="2427"/>
      <c r="O28" s="2631"/>
      <c r="P28" s="2427"/>
      <c r="Q28" s="2631"/>
      <c r="R28" s="2427"/>
      <c r="S28" s="2631"/>
    </row>
    <row r="29" spans="1:19" s="91" customFormat="1">
      <c r="A29" s="2628"/>
      <c r="B29" s="2630" t="s">
        <v>693</v>
      </c>
      <c r="C29" s="2432"/>
      <c r="D29" s="2433"/>
      <c r="E29" s="2433"/>
      <c r="F29" s="2433"/>
      <c r="G29" s="2432"/>
      <c r="H29" s="2427"/>
      <c r="I29" s="2590"/>
      <c r="J29" s="2427"/>
      <c r="K29" s="2631"/>
      <c r="L29" s="2427"/>
      <c r="M29" s="2631"/>
      <c r="N29" s="2427"/>
      <c r="O29" s="2631"/>
      <c r="P29" s="2427"/>
      <c r="Q29" s="2631"/>
      <c r="R29" s="2427"/>
      <c r="S29" s="2631"/>
    </row>
    <row r="30" spans="1:19" s="91" customFormat="1">
      <c r="A30" s="2628"/>
      <c r="B30" s="2632" t="s">
        <v>519</v>
      </c>
      <c r="C30" s="2432"/>
      <c r="D30" s="2433"/>
      <c r="E30" s="2433"/>
      <c r="F30" s="2433"/>
      <c r="G30" s="2432"/>
      <c r="H30" s="2427"/>
      <c r="I30" s="2590"/>
      <c r="J30" s="2427"/>
      <c r="K30" s="2631"/>
      <c r="L30" s="2427"/>
      <c r="M30" s="2631"/>
      <c r="N30" s="2427"/>
      <c r="O30" s="2631"/>
      <c r="P30" s="2427"/>
      <c r="Q30" s="2631"/>
      <c r="R30" s="2427"/>
      <c r="S30" s="2631"/>
    </row>
    <row r="31" spans="1:19" s="91" customFormat="1">
      <c r="A31" s="2628"/>
      <c r="B31" s="2633" t="s">
        <v>520</v>
      </c>
      <c r="C31" s="2435"/>
      <c r="D31" s="2436"/>
      <c r="E31" s="2436"/>
      <c r="F31" s="2436"/>
      <c r="G31" s="2435"/>
      <c r="H31" s="2439"/>
      <c r="I31" s="2634"/>
      <c r="J31" s="2443"/>
      <c r="K31" s="2635"/>
      <c r="L31" s="2443"/>
      <c r="M31" s="2635"/>
      <c r="N31" s="2635"/>
      <c r="O31" s="2635"/>
      <c r="P31" s="2635"/>
      <c r="Q31" s="2635"/>
      <c r="R31" s="2635"/>
      <c r="S31" s="2635"/>
    </row>
    <row r="32" spans="1:19" s="91" customFormat="1">
      <c r="A32" s="2628"/>
      <c r="B32" s="151" t="s">
        <v>748</v>
      </c>
      <c r="C32" s="2432"/>
      <c r="D32" s="2433"/>
      <c r="E32" s="2433"/>
      <c r="F32" s="2433"/>
      <c r="G32" s="2432"/>
      <c r="H32" s="2427"/>
      <c r="I32" s="2590"/>
      <c r="J32" s="2427"/>
      <c r="K32" s="2631"/>
      <c r="L32" s="2427"/>
      <c r="M32" s="2631"/>
      <c r="N32" s="2427"/>
      <c r="O32" s="2631"/>
      <c r="P32" s="2427"/>
      <c r="Q32" s="2631"/>
      <c r="R32" s="2427"/>
      <c r="S32" s="2631"/>
    </row>
    <row r="33" spans="1:19" s="91" customFormat="1">
      <c r="A33" s="2628"/>
      <c r="B33" s="2545"/>
      <c r="C33" s="2432"/>
      <c r="D33" s="2433"/>
      <c r="E33" s="2433"/>
      <c r="F33" s="2433"/>
      <c r="G33" s="2432"/>
      <c r="H33" s="2427"/>
      <c r="I33" s="2590"/>
      <c r="J33" s="2427"/>
      <c r="K33" s="2631"/>
      <c r="L33" s="2427"/>
      <c r="M33" s="2631"/>
      <c r="N33" s="2427"/>
      <c r="O33" s="2631"/>
      <c r="P33" s="2427"/>
      <c r="Q33" s="2631"/>
      <c r="R33" s="2427"/>
      <c r="S33" s="2631"/>
    </row>
    <row r="34" spans="1:19" s="91" customFormat="1">
      <c r="A34" s="2636"/>
      <c r="B34" s="2545"/>
      <c r="C34" s="2445"/>
      <c r="D34" s="2433"/>
      <c r="E34" s="2433"/>
      <c r="F34" s="2433"/>
      <c r="G34" s="2432"/>
      <c r="H34" s="2427"/>
      <c r="I34" s="2590"/>
      <c r="J34" s="2427"/>
      <c r="K34" s="2631"/>
      <c r="L34" s="2427"/>
      <c r="M34" s="2631"/>
      <c r="N34" s="2427"/>
      <c r="O34" s="2631"/>
      <c r="P34" s="2427"/>
      <c r="Q34" s="2631"/>
      <c r="R34" s="2427"/>
      <c r="S34" s="2631"/>
    </row>
    <row r="35" spans="1:19" s="91" customFormat="1" ht="15.75" thickBot="1">
      <c r="A35" s="2636"/>
      <c r="B35" s="2545"/>
      <c r="C35" s="2445"/>
      <c r="D35" s="2433"/>
      <c r="E35" s="2433"/>
      <c r="F35" s="2433"/>
      <c r="G35" s="2432"/>
      <c r="H35" s="2427"/>
      <c r="I35" s="2590"/>
      <c r="J35" s="2427"/>
      <c r="K35" s="2631"/>
      <c r="L35" s="2427"/>
      <c r="M35" s="2631"/>
      <c r="N35" s="2427"/>
      <c r="O35" s="2631"/>
      <c r="P35" s="2427"/>
      <c r="Q35" s="2631"/>
      <c r="R35" s="2427"/>
      <c r="S35" s="2631"/>
    </row>
    <row r="36" spans="1:19" s="91" customFormat="1">
      <c r="A36" s="2636"/>
      <c r="B36" s="2545"/>
      <c r="C36" s="2445"/>
      <c r="D36" s="2433"/>
      <c r="E36" s="2433"/>
      <c r="F36" s="2433"/>
      <c r="G36" s="2432"/>
      <c r="H36" s="2537"/>
      <c r="I36" s="2590"/>
      <c r="J36" s="2539"/>
      <c r="K36" s="2631"/>
      <c r="L36" s="2539"/>
      <c r="M36" s="2631"/>
      <c r="N36" s="2631"/>
      <c r="O36" s="2631"/>
      <c r="P36" s="2631"/>
      <c r="Q36" s="2631"/>
      <c r="R36" s="2631"/>
      <c r="S36" s="2631"/>
    </row>
    <row r="37" spans="1:19" s="91" customFormat="1">
      <c r="A37" s="2636"/>
      <c r="B37" s="2545"/>
      <c r="C37" s="2445"/>
      <c r="D37" s="2433"/>
      <c r="E37" s="2433"/>
      <c r="F37" s="2433"/>
      <c r="G37" s="2432"/>
      <c r="H37" s="2537"/>
      <c r="I37" s="2590"/>
      <c r="J37" s="2539"/>
      <c r="K37" s="2631"/>
      <c r="L37" s="2539"/>
      <c r="M37" s="2631"/>
      <c r="N37" s="2631"/>
      <c r="O37" s="2631"/>
      <c r="P37" s="2631"/>
      <c r="Q37" s="2631"/>
      <c r="R37" s="2631"/>
      <c r="S37" s="2631"/>
    </row>
    <row r="38" spans="1:19" s="91" customFormat="1">
      <c r="A38" s="2636"/>
      <c r="B38" s="2545"/>
      <c r="C38" s="2445"/>
      <c r="D38" s="2433"/>
      <c r="E38" s="2433"/>
      <c r="F38" s="2433"/>
      <c r="G38" s="2432"/>
      <c r="H38" s="2537"/>
      <c r="I38" s="2590"/>
      <c r="J38" s="2539"/>
      <c r="K38" s="2631"/>
      <c r="L38" s="2539"/>
      <c r="M38" s="2631"/>
      <c r="N38" s="2631"/>
      <c r="O38" s="2631"/>
      <c r="P38" s="2631"/>
      <c r="Q38" s="2631"/>
      <c r="R38" s="2631"/>
      <c r="S38" s="2631"/>
    </row>
    <row r="39" spans="1:19" s="91" customFormat="1">
      <c r="A39" s="2636"/>
      <c r="B39" s="2545"/>
      <c r="C39" s="2445"/>
      <c r="D39" s="2433"/>
      <c r="E39" s="2546"/>
      <c r="F39" s="2547"/>
      <c r="G39" s="2432"/>
      <c r="H39" s="2537"/>
      <c r="I39" s="2590"/>
      <c r="J39" s="2539"/>
      <c r="K39" s="2631"/>
      <c r="L39" s="2539"/>
      <c r="M39" s="2631"/>
      <c r="N39" s="2631"/>
      <c r="O39" s="2631"/>
      <c r="P39" s="2631"/>
      <c r="Q39" s="2631"/>
      <c r="R39" s="2631"/>
      <c r="S39" s="2631"/>
    </row>
    <row r="40" spans="1:19" s="91" customFormat="1">
      <c r="A40" s="2636"/>
      <c r="B40" s="2545"/>
      <c r="C40" s="2445"/>
      <c r="D40" s="2433"/>
      <c r="E40" s="2546"/>
      <c r="F40" s="2547"/>
      <c r="G40" s="2432"/>
      <c r="H40" s="2537"/>
      <c r="I40" s="2590"/>
      <c r="J40" s="2539"/>
      <c r="K40" s="2631"/>
      <c r="L40" s="2539"/>
      <c r="M40" s="2631"/>
      <c r="N40" s="2631"/>
      <c r="O40" s="2631"/>
      <c r="P40" s="2631"/>
      <c r="Q40" s="2631"/>
      <c r="R40" s="2631"/>
      <c r="S40" s="2631"/>
    </row>
    <row r="41" spans="1:19" s="91" customFormat="1">
      <c r="A41" s="2636"/>
      <c r="B41" s="2545"/>
      <c r="C41" s="2445"/>
      <c r="D41" s="2433"/>
      <c r="E41" s="2546"/>
      <c r="F41" s="2547"/>
      <c r="G41" s="2432"/>
      <c r="H41" s="2537"/>
      <c r="I41" s="2590"/>
      <c r="J41" s="2539"/>
      <c r="K41" s="2631"/>
      <c r="L41" s="2539"/>
      <c r="M41" s="2631"/>
      <c r="N41" s="2631"/>
      <c r="O41" s="2631"/>
      <c r="P41" s="2631"/>
      <c r="Q41" s="2631"/>
      <c r="R41" s="2631"/>
      <c r="S41" s="2631"/>
    </row>
    <row r="42" spans="1:19" s="91" customFormat="1">
      <c r="A42" s="2636"/>
      <c r="B42" s="2637"/>
      <c r="C42" s="2445"/>
      <c r="D42" s="2433"/>
      <c r="E42" s="2546"/>
      <c r="F42" s="2547"/>
      <c r="G42" s="2432"/>
      <c r="H42" s="2537"/>
      <c r="I42" s="2590"/>
      <c r="J42" s="2539"/>
      <c r="K42" s="2631"/>
      <c r="L42" s="2539"/>
      <c r="M42" s="2631"/>
      <c r="N42" s="2631"/>
      <c r="O42" s="2631"/>
      <c r="P42" s="2631"/>
      <c r="Q42" s="2631"/>
      <c r="R42" s="2631"/>
      <c r="S42" s="2631"/>
    </row>
    <row r="43" spans="1:19" s="91" customFormat="1">
      <c r="A43" s="2636"/>
      <c r="B43" s="2638"/>
      <c r="C43" s="2445"/>
      <c r="D43" s="2433"/>
      <c r="E43" s="2546"/>
      <c r="F43" s="2547"/>
      <c r="G43" s="2432"/>
      <c r="H43" s="2537"/>
      <c r="I43" s="2590"/>
      <c r="J43" s="2539"/>
      <c r="K43" s="2631"/>
      <c r="L43" s="2539"/>
      <c r="M43" s="2631"/>
      <c r="N43" s="2631"/>
      <c r="O43" s="2631"/>
      <c r="P43" s="2631"/>
      <c r="Q43" s="2631"/>
      <c r="R43" s="2631"/>
      <c r="S43" s="2631"/>
    </row>
    <row r="44" spans="1:19" s="91" customFormat="1">
      <c r="A44" s="2636"/>
      <c r="B44" s="152"/>
      <c r="C44" s="2445"/>
      <c r="D44" s="2433"/>
      <c r="E44" s="2546"/>
      <c r="F44" s="2547"/>
      <c r="G44" s="2432"/>
      <c r="H44" s="2537"/>
      <c r="I44" s="2590"/>
      <c r="J44" s="2539"/>
      <c r="K44" s="2631"/>
      <c r="L44" s="2539"/>
      <c r="M44" s="2631"/>
      <c r="N44" s="2631"/>
      <c r="O44" s="2631"/>
      <c r="P44" s="2631"/>
      <c r="Q44" s="2631"/>
      <c r="R44" s="2631"/>
      <c r="S44" s="2631"/>
    </row>
    <row r="45" spans="1:19" s="91" customFormat="1">
      <c r="A45" s="2636"/>
      <c r="B45" s="2545"/>
      <c r="C45" s="2445"/>
      <c r="D45" s="2433"/>
      <c r="E45" s="2546"/>
      <c r="F45" s="2547"/>
      <c r="G45" s="2432"/>
      <c r="H45" s="2537"/>
      <c r="I45" s="2590"/>
      <c r="J45" s="2539"/>
      <c r="K45" s="2631"/>
      <c r="L45" s="2539"/>
      <c r="M45" s="2631"/>
      <c r="N45" s="2631"/>
      <c r="O45" s="2631"/>
      <c r="P45" s="2631"/>
      <c r="Q45" s="2631"/>
      <c r="R45" s="2631"/>
      <c r="S45" s="2631"/>
    </row>
    <row r="46" spans="1:19" s="91" customFormat="1">
      <c r="A46" s="2636"/>
      <c r="B46" s="2545"/>
      <c r="C46" s="2445"/>
      <c r="D46" s="2433"/>
      <c r="E46" s="2546"/>
      <c r="F46" s="2547"/>
      <c r="G46" s="2432"/>
      <c r="H46" s="2537"/>
      <c r="I46" s="2590"/>
      <c r="J46" s="2539"/>
      <c r="K46" s="2631"/>
      <c r="L46" s="2539"/>
      <c r="M46" s="2631"/>
      <c r="N46" s="2631"/>
      <c r="O46" s="2631"/>
      <c r="P46" s="2631"/>
      <c r="Q46" s="2631"/>
      <c r="R46" s="2631"/>
      <c r="S46" s="2631"/>
    </row>
    <row r="47" spans="1:19" s="91" customFormat="1">
      <c r="A47" s="2636"/>
      <c r="B47" s="2545"/>
      <c r="C47" s="2445"/>
      <c r="D47" s="2433"/>
      <c r="E47" s="2546"/>
      <c r="F47" s="2547"/>
      <c r="G47" s="2432"/>
      <c r="H47" s="2537"/>
      <c r="I47" s="2590"/>
      <c r="J47" s="2539"/>
      <c r="K47" s="2631"/>
      <c r="L47" s="2539"/>
      <c r="M47" s="2631"/>
      <c r="N47" s="2631"/>
      <c r="O47" s="2631"/>
      <c r="P47" s="2631"/>
      <c r="Q47" s="2631"/>
      <c r="R47" s="2631"/>
      <c r="S47" s="2631"/>
    </row>
    <row r="48" spans="1:19" s="91" customFormat="1">
      <c r="A48" s="2636"/>
      <c r="B48" s="2545"/>
      <c r="C48" s="2445"/>
      <c r="D48" s="2433"/>
      <c r="E48" s="2546"/>
      <c r="F48" s="2547"/>
      <c r="G48" s="2432"/>
      <c r="H48" s="2537"/>
      <c r="I48" s="2590"/>
      <c r="J48" s="2539"/>
      <c r="K48" s="2631"/>
      <c r="L48" s="2539"/>
      <c r="M48" s="2631"/>
      <c r="N48" s="2631"/>
      <c r="O48" s="2631"/>
      <c r="P48" s="2631"/>
      <c r="Q48" s="2631"/>
      <c r="R48" s="2631"/>
      <c r="S48" s="2631"/>
    </row>
    <row r="49" spans="1:19" s="91" customFormat="1">
      <c r="A49" s="2636"/>
      <c r="B49" s="2545"/>
      <c r="C49" s="2445"/>
      <c r="D49" s="2433"/>
      <c r="E49" s="2546"/>
      <c r="F49" s="2547"/>
      <c r="G49" s="2432"/>
      <c r="H49" s="2537"/>
      <c r="I49" s="2590"/>
      <c r="J49" s="2539"/>
      <c r="K49" s="2631"/>
      <c r="L49" s="2539"/>
      <c r="M49" s="2631"/>
      <c r="N49" s="2631"/>
      <c r="O49" s="2631"/>
      <c r="P49" s="2631"/>
      <c r="Q49" s="2631"/>
      <c r="R49" s="2631"/>
      <c r="S49" s="2631"/>
    </row>
    <row r="50" spans="1:19" s="91" customFormat="1">
      <c r="A50" s="2636"/>
      <c r="B50" s="2545"/>
      <c r="C50" s="2445"/>
      <c r="D50" s="2433"/>
      <c r="E50" s="2546"/>
      <c r="F50" s="2547"/>
      <c r="G50" s="2432"/>
      <c r="H50" s="2537"/>
      <c r="I50" s="2590"/>
      <c r="J50" s="2539"/>
      <c r="K50" s="2631"/>
      <c r="L50" s="2539"/>
      <c r="M50" s="2631"/>
      <c r="N50" s="2631"/>
      <c r="O50" s="2631"/>
      <c r="P50" s="2631"/>
      <c r="Q50" s="2631"/>
      <c r="R50" s="2631"/>
      <c r="S50" s="2631"/>
    </row>
    <row r="51" spans="1:19" s="91" customFormat="1">
      <c r="A51" s="2636"/>
      <c r="B51" s="2545"/>
      <c r="C51" s="2445"/>
      <c r="D51" s="2433"/>
      <c r="E51" s="2546"/>
      <c r="F51" s="2547"/>
      <c r="G51" s="2432"/>
      <c r="H51" s="2537"/>
      <c r="I51" s="2590"/>
      <c r="J51" s="2539"/>
      <c r="K51" s="2631"/>
      <c r="L51" s="2539"/>
      <c r="M51" s="2631"/>
      <c r="N51" s="2631"/>
      <c r="O51" s="2631"/>
      <c r="P51" s="2631"/>
      <c r="Q51" s="2631"/>
      <c r="R51" s="2631"/>
      <c r="S51" s="2631"/>
    </row>
    <row r="52" spans="1:19" s="91" customFormat="1">
      <c r="A52" s="2636"/>
      <c r="B52" s="2545"/>
      <c r="C52" s="2445"/>
      <c r="D52" s="2433"/>
      <c r="E52" s="2546"/>
      <c r="F52" s="2547"/>
      <c r="G52" s="2432"/>
      <c r="H52" s="2537"/>
      <c r="I52" s="2590"/>
      <c r="J52" s="2539"/>
      <c r="K52" s="2631"/>
      <c r="L52" s="2539"/>
      <c r="M52" s="2631"/>
      <c r="N52" s="2631"/>
      <c r="O52" s="2631"/>
      <c r="P52" s="2631"/>
      <c r="Q52" s="2631"/>
      <c r="R52" s="2631"/>
      <c r="S52" s="2631"/>
    </row>
    <row r="53" spans="1:19" s="91" customFormat="1">
      <c r="A53" s="2636"/>
      <c r="B53" s="2545"/>
      <c r="C53" s="2445"/>
      <c r="D53" s="2433"/>
      <c r="E53" s="2546"/>
      <c r="F53" s="2547"/>
      <c r="G53" s="2432"/>
      <c r="H53" s="2537"/>
      <c r="I53" s="2590"/>
      <c r="J53" s="2539"/>
      <c r="K53" s="2631"/>
      <c r="L53" s="2539"/>
      <c r="M53" s="2631"/>
      <c r="N53" s="2631"/>
      <c r="O53" s="2631"/>
      <c r="P53" s="2631"/>
      <c r="Q53" s="2631"/>
      <c r="R53" s="2631"/>
      <c r="S53" s="2631"/>
    </row>
    <row r="54" spans="1:19" s="91" customFormat="1">
      <c r="A54" s="2636"/>
      <c r="B54" s="2545"/>
      <c r="C54" s="2445"/>
      <c r="D54" s="2433"/>
      <c r="E54" s="2546"/>
      <c r="F54" s="2547"/>
      <c r="G54" s="2432"/>
      <c r="H54" s="2537"/>
      <c r="I54" s="2590"/>
      <c r="J54" s="2539"/>
      <c r="K54" s="2631"/>
      <c r="L54" s="2539"/>
      <c r="M54" s="2631"/>
      <c r="N54" s="2631"/>
      <c r="O54" s="2631"/>
      <c r="P54" s="2631"/>
      <c r="Q54" s="2631"/>
      <c r="R54" s="2631"/>
      <c r="S54" s="2631"/>
    </row>
    <row r="55" spans="1:19" s="91" customFormat="1" ht="15.75" thickBot="1">
      <c r="A55" s="2636"/>
      <c r="B55" s="2545"/>
      <c r="C55" s="2445"/>
      <c r="D55" s="2433"/>
      <c r="E55" s="2546"/>
      <c r="F55" s="2547"/>
      <c r="G55" s="2432"/>
      <c r="H55" s="2537"/>
      <c r="I55" s="2590"/>
      <c r="J55" s="2539"/>
      <c r="K55" s="2631"/>
      <c r="L55" s="2539"/>
      <c r="M55" s="2631"/>
      <c r="N55" s="2631"/>
      <c r="O55" s="2631"/>
      <c r="P55" s="2631"/>
      <c r="Q55" s="2631"/>
      <c r="R55" s="2631"/>
      <c r="S55" s="2631"/>
    </row>
    <row r="56" spans="1:19" ht="15.75" thickTop="1">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ht="15.75" thickBot="1">
      <c r="A63" s="2358"/>
      <c r="B63" s="2359"/>
      <c r="C63" s="2360"/>
      <c r="D63" s="2360"/>
      <c r="E63" s="2361"/>
      <c r="F63" s="2362"/>
      <c r="G63" s="2375"/>
      <c r="H63" s="2376"/>
      <c r="I63" s="2377"/>
      <c r="J63" s="2376"/>
      <c r="K63" s="2377"/>
      <c r="L63" s="2376"/>
      <c r="M63" s="2377"/>
      <c r="N63" s="2376"/>
      <c r="O63" s="2377"/>
      <c r="P63" s="2376"/>
      <c r="Q63" s="2377"/>
      <c r="R63" s="2376"/>
      <c r="S63" s="2377"/>
    </row>
    <row r="64" spans="1:19" ht="16.5" thickTop="1" thickBot="1">
      <c r="A64" s="726" t="s">
        <v>573</v>
      </c>
      <c r="B64" s="727"/>
      <c r="C64" s="12"/>
      <c r="D64" s="12"/>
      <c r="E64" s="12"/>
      <c r="F64" s="12"/>
      <c r="G64" s="13"/>
      <c r="H64" s="21"/>
      <c r="I64" s="21"/>
      <c r="J64" s="21"/>
      <c r="K64" s="21"/>
      <c r="L64" s="21"/>
      <c r="M64" s="21"/>
      <c r="N64" s="21"/>
      <c r="O64" s="21"/>
      <c r="P64" s="21"/>
      <c r="Q64" s="21"/>
      <c r="R64" s="21"/>
      <c r="S64" s="21"/>
    </row>
    <row r="65" spans="1:19" ht="15.75" thickTop="1">
      <c r="A65" s="2639"/>
      <c r="B65" s="2404"/>
      <c r="C65" s="2640"/>
      <c r="D65" s="2640"/>
      <c r="E65" s="2640"/>
      <c r="F65" s="2640"/>
      <c r="G65" s="2641"/>
      <c r="H65" s="2642"/>
      <c r="I65" s="2642"/>
      <c r="J65" s="2642"/>
      <c r="K65" s="2642"/>
      <c r="L65" s="2642"/>
      <c r="M65" s="2642"/>
      <c r="N65" s="2642"/>
      <c r="O65" s="2642"/>
      <c r="P65" s="2642"/>
      <c r="Q65" s="2642"/>
      <c r="R65" s="2642"/>
      <c r="S65" s="2642"/>
    </row>
    <row r="66" spans="1:19" s="2" customFormat="1">
      <c r="A66" s="2639"/>
      <c r="B66" s="2404"/>
      <c r="C66" s="2640"/>
      <c r="D66" s="2640"/>
      <c r="E66" s="2640"/>
      <c r="F66" s="2640"/>
      <c r="G66" s="2641"/>
      <c r="H66" s="2642"/>
      <c r="I66" s="2642"/>
      <c r="J66" s="2642"/>
      <c r="K66" s="2642"/>
      <c r="L66" s="2642"/>
      <c r="M66" s="2642"/>
      <c r="N66" s="2642"/>
      <c r="O66" s="2642"/>
      <c r="P66" s="2642"/>
      <c r="Q66" s="2642"/>
      <c r="R66" s="2642"/>
      <c r="S66" s="2642"/>
    </row>
    <row r="67" spans="1:19" s="2" customFormat="1" ht="15.75" thickBot="1">
      <c r="A67" s="2639"/>
      <c r="B67" s="2404"/>
      <c r="C67" s="2640"/>
      <c r="D67" s="2640"/>
      <c r="E67" s="2640"/>
      <c r="F67" s="2640"/>
      <c r="G67" s="2641"/>
      <c r="H67" s="2642"/>
      <c r="I67" s="2642"/>
      <c r="J67" s="2642"/>
      <c r="K67" s="2642"/>
      <c r="L67" s="2642"/>
      <c r="M67" s="2642"/>
      <c r="N67" s="2642"/>
      <c r="O67" s="2642"/>
      <c r="P67" s="2642"/>
      <c r="Q67" s="2642"/>
      <c r="R67" s="2642"/>
      <c r="S67" s="2642"/>
    </row>
    <row r="68" spans="1:19" ht="16.5" thickTop="1" thickBot="1">
      <c r="A68" s="726" t="s">
        <v>574</v>
      </c>
      <c r="B68" s="727"/>
      <c r="C68" s="12"/>
      <c r="D68" s="12"/>
      <c r="E68" s="12"/>
      <c r="F68" s="12"/>
      <c r="G68" s="13"/>
      <c r="H68" s="21"/>
      <c r="I68" s="21"/>
      <c r="J68" s="21"/>
      <c r="K68" s="21"/>
      <c r="L68" s="21"/>
      <c r="M68" s="21"/>
      <c r="N68" s="21"/>
      <c r="O68" s="21"/>
      <c r="P68" s="21"/>
      <c r="Q68" s="21"/>
      <c r="R68" s="21"/>
      <c r="S68" s="21"/>
    </row>
    <row r="69" spans="1:19" s="2" customFormat="1" ht="15.75" thickTop="1">
      <c r="A69" s="2639"/>
      <c r="B69" s="2404"/>
      <c r="C69" s="2640"/>
      <c r="D69" s="2640"/>
      <c r="E69" s="2640"/>
      <c r="F69" s="2640"/>
      <c r="G69" s="2641"/>
      <c r="H69" s="2642"/>
      <c r="I69" s="2642"/>
      <c r="J69" s="2642"/>
      <c r="K69" s="2642"/>
      <c r="L69" s="2642"/>
      <c r="M69" s="2642"/>
      <c r="N69" s="2642"/>
      <c r="O69" s="2642"/>
      <c r="P69" s="2642"/>
      <c r="Q69" s="2642"/>
      <c r="R69" s="2642"/>
      <c r="S69" s="2642"/>
    </row>
    <row r="70" spans="1:19" s="2" customFormat="1">
      <c r="A70" s="2639"/>
      <c r="B70" s="2404"/>
      <c r="C70" s="2640"/>
      <c r="D70" s="2640"/>
      <c r="E70" s="2640"/>
      <c r="F70" s="2640"/>
      <c r="G70" s="2641"/>
      <c r="H70" s="2642"/>
      <c r="I70" s="2642"/>
      <c r="J70" s="2642"/>
      <c r="K70" s="2642"/>
      <c r="L70" s="2642"/>
      <c r="M70" s="2642"/>
      <c r="N70" s="2642"/>
      <c r="O70" s="2642"/>
      <c r="P70" s="2642"/>
      <c r="Q70" s="2642"/>
      <c r="R70" s="2642"/>
      <c r="S70" s="2642"/>
    </row>
    <row r="71" spans="1:19" ht="15.75" thickBot="1">
      <c r="A71" s="2639"/>
      <c r="B71" s="2404"/>
      <c r="C71" s="2640"/>
      <c r="D71" s="2640"/>
      <c r="E71" s="2640"/>
      <c r="F71" s="2640"/>
      <c r="G71" s="2641"/>
      <c r="H71" s="2642"/>
      <c r="I71" s="2642"/>
      <c r="J71" s="2642"/>
      <c r="K71" s="2642"/>
      <c r="L71" s="2642"/>
      <c r="M71" s="2642"/>
      <c r="N71" s="2642"/>
      <c r="O71" s="2642"/>
      <c r="P71" s="2642"/>
      <c r="Q71" s="2642"/>
      <c r="R71" s="2642"/>
      <c r="S71" s="2642"/>
    </row>
    <row r="72" spans="1:19" ht="16.5" thickTop="1" thickBot="1">
      <c r="A72" s="726" t="s">
        <v>575</v>
      </c>
      <c r="B72" s="727"/>
      <c r="C72" s="12"/>
      <c r="D72" s="12"/>
      <c r="E72" s="12"/>
      <c r="F72" s="12"/>
      <c r="G72" s="13"/>
      <c r="H72" s="21"/>
      <c r="I72" s="21"/>
      <c r="J72" s="21"/>
      <c r="K72" s="21"/>
      <c r="L72" s="21"/>
      <c r="M72" s="21"/>
      <c r="N72" s="21"/>
      <c r="O72" s="21"/>
      <c r="P72" s="21"/>
      <c r="Q72" s="21"/>
      <c r="R72" s="21"/>
      <c r="S72" s="21"/>
    </row>
    <row r="73" spans="1:19" ht="15.75" thickTop="1">
      <c r="A73" s="2639"/>
      <c r="B73" s="2404"/>
      <c r="C73" s="2640"/>
      <c r="D73" s="2640"/>
      <c r="E73" s="2640"/>
      <c r="F73" s="2640"/>
      <c r="G73" s="2641"/>
      <c r="H73" s="2642"/>
      <c r="I73" s="2642"/>
      <c r="J73" s="2642"/>
      <c r="K73" s="2642"/>
      <c r="L73" s="2642"/>
      <c r="M73" s="2642"/>
      <c r="N73" s="2642"/>
      <c r="O73" s="2642"/>
      <c r="P73" s="2642"/>
      <c r="Q73" s="2642"/>
      <c r="R73" s="2642"/>
      <c r="S73" s="2642"/>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ht="15.75" thickBot="1">
      <c r="A75" s="2383"/>
      <c r="B75" s="2384"/>
      <c r="C75" s="2405"/>
      <c r="D75" s="2405"/>
      <c r="E75" s="2405"/>
      <c r="F75" s="2405"/>
      <c r="G75" s="2423"/>
      <c r="H75" s="2385"/>
      <c r="I75" s="2385"/>
      <c r="J75" s="2385"/>
      <c r="K75" s="2385"/>
      <c r="L75" s="2385"/>
      <c r="M75" s="2385"/>
      <c r="N75" s="2385"/>
      <c r="O75" s="2385"/>
      <c r="P75" s="2385"/>
      <c r="Q75" s="2385"/>
      <c r="R75" s="2385"/>
      <c r="S75" s="2385"/>
    </row>
    <row r="76" spans="1:19" ht="16.5" thickTop="1" thickBot="1">
      <c r="A76" s="726" t="s">
        <v>576</v>
      </c>
      <c r="B76" s="727"/>
      <c r="C76" s="12"/>
      <c r="D76" s="12"/>
      <c r="E76" s="12"/>
      <c r="F76" s="12"/>
      <c r="G76" s="13"/>
      <c r="H76" s="21"/>
      <c r="I76" s="21"/>
      <c r="J76" s="21"/>
      <c r="K76" s="21"/>
      <c r="L76" s="21"/>
      <c r="M76" s="21"/>
      <c r="N76" s="21"/>
      <c r="O76" s="21"/>
      <c r="P76" s="21"/>
      <c r="Q76" s="21"/>
      <c r="R76" s="21"/>
      <c r="S76" s="21"/>
    </row>
    <row r="77" spans="1:19" ht="15.75" thickTop="1">
      <c r="A77" s="2643"/>
      <c r="B77" s="2644"/>
      <c r="C77" s="2640"/>
      <c r="D77" s="2640"/>
      <c r="E77" s="2640"/>
      <c r="F77" s="2640"/>
      <c r="G77" s="2641"/>
      <c r="H77" s="2642"/>
      <c r="I77" s="2642"/>
      <c r="J77" s="2642"/>
      <c r="K77" s="2642"/>
      <c r="L77" s="2642"/>
      <c r="M77" s="2642"/>
      <c r="N77" s="2642"/>
      <c r="O77" s="2642"/>
      <c r="P77" s="2642"/>
      <c r="Q77" s="2642"/>
      <c r="R77" s="2642"/>
      <c r="S77" s="2642"/>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ht="15.75" thickBot="1">
      <c r="A79" s="2383"/>
      <c r="B79" s="2384"/>
      <c r="C79" s="2405"/>
      <c r="D79" s="2405"/>
      <c r="E79" s="2405"/>
      <c r="F79" s="2405"/>
      <c r="G79" s="2423"/>
      <c r="H79" s="2388"/>
      <c r="I79" s="2388"/>
      <c r="J79" s="2388"/>
      <c r="K79" s="2388"/>
      <c r="L79" s="2388"/>
      <c r="M79" s="2388"/>
      <c r="N79" s="2388"/>
      <c r="O79" s="2388"/>
      <c r="P79" s="2388"/>
      <c r="Q79" s="2388"/>
      <c r="R79" s="2388"/>
      <c r="S79" s="2388"/>
    </row>
    <row r="80" spans="1:19" ht="16.5" thickTop="1" thickBot="1">
      <c r="A80" s="726" t="s">
        <v>577</v>
      </c>
      <c r="B80" s="727"/>
      <c r="C80" s="12"/>
      <c r="D80" s="12"/>
      <c r="E80" s="12"/>
      <c r="F80" s="12"/>
      <c r="G80" s="13"/>
      <c r="H80" s="21"/>
      <c r="I80" s="21"/>
      <c r="J80" s="21"/>
      <c r="K80" s="21"/>
      <c r="L80" s="21"/>
      <c r="M80" s="21"/>
      <c r="N80" s="21"/>
      <c r="O80" s="21"/>
      <c r="P80" s="21"/>
      <c r="Q80" s="21"/>
      <c r="R80" s="21"/>
      <c r="S80" s="21"/>
    </row>
    <row r="81" spans="1:19" ht="15.75" thickTop="1">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ht="15.75" thickBot="1">
      <c r="A85" s="416"/>
      <c r="B85" s="295"/>
      <c r="C85" s="184"/>
      <c r="D85" s="184"/>
      <c r="E85" s="184"/>
      <c r="F85" s="184"/>
      <c r="G85" s="296"/>
      <c r="H85" s="418"/>
      <c r="I85" s="418"/>
      <c r="J85" s="418"/>
      <c r="K85" s="418"/>
      <c r="L85" s="418"/>
      <c r="M85" s="418"/>
      <c r="N85" s="418"/>
      <c r="O85" s="418"/>
      <c r="P85" s="418"/>
      <c r="Q85" s="418"/>
      <c r="R85" s="418"/>
      <c r="S85" s="418"/>
    </row>
    <row r="86" spans="1:19" ht="16.5" thickTop="1" thickBot="1">
      <c r="A86" s="7" t="s">
        <v>582</v>
      </c>
      <c r="B86" s="8"/>
      <c r="C86" s="12"/>
      <c r="D86" s="12"/>
      <c r="E86" s="12"/>
      <c r="F86" s="12"/>
      <c r="G86" s="13"/>
      <c r="H86" s="21"/>
      <c r="I86" s="21"/>
      <c r="J86" s="21"/>
      <c r="K86" s="21"/>
      <c r="L86" s="21"/>
      <c r="M86" s="21"/>
      <c r="N86" s="21"/>
      <c r="O86" s="21"/>
      <c r="P86" s="21"/>
      <c r="Q86" s="21"/>
      <c r="R86" s="21"/>
      <c r="S86" s="21"/>
    </row>
    <row r="87" spans="1:19" ht="15.75" thickTop="1">
      <c r="A87" s="2639"/>
      <c r="B87" s="2645" t="s">
        <v>583</v>
      </c>
      <c r="C87" s="2640"/>
      <c r="D87" s="2640"/>
      <c r="E87" s="2640"/>
      <c r="F87" s="2640"/>
      <c r="G87" s="2641"/>
      <c r="H87" s="2646"/>
      <c r="I87" s="2646"/>
      <c r="J87" s="2646"/>
      <c r="K87" s="2646"/>
      <c r="L87" s="2646"/>
      <c r="M87" s="2646"/>
      <c r="N87" s="2646"/>
      <c r="O87" s="2646"/>
      <c r="P87" s="2646"/>
      <c r="Q87" s="2646"/>
      <c r="R87" s="2646"/>
      <c r="S87" s="2646"/>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ht="15.75" thickBot="1">
      <c r="A89" s="2391"/>
      <c r="B89" s="2392" t="s">
        <v>585</v>
      </c>
      <c r="C89" s="2393"/>
      <c r="D89" s="2393"/>
      <c r="E89" s="2393"/>
      <c r="F89" s="2393"/>
      <c r="G89" s="2394"/>
      <c r="H89" s="2395"/>
      <c r="I89" s="2395"/>
      <c r="J89" s="2395"/>
      <c r="K89" s="2395"/>
      <c r="L89" s="2395"/>
      <c r="M89" s="2395"/>
      <c r="N89" s="2395"/>
      <c r="O89" s="2395"/>
      <c r="P89" s="2395"/>
      <c r="Q89" s="2395"/>
      <c r="R89" s="2395"/>
      <c r="S89" s="2395"/>
    </row>
    <row r="90" spans="1:19" ht="16.5" thickTop="1" thickBot="1"/>
    <row r="91" spans="1:19" ht="16.5" thickTop="1" thickBot="1">
      <c r="A91" s="92" t="s">
        <v>586</v>
      </c>
      <c r="B91" s="94"/>
    </row>
    <row r="92" spans="1:19" ht="15.75" thickTop="1">
      <c r="A92" s="93" t="s">
        <v>487</v>
      </c>
      <c r="B92" s="2396"/>
    </row>
    <row r="93" spans="1:19">
      <c r="A93" s="2397" t="s">
        <v>491</v>
      </c>
      <c r="B93" s="2396"/>
    </row>
    <row r="94" spans="1:19">
      <c r="A94" s="2398" t="s">
        <v>494</v>
      </c>
      <c r="B94" s="2399"/>
    </row>
    <row r="95" spans="1:19">
      <c r="A95" s="2398" t="s">
        <v>497</v>
      </c>
      <c r="B95" s="2400"/>
    </row>
    <row r="96" spans="1:19" ht="15.75" thickBot="1">
      <c r="A96" s="2401" t="s">
        <v>587</v>
      </c>
      <c r="B96" s="2402"/>
    </row>
    <row r="97" spans="1:2" ht="15.75" thickTop="1"/>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749" priority="13" operator="equal">
      <formula>"X"</formula>
    </cfRule>
    <cfRule type="cellIs" dxfId="748" priority="14" operator="equal">
      <formula>"I"</formula>
    </cfRule>
  </conditionalFormatting>
  <conditionalFormatting sqref="H32:H35">
    <cfRule type="cellIs" dxfId="747" priority="1" operator="equal">
      <formula>"X"</formula>
    </cfRule>
    <cfRule type="cellIs" dxfId="746" priority="2" operator="equal">
      <formula>"I"</formula>
    </cfRule>
  </conditionalFormatting>
  <conditionalFormatting sqref="J20:J30">
    <cfRule type="cellIs" dxfId="745" priority="15" operator="equal">
      <formula>"X"</formula>
    </cfRule>
    <cfRule type="cellIs" dxfId="744" priority="16" operator="equal">
      <formula>"I"</formula>
    </cfRule>
  </conditionalFormatting>
  <conditionalFormatting sqref="J32:J35">
    <cfRule type="cellIs" dxfId="743" priority="3" operator="equal">
      <formula>"X"</formula>
    </cfRule>
    <cfRule type="cellIs" dxfId="742" priority="4" operator="equal">
      <formula>"I"</formula>
    </cfRule>
  </conditionalFormatting>
  <conditionalFormatting sqref="L20:L30">
    <cfRule type="cellIs" dxfId="741" priority="17" operator="equal">
      <formula>"X"</formula>
    </cfRule>
    <cfRule type="cellIs" dxfId="740" priority="18" operator="equal">
      <formula>"I"</formula>
    </cfRule>
  </conditionalFormatting>
  <conditionalFormatting sqref="L32:L35">
    <cfRule type="cellIs" dxfId="739" priority="5" operator="equal">
      <formula>"X"</formula>
    </cfRule>
    <cfRule type="cellIs" dxfId="738" priority="6" operator="equal">
      <formula>"I"</formula>
    </cfRule>
  </conditionalFormatting>
  <conditionalFormatting sqref="N20:N30">
    <cfRule type="cellIs" dxfId="737" priority="19" operator="equal">
      <formula>"X"</formula>
    </cfRule>
    <cfRule type="cellIs" dxfId="736" priority="20" operator="equal">
      <formula>"I"</formula>
    </cfRule>
  </conditionalFormatting>
  <conditionalFormatting sqref="N32:N35">
    <cfRule type="cellIs" dxfId="735" priority="7" operator="equal">
      <formula>"X"</formula>
    </cfRule>
    <cfRule type="cellIs" dxfId="734" priority="8" operator="equal">
      <formula>"I"</formula>
    </cfRule>
  </conditionalFormatting>
  <conditionalFormatting sqref="P20:P30">
    <cfRule type="cellIs" dxfId="733" priority="21" operator="equal">
      <formula>"X"</formula>
    </cfRule>
    <cfRule type="cellIs" dxfId="732" priority="22" operator="equal">
      <formula>"I"</formula>
    </cfRule>
  </conditionalFormatting>
  <conditionalFormatting sqref="P32:P35">
    <cfRule type="cellIs" dxfId="731" priority="9" operator="equal">
      <formula>"X"</formula>
    </cfRule>
    <cfRule type="cellIs" dxfId="730" priority="10" operator="equal">
      <formula>"I"</formula>
    </cfRule>
  </conditionalFormatting>
  <conditionalFormatting sqref="R20:R30">
    <cfRule type="cellIs" dxfId="729" priority="23" operator="equal">
      <formula>"X"</formula>
    </cfRule>
    <cfRule type="cellIs" dxfId="728" priority="24" operator="equal">
      <formula>"I"</formula>
    </cfRule>
  </conditionalFormatting>
  <conditionalFormatting sqref="R32:R35">
    <cfRule type="cellIs" dxfId="727" priority="11" operator="equal">
      <formula>"X"</formula>
    </cfRule>
    <cfRule type="cellIs" dxfId="726" priority="12" operator="equal">
      <formula>"I"</formula>
    </cfRule>
  </conditionalFormatting>
  <hyperlinks>
    <hyperlink ref="B3" location="'Cost Summary'!A1" display="BACK TO SUMMARY SHEET" xr:uid="{6CBD802F-11F4-41C8-9711-1ED1F1B17C3A}"/>
  </hyperlink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3793-E553-4301-A096-653F7043C38D}">
  <sheetPr>
    <tabColor rgb="FF92D050"/>
  </sheetPr>
  <dimension ref="A1:S99"/>
  <sheetViews>
    <sheetView zoomScale="91" zoomScaleNormal="91" workbookViewId="0">
      <pane xSplit="2" ySplit="9" topLeftCell="C40" activePane="bottomRight" state="frozen"/>
      <selection pane="bottomRight" activeCell="B34" sqref="B34"/>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1151</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1152</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625">
        <f>I60</f>
        <v>0</v>
      </c>
      <c r="I8" s="2625"/>
      <c r="J8" s="2625">
        <f>K60</f>
        <v>0</v>
      </c>
      <c r="K8" s="2625"/>
      <c r="L8" s="2625">
        <f>M60</f>
        <v>0</v>
      </c>
      <c r="M8" s="2625"/>
      <c r="N8" s="2625">
        <f>O60</f>
        <v>0</v>
      </c>
      <c r="O8" s="2625"/>
      <c r="P8" s="2625">
        <f>Q60</f>
        <v>0</v>
      </c>
      <c r="Q8" s="2625"/>
      <c r="R8" s="2420">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648"/>
      <c r="B21" s="2428" t="s">
        <v>1151</v>
      </c>
      <c r="C21" s="56"/>
      <c r="D21" s="57"/>
      <c r="E21" s="57"/>
      <c r="F21" s="57"/>
      <c r="G21" s="63"/>
      <c r="H21" s="2427"/>
      <c r="I21" s="2649"/>
      <c r="J21" s="2427"/>
      <c r="K21" s="2650"/>
      <c r="L21" s="2427"/>
      <c r="M21" s="2650"/>
      <c r="N21" s="2427"/>
      <c r="O21" s="2650"/>
      <c r="P21" s="2427"/>
      <c r="Q21" s="2650"/>
      <c r="R21" s="2427"/>
      <c r="S21" s="2650"/>
    </row>
    <row r="22" spans="1:19">
      <c r="A22" s="2651"/>
      <c r="B22" s="2318" t="s">
        <v>512</v>
      </c>
      <c r="C22" s="2426"/>
      <c r="D22" s="2405"/>
      <c r="E22" s="2405"/>
      <c r="F22" s="2405"/>
      <c r="G22" s="2423"/>
      <c r="H22" s="2427"/>
      <c r="I22" s="2649"/>
      <c r="J22" s="2427"/>
      <c r="K22" s="2650"/>
      <c r="L22" s="2427"/>
      <c r="M22" s="2650"/>
      <c r="N22" s="2427"/>
      <c r="O22" s="2650"/>
      <c r="P22" s="2427"/>
      <c r="Q22" s="2650"/>
      <c r="R22" s="2427"/>
      <c r="S22" s="2650"/>
    </row>
    <row r="23" spans="1:19">
      <c r="A23" s="2651"/>
      <c r="B23" s="2652" t="s">
        <v>513</v>
      </c>
      <c r="C23" s="2426"/>
      <c r="D23" s="2405"/>
      <c r="E23" s="2405"/>
      <c r="F23" s="2405"/>
      <c r="G23" s="2423"/>
      <c r="H23" s="2427"/>
      <c r="I23" s="2649"/>
      <c r="J23" s="2427"/>
      <c r="K23" s="2650"/>
      <c r="L23" s="2427"/>
      <c r="M23" s="2650"/>
      <c r="N23" s="2427"/>
      <c r="O23" s="2650"/>
      <c r="P23" s="2427"/>
      <c r="Q23" s="2650"/>
      <c r="R23" s="2427"/>
      <c r="S23" s="2650"/>
    </row>
    <row r="24" spans="1:19">
      <c r="A24" s="2648"/>
      <c r="B24" s="2652" t="s">
        <v>514</v>
      </c>
      <c r="C24" s="2430"/>
      <c r="D24" s="2405"/>
      <c r="E24" s="2405"/>
      <c r="F24" s="2405"/>
      <c r="G24" s="2423"/>
      <c r="H24" s="2427"/>
      <c r="I24" s="2649"/>
      <c r="J24" s="2427"/>
      <c r="K24" s="2650"/>
      <c r="L24" s="2427"/>
      <c r="M24" s="2650"/>
      <c r="N24" s="2427"/>
      <c r="O24" s="2650"/>
      <c r="P24" s="2427"/>
      <c r="Q24" s="2650"/>
      <c r="R24" s="2427"/>
      <c r="S24" s="2650"/>
    </row>
    <row r="25" spans="1:19">
      <c r="A25" s="2648"/>
      <c r="B25" s="2653"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651"/>
      <c r="B26" s="2653" t="s">
        <v>516</v>
      </c>
      <c r="C26" s="2432"/>
      <c r="D26" s="2433"/>
      <c r="E26" s="2433"/>
      <c r="F26" s="2433"/>
      <c r="G26" s="2432"/>
      <c r="H26" s="2427"/>
      <c r="I26" s="2649"/>
      <c r="J26" s="2427"/>
      <c r="K26" s="2654"/>
      <c r="L26" s="2427"/>
      <c r="M26" s="2654"/>
      <c r="N26" s="2427"/>
      <c r="O26" s="2654"/>
      <c r="P26" s="2427"/>
      <c r="Q26" s="2654"/>
      <c r="R26" s="2427"/>
      <c r="S26" s="2654"/>
    </row>
    <row r="27" spans="1:19" s="91" customFormat="1">
      <c r="A27" s="2651"/>
      <c r="B27" s="2653" t="s">
        <v>517</v>
      </c>
      <c r="C27" s="2432"/>
      <c r="D27" s="2433"/>
      <c r="E27" s="2433"/>
      <c r="F27" s="2433"/>
      <c r="G27" s="2432"/>
      <c r="H27" s="2427"/>
      <c r="I27" s="2649"/>
      <c r="J27" s="2427"/>
      <c r="K27" s="2654"/>
      <c r="L27" s="2427"/>
      <c r="M27" s="2654"/>
      <c r="N27" s="2427"/>
      <c r="O27" s="2654"/>
      <c r="P27" s="2427"/>
      <c r="Q27" s="2654"/>
      <c r="R27" s="2427"/>
      <c r="S27" s="2654"/>
    </row>
    <row r="28" spans="1:19" s="91" customFormat="1">
      <c r="A28" s="2651"/>
      <c r="B28" s="2653" t="s">
        <v>518</v>
      </c>
      <c r="C28" s="2432"/>
      <c r="D28" s="2433"/>
      <c r="E28" s="2433"/>
      <c r="F28" s="2433"/>
      <c r="G28" s="2432"/>
      <c r="H28" s="2427"/>
      <c r="I28" s="2649"/>
      <c r="J28" s="2427"/>
      <c r="K28" s="2654"/>
      <c r="L28" s="2427"/>
      <c r="M28" s="2654"/>
      <c r="N28" s="2427"/>
      <c r="O28" s="2654"/>
      <c r="P28" s="2427"/>
      <c r="Q28" s="2654"/>
      <c r="R28" s="2427"/>
      <c r="S28" s="2654"/>
    </row>
    <row r="29" spans="1:19" s="91" customFormat="1">
      <c r="A29" s="2651"/>
      <c r="B29" s="2653" t="s">
        <v>693</v>
      </c>
      <c r="C29" s="2432"/>
      <c r="D29" s="2433"/>
      <c r="E29" s="2433"/>
      <c r="F29" s="2433"/>
      <c r="G29" s="2432"/>
      <c r="H29" s="2427"/>
      <c r="I29" s="2655"/>
      <c r="J29" s="2427"/>
      <c r="K29" s="2654"/>
      <c r="L29" s="2427"/>
      <c r="M29" s="2654"/>
      <c r="N29" s="2427"/>
      <c r="O29" s="2654"/>
      <c r="P29" s="2427"/>
      <c r="Q29" s="2654"/>
      <c r="R29" s="2427"/>
      <c r="S29" s="2654"/>
    </row>
    <row r="30" spans="1:19" s="91" customFormat="1">
      <c r="A30" s="2651"/>
      <c r="B30" s="2656" t="s">
        <v>519</v>
      </c>
      <c r="C30" s="2432"/>
      <c r="D30" s="2433"/>
      <c r="E30" s="2433"/>
      <c r="F30" s="2433"/>
      <c r="G30" s="2432"/>
      <c r="H30" s="2427"/>
      <c r="I30" s="2649"/>
      <c r="J30" s="2427"/>
      <c r="K30" s="2654"/>
      <c r="L30" s="2427"/>
      <c r="M30" s="2654"/>
      <c r="N30" s="2427"/>
      <c r="O30" s="2654"/>
      <c r="P30" s="2427"/>
      <c r="Q30" s="2654"/>
      <c r="R30" s="2427"/>
      <c r="S30" s="2654"/>
    </row>
    <row r="31" spans="1:19" s="91" customFormat="1">
      <c r="A31" s="2651"/>
      <c r="B31" s="2657" t="s">
        <v>520</v>
      </c>
      <c r="C31" s="2435"/>
      <c r="D31" s="2436"/>
      <c r="E31" s="2436"/>
      <c r="F31" s="2436"/>
      <c r="G31" s="2435"/>
      <c r="H31" s="2439"/>
      <c r="I31" s="2658"/>
      <c r="J31" s="2443"/>
      <c r="K31" s="2659"/>
      <c r="L31" s="2443"/>
      <c r="M31" s="2659"/>
      <c r="N31" s="2659"/>
      <c r="O31" s="2659"/>
      <c r="P31" s="2659"/>
      <c r="Q31" s="2659"/>
      <c r="R31" s="2659"/>
      <c r="S31" s="2659"/>
    </row>
    <row r="32" spans="1:19" s="91" customFormat="1">
      <c r="A32" s="2651"/>
      <c r="B32" s="151" t="s">
        <v>748</v>
      </c>
      <c r="C32" s="2432"/>
      <c r="D32" s="2433"/>
      <c r="E32" s="2433"/>
      <c r="F32" s="2433"/>
      <c r="G32" s="2432"/>
      <c r="H32" s="2427"/>
      <c r="I32" s="2649"/>
      <c r="J32" s="2427"/>
      <c r="K32" s="2654"/>
      <c r="L32" s="2427"/>
      <c r="M32" s="2654"/>
      <c r="N32" s="2427"/>
      <c r="O32" s="2654"/>
      <c r="P32" s="2427"/>
      <c r="Q32" s="2654"/>
      <c r="R32" s="2427"/>
      <c r="S32" s="2654"/>
    </row>
    <row r="33" spans="1:19" s="91" customFormat="1">
      <c r="A33" s="2651"/>
      <c r="B33" s="2545"/>
      <c r="C33" s="2432"/>
      <c r="D33" s="2433"/>
      <c r="E33" s="2433"/>
      <c r="F33" s="2433"/>
      <c r="G33" s="2432"/>
      <c r="H33" s="2427"/>
      <c r="I33" s="2649"/>
      <c r="J33" s="2427"/>
      <c r="K33" s="2654"/>
      <c r="L33" s="2427"/>
      <c r="M33" s="2654"/>
      <c r="N33" s="2427"/>
      <c r="O33" s="2654"/>
      <c r="P33" s="2427"/>
      <c r="Q33" s="2654"/>
      <c r="R33" s="2427"/>
      <c r="S33" s="2654"/>
    </row>
    <row r="34" spans="1:19" s="91" customFormat="1">
      <c r="A34" s="2636"/>
      <c r="B34" s="2545"/>
      <c r="C34" s="2445"/>
      <c r="D34" s="2433"/>
      <c r="E34" s="2433"/>
      <c r="F34" s="2433"/>
      <c r="G34" s="2432"/>
      <c r="H34" s="2427"/>
      <c r="I34" s="2649"/>
      <c r="J34" s="2427"/>
      <c r="K34" s="2654"/>
      <c r="L34" s="2427"/>
      <c r="M34" s="2654"/>
      <c r="N34" s="2427"/>
      <c r="O34" s="2654"/>
      <c r="P34" s="2427"/>
      <c r="Q34" s="2654"/>
      <c r="R34" s="2427"/>
      <c r="S34" s="2654"/>
    </row>
    <row r="35" spans="1:19" s="91" customFormat="1">
      <c r="A35" s="2636"/>
      <c r="B35" s="2545"/>
      <c r="C35" s="2445"/>
      <c r="D35" s="2433"/>
      <c r="E35" s="2433"/>
      <c r="F35" s="2433"/>
      <c r="G35" s="2432"/>
      <c r="H35" s="2427"/>
      <c r="I35" s="2649"/>
      <c r="J35" s="2427"/>
      <c r="K35" s="2654"/>
      <c r="L35" s="2427"/>
      <c r="M35" s="2654"/>
      <c r="N35" s="2427"/>
      <c r="O35" s="2654"/>
      <c r="P35" s="2427"/>
      <c r="Q35" s="2654"/>
      <c r="R35" s="2427"/>
      <c r="S35" s="2654"/>
    </row>
    <row r="36" spans="1:19" s="91" customFormat="1">
      <c r="A36" s="2636"/>
      <c r="B36" s="2545"/>
      <c r="C36" s="2445"/>
      <c r="D36" s="2433"/>
      <c r="E36" s="2433"/>
      <c r="F36" s="2433"/>
      <c r="G36" s="2432"/>
      <c r="H36" s="2537"/>
      <c r="I36" s="2649"/>
      <c r="J36" s="2539"/>
      <c r="K36" s="2654"/>
      <c r="L36" s="2539"/>
      <c r="M36" s="2654"/>
      <c r="N36" s="2654"/>
      <c r="O36" s="2654"/>
      <c r="P36" s="2654"/>
      <c r="Q36" s="2654"/>
      <c r="R36" s="2654"/>
      <c r="S36" s="2654"/>
    </row>
    <row r="37" spans="1:19" s="91" customFormat="1">
      <c r="A37" s="2636"/>
      <c r="B37" s="2545"/>
      <c r="C37" s="2445"/>
      <c r="D37" s="2433"/>
      <c r="E37" s="2433"/>
      <c r="F37" s="2433"/>
      <c r="G37" s="2432"/>
      <c r="H37" s="2537"/>
      <c r="I37" s="2649"/>
      <c r="J37" s="2539"/>
      <c r="K37" s="2654"/>
      <c r="L37" s="2539"/>
      <c r="M37" s="2654"/>
      <c r="N37" s="2654"/>
      <c r="O37" s="2654"/>
      <c r="P37" s="2654"/>
      <c r="Q37" s="2654"/>
      <c r="R37" s="2654"/>
      <c r="S37" s="2654"/>
    </row>
    <row r="38" spans="1:19" s="91" customFormat="1">
      <c r="A38" s="2636"/>
      <c r="B38" s="2545"/>
      <c r="C38" s="2445"/>
      <c r="D38" s="2433"/>
      <c r="E38" s="2433"/>
      <c r="F38" s="2433"/>
      <c r="G38" s="2432"/>
      <c r="H38" s="2537"/>
      <c r="I38" s="2649"/>
      <c r="J38" s="2539"/>
      <c r="K38" s="2654"/>
      <c r="L38" s="2539"/>
      <c r="M38" s="2654"/>
      <c r="N38" s="2654"/>
      <c r="O38" s="2654"/>
      <c r="P38" s="2654"/>
      <c r="Q38" s="2654"/>
      <c r="R38" s="2654"/>
      <c r="S38" s="2654"/>
    </row>
    <row r="39" spans="1:19" s="91" customFormat="1">
      <c r="A39" s="2636"/>
      <c r="B39" s="2545"/>
      <c r="C39" s="2445"/>
      <c r="D39" s="2433"/>
      <c r="E39" s="2546"/>
      <c r="F39" s="2547"/>
      <c r="G39" s="2432"/>
      <c r="H39" s="2537"/>
      <c r="I39" s="2649"/>
      <c r="J39" s="2539"/>
      <c r="K39" s="2654"/>
      <c r="L39" s="2539"/>
      <c r="M39" s="2654"/>
      <c r="N39" s="2654"/>
      <c r="O39" s="2654"/>
      <c r="P39" s="2654"/>
      <c r="Q39" s="2654"/>
      <c r="R39" s="2654"/>
      <c r="S39" s="2654"/>
    </row>
    <row r="40" spans="1:19" s="91" customFormat="1">
      <c r="A40" s="2636"/>
      <c r="B40" s="2545"/>
      <c r="C40" s="2445"/>
      <c r="D40" s="2433"/>
      <c r="E40" s="2546"/>
      <c r="F40" s="2547"/>
      <c r="G40" s="2432"/>
      <c r="H40" s="2537"/>
      <c r="I40" s="2649"/>
      <c r="J40" s="2539"/>
      <c r="K40" s="2654"/>
      <c r="L40" s="2539"/>
      <c r="M40" s="2654"/>
      <c r="N40" s="2654"/>
      <c r="O40" s="2654"/>
      <c r="P40" s="2654"/>
      <c r="Q40" s="2654"/>
      <c r="R40" s="2654"/>
      <c r="S40" s="2654"/>
    </row>
    <row r="41" spans="1:19" s="91" customFormat="1">
      <c r="A41" s="2636"/>
      <c r="B41" s="2545"/>
      <c r="C41" s="2445"/>
      <c r="D41" s="2433"/>
      <c r="E41" s="2546"/>
      <c r="F41" s="2547"/>
      <c r="G41" s="2432"/>
      <c r="H41" s="2537"/>
      <c r="I41" s="2649"/>
      <c r="J41" s="2539"/>
      <c r="K41" s="2654"/>
      <c r="L41" s="2539"/>
      <c r="M41" s="2654"/>
      <c r="N41" s="2654"/>
      <c r="O41" s="2654"/>
      <c r="P41" s="2654"/>
      <c r="Q41" s="2654"/>
      <c r="R41" s="2654"/>
      <c r="S41" s="2654"/>
    </row>
    <row r="42" spans="1:19" s="91" customFormat="1">
      <c r="A42" s="2636"/>
      <c r="B42" s="2637"/>
      <c r="C42" s="2445"/>
      <c r="D42" s="2433"/>
      <c r="E42" s="2546"/>
      <c r="F42" s="2547"/>
      <c r="G42" s="2432"/>
      <c r="H42" s="2537"/>
      <c r="I42" s="2649"/>
      <c r="J42" s="2539"/>
      <c r="K42" s="2654"/>
      <c r="L42" s="2539"/>
      <c r="M42" s="2654"/>
      <c r="N42" s="2654"/>
      <c r="O42" s="2654"/>
      <c r="P42" s="2654"/>
      <c r="Q42" s="2654"/>
      <c r="R42" s="2654"/>
      <c r="S42" s="2654"/>
    </row>
    <row r="43" spans="1:19" s="91" customFormat="1">
      <c r="A43" s="2636"/>
      <c r="B43" s="2638"/>
      <c r="C43" s="2445"/>
      <c r="D43" s="2433"/>
      <c r="E43" s="2546"/>
      <c r="F43" s="2547"/>
      <c r="G43" s="2432"/>
      <c r="H43" s="2537"/>
      <c r="I43" s="2649"/>
      <c r="J43" s="2539"/>
      <c r="K43" s="2654"/>
      <c r="L43" s="2539"/>
      <c r="M43" s="2654"/>
      <c r="N43" s="2654"/>
      <c r="O43" s="2654"/>
      <c r="P43" s="2654"/>
      <c r="Q43" s="2654"/>
      <c r="R43" s="2654"/>
      <c r="S43" s="2654"/>
    </row>
    <row r="44" spans="1:19" s="91" customFormat="1">
      <c r="A44" s="2636"/>
      <c r="B44" s="152"/>
      <c r="C44" s="2445"/>
      <c r="D44" s="2433"/>
      <c r="E44" s="2546"/>
      <c r="F44" s="2547"/>
      <c r="G44" s="2432"/>
      <c r="H44" s="2537"/>
      <c r="I44" s="2649"/>
      <c r="J44" s="2539"/>
      <c r="K44" s="2654"/>
      <c r="L44" s="2539"/>
      <c r="M44" s="2654"/>
      <c r="N44" s="2654"/>
      <c r="O44" s="2654"/>
      <c r="P44" s="2654"/>
      <c r="Q44" s="2654"/>
      <c r="R44" s="2654"/>
      <c r="S44" s="2654"/>
    </row>
    <row r="45" spans="1:19" s="91" customFormat="1">
      <c r="A45" s="2636"/>
      <c r="B45" s="2545"/>
      <c r="C45" s="2445"/>
      <c r="D45" s="2433"/>
      <c r="E45" s="2546"/>
      <c r="F45" s="2547"/>
      <c r="G45" s="2432"/>
      <c r="H45" s="2537"/>
      <c r="I45" s="2649"/>
      <c r="J45" s="2539"/>
      <c r="K45" s="2654"/>
      <c r="L45" s="2539"/>
      <c r="M45" s="2654"/>
      <c r="N45" s="2654"/>
      <c r="O45" s="2654"/>
      <c r="P45" s="2654"/>
      <c r="Q45" s="2654"/>
      <c r="R45" s="2654"/>
      <c r="S45" s="2654"/>
    </row>
    <row r="46" spans="1:19" s="91" customFormat="1">
      <c r="A46" s="2636"/>
      <c r="B46" s="2545"/>
      <c r="C46" s="2445"/>
      <c r="D46" s="2433"/>
      <c r="E46" s="2546"/>
      <c r="F46" s="2547"/>
      <c r="G46" s="2432"/>
      <c r="H46" s="2537"/>
      <c r="I46" s="2649"/>
      <c r="J46" s="2539"/>
      <c r="K46" s="2654"/>
      <c r="L46" s="2539"/>
      <c r="M46" s="2654"/>
      <c r="N46" s="2654"/>
      <c r="O46" s="2654"/>
      <c r="P46" s="2654"/>
      <c r="Q46" s="2654"/>
      <c r="R46" s="2654"/>
      <c r="S46" s="2654"/>
    </row>
    <row r="47" spans="1:19" s="91" customFormat="1">
      <c r="A47" s="2636"/>
      <c r="B47" s="2545"/>
      <c r="C47" s="2445"/>
      <c r="D47" s="2433"/>
      <c r="E47" s="2546"/>
      <c r="F47" s="2547"/>
      <c r="G47" s="2432"/>
      <c r="H47" s="2537"/>
      <c r="I47" s="2649"/>
      <c r="J47" s="2539"/>
      <c r="K47" s="2654"/>
      <c r="L47" s="2539"/>
      <c r="M47" s="2654"/>
      <c r="N47" s="2654"/>
      <c r="O47" s="2654"/>
      <c r="P47" s="2654"/>
      <c r="Q47" s="2654"/>
      <c r="R47" s="2654"/>
      <c r="S47" s="2654"/>
    </row>
    <row r="48" spans="1:19" s="91" customFormat="1">
      <c r="A48" s="2636"/>
      <c r="B48" s="2545"/>
      <c r="C48" s="2445"/>
      <c r="D48" s="2433"/>
      <c r="E48" s="2546"/>
      <c r="F48" s="2547"/>
      <c r="G48" s="2432"/>
      <c r="H48" s="2537"/>
      <c r="I48" s="2649"/>
      <c r="J48" s="2539"/>
      <c r="K48" s="2654"/>
      <c r="L48" s="2539"/>
      <c r="M48" s="2654"/>
      <c r="N48" s="2654"/>
      <c r="O48" s="2654"/>
      <c r="P48" s="2654"/>
      <c r="Q48" s="2654"/>
      <c r="R48" s="2654"/>
      <c r="S48" s="2654"/>
    </row>
    <row r="49" spans="1:19" s="91" customFormat="1">
      <c r="A49" s="2636"/>
      <c r="B49" s="2545"/>
      <c r="C49" s="2445"/>
      <c r="D49" s="2433"/>
      <c r="E49" s="2546"/>
      <c r="F49" s="2547"/>
      <c r="G49" s="2432"/>
      <c r="H49" s="2537"/>
      <c r="I49" s="2649"/>
      <c r="J49" s="2539"/>
      <c r="K49" s="2654"/>
      <c r="L49" s="2539"/>
      <c r="M49" s="2654"/>
      <c r="N49" s="2654"/>
      <c r="O49" s="2654"/>
      <c r="P49" s="2654"/>
      <c r="Q49" s="2654"/>
      <c r="R49" s="2654"/>
      <c r="S49" s="2654"/>
    </row>
    <row r="50" spans="1:19" s="91" customFormat="1">
      <c r="A50" s="2636"/>
      <c r="B50" s="2545"/>
      <c r="C50" s="2445"/>
      <c r="D50" s="2433"/>
      <c r="E50" s="2546"/>
      <c r="F50" s="2547"/>
      <c r="G50" s="2432"/>
      <c r="H50" s="2537"/>
      <c r="I50" s="2649"/>
      <c r="J50" s="2539"/>
      <c r="K50" s="2654"/>
      <c r="L50" s="2539"/>
      <c r="M50" s="2654"/>
      <c r="N50" s="2654"/>
      <c r="O50" s="2654"/>
      <c r="P50" s="2654"/>
      <c r="Q50" s="2654"/>
      <c r="R50" s="2654"/>
      <c r="S50" s="2654"/>
    </row>
    <row r="51" spans="1:19" s="91" customFormat="1">
      <c r="A51" s="2636"/>
      <c r="B51" s="2545"/>
      <c r="C51" s="2445"/>
      <c r="D51" s="2433"/>
      <c r="E51" s="2546"/>
      <c r="F51" s="2547"/>
      <c r="G51" s="2432"/>
      <c r="H51" s="2537"/>
      <c r="I51" s="2649"/>
      <c r="J51" s="2539"/>
      <c r="K51" s="2654"/>
      <c r="L51" s="2539"/>
      <c r="M51" s="2654"/>
      <c r="N51" s="2654"/>
      <c r="O51" s="2654"/>
      <c r="P51" s="2654"/>
      <c r="Q51" s="2654"/>
      <c r="R51" s="2654"/>
      <c r="S51" s="2654"/>
    </row>
    <row r="52" spans="1:19" s="91" customFormat="1">
      <c r="A52" s="2636"/>
      <c r="B52" s="2545"/>
      <c r="C52" s="2445"/>
      <c r="D52" s="2433"/>
      <c r="E52" s="2546"/>
      <c r="F52" s="2547"/>
      <c r="G52" s="2432"/>
      <c r="H52" s="2537"/>
      <c r="I52" s="2649"/>
      <c r="J52" s="2539"/>
      <c r="K52" s="2654"/>
      <c r="L52" s="2539"/>
      <c r="M52" s="2654"/>
      <c r="N52" s="2654"/>
      <c r="O52" s="2654"/>
      <c r="P52" s="2654"/>
      <c r="Q52" s="2654"/>
      <c r="R52" s="2654"/>
      <c r="S52" s="2654"/>
    </row>
    <row r="53" spans="1:19" s="91" customFormat="1">
      <c r="A53" s="2636"/>
      <c r="B53" s="2545"/>
      <c r="C53" s="2445"/>
      <c r="D53" s="2433"/>
      <c r="E53" s="2546"/>
      <c r="F53" s="2547"/>
      <c r="G53" s="2432"/>
      <c r="H53" s="2537"/>
      <c r="I53" s="2649"/>
      <c r="J53" s="2539"/>
      <c r="K53" s="2654"/>
      <c r="L53" s="2539"/>
      <c r="M53" s="2654"/>
      <c r="N53" s="2654"/>
      <c r="O53" s="2654"/>
      <c r="P53" s="2654"/>
      <c r="Q53" s="2654"/>
      <c r="R53" s="2654"/>
      <c r="S53" s="2654"/>
    </row>
    <row r="54" spans="1:19" s="91" customFormat="1">
      <c r="A54" s="2636"/>
      <c r="B54" s="2545"/>
      <c r="C54" s="2445"/>
      <c r="D54" s="2433"/>
      <c r="E54" s="2546"/>
      <c r="F54" s="2547"/>
      <c r="G54" s="2432"/>
      <c r="H54" s="2537"/>
      <c r="I54" s="2649"/>
      <c r="J54" s="2539"/>
      <c r="K54" s="2654"/>
      <c r="L54" s="2539"/>
      <c r="M54" s="2654"/>
      <c r="N54" s="2654"/>
      <c r="O54" s="2654"/>
      <c r="P54" s="2654"/>
      <c r="Q54" s="2654"/>
      <c r="R54" s="2654"/>
      <c r="S54" s="2654"/>
    </row>
    <row r="55" spans="1:19" s="91" customFormat="1">
      <c r="A55" s="2636"/>
      <c r="B55" s="2545"/>
      <c r="C55" s="2445"/>
      <c r="D55" s="2433"/>
      <c r="E55" s="2546"/>
      <c r="F55" s="2547"/>
      <c r="G55" s="2432"/>
      <c r="H55" s="2537"/>
      <c r="I55" s="2649"/>
      <c r="J55" s="2539"/>
      <c r="K55" s="2654"/>
      <c r="L55" s="2539"/>
      <c r="M55" s="2654"/>
      <c r="N55" s="2654"/>
      <c r="O55" s="2654"/>
      <c r="P55" s="2654"/>
      <c r="Q55" s="2654"/>
      <c r="R55" s="2654"/>
      <c r="S55" s="2654"/>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639"/>
      <c r="B65" s="2404"/>
      <c r="C65" s="2640"/>
      <c r="D65" s="2640"/>
      <c r="E65" s="2640"/>
      <c r="F65" s="2640"/>
      <c r="G65" s="2641"/>
      <c r="H65" s="2642"/>
      <c r="I65" s="2642"/>
      <c r="J65" s="2642"/>
      <c r="K65" s="2642"/>
      <c r="L65" s="2642"/>
      <c r="M65" s="2642"/>
      <c r="N65" s="2642"/>
      <c r="O65" s="2642"/>
      <c r="P65" s="2642"/>
      <c r="Q65" s="2642"/>
      <c r="R65" s="2642"/>
      <c r="S65" s="2642"/>
    </row>
    <row r="66" spans="1:19" s="2" customFormat="1">
      <c r="A66" s="2639"/>
      <c r="B66" s="2404"/>
      <c r="C66" s="2640"/>
      <c r="D66" s="2640"/>
      <c r="E66" s="2640"/>
      <c r="F66" s="2640"/>
      <c r="G66" s="2641"/>
      <c r="H66" s="2642"/>
      <c r="I66" s="2642"/>
      <c r="J66" s="2642"/>
      <c r="K66" s="2642"/>
      <c r="L66" s="2642"/>
      <c r="M66" s="2642"/>
      <c r="N66" s="2642"/>
      <c r="O66" s="2642"/>
      <c r="P66" s="2642"/>
      <c r="Q66" s="2642"/>
      <c r="R66" s="2642"/>
      <c r="S66" s="2642"/>
    </row>
    <row r="67" spans="1:19" s="2" customFormat="1">
      <c r="A67" s="2639"/>
      <c r="B67" s="2404"/>
      <c r="C67" s="2640"/>
      <c r="D67" s="2640"/>
      <c r="E67" s="2640"/>
      <c r="F67" s="2640"/>
      <c r="G67" s="2641"/>
      <c r="H67" s="2642"/>
      <c r="I67" s="2642"/>
      <c r="J67" s="2642"/>
      <c r="K67" s="2642"/>
      <c r="L67" s="2642"/>
      <c r="M67" s="2642"/>
      <c r="N67" s="2642"/>
      <c r="O67" s="2642"/>
      <c r="P67" s="2642"/>
      <c r="Q67" s="2642"/>
      <c r="R67" s="2642"/>
      <c r="S67" s="2642"/>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639"/>
      <c r="B69" s="2404"/>
      <c r="C69" s="2640"/>
      <c r="D69" s="2640"/>
      <c r="E69" s="2640"/>
      <c r="F69" s="2640"/>
      <c r="G69" s="2641"/>
      <c r="H69" s="2642"/>
      <c r="I69" s="2642"/>
      <c r="J69" s="2642"/>
      <c r="K69" s="2642"/>
      <c r="L69" s="2642"/>
      <c r="M69" s="2642"/>
      <c r="N69" s="2642"/>
      <c r="O69" s="2642"/>
      <c r="P69" s="2642"/>
      <c r="Q69" s="2642"/>
      <c r="R69" s="2642"/>
      <c r="S69" s="2642"/>
    </row>
    <row r="70" spans="1:19" s="2" customFormat="1">
      <c r="A70" s="2639"/>
      <c r="B70" s="2404"/>
      <c r="C70" s="2640"/>
      <c r="D70" s="2640"/>
      <c r="E70" s="2640"/>
      <c r="F70" s="2640"/>
      <c r="G70" s="2641"/>
      <c r="H70" s="2642"/>
      <c r="I70" s="2642"/>
      <c r="J70" s="2642"/>
      <c r="K70" s="2642"/>
      <c r="L70" s="2642"/>
      <c r="M70" s="2642"/>
      <c r="N70" s="2642"/>
      <c r="O70" s="2642"/>
      <c r="P70" s="2642"/>
      <c r="Q70" s="2642"/>
      <c r="R70" s="2642"/>
      <c r="S70" s="2642"/>
    </row>
    <row r="71" spans="1:19">
      <c r="A71" s="2639"/>
      <c r="B71" s="2404"/>
      <c r="C71" s="2640"/>
      <c r="D71" s="2640"/>
      <c r="E71" s="2640"/>
      <c r="F71" s="2640"/>
      <c r="G71" s="2641"/>
      <c r="H71" s="2642"/>
      <c r="I71" s="2642"/>
      <c r="J71" s="2642"/>
      <c r="K71" s="2642"/>
      <c r="L71" s="2642"/>
      <c r="M71" s="2642"/>
      <c r="N71" s="2642"/>
      <c r="O71" s="2642"/>
      <c r="P71" s="2642"/>
      <c r="Q71" s="2642"/>
      <c r="R71" s="2642"/>
      <c r="S71" s="2642"/>
    </row>
    <row r="72" spans="1:19">
      <c r="A72" s="726" t="s">
        <v>575</v>
      </c>
      <c r="B72" s="727"/>
      <c r="C72" s="12"/>
      <c r="D72" s="12"/>
      <c r="E72" s="12"/>
      <c r="F72" s="12"/>
      <c r="G72" s="13"/>
      <c r="H72" s="21"/>
      <c r="I72" s="21"/>
      <c r="J72" s="21"/>
      <c r="K72" s="21"/>
      <c r="L72" s="21"/>
      <c r="M72" s="21"/>
      <c r="N72" s="21"/>
      <c r="O72" s="21"/>
      <c r="P72" s="21"/>
      <c r="Q72" s="21"/>
      <c r="R72" s="21"/>
      <c r="S72" s="21"/>
    </row>
    <row r="73" spans="1:19">
      <c r="A73" s="2639"/>
      <c r="B73" s="2404"/>
      <c r="C73" s="2640"/>
      <c r="D73" s="2640"/>
      <c r="E73" s="2640"/>
      <c r="F73" s="2640"/>
      <c r="G73" s="2641"/>
      <c r="H73" s="2642"/>
      <c r="I73" s="2642"/>
      <c r="J73" s="2642"/>
      <c r="K73" s="2642"/>
      <c r="L73" s="2642"/>
      <c r="M73" s="2642"/>
      <c r="N73" s="2642"/>
      <c r="O73" s="2642"/>
      <c r="P73" s="2642"/>
      <c r="Q73" s="2642"/>
      <c r="R73" s="2642"/>
      <c r="S73" s="2642"/>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643"/>
      <c r="B77" s="2644"/>
      <c r="C77" s="2640"/>
      <c r="D77" s="2640"/>
      <c r="E77" s="2640"/>
      <c r="F77" s="2640"/>
      <c r="G77" s="2641"/>
      <c r="H77" s="2642"/>
      <c r="I77" s="2642"/>
      <c r="J77" s="2642"/>
      <c r="K77" s="2642"/>
      <c r="L77" s="2642"/>
      <c r="M77" s="2642"/>
      <c r="N77" s="2642"/>
      <c r="O77" s="2642"/>
      <c r="P77" s="2642"/>
      <c r="Q77" s="2642"/>
      <c r="R77" s="2642"/>
      <c r="S77" s="2642"/>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639"/>
      <c r="B87" s="2645" t="s">
        <v>583</v>
      </c>
      <c r="C87" s="2640"/>
      <c r="D87" s="2640"/>
      <c r="E87" s="2640"/>
      <c r="F87" s="2640"/>
      <c r="G87" s="2641"/>
      <c r="H87" s="2646"/>
      <c r="I87" s="2646"/>
      <c r="J87" s="2646"/>
      <c r="K87" s="2646"/>
      <c r="L87" s="2646"/>
      <c r="M87" s="2646"/>
      <c r="N87" s="2646"/>
      <c r="O87" s="2646"/>
      <c r="P87" s="2646"/>
      <c r="Q87" s="2646"/>
      <c r="R87" s="2646"/>
      <c r="S87" s="2646"/>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725" priority="13" operator="equal">
      <formula>"X"</formula>
    </cfRule>
    <cfRule type="cellIs" dxfId="724" priority="14" operator="equal">
      <formula>"I"</formula>
    </cfRule>
  </conditionalFormatting>
  <conditionalFormatting sqref="H32:H35">
    <cfRule type="cellIs" dxfId="723" priority="1" operator="equal">
      <formula>"X"</formula>
    </cfRule>
    <cfRule type="cellIs" dxfId="722" priority="2" operator="equal">
      <formula>"I"</formula>
    </cfRule>
  </conditionalFormatting>
  <conditionalFormatting sqref="J20:J30">
    <cfRule type="cellIs" dxfId="721" priority="15" operator="equal">
      <formula>"X"</formula>
    </cfRule>
    <cfRule type="cellIs" dxfId="720" priority="16" operator="equal">
      <formula>"I"</formula>
    </cfRule>
  </conditionalFormatting>
  <conditionalFormatting sqref="J32:J35">
    <cfRule type="cellIs" dxfId="719" priority="3" operator="equal">
      <formula>"X"</formula>
    </cfRule>
    <cfRule type="cellIs" dxfId="718" priority="4" operator="equal">
      <formula>"I"</formula>
    </cfRule>
  </conditionalFormatting>
  <conditionalFormatting sqref="L20:L30">
    <cfRule type="cellIs" dxfId="717" priority="17" operator="equal">
      <formula>"X"</formula>
    </cfRule>
    <cfRule type="cellIs" dxfId="716" priority="18" operator="equal">
      <formula>"I"</formula>
    </cfRule>
  </conditionalFormatting>
  <conditionalFormatting sqref="L32:L35">
    <cfRule type="cellIs" dxfId="715" priority="5" operator="equal">
      <formula>"X"</formula>
    </cfRule>
    <cfRule type="cellIs" dxfId="714" priority="6" operator="equal">
      <formula>"I"</formula>
    </cfRule>
  </conditionalFormatting>
  <conditionalFormatting sqref="N20:N30">
    <cfRule type="cellIs" dxfId="713" priority="19" operator="equal">
      <formula>"X"</formula>
    </cfRule>
    <cfRule type="cellIs" dxfId="712" priority="20" operator="equal">
      <formula>"I"</formula>
    </cfRule>
  </conditionalFormatting>
  <conditionalFormatting sqref="N32:N35">
    <cfRule type="cellIs" dxfId="711" priority="7" operator="equal">
      <formula>"X"</formula>
    </cfRule>
    <cfRule type="cellIs" dxfId="710" priority="8" operator="equal">
      <formula>"I"</formula>
    </cfRule>
  </conditionalFormatting>
  <conditionalFormatting sqref="P20:P30">
    <cfRule type="cellIs" dxfId="709" priority="21" operator="equal">
      <formula>"X"</formula>
    </cfRule>
    <cfRule type="cellIs" dxfId="708" priority="22" operator="equal">
      <formula>"I"</formula>
    </cfRule>
  </conditionalFormatting>
  <conditionalFormatting sqref="P32:P35">
    <cfRule type="cellIs" dxfId="707" priority="9" operator="equal">
      <formula>"X"</formula>
    </cfRule>
    <cfRule type="cellIs" dxfId="706" priority="10" operator="equal">
      <formula>"I"</formula>
    </cfRule>
  </conditionalFormatting>
  <conditionalFormatting sqref="R20:R30">
    <cfRule type="cellIs" dxfId="705" priority="23" operator="equal">
      <formula>"X"</formula>
    </cfRule>
    <cfRule type="cellIs" dxfId="704" priority="24" operator="equal">
      <formula>"I"</formula>
    </cfRule>
  </conditionalFormatting>
  <conditionalFormatting sqref="R32:R35">
    <cfRule type="cellIs" dxfId="703" priority="11" operator="equal">
      <formula>"X"</formula>
    </cfRule>
    <cfRule type="cellIs" dxfId="702" priority="12" operator="equal">
      <formula>"I"</formula>
    </cfRule>
  </conditionalFormatting>
  <hyperlinks>
    <hyperlink ref="B3" location="'Cost Summary'!A1" display="BACK TO SUMMARY SHEET" xr:uid="{6B0973C5-AF11-43CE-8339-0E551417A848}"/>
  </hyperlink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E95B9-C10C-4488-8FBD-CD228E5C3EF6}">
  <sheetPr>
    <tabColor rgb="FF92D050"/>
  </sheetPr>
  <dimension ref="A1:S99"/>
  <sheetViews>
    <sheetView zoomScale="91" zoomScaleNormal="91" workbookViewId="0">
      <pane xSplit="2" ySplit="9" topLeftCell="C20" activePane="bottomRight" state="frozen"/>
      <selection pane="bottomRight" activeCell="E58" sqref="E58"/>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1153</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1154</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625">
        <f>I60</f>
        <v>0</v>
      </c>
      <c r="I8" s="2625"/>
      <c r="J8" s="2625">
        <f>K60</f>
        <v>0</v>
      </c>
      <c r="K8" s="2625"/>
      <c r="L8" s="2625">
        <f>M60</f>
        <v>0</v>
      </c>
      <c r="M8" s="2625"/>
      <c r="N8" s="2625">
        <f>O60</f>
        <v>0</v>
      </c>
      <c r="O8" s="2625"/>
      <c r="P8" s="2625">
        <f>Q60</f>
        <v>0</v>
      </c>
      <c r="Q8" s="2625"/>
      <c r="R8" s="2420">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648"/>
      <c r="B21" s="2428" t="s">
        <v>1153</v>
      </c>
      <c r="C21" s="56"/>
      <c r="D21" s="57"/>
      <c r="E21" s="57"/>
      <c r="F21" s="57"/>
      <c r="G21" s="63"/>
      <c r="H21" s="2427"/>
      <c r="I21" s="2649"/>
      <c r="J21" s="2427"/>
      <c r="K21" s="2650"/>
      <c r="L21" s="2427"/>
      <c r="M21" s="2650"/>
      <c r="N21" s="2427"/>
      <c r="O21" s="2650"/>
      <c r="P21" s="2427"/>
      <c r="Q21" s="2650"/>
      <c r="R21" s="2427"/>
      <c r="S21" s="2650"/>
    </row>
    <row r="22" spans="1:19">
      <c r="A22" s="2651"/>
      <c r="B22" s="2318" t="s">
        <v>512</v>
      </c>
      <c r="C22" s="2426"/>
      <c r="D22" s="2405"/>
      <c r="E22" s="2405"/>
      <c r="F22" s="2405"/>
      <c r="G22" s="2423"/>
      <c r="H22" s="2427"/>
      <c r="I22" s="2649"/>
      <c r="J22" s="2427"/>
      <c r="K22" s="2650"/>
      <c r="L22" s="2427"/>
      <c r="M22" s="2650"/>
      <c r="N22" s="2427"/>
      <c r="O22" s="2650"/>
      <c r="P22" s="2427"/>
      <c r="Q22" s="2650"/>
      <c r="R22" s="2427"/>
      <c r="S22" s="2650"/>
    </row>
    <row r="23" spans="1:19">
      <c r="A23" s="2651"/>
      <c r="B23" s="2652" t="s">
        <v>513</v>
      </c>
      <c r="C23" s="2426"/>
      <c r="D23" s="2405"/>
      <c r="E23" s="2405"/>
      <c r="F23" s="2405"/>
      <c r="G23" s="2423"/>
      <c r="H23" s="2427"/>
      <c r="I23" s="2649"/>
      <c r="J23" s="2427"/>
      <c r="K23" s="2650"/>
      <c r="L23" s="2427"/>
      <c r="M23" s="2650"/>
      <c r="N23" s="2427"/>
      <c r="O23" s="2650"/>
      <c r="P23" s="2427"/>
      <c r="Q23" s="2650"/>
      <c r="R23" s="2427"/>
      <c r="S23" s="2650"/>
    </row>
    <row r="24" spans="1:19">
      <c r="A24" s="2648"/>
      <c r="B24" s="2652" t="s">
        <v>514</v>
      </c>
      <c r="C24" s="2430"/>
      <c r="D24" s="2405"/>
      <c r="E24" s="2405"/>
      <c r="F24" s="2405"/>
      <c r="G24" s="2423"/>
      <c r="H24" s="2427"/>
      <c r="I24" s="2649"/>
      <c r="J24" s="2427"/>
      <c r="K24" s="2650"/>
      <c r="L24" s="2427"/>
      <c r="M24" s="2650"/>
      <c r="N24" s="2427"/>
      <c r="O24" s="2650"/>
      <c r="P24" s="2427"/>
      <c r="Q24" s="2650"/>
      <c r="R24" s="2427"/>
      <c r="S24" s="2650"/>
    </row>
    <row r="25" spans="1:19">
      <c r="A25" s="2648"/>
      <c r="B25" s="2653"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651"/>
      <c r="B26" s="2653" t="s">
        <v>516</v>
      </c>
      <c r="C26" s="2432"/>
      <c r="D26" s="2433"/>
      <c r="E26" s="2433"/>
      <c r="F26" s="2433"/>
      <c r="G26" s="2432"/>
      <c r="H26" s="2427"/>
      <c r="I26" s="2649"/>
      <c r="J26" s="2427"/>
      <c r="K26" s="2654"/>
      <c r="L26" s="2427"/>
      <c r="M26" s="2654"/>
      <c r="N26" s="2427"/>
      <c r="O26" s="2654"/>
      <c r="P26" s="2427"/>
      <c r="Q26" s="2654"/>
      <c r="R26" s="2427"/>
      <c r="S26" s="2654"/>
    </row>
    <row r="27" spans="1:19" s="91" customFormat="1">
      <c r="A27" s="2651"/>
      <c r="B27" s="2653" t="s">
        <v>517</v>
      </c>
      <c r="C27" s="2432"/>
      <c r="D27" s="2433"/>
      <c r="E27" s="2433"/>
      <c r="F27" s="2433"/>
      <c r="G27" s="2432"/>
      <c r="H27" s="2427"/>
      <c r="I27" s="2649"/>
      <c r="J27" s="2427"/>
      <c r="K27" s="2654"/>
      <c r="L27" s="2427"/>
      <c r="M27" s="2654"/>
      <c r="N27" s="2427"/>
      <c r="O27" s="2654"/>
      <c r="P27" s="2427"/>
      <c r="Q27" s="2654"/>
      <c r="R27" s="2427"/>
      <c r="S27" s="2654"/>
    </row>
    <row r="28" spans="1:19" s="91" customFormat="1">
      <c r="A28" s="2651"/>
      <c r="B28" s="2653" t="s">
        <v>518</v>
      </c>
      <c r="C28" s="2432"/>
      <c r="D28" s="2433"/>
      <c r="E28" s="2433"/>
      <c r="F28" s="2433"/>
      <c r="G28" s="2432"/>
      <c r="H28" s="2427"/>
      <c r="I28" s="2649"/>
      <c r="J28" s="2427"/>
      <c r="K28" s="2654"/>
      <c r="L28" s="2427"/>
      <c r="M28" s="2654"/>
      <c r="N28" s="2427"/>
      <c r="O28" s="2654"/>
      <c r="P28" s="2427"/>
      <c r="Q28" s="2654"/>
      <c r="R28" s="2427"/>
      <c r="S28" s="2654"/>
    </row>
    <row r="29" spans="1:19" s="91" customFormat="1">
      <c r="A29" s="2651"/>
      <c r="B29" s="2653" t="s">
        <v>693</v>
      </c>
      <c r="C29" s="2432"/>
      <c r="D29" s="2433"/>
      <c r="E29" s="2433"/>
      <c r="F29" s="2433"/>
      <c r="G29" s="2432"/>
      <c r="H29" s="2427"/>
      <c r="I29" s="2655"/>
      <c r="J29" s="2427"/>
      <c r="K29" s="2654"/>
      <c r="L29" s="2427"/>
      <c r="M29" s="2654"/>
      <c r="N29" s="2427"/>
      <c r="O29" s="2654"/>
      <c r="P29" s="2427"/>
      <c r="Q29" s="2654"/>
      <c r="R29" s="2427"/>
      <c r="S29" s="2654"/>
    </row>
    <row r="30" spans="1:19" s="91" customFormat="1">
      <c r="A30" s="2651"/>
      <c r="B30" s="2656" t="s">
        <v>519</v>
      </c>
      <c r="C30" s="2432"/>
      <c r="D30" s="2433"/>
      <c r="E30" s="2433"/>
      <c r="F30" s="2433"/>
      <c r="G30" s="2432"/>
      <c r="H30" s="2427"/>
      <c r="I30" s="2649"/>
      <c r="J30" s="2427"/>
      <c r="K30" s="2654"/>
      <c r="L30" s="2427"/>
      <c r="M30" s="2654"/>
      <c r="N30" s="2427"/>
      <c r="O30" s="2654"/>
      <c r="P30" s="2427"/>
      <c r="Q30" s="2654"/>
      <c r="R30" s="2427"/>
      <c r="S30" s="2654"/>
    </row>
    <row r="31" spans="1:19" s="91" customFormat="1">
      <c r="A31" s="2651"/>
      <c r="B31" s="2657" t="s">
        <v>520</v>
      </c>
      <c r="C31" s="2435"/>
      <c r="D31" s="2436"/>
      <c r="E31" s="2436"/>
      <c r="F31" s="2436"/>
      <c r="G31" s="2435"/>
      <c r="H31" s="2439"/>
      <c r="I31" s="2658"/>
      <c r="J31" s="2443"/>
      <c r="K31" s="2659"/>
      <c r="L31" s="2443"/>
      <c r="M31" s="2659"/>
      <c r="N31" s="2659"/>
      <c r="O31" s="2659"/>
      <c r="P31" s="2659"/>
      <c r="Q31" s="2659"/>
      <c r="R31" s="2659"/>
      <c r="S31" s="2659"/>
    </row>
    <row r="32" spans="1:19" s="91" customFormat="1">
      <c r="A32" s="2651"/>
      <c r="B32" s="151" t="s">
        <v>748</v>
      </c>
      <c r="C32" s="2432"/>
      <c r="D32" s="2433"/>
      <c r="E32" s="2433"/>
      <c r="F32" s="2433"/>
      <c r="G32" s="2432"/>
      <c r="H32" s="2427"/>
      <c r="I32" s="2649"/>
      <c r="J32" s="2427"/>
      <c r="K32" s="2654"/>
      <c r="L32" s="2427"/>
      <c r="M32" s="2654"/>
      <c r="N32" s="2427"/>
      <c r="O32" s="2654"/>
      <c r="P32" s="2427"/>
      <c r="Q32" s="2654"/>
      <c r="R32" s="2427"/>
      <c r="S32" s="2654"/>
    </row>
    <row r="33" spans="1:19" s="91" customFormat="1">
      <c r="A33" s="2651"/>
      <c r="B33" s="2545"/>
      <c r="C33" s="2432"/>
      <c r="D33" s="2433"/>
      <c r="E33" s="2433"/>
      <c r="F33" s="2433"/>
      <c r="G33" s="2432"/>
      <c r="H33" s="2427"/>
      <c r="I33" s="2649"/>
      <c r="J33" s="2427"/>
      <c r="K33" s="2654"/>
      <c r="L33" s="2427"/>
      <c r="M33" s="2654"/>
      <c r="N33" s="2427"/>
      <c r="O33" s="2654"/>
      <c r="P33" s="2427"/>
      <c r="Q33" s="2654"/>
      <c r="R33" s="2427"/>
      <c r="S33" s="2654"/>
    </row>
    <row r="34" spans="1:19" s="91" customFormat="1">
      <c r="A34" s="2636"/>
      <c r="B34" s="2545"/>
      <c r="C34" s="2445"/>
      <c r="D34" s="2433"/>
      <c r="E34" s="2433"/>
      <c r="F34" s="2433"/>
      <c r="G34" s="2432"/>
      <c r="H34" s="2427"/>
      <c r="I34" s="2649"/>
      <c r="J34" s="2427"/>
      <c r="K34" s="2654"/>
      <c r="L34" s="2427"/>
      <c r="M34" s="2654"/>
      <c r="N34" s="2427"/>
      <c r="O34" s="2654"/>
      <c r="P34" s="2427"/>
      <c r="Q34" s="2654"/>
      <c r="R34" s="2427"/>
      <c r="S34" s="2654"/>
    </row>
    <row r="35" spans="1:19" s="91" customFormat="1">
      <c r="A35" s="2636"/>
      <c r="B35" s="2545"/>
      <c r="C35" s="2445"/>
      <c r="D35" s="2433"/>
      <c r="E35" s="2433"/>
      <c r="F35" s="2433"/>
      <c r="G35" s="2432"/>
      <c r="H35" s="2427"/>
      <c r="I35" s="2649"/>
      <c r="J35" s="2427"/>
      <c r="K35" s="2654"/>
      <c r="L35" s="2427"/>
      <c r="M35" s="2654"/>
      <c r="N35" s="2427"/>
      <c r="O35" s="2654"/>
      <c r="P35" s="2427"/>
      <c r="Q35" s="2654"/>
      <c r="R35" s="2427"/>
      <c r="S35" s="2654"/>
    </row>
    <row r="36" spans="1:19" s="91" customFormat="1" hidden="1">
      <c r="A36" s="2636"/>
      <c r="B36" s="2545"/>
      <c r="C36" s="2445"/>
      <c r="D36" s="2433"/>
      <c r="E36" s="2433"/>
      <c r="F36" s="2433"/>
      <c r="G36" s="2432"/>
      <c r="H36" s="2537"/>
      <c r="I36" s="2649"/>
      <c r="J36" s="2539"/>
      <c r="K36" s="2654"/>
      <c r="L36" s="2539"/>
      <c r="M36" s="2654"/>
      <c r="N36" s="2654"/>
      <c r="O36" s="2654"/>
      <c r="P36" s="2654"/>
      <c r="Q36" s="2654"/>
      <c r="R36" s="2654"/>
      <c r="S36" s="2654"/>
    </row>
    <row r="37" spans="1:19" s="91" customFormat="1" hidden="1">
      <c r="A37" s="2636"/>
      <c r="B37" s="2545"/>
      <c r="C37" s="2445"/>
      <c r="D37" s="2433"/>
      <c r="E37" s="2433"/>
      <c r="F37" s="2433"/>
      <c r="G37" s="2432"/>
      <c r="H37" s="2537"/>
      <c r="I37" s="2649"/>
      <c r="J37" s="2539"/>
      <c r="K37" s="2654"/>
      <c r="L37" s="2539"/>
      <c r="M37" s="2654"/>
      <c r="N37" s="2654"/>
      <c r="O37" s="2654"/>
      <c r="P37" s="2654"/>
      <c r="Q37" s="2654"/>
      <c r="R37" s="2654"/>
      <c r="S37" s="2654"/>
    </row>
    <row r="38" spans="1:19" s="91" customFormat="1" hidden="1">
      <c r="A38" s="2636"/>
      <c r="B38" s="2545"/>
      <c r="C38" s="2445"/>
      <c r="D38" s="2433"/>
      <c r="E38" s="2433"/>
      <c r="F38" s="2433"/>
      <c r="G38" s="2432"/>
      <c r="H38" s="2537"/>
      <c r="I38" s="2649"/>
      <c r="J38" s="2539"/>
      <c r="K38" s="2654"/>
      <c r="L38" s="2539"/>
      <c r="M38" s="2654"/>
      <c r="N38" s="2654"/>
      <c r="O38" s="2654"/>
      <c r="P38" s="2654"/>
      <c r="Q38" s="2654"/>
      <c r="R38" s="2654"/>
      <c r="S38" s="2654"/>
    </row>
    <row r="39" spans="1:19" s="91" customFormat="1" hidden="1">
      <c r="A39" s="2636"/>
      <c r="B39" s="2545"/>
      <c r="C39" s="2445"/>
      <c r="D39" s="2433"/>
      <c r="E39" s="2546"/>
      <c r="F39" s="2547"/>
      <c r="G39" s="2432"/>
      <c r="H39" s="2537"/>
      <c r="I39" s="2649"/>
      <c r="J39" s="2539"/>
      <c r="K39" s="2654"/>
      <c r="L39" s="2539"/>
      <c r="M39" s="2654"/>
      <c r="N39" s="2654"/>
      <c r="O39" s="2654"/>
      <c r="P39" s="2654"/>
      <c r="Q39" s="2654"/>
      <c r="R39" s="2654"/>
      <c r="S39" s="2654"/>
    </row>
    <row r="40" spans="1:19" s="91" customFormat="1" hidden="1">
      <c r="A40" s="2636"/>
      <c r="B40" s="2545"/>
      <c r="C40" s="2445"/>
      <c r="D40" s="2433"/>
      <c r="E40" s="2546"/>
      <c r="F40" s="2547"/>
      <c r="G40" s="2432"/>
      <c r="H40" s="2537"/>
      <c r="I40" s="2649"/>
      <c r="J40" s="2539"/>
      <c r="K40" s="2654"/>
      <c r="L40" s="2539"/>
      <c r="M40" s="2654"/>
      <c r="N40" s="2654"/>
      <c r="O40" s="2654"/>
      <c r="P40" s="2654"/>
      <c r="Q40" s="2654"/>
      <c r="R40" s="2654"/>
      <c r="S40" s="2654"/>
    </row>
    <row r="41" spans="1:19" s="91" customFormat="1" hidden="1">
      <c r="A41" s="2636"/>
      <c r="B41" s="2545"/>
      <c r="C41" s="2445"/>
      <c r="D41" s="2433"/>
      <c r="E41" s="2546"/>
      <c r="F41" s="2547"/>
      <c r="G41" s="2432"/>
      <c r="H41" s="2537"/>
      <c r="I41" s="2649"/>
      <c r="J41" s="2539"/>
      <c r="K41" s="2654"/>
      <c r="L41" s="2539"/>
      <c r="M41" s="2654"/>
      <c r="N41" s="2654"/>
      <c r="O41" s="2654"/>
      <c r="P41" s="2654"/>
      <c r="Q41" s="2654"/>
      <c r="R41" s="2654"/>
      <c r="S41" s="2654"/>
    </row>
    <row r="42" spans="1:19" s="91" customFormat="1" hidden="1">
      <c r="A42" s="2636"/>
      <c r="B42" s="2637"/>
      <c r="C42" s="2445"/>
      <c r="D42" s="2433"/>
      <c r="E42" s="2546"/>
      <c r="F42" s="2547"/>
      <c r="G42" s="2432"/>
      <c r="H42" s="2537"/>
      <c r="I42" s="2649"/>
      <c r="J42" s="2539"/>
      <c r="K42" s="2654"/>
      <c r="L42" s="2539"/>
      <c r="M42" s="2654"/>
      <c r="N42" s="2654"/>
      <c r="O42" s="2654"/>
      <c r="P42" s="2654"/>
      <c r="Q42" s="2654"/>
      <c r="R42" s="2654"/>
      <c r="S42" s="2654"/>
    </row>
    <row r="43" spans="1:19" s="91" customFormat="1" hidden="1">
      <c r="A43" s="2636"/>
      <c r="B43" s="2638"/>
      <c r="C43" s="2445"/>
      <c r="D43" s="2433"/>
      <c r="E43" s="2546"/>
      <c r="F43" s="2547"/>
      <c r="G43" s="2432"/>
      <c r="H43" s="2537"/>
      <c r="I43" s="2649"/>
      <c r="J43" s="2539"/>
      <c r="K43" s="2654"/>
      <c r="L43" s="2539"/>
      <c r="M43" s="2654"/>
      <c r="N43" s="2654"/>
      <c r="O43" s="2654"/>
      <c r="P43" s="2654"/>
      <c r="Q43" s="2654"/>
      <c r="R43" s="2654"/>
      <c r="S43" s="2654"/>
    </row>
    <row r="44" spans="1:19" s="91" customFormat="1" hidden="1">
      <c r="A44" s="2636"/>
      <c r="B44" s="152"/>
      <c r="C44" s="2445"/>
      <c r="D44" s="2433"/>
      <c r="E44" s="2546"/>
      <c r="F44" s="2547"/>
      <c r="G44" s="2432"/>
      <c r="H44" s="2537"/>
      <c r="I44" s="2649"/>
      <c r="J44" s="2539"/>
      <c r="K44" s="2654"/>
      <c r="L44" s="2539"/>
      <c r="M44" s="2654"/>
      <c r="N44" s="2654"/>
      <c r="O44" s="2654"/>
      <c r="P44" s="2654"/>
      <c r="Q44" s="2654"/>
      <c r="R44" s="2654"/>
      <c r="S44" s="2654"/>
    </row>
    <row r="45" spans="1:19" s="91" customFormat="1" hidden="1">
      <c r="A45" s="2636"/>
      <c r="B45" s="2545"/>
      <c r="C45" s="2445"/>
      <c r="D45" s="2433"/>
      <c r="E45" s="2546"/>
      <c r="F45" s="2547"/>
      <c r="G45" s="2432"/>
      <c r="H45" s="2537"/>
      <c r="I45" s="2649"/>
      <c r="J45" s="2539"/>
      <c r="K45" s="2654"/>
      <c r="L45" s="2539"/>
      <c r="M45" s="2654"/>
      <c r="N45" s="2654"/>
      <c r="O45" s="2654"/>
      <c r="P45" s="2654"/>
      <c r="Q45" s="2654"/>
      <c r="R45" s="2654"/>
      <c r="S45" s="2654"/>
    </row>
    <row r="46" spans="1:19" s="91" customFormat="1" hidden="1">
      <c r="A46" s="2636"/>
      <c r="B46" s="2545"/>
      <c r="C46" s="2445"/>
      <c r="D46" s="2433"/>
      <c r="E46" s="2546"/>
      <c r="F46" s="2547"/>
      <c r="G46" s="2432"/>
      <c r="H46" s="2537"/>
      <c r="I46" s="2649"/>
      <c r="J46" s="2539"/>
      <c r="K46" s="2654"/>
      <c r="L46" s="2539"/>
      <c r="M46" s="2654"/>
      <c r="N46" s="2654"/>
      <c r="O46" s="2654"/>
      <c r="P46" s="2654"/>
      <c r="Q46" s="2654"/>
      <c r="R46" s="2654"/>
      <c r="S46" s="2654"/>
    </row>
    <row r="47" spans="1:19" s="91" customFormat="1" hidden="1">
      <c r="A47" s="2636"/>
      <c r="B47" s="2545"/>
      <c r="C47" s="2445"/>
      <c r="D47" s="2433"/>
      <c r="E47" s="2546"/>
      <c r="F47" s="2547"/>
      <c r="G47" s="2432"/>
      <c r="H47" s="2537"/>
      <c r="I47" s="2649"/>
      <c r="J47" s="2539"/>
      <c r="K47" s="2654"/>
      <c r="L47" s="2539"/>
      <c r="M47" s="2654"/>
      <c r="N47" s="2654"/>
      <c r="O47" s="2654"/>
      <c r="P47" s="2654"/>
      <c r="Q47" s="2654"/>
      <c r="R47" s="2654"/>
      <c r="S47" s="2654"/>
    </row>
    <row r="48" spans="1:19" s="91" customFormat="1" hidden="1">
      <c r="A48" s="2636"/>
      <c r="B48" s="2545"/>
      <c r="C48" s="2445"/>
      <c r="D48" s="2433"/>
      <c r="E48" s="2546"/>
      <c r="F48" s="2547"/>
      <c r="G48" s="2432"/>
      <c r="H48" s="2537"/>
      <c r="I48" s="2649"/>
      <c r="J48" s="2539"/>
      <c r="K48" s="2654"/>
      <c r="L48" s="2539"/>
      <c r="M48" s="2654"/>
      <c r="N48" s="2654"/>
      <c r="O48" s="2654"/>
      <c r="P48" s="2654"/>
      <c r="Q48" s="2654"/>
      <c r="R48" s="2654"/>
      <c r="S48" s="2654"/>
    </row>
    <row r="49" spans="1:19" s="91" customFormat="1" hidden="1">
      <c r="A49" s="2636"/>
      <c r="B49" s="2545"/>
      <c r="C49" s="2445"/>
      <c r="D49" s="2433"/>
      <c r="E49" s="2546"/>
      <c r="F49" s="2547"/>
      <c r="G49" s="2432"/>
      <c r="H49" s="2537"/>
      <c r="I49" s="2649"/>
      <c r="J49" s="2539"/>
      <c r="K49" s="2654"/>
      <c r="L49" s="2539"/>
      <c r="M49" s="2654"/>
      <c r="N49" s="2654"/>
      <c r="O49" s="2654"/>
      <c r="P49" s="2654"/>
      <c r="Q49" s="2654"/>
      <c r="R49" s="2654"/>
      <c r="S49" s="2654"/>
    </row>
    <row r="50" spans="1:19" s="91" customFormat="1" hidden="1">
      <c r="A50" s="2636"/>
      <c r="B50" s="2545"/>
      <c r="C50" s="2445"/>
      <c r="D50" s="2433"/>
      <c r="E50" s="2546"/>
      <c r="F50" s="2547"/>
      <c r="G50" s="2432"/>
      <c r="H50" s="2537"/>
      <c r="I50" s="2649"/>
      <c r="J50" s="2539"/>
      <c r="K50" s="2654"/>
      <c r="L50" s="2539"/>
      <c r="M50" s="2654"/>
      <c r="N50" s="2654"/>
      <c r="O50" s="2654"/>
      <c r="P50" s="2654"/>
      <c r="Q50" s="2654"/>
      <c r="R50" s="2654"/>
      <c r="S50" s="2654"/>
    </row>
    <row r="51" spans="1:19" s="91" customFormat="1" hidden="1">
      <c r="A51" s="2636"/>
      <c r="B51" s="2545"/>
      <c r="C51" s="2445"/>
      <c r="D51" s="2433"/>
      <c r="E51" s="2546"/>
      <c r="F51" s="2547"/>
      <c r="G51" s="2432"/>
      <c r="H51" s="2537"/>
      <c r="I51" s="2649"/>
      <c r="J51" s="2539"/>
      <c r="K51" s="2654"/>
      <c r="L51" s="2539"/>
      <c r="M51" s="2654"/>
      <c r="N51" s="2654"/>
      <c r="O51" s="2654"/>
      <c r="P51" s="2654"/>
      <c r="Q51" s="2654"/>
      <c r="R51" s="2654"/>
      <c r="S51" s="2654"/>
    </row>
    <row r="52" spans="1:19" s="91" customFormat="1" hidden="1">
      <c r="A52" s="2636"/>
      <c r="B52" s="2545"/>
      <c r="C52" s="2445"/>
      <c r="D52" s="2433"/>
      <c r="E52" s="2546"/>
      <c r="F52" s="2547"/>
      <c r="G52" s="2432"/>
      <c r="H52" s="2537"/>
      <c r="I52" s="2649"/>
      <c r="J52" s="2539"/>
      <c r="K52" s="2654"/>
      <c r="L52" s="2539"/>
      <c r="M52" s="2654"/>
      <c r="N52" s="2654"/>
      <c r="O52" s="2654"/>
      <c r="P52" s="2654"/>
      <c r="Q52" s="2654"/>
      <c r="R52" s="2654"/>
      <c r="S52" s="2654"/>
    </row>
    <row r="53" spans="1:19" s="91" customFormat="1" hidden="1">
      <c r="A53" s="2636"/>
      <c r="B53" s="2545"/>
      <c r="C53" s="2445"/>
      <c r="D53" s="2433"/>
      <c r="E53" s="2546"/>
      <c r="F53" s="2547"/>
      <c r="G53" s="2432"/>
      <c r="H53" s="2537"/>
      <c r="I53" s="2649"/>
      <c r="J53" s="2539"/>
      <c r="K53" s="2654"/>
      <c r="L53" s="2539"/>
      <c r="M53" s="2654"/>
      <c r="N53" s="2654"/>
      <c r="O53" s="2654"/>
      <c r="P53" s="2654"/>
      <c r="Q53" s="2654"/>
      <c r="R53" s="2654"/>
      <c r="S53" s="2654"/>
    </row>
    <row r="54" spans="1:19" s="91" customFormat="1" hidden="1">
      <c r="A54" s="2636"/>
      <c r="B54" s="2545"/>
      <c r="C54" s="2445"/>
      <c r="D54" s="2433"/>
      <c r="E54" s="2546"/>
      <c r="F54" s="2547"/>
      <c r="G54" s="2432"/>
      <c r="H54" s="2537"/>
      <c r="I54" s="2649"/>
      <c r="J54" s="2539"/>
      <c r="K54" s="2654"/>
      <c r="L54" s="2539"/>
      <c r="M54" s="2654"/>
      <c r="N54" s="2654"/>
      <c r="O54" s="2654"/>
      <c r="P54" s="2654"/>
      <c r="Q54" s="2654"/>
      <c r="R54" s="2654"/>
      <c r="S54" s="2654"/>
    </row>
    <row r="55" spans="1:19" s="91" customFormat="1" hidden="1">
      <c r="A55" s="2636"/>
      <c r="B55" s="2545"/>
      <c r="C55" s="2445"/>
      <c r="D55" s="2433"/>
      <c r="E55" s="2546"/>
      <c r="F55" s="2547"/>
      <c r="G55" s="2432"/>
      <c r="H55" s="2537"/>
      <c r="I55" s="2649"/>
      <c r="J55" s="2539"/>
      <c r="K55" s="2654"/>
      <c r="L55" s="2539"/>
      <c r="M55" s="2654"/>
      <c r="N55" s="2654"/>
      <c r="O55" s="2654"/>
      <c r="P55" s="2654"/>
      <c r="Q55" s="2654"/>
      <c r="R55" s="2654"/>
      <c r="S55" s="2654"/>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639"/>
      <c r="B65" s="2404"/>
      <c r="C65" s="2640"/>
      <c r="D65" s="2640"/>
      <c r="E65" s="2640"/>
      <c r="F65" s="2640"/>
      <c r="G65" s="2641"/>
      <c r="H65" s="2642"/>
      <c r="I65" s="2642"/>
      <c r="J65" s="2642"/>
      <c r="K65" s="2642"/>
      <c r="L65" s="2642"/>
      <c r="M65" s="2642"/>
      <c r="N65" s="2642"/>
      <c r="O65" s="2642"/>
      <c r="P65" s="2642"/>
      <c r="Q65" s="2642"/>
      <c r="R65" s="2642"/>
      <c r="S65" s="2642"/>
    </row>
    <row r="66" spans="1:19" s="2" customFormat="1">
      <c r="A66" s="2639"/>
      <c r="B66" s="2404"/>
      <c r="C66" s="2640"/>
      <c r="D66" s="2640"/>
      <c r="E66" s="2640"/>
      <c r="F66" s="2640"/>
      <c r="G66" s="2641"/>
      <c r="H66" s="2642"/>
      <c r="I66" s="2642"/>
      <c r="J66" s="2642"/>
      <c r="K66" s="2642"/>
      <c r="L66" s="2642"/>
      <c r="M66" s="2642"/>
      <c r="N66" s="2642"/>
      <c r="O66" s="2642"/>
      <c r="P66" s="2642"/>
      <c r="Q66" s="2642"/>
      <c r="R66" s="2642"/>
      <c r="S66" s="2642"/>
    </row>
    <row r="67" spans="1:19" s="2" customFormat="1">
      <c r="A67" s="2639"/>
      <c r="B67" s="2404"/>
      <c r="C67" s="2640"/>
      <c r="D67" s="2640"/>
      <c r="E67" s="2640"/>
      <c r="F67" s="2640"/>
      <c r="G67" s="2641"/>
      <c r="H67" s="2642"/>
      <c r="I67" s="2642"/>
      <c r="J67" s="2642"/>
      <c r="K67" s="2642"/>
      <c r="L67" s="2642"/>
      <c r="M67" s="2642"/>
      <c r="N67" s="2642"/>
      <c r="O67" s="2642"/>
      <c r="P67" s="2642"/>
      <c r="Q67" s="2642"/>
      <c r="R67" s="2642"/>
      <c r="S67" s="2642"/>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639"/>
      <c r="B69" s="2404"/>
      <c r="C69" s="2640"/>
      <c r="D69" s="2640"/>
      <c r="E69" s="2640"/>
      <c r="F69" s="2640"/>
      <c r="G69" s="2641"/>
      <c r="H69" s="2642"/>
      <c r="I69" s="2642"/>
      <c r="J69" s="2642"/>
      <c r="K69" s="2642"/>
      <c r="L69" s="2642"/>
      <c r="M69" s="2642"/>
      <c r="N69" s="2642"/>
      <c r="O69" s="2642"/>
      <c r="P69" s="2642"/>
      <c r="Q69" s="2642"/>
      <c r="R69" s="2642"/>
      <c r="S69" s="2642"/>
    </row>
    <row r="70" spans="1:19" s="2" customFormat="1">
      <c r="A70" s="2639"/>
      <c r="B70" s="2404"/>
      <c r="C70" s="2640"/>
      <c r="D70" s="2640"/>
      <c r="E70" s="2640"/>
      <c r="F70" s="2640"/>
      <c r="G70" s="2641"/>
      <c r="H70" s="2642"/>
      <c r="I70" s="2642"/>
      <c r="J70" s="2642"/>
      <c r="K70" s="2642"/>
      <c r="L70" s="2642"/>
      <c r="M70" s="2642"/>
      <c r="N70" s="2642"/>
      <c r="O70" s="2642"/>
      <c r="P70" s="2642"/>
      <c r="Q70" s="2642"/>
      <c r="R70" s="2642"/>
      <c r="S70" s="2642"/>
    </row>
    <row r="71" spans="1:19">
      <c r="A71" s="2639"/>
      <c r="B71" s="2404"/>
      <c r="C71" s="2640"/>
      <c r="D71" s="2640"/>
      <c r="E71" s="2640"/>
      <c r="F71" s="2640"/>
      <c r="G71" s="2641"/>
      <c r="H71" s="2642"/>
      <c r="I71" s="2642"/>
      <c r="J71" s="2642"/>
      <c r="K71" s="2642"/>
      <c r="L71" s="2642"/>
      <c r="M71" s="2642"/>
      <c r="N71" s="2642"/>
      <c r="O71" s="2642"/>
      <c r="P71" s="2642"/>
      <c r="Q71" s="2642"/>
      <c r="R71" s="2642"/>
      <c r="S71" s="2642"/>
    </row>
    <row r="72" spans="1:19">
      <c r="A72" s="726" t="s">
        <v>575</v>
      </c>
      <c r="B72" s="727"/>
      <c r="C72" s="12"/>
      <c r="D72" s="12"/>
      <c r="E72" s="12"/>
      <c r="F72" s="12"/>
      <c r="G72" s="13"/>
      <c r="H72" s="21"/>
      <c r="I72" s="21"/>
      <c r="J72" s="21"/>
      <c r="K72" s="21"/>
      <c r="L72" s="21"/>
      <c r="M72" s="21"/>
      <c r="N72" s="21"/>
      <c r="O72" s="21"/>
      <c r="P72" s="21"/>
      <c r="Q72" s="21"/>
      <c r="R72" s="21"/>
      <c r="S72" s="21"/>
    </row>
    <row r="73" spans="1:19">
      <c r="A73" s="2639"/>
      <c r="B73" s="2404"/>
      <c r="C73" s="2640"/>
      <c r="D73" s="2640"/>
      <c r="E73" s="2640"/>
      <c r="F73" s="2640"/>
      <c r="G73" s="2641"/>
      <c r="H73" s="2642"/>
      <c r="I73" s="2642"/>
      <c r="J73" s="2642"/>
      <c r="K73" s="2642"/>
      <c r="L73" s="2642"/>
      <c r="M73" s="2642"/>
      <c r="N73" s="2642"/>
      <c r="O73" s="2642"/>
      <c r="P73" s="2642"/>
      <c r="Q73" s="2642"/>
      <c r="R73" s="2642"/>
      <c r="S73" s="2642"/>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643"/>
      <c r="B77" s="2644"/>
      <c r="C77" s="2640"/>
      <c r="D77" s="2640"/>
      <c r="E77" s="2640"/>
      <c r="F77" s="2640"/>
      <c r="G77" s="2641"/>
      <c r="H77" s="2642"/>
      <c r="I77" s="2642"/>
      <c r="J77" s="2642"/>
      <c r="K77" s="2642"/>
      <c r="L77" s="2642"/>
      <c r="M77" s="2642"/>
      <c r="N77" s="2642"/>
      <c r="O77" s="2642"/>
      <c r="P77" s="2642"/>
      <c r="Q77" s="2642"/>
      <c r="R77" s="2642"/>
      <c r="S77" s="2642"/>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639"/>
      <c r="B87" s="2645" t="s">
        <v>583</v>
      </c>
      <c r="C87" s="2640"/>
      <c r="D87" s="2640"/>
      <c r="E87" s="2640"/>
      <c r="F87" s="2640"/>
      <c r="G87" s="2641"/>
      <c r="H87" s="2660"/>
      <c r="I87" s="2660"/>
      <c r="J87" s="2660"/>
      <c r="K87" s="2660"/>
      <c r="L87" s="2660"/>
      <c r="M87" s="2660"/>
      <c r="N87" s="2660"/>
      <c r="O87" s="2660"/>
      <c r="P87" s="2660"/>
      <c r="Q87" s="2660"/>
      <c r="R87" s="2660"/>
      <c r="S87" s="2660"/>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701" priority="13" operator="equal">
      <formula>"X"</formula>
    </cfRule>
    <cfRule type="cellIs" dxfId="700" priority="14" operator="equal">
      <formula>"I"</formula>
    </cfRule>
  </conditionalFormatting>
  <conditionalFormatting sqref="H32:H35">
    <cfRule type="cellIs" dxfId="699" priority="1" operator="equal">
      <formula>"X"</formula>
    </cfRule>
    <cfRule type="cellIs" dxfId="698" priority="2" operator="equal">
      <formula>"I"</formula>
    </cfRule>
  </conditionalFormatting>
  <conditionalFormatting sqref="J20:J30">
    <cfRule type="cellIs" dxfId="697" priority="15" operator="equal">
      <formula>"X"</formula>
    </cfRule>
    <cfRule type="cellIs" dxfId="696" priority="16" operator="equal">
      <formula>"I"</formula>
    </cfRule>
  </conditionalFormatting>
  <conditionalFormatting sqref="J32:J35">
    <cfRule type="cellIs" dxfId="695" priority="3" operator="equal">
      <formula>"X"</formula>
    </cfRule>
    <cfRule type="cellIs" dxfId="694" priority="4" operator="equal">
      <formula>"I"</formula>
    </cfRule>
  </conditionalFormatting>
  <conditionalFormatting sqref="L20:L30">
    <cfRule type="cellIs" dxfId="693" priority="17" operator="equal">
      <formula>"X"</formula>
    </cfRule>
    <cfRule type="cellIs" dxfId="692" priority="18" operator="equal">
      <formula>"I"</formula>
    </cfRule>
  </conditionalFormatting>
  <conditionalFormatting sqref="L32:L35">
    <cfRule type="cellIs" dxfId="691" priority="5" operator="equal">
      <formula>"X"</formula>
    </cfRule>
    <cfRule type="cellIs" dxfId="690" priority="6" operator="equal">
      <formula>"I"</formula>
    </cfRule>
  </conditionalFormatting>
  <conditionalFormatting sqref="N20:N30">
    <cfRule type="cellIs" dxfId="689" priority="19" operator="equal">
      <formula>"X"</formula>
    </cfRule>
    <cfRule type="cellIs" dxfId="688" priority="20" operator="equal">
      <formula>"I"</formula>
    </cfRule>
  </conditionalFormatting>
  <conditionalFormatting sqref="N32:N35">
    <cfRule type="cellIs" dxfId="687" priority="7" operator="equal">
      <formula>"X"</formula>
    </cfRule>
    <cfRule type="cellIs" dxfId="686" priority="8" operator="equal">
      <formula>"I"</formula>
    </cfRule>
  </conditionalFormatting>
  <conditionalFormatting sqref="P20:P30">
    <cfRule type="cellIs" dxfId="685" priority="21" operator="equal">
      <formula>"X"</formula>
    </cfRule>
    <cfRule type="cellIs" dxfId="684" priority="22" operator="equal">
      <formula>"I"</formula>
    </cfRule>
  </conditionalFormatting>
  <conditionalFormatting sqref="P32:P35">
    <cfRule type="cellIs" dxfId="683" priority="9" operator="equal">
      <formula>"X"</formula>
    </cfRule>
    <cfRule type="cellIs" dxfId="682" priority="10" operator="equal">
      <formula>"I"</formula>
    </cfRule>
  </conditionalFormatting>
  <conditionalFormatting sqref="R20:R30">
    <cfRule type="cellIs" dxfId="681" priority="23" operator="equal">
      <formula>"X"</formula>
    </cfRule>
    <cfRule type="cellIs" dxfId="680" priority="24" operator="equal">
      <formula>"I"</formula>
    </cfRule>
  </conditionalFormatting>
  <conditionalFormatting sqref="R32:R35">
    <cfRule type="cellIs" dxfId="679" priority="11" operator="equal">
      <formula>"X"</formula>
    </cfRule>
    <cfRule type="cellIs" dxfId="678" priority="12" operator="equal">
      <formula>"I"</formula>
    </cfRule>
  </conditionalFormatting>
  <hyperlinks>
    <hyperlink ref="B3" location="'Cost Summary'!A1" display="BACK TO SUMMARY SHEET" xr:uid="{1C36F561-F390-4802-A847-BC1985BD5A47}"/>
  </hyperlink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5DE5-D4D4-49FD-9281-8D2A88638A28}">
  <dimension ref="A1:S90"/>
  <sheetViews>
    <sheetView zoomScale="85" zoomScaleNormal="85" workbookViewId="0">
      <pane xSplit="2" ySplit="9" topLeftCell="C34" activePane="bottomRight" state="frozen"/>
      <selection pane="bottomRight" activeCell="I52" sqref="I52:I5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c r="G2" s="147" t="s">
        <v>476</v>
      </c>
      <c r="H2" s="732"/>
      <c r="I2" s="732"/>
      <c r="J2" s="732"/>
      <c r="K2" s="732"/>
      <c r="L2" s="732"/>
      <c r="M2" s="732"/>
      <c r="N2" s="732"/>
      <c r="O2" s="732"/>
      <c r="P2" s="732"/>
      <c r="Q2" s="732"/>
      <c r="R2" s="732"/>
      <c r="S2" s="732"/>
    </row>
    <row r="3" spans="1:19" ht="21" thickBot="1">
      <c r="B3" s="161" t="s">
        <v>477</v>
      </c>
      <c r="E3" s="175"/>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81"/>
      <c r="K4" s="729"/>
      <c r="L4" s="781"/>
      <c r="M4" s="729"/>
      <c r="N4" s="781"/>
      <c r="O4" s="729"/>
      <c r="P4" s="781"/>
      <c r="Q4" s="729"/>
      <c r="R4" s="781"/>
      <c r="S4" s="729"/>
    </row>
    <row r="5" spans="1:19">
      <c r="A5" s="2403" t="s">
        <v>489</v>
      </c>
      <c r="B5" s="2404" t="s">
        <v>1155</v>
      </c>
      <c r="C5" s="2405"/>
      <c r="D5" s="2405"/>
      <c r="E5" s="2405"/>
      <c r="F5" s="2405"/>
      <c r="G5" s="2406" t="s">
        <v>491</v>
      </c>
      <c r="H5" s="2407"/>
      <c r="I5" s="2408"/>
      <c r="J5" s="2533"/>
      <c r="K5" s="2408"/>
      <c r="L5" s="2533"/>
      <c r="M5" s="2408"/>
      <c r="N5" s="2533"/>
      <c r="O5" s="2408"/>
      <c r="P5" s="2533"/>
      <c r="Q5" s="2408"/>
      <c r="R5" s="2533"/>
      <c r="S5" s="2408"/>
    </row>
    <row r="6" spans="1:19">
      <c r="A6" s="2403" t="s">
        <v>493</v>
      </c>
      <c r="B6" s="2410" t="s">
        <v>1156</v>
      </c>
      <c r="C6" s="2405"/>
      <c r="D6" s="2405"/>
      <c r="E6" s="2405"/>
      <c r="F6" s="2405"/>
      <c r="G6" s="2406" t="s">
        <v>494</v>
      </c>
      <c r="H6" s="2411"/>
      <c r="I6" s="2412"/>
      <c r="J6" s="2534"/>
      <c r="K6" s="2412"/>
      <c r="L6" s="2534"/>
      <c r="M6" s="2412"/>
      <c r="N6" s="2534"/>
      <c r="O6" s="2412"/>
      <c r="P6" s="2534"/>
      <c r="Q6" s="2412"/>
      <c r="R6" s="2534"/>
      <c r="S6" s="2412"/>
    </row>
    <row r="7" spans="1:19">
      <c r="A7" s="2403" t="s">
        <v>496</v>
      </c>
      <c r="B7" s="2414"/>
      <c r="C7" s="2405"/>
      <c r="D7" s="2405"/>
      <c r="E7" s="2405"/>
      <c r="F7" s="2405"/>
      <c r="G7" s="2406" t="s">
        <v>497</v>
      </c>
      <c r="H7" s="2415"/>
      <c r="I7" s="2416"/>
      <c r="J7" s="2535"/>
      <c r="K7" s="2416"/>
      <c r="L7" s="2535"/>
      <c r="M7" s="2416"/>
      <c r="N7" s="2535"/>
      <c r="O7" s="2416"/>
      <c r="P7" s="2535"/>
      <c r="Q7" s="2416"/>
      <c r="R7" s="2535"/>
      <c r="S7" s="2416"/>
    </row>
    <row r="8" spans="1:19" ht="15.75" thickBot="1">
      <c r="A8" s="414" t="s">
        <v>499</v>
      </c>
      <c r="B8" s="295"/>
      <c r="C8" s="184"/>
      <c r="D8" s="184"/>
      <c r="E8" s="184"/>
      <c r="F8" s="184"/>
      <c r="G8" s="414" t="s">
        <v>499</v>
      </c>
      <c r="H8" s="2418">
        <f>I51</f>
        <v>0</v>
      </c>
      <c r="I8" s="2419"/>
      <c r="J8" s="2418">
        <f>K51</f>
        <v>0</v>
      </c>
      <c r="K8" s="2419"/>
      <c r="L8" s="2418">
        <f>M51</f>
        <v>0</v>
      </c>
      <c r="M8" s="2419"/>
      <c r="N8" s="2418">
        <f>O51</f>
        <v>0</v>
      </c>
      <c r="O8" s="2419"/>
      <c r="P8" s="2418">
        <f>Q51</f>
        <v>0</v>
      </c>
      <c r="Q8" s="2419"/>
      <c r="R8" s="2418">
        <f>S51</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661"/>
      <c r="B20" s="2404"/>
      <c r="C20" s="2426"/>
      <c r="D20" s="2405"/>
      <c r="E20" s="2405"/>
      <c r="F20" s="2405"/>
      <c r="G20" s="2423"/>
      <c r="H20" s="2424"/>
      <c r="I20" s="2424"/>
      <c r="J20" s="2424"/>
      <c r="K20" s="2424"/>
      <c r="L20" s="2424"/>
      <c r="M20" s="2424"/>
      <c r="N20" s="2424"/>
      <c r="O20" s="2424"/>
      <c r="P20" s="2424"/>
      <c r="Q20" s="2424"/>
      <c r="R20" s="2424"/>
      <c r="S20" s="2424"/>
    </row>
    <row r="21" spans="1:19" ht="15.75" thickBot="1">
      <c r="A21" s="2661"/>
      <c r="B21" s="2428" t="s">
        <v>1155</v>
      </c>
      <c r="C21" s="56"/>
      <c r="D21" s="57"/>
      <c r="E21" s="57"/>
      <c r="F21" s="57"/>
      <c r="G21" s="63"/>
      <c r="H21" s="58"/>
      <c r="I21" s="58"/>
      <c r="J21" s="58"/>
      <c r="K21" s="58"/>
      <c r="L21" s="58"/>
      <c r="M21" s="58"/>
      <c r="N21" s="58"/>
      <c r="O21" s="58"/>
      <c r="P21" s="58"/>
      <c r="Q21" s="58"/>
      <c r="R21" s="58"/>
      <c r="S21" s="58"/>
    </row>
    <row r="22" spans="1:19">
      <c r="A22" s="2661"/>
      <c r="B22" s="2318" t="s">
        <v>512</v>
      </c>
      <c r="C22" s="2426"/>
      <c r="D22" s="2405"/>
      <c r="E22" s="2405"/>
      <c r="F22" s="2405"/>
      <c r="G22" s="2423"/>
      <c r="H22" s="2660"/>
      <c r="I22" s="2650"/>
      <c r="J22" s="2650"/>
      <c r="K22" s="2650"/>
      <c r="L22" s="2537"/>
      <c r="M22" s="2650"/>
      <c r="N22" s="2650"/>
      <c r="O22" s="2650"/>
      <c r="P22" s="2650"/>
      <c r="Q22" s="2650"/>
      <c r="R22" s="2650"/>
      <c r="S22" s="2650"/>
    </row>
    <row r="23" spans="1:19">
      <c r="A23" s="2662"/>
      <c r="B23" s="2663" t="s">
        <v>513</v>
      </c>
      <c r="C23" s="2426"/>
      <c r="D23" s="2405"/>
      <c r="E23" s="2405"/>
      <c r="F23" s="2405"/>
      <c r="G23" s="2423"/>
      <c r="H23" s="2537"/>
      <c r="I23" s="2664"/>
      <c r="J23" s="2537"/>
      <c r="K23" s="2650"/>
      <c r="L23" s="2537"/>
      <c r="M23" s="2650"/>
      <c r="N23" s="2650"/>
      <c r="O23" s="2650"/>
      <c r="P23" s="2650"/>
      <c r="Q23" s="2650"/>
      <c r="R23" s="2650"/>
      <c r="S23" s="2650"/>
    </row>
    <row r="24" spans="1:19">
      <c r="A24" s="2662"/>
      <c r="B24" s="2663" t="s">
        <v>514</v>
      </c>
      <c r="C24" s="2430"/>
      <c r="D24" s="2405"/>
      <c r="E24" s="2405"/>
      <c r="F24" s="2405"/>
      <c r="G24" s="2423"/>
      <c r="H24" s="2537"/>
      <c r="I24" s="2664"/>
      <c r="J24" s="2537"/>
      <c r="K24" s="2650"/>
      <c r="L24" s="2537"/>
      <c r="M24" s="2650"/>
      <c r="N24" s="2650"/>
      <c r="O24" s="2650"/>
      <c r="P24" s="2650"/>
      <c r="Q24" s="2650"/>
      <c r="R24" s="2650"/>
      <c r="S24" s="2650"/>
    </row>
    <row r="25" spans="1:19">
      <c r="A25" s="2662"/>
      <c r="B25" s="2665" t="s">
        <v>515</v>
      </c>
      <c r="C25" s="2430"/>
      <c r="D25" s="2405"/>
      <c r="E25" s="2405"/>
      <c r="F25" s="2405"/>
      <c r="G25" s="2423"/>
      <c r="H25" s="2537"/>
      <c r="I25" s="2664"/>
      <c r="J25" s="2537"/>
      <c r="K25" s="2650"/>
      <c r="L25" s="2537"/>
      <c r="M25" s="2650"/>
      <c r="N25" s="2650"/>
      <c r="O25" s="2650"/>
      <c r="P25" s="2650"/>
      <c r="Q25" s="2650"/>
      <c r="R25" s="2650"/>
      <c r="S25" s="2650"/>
    </row>
    <row r="26" spans="1:19" s="91" customFormat="1">
      <c r="A26" s="2661"/>
      <c r="B26" s="2665" t="s">
        <v>516</v>
      </c>
      <c r="C26" s="2432"/>
      <c r="D26" s="2433"/>
      <c r="E26" s="2433"/>
      <c r="F26" s="2433"/>
      <c r="G26" s="2432"/>
      <c r="H26" s="2537"/>
      <c r="I26" s="2664"/>
      <c r="J26" s="2539"/>
      <c r="K26" s="2666"/>
      <c r="L26" s="2539"/>
      <c r="M26" s="2666"/>
      <c r="N26" s="2666"/>
      <c r="O26" s="2666"/>
      <c r="P26" s="2666"/>
      <c r="Q26" s="2666"/>
      <c r="R26" s="2666"/>
      <c r="S26" s="2666"/>
    </row>
    <row r="27" spans="1:19" s="91" customFormat="1">
      <c r="A27" s="2661"/>
      <c r="B27" s="2665" t="s">
        <v>517</v>
      </c>
      <c r="C27" s="2432"/>
      <c r="D27" s="2433"/>
      <c r="E27" s="2433"/>
      <c r="F27" s="2433"/>
      <c r="G27" s="2432"/>
      <c r="H27" s="2537"/>
      <c r="I27" s="2664"/>
      <c r="J27" s="2539"/>
      <c r="K27" s="2666"/>
      <c r="L27" s="2539"/>
      <c r="M27" s="2666"/>
      <c r="N27" s="2666"/>
      <c r="O27" s="2666"/>
      <c r="P27" s="2666"/>
      <c r="Q27" s="2666"/>
      <c r="R27" s="2666"/>
      <c r="S27" s="2666"/>
    </row>
    <row r="28" spans="1:19" s="91" customFormat="1">
      <c r="A28" s="2661"/>
      <c r="B28" s="2665" t="s">
        <v>518</v>
      </c>
      <c r="C28" s="2432"/>
      <c r="D28" s="2433"/>
      <c r="E28" s="2433"/>
      <c r="F28" s="2433"/>
      <c r="G28" s="2432"/>
      <c r="H28" s="2537"/>
      <c r="I28" s="2664"/>
      <c r="J28" s="2539"/>
      <c r="K28" s="2666"/>
      <c r="L28" s="2539"/>
      <c r="M28" s="2666"/>
      <c r="N28" s="2666"/>
      <c r="O28" s="2666"/>
      <c r="P28" s="2666"/>
      <c r="Q28" s="2666"/>
      <c r="R28" s="2666"/>
      <c r="S28" s="2666"/>
    </row>
    <row r="29" spans="1:19" s="91" customFormat="1">
      <c r="A29" s="2661"/>
      <c r="B29" s="2667" t="s">
        <v>519</v>
      </c>
      <c r="C29" s="2432"/>
      <c r="D29" s="2433"/>
      <c r="E29" s="2433"/>
      <c r="F29" s="2433"/>
      <c r="G29" s="2432"/>
      <c r="H29" s="2537"/>
      <c r="I29" s="2664"/>
      <c r="J29" s="2539"/>
      <c r="K29" s="2666"/>
      <c r="L29" s="2539"/>
      <c r="M29" s="2666"/>
      <c r="N29" s="2666"/>
      <c r="O29" s="2666"/>
      <c r="P29" s="2666"/>
      <c r="Q29" s="2666"/>
      <c r="R29" s="2666"/>
      <c r="S29" s="2666"/>
    </row>
    <row r="30" spans="1:19" s="91" customFormat="1">
      <c r="A30" s="2661"/>
      <c r="B30" s="2668" t="s">
        <v>520</v>
      </c>
      <c r="C30" s="2435"/>
      <c r="D30" s="2436"/>
      <c r="E30" s="2436"/>
      <c r="F30" s="2436"/>
      <c r="G30" s="2435"/>
      <c r="H30" s="2439"/>
      <c r="I30" s="2669"/>
      <c r="J30" s="2443"/>
      <c r="K30" s="2670"/>
      <c r="L30" s="2443"/>
      <c r="M30" s="2670"/>
      <c r="N30" s="2670"/>
      <c r="O30" s="2670"/>
      <c r="P30" s="2670"/>
      <c r="Q30" s="2670"/>
      <c r="R30" s="2670"/>
      <c r="S30" s="2670"/>
    </row>
    <row r="31" spans="1:19" s="91" customFormat="1">
      <c r="A31" s="2671"/>
      <c r="B31" s="2545"/>
      <c r="C31" s="2445"/>
      <c r="D31" s="2433"/>
      <c r="E31" s="2433"/>
      <c r="F31" s="2433"/>
      <c r="G31" s="2432"/>
      <c r="H31" s="2537"/>
      <c r="I31" s="2664"/>
      <c r="J31" s="2539"/>
      <c r="K31" s="2666"/>
      <c r="L31" s="2539"/>
      <c r="M31" s="2666"/>
      <c r="N31" s="2666"/>
      <c r="O31" s="2666"/>
      <c r="P31" s="2666"/>
      <c r="Q31" s="2666"/>
      <c r="R31" s="2666"/>
      <c r="S31" s="2666"/>
    </row>
    <row r="32" spans="1:19" s="91" customFormat="1">
      <c r="A32" s="2671"/>
      <c r="B32" s="2545"/>
      <c r="C32" s="2445"/>
      <c r="D32" s="2433"/>
      <c r="E32" s="2433"/>
      <c r="F32" s="2433"/>
      <c r="G32" s="2432"/>
      <c r="H32" s="2537"/>
      <c r="I32" s="2664"/>
      <c r="J32" s="2539"/>
      <c r="K32" s="2666"/>
      <c r="L32" s="2539"/>
      <c r="M32" s="2666"/>
      <c r="N32" s="2666"/>
      <c r="O32" s="2666"/>
      <c r="P32" s="2666"/>
      <c r="Q32" s="2666"/>
      <c r="R32" s="2666"/>
      <c r="S32" s="2666"/>
    </row>
    <row r="33" spans="1:19" s="91" customFormat="1">
      <c r="A33" s="2671"/>
      <c r="B33" s="2545"/>
      <c r="C33" s="2445"/>
      <c r="D33" s="2433"/>
      <c r="E33" s="2433"/>
      <c r="F33" s="2433"/>
      <c r="G33" s="2432"/>
      <c r="H33" s="2537"/>
      <c r="I33" s="2664"/>
      <c r="J33" s="2539"/>
      <c r="K33" s="2666"/>
      <c r="L33" s="2539"/>
      <c r="M33" s="2666"/>
      <c r="N33" s="2666"/>
      <c r="O33" s="2666"/>
      <c r="P33" s="2666"/>
      <c r="Q33" s="2666"/>
      <c r="R33" s="2666"/>
      <c r="S33" s="2666"/>
    </row>
    <row r="34" spans="1:19" s="91" customFormat="1">
      <c r="A34" s="2671"/>
      <c r="B34" s="2545"/>
      <c r="C34" s="2445"/>
      <c r="D34" s="2433"/>
      <c r="E34" s="2546"/>
      <c r="F34" s="2547"/>
      <c r="G34" s="2432"/>
      <c r="H34" s="2537"/>
      <c r="I34" s="2664"/>
      <c r="J34" s="2539"/>
      <c r="K34" s="2666"/>
      <c r="L34" s="2539"/>
      <c r="M34" s="2666"/>
      <c r="N34" s="2666"/>
      <c r="O34" s="2666"/>
      <c r="P34" s="2666"/>
      <c r="Q34" s="2666"/>
      <c r="R34" s="2666"/>
      <c r="S34" s="2666"/>
    </row>
    <row r="35" spans="1:19" s="91" customFormat="1">
      <c r="A35" s="2671"/>
      <c r="B35" s="2545"/>
      <c r="C35" s="2445"/>
      <c r="D35" s="2433"/>
      <c r="E35" s="2546"/>
      <c r="F35" s="2547"/>
      <c r="G35" s="2432"/>
      <c r="H35" s="2537"/>
      <c r="I35" s="2664"/>
      <c r="J35" s="2539"/>
      <c r="K35" s="2666"/>
      <c r="L35" s="2539"/>
      <c r="M35" s="2666"/>
      <c r="N35" s="2666"/>
      <c r="O35" s="2666"/>
      <c r="P35" s="2666"/>
      <c r="Q35" s="2666"/>
      <c r="R35" s="2666"/>
      <c r="S35" s="2666"/>
    </row>
    <row r="36" spans="1:19" s="91" customFormat="1">
      <c r="A36" s="2671"/>
      <c r="B36" s="2545"/>
      <c r="C36" s="2445"/>
      <c r="D36" s="2433"/>
      <c r="E36" s="2546"/>
      <c r="F36" s="2547"/>
      <c r="G36" s="2432"/>
      <c r="H36" s="2537"/>
      <c r="I36" s="2664"/>
      <c r="J36" s="2539"/>
      <c r="K36" s="2666"/>
      <c r="L36" s="2539"/>
      <c r="M36" s="2666"/>
      <c r="N36" s="2666"/>
      <c r="O36" s="2666"/>
      <c r="P36" s="2666"/>
      <c r="Q36" s="2666"/>
      <c r="R36" s="2666"/>
      <c r="S36" s="2666"/>
    </row>
    <row r="37" spans="1:19" s="91" customFormat="1">
      <c r="A37" s="2671"/>
      <c r="B37" s="2672"/>
      <c r="C37" s="2445"/>
      <c r="D37" s="2433"/>
      <c r="E37" s="2546"/>
      <c r="F37" s="2547"/>
      <c r="G37" s="2432"/>
      <c r="H37" s="2537"/>
      <c r="I37" s="2664"/>
      <c r="J37" s="2539"/>
      <c r="K37" s="2666"/>
      <c r="L37" s="2539"/>
      <c r="M37" s="2666"/>
      <c r="N37" s="2666"/>
      <c r="O37" s="2666"/>
      <c r="P37" s="2666"/>
      <c r="Q37" s="2666"/>
      <c r="R37" s="2666"/>
      <c r="S37" s="2666"/>
    </row>
    <row r="38" spans="1:19" s="91" customFormat="1">
      <c r="A38" s="2671"/>
      <c r="B38" s="2673"/>
      <c r="C38" s="2445"/>
      <c r="D38" s="2433"/>
      <c r="E38" s="2546"/>
      <c r="F38" s="2547"/>
      <c r="G38" s="2432"/>
      <c r="H38" s="2537"/>
      <c r="I38" s="2664"/>
      <c r="J38" s="2539"/>
      <c r="K38" s="2666"/>
      <c r="L38" s="2539"/>
      <c r="M38" s="2666"/>
      <c r="N38" s="2666"/>
      <c r="O38" s="2666"/>
      <c r="P38" s="2666"/>
      <c r="Q38" s="2666"/>
      <c r="R38" s="2666"/>
      <c r="S38" s="2666"/>
    </row>
    <row r="39" spans="1:19" s="91" customFormat="1">
      <c r="A39" s="2671"/>
      <c r="B39" s="152"/>
      <c r="C39" s="2445"/>
      <c r="D39" s="2433"/>
      <c r="E39" s="2546"/>
      <c r="F39" s="2547"/>
      <c r="G39" s="2432"/>
      <c r="H39" s="2537"/>
      <c r="I39" s="2664"/>
      <c r="J39" s="2539"/>
      <c r="K39" s="2666"/>
      <c r="L39" s="2539"/>
      <c r="M39" s="2666"/>
      <c r="N39" s="2666"/>
      <c r="O39" s="2666"/>
      <c r="P39" s="2666"/>
      <c r="Q39" s="2666"/>
      <c r="R39" s="2666"/>
      <c r="S39" s="2666"/>
    </row>
    <row r="40" spans="1:19" s="91" customFormat="1">
      <c r="A40" s="2671"/>
      <c r="B40" s="2545"/>
      <c r="C40" s="2445"/>
      <c r="D40" s="2433"/>
      <c r="E40" s="2546"/>
      <c r="F40" s="2547"/>
      <c r="G40" s="2432"/>
      <c r="H40" s="2537"/>
      <c r="I40" s="2664"/>
      <c r="J40" s="2539"/>
      <c r="K40" s="2666"/>
      <c r="L40" s="2539"/>
      <c r="M40" s="2666"/>
      <c r="N40" s="2666"/>
      <c r="O40" s="2666"/>
      <c r="P40" s="2666"/>
      <c r="Q40" s="2666"/>
      <c r="R40" s="2666"/>
      <c r="S40" s="2666"/>
    </row>
    <row r="41" spans="1:19" s="91" customFormat="1">
      <c r="A41" s="2671"/>
      <c r="B41" s="2545"/>
      <c r="C41" s="2445"/>
      <c r="D41" s="2433"/>
      <c r="E41" s="2546"/>
      <c r="F41" s="2547"/>
      <c r="G41" s="2432"/>
      <c r="H41" s="2537"/>
      <c r="I41" s="2664"/>
      <c r="J41" s="2539"/>
      <c r="K41" s="2666"/>
      <c r="L41" s="2539"/>
      <c r="M41" s="2666"/>
      <c r="N41" s="2666"/>
      <c r="O41" s="2666"/>
      <c r="P41" s="2666"/>
      <c r="Q41" s="2666"/>
      <c r="R41" s="2666"/>
      <c r="S41" s="2666"/>
    </row>
    <row r="42" spans="1:19" s="91" customFormat="1">
      <c r="A42" s="2671"/>
      <c r="B42" s="2545"/>
      <c r="C42" s="2445"/>
      <c r="D42" s="2433"/>
      <c r="E42" s="2546"/>
      <c r="F42" s="2547"/>
      <c r="G42" s="2432"/>
      <c r="H42" s="2537"/>
      <c r="I42" s="2664"/>
      <c r="J42" s="2539"/>
      <c r="K42" s="2666"/>
      <c r="L42" s="2539"/>
      <c r="M42" s="2666"/>
      <c r="N42" s="2666"/>
      <c r="O42" s="2666"/>
      <c r="P42" s="2666"/>
      <c r="Q42" s="2666"/>
      <c r="R42" s="2666"/>
      <c r="S42" s="2666"/>
    </row>
    <row r="43" spans="1:19" s="91" customFormat="1">
      <c r="A43" s="2671"/>
      <c r="B43" s="2545"/>
      <c r="C43" s="2445"/>
      <c r="D43" s="2433"/>
      <c r="E43" s="2546"/>
      <c r="F43" s="2547"/>
      <c r="G43" s="2432"/>
      <c r="H43" s="2537"/>
      <c r="I43" s="2664"/>
      <c r="J43" s="2539"/>
      <c r="K43" s="2666"/>
      <c r="L43" s="2539"/>
      <c r="M43" s="2666"/>
      <c r="N43" s="2666"/>
      <c r="O43" s="2666"/>
      <c r="P43" s="2666"/>
      <c r="Q43" s="2666"/>
      <c r="R43" s="2666"/>
      <c r="S43" s="2666"/>
    </row>
    <row r="44" spans="1:19" s="91" customFormat="1">
      <c r="A44" s="2671"/>
      <c r="B44" s="2545"/>
      <c r="C44" s="2445"/>
      <c r="D44" s="2433"/>
      <c r="E44" s="2546"/>
      <c r="F44" s="2547"/>
      <c r="G44" s="2432"/>
      <c r="H44" s="2537"/>
      <c r="I44" s="2664"/>
      <c r="J44" s="2539"/>
      <c r="K44" s="2666"/>
      <c r="L44" s="2539"/>
      <c r="M44" s="2666"/>
      <c r="N44" s="2666"/>
      <c r="O44" s="2666"/>
      <c r="P44" s="2666"/>
      <c r="Q44" s="2666"/>
      <c r="R44" s="2666"/>
      <c r="S44" s="2666"/>
    </row>
    <row r="45" spans="1:19" s="91" customFormat="1">
      <c r="A45" s="2671"/>
      <c r="B45" s="2545"/>
      <c r="C45" s="2445"/>
      <c r="D45" s="2433"/>
      <c r="E45" s="2546"/>
      <c r="F45" s="2547"/>
      <c r="G45" s="2432"/>
      <c r="H45" s="2537"/>
      <c r="I45" s="2664"/>
      <c r="J45" s="2539"/>
      <c r="K45" s="2666"/>
      <c r="L45" s="2539"/>
      <c r="M45" s="2666"/>
      <c r="N45" s="2666"/>
      <c r="O45" s="2666"/>
      <c r="P45" s="2666"/>
      <c r="Q45" s="2666"/>
      <c r="R45" s="2666"/>
      <c r="S45" s="2666"/>
    </row>
    <row r="46" spans="1:19" s="91" customFormat="1" ht="15.75" thickBot="1">
      <c r="A46" s="2671"/>
      <c r="B46" s="2545"/>
      <c r="C46" s="2445"/>
      <c r="D46" s="2433"/>
      <c r="E46" s="2546"/>
      <c r="F46" s="2547"/>
      <c r="G46" s="2432"/>
      <c r="H46" s="2537"/>
      <c r="I46" s="2664"/>
      <c r="J46" s="2539"/>
      <c r="K46" s="2666"/>
      <c r="L46" s="2539"/>
      <c r="M46" s="2666"/>
      <c r="N46" s="2666"/>
      <c r="O46" s="2666"/>
      <c r="P46" s="2666"/>
      <c r="Q46" s="2666"/>
      <c r="R46" s="2666"/>
      <c r="S46" s="2666"/>
    </row>
    <row r="47" spans="1:19" ht="15.75" thickTop="1">
      <c r="A47" s="14"/>
      <c r="B47" s="15"/>
      <c r="C47" s="16"/>
      <c r="D47" s="16"/>
      <c r="E47" s="17"/>
      <c r="F47" s="18" t="s">
        <v>567</v>
      </c>
      <c r="G47" s="19"/>
      <c r="H47" s="20"/>
      <c r="I47" s="61">
        <f>SUM(I23:I46)</f>
        <v>0</v>
      </c>
      <c r="J47" s="20"/>
      <c r="K47" s="61">
        <f>SUM(K23:K46)</f>
        <v>0</v>
      </c>
      <c r="L47" s="20"/>
      <c r="M47" s="61">
        <f>SUM(M23:M46)</f>
        <v>0</v>
      </c>
      <c r="N47" s="20"/>
      <c r="O47" s="61">
        <f>SUM(O23:O46)</f>
        <v>0</v>
      </c>
      <c r="P47" s="20"/>
      <c r="Q47" s="61">
        <f>SUM(Q23:Q46)</f>
        <v>0</v>
      </c>
      <c r="R47" s="20"/>
      <c r="S47" s="61">
        <f>SUM(S23:S46)</f>
        <v>0</v>
      </c>
    </row>
    <row r="48" spans="1:19">
      <c r="A48" s="2358"/>
      <c r="B48" s="2359"/>
      <c r="C48" s="2360"/>
      <c r="D48" s="2360"/>
      <c r="E48" s="2361"/>
      <c r="F48" s="2362" t="s">
        <v>568</v>
      </c>
      <c r="G48" s="2363"/>
      <c r="H48" s="2364">
        <v>0</v>
      </c>
      <c r="I48" s="2460"/>
      <c r="J48" s="2364">
        <v>0</v>
      </c>
      <c r="K48" s="2460"/>
      <c r="L48" s="2364">
        <v>0</v>
      </c>
      <c r="M48" s="2460"/>
      <c r="N48" s="2364">
        <v>0</v>
      </c>
      <c r="O48" s="2460"/>
      <c r="P48" s="2364">
        <v>0</v>
      </c>
      <c r="Q48" s="2460"/>
      <c r="R48" s="2364">
        <v>0</v>
      </c>
      <c r="S48" s="2460"/>
    </row>
    <row r="49" spans="1:19">
      <c r="A49" s="2358"/>
      <c r="B49" s="2359"/>
      <c r="C49" s="2360"/>
      <c r="D49" s="2360"/>
      <c r="E49" s="2361"/>
      <c r="F49" s="2362" t="s">
        <v>569</v>
      </c>
      <c r="G49" s="2363"/>
      <c r="H49" s="2366"/>
      <c r="I49" s="2462">
        <f>H48*I47</f>
        <v>0</v>
      </c>
      <c r="J49" s="2366"/>
      <c r="K49" s="2462">
        <f>J48*K47</f>
        <v>0</v>
      </c>
      <c r="L49" s="2366"/>
      <c r="M49" s="2462">
        <f>L48*M47</f>
        <v>0</v>
      </c>
      <c r="N49" s="2366"/>
      <c r="O49" s="2462">
        <f>N48*O47</f>
        <v>0</v>
      </c>
      <c r="P49" s="2366"/>
      <c r="Q49" s="2462">
        <f>P48*Q47</f>
        <v>0</v>
      </c>
      <c r="R49" s="2366"/>
      <c r="S49" s="2462">
        <f>R48*S47</f>
        <v>0</v>
      </c>
    </row>
    <row r="50" spans="1:19">
      <c r="A50" s="2358"/>
      <c r="B50" s="2359"/>
      <c r="C50" s="2360"/>
      <c r="D50" s="2360"/>
      <c r="E50" s="2361"/>
      <c r="F50" s="2362"/>
      <c r="G50" s="2363"/>
      <c r="H50" s="2366"/>
      <c r="I50" s="2464"/>
      <c r="J50" s="2366"/>
      <c r="K50" s="2464"/>
      <c r="L50" s="2366"/>
      <c r="M50" s="2464"/>
      <c r="N50" s="2366"/>
      <c r="O50" s="2464"/>
      <c r="P50" s="2366"/>
      <c r="Q50" s="2464"/>
      <c r="R50" s="2366"/>
      <c r="S50" s="2464"/>
    </row>
    <row r="51" spans="1:19">
      <c r="A51" s="2358"/>
      <c r="B51" s="2359"/>
      <c r="C51" s="2360"/>
      <c r="D51" s="2360"/>
      <c r="E51" s="2361"/>
      <c r="F51" s="2362" t="s">
        <v>570</v>
      </c>
      <c r="G51" s="2363"/>
      <c r="H51" s="2368"/>
      <c r="I51" s="2465">
        <f>SUM(I47:I49)</f>
        <v>0</v>
      </c>
      <c r="J51" s="2368"/>
      <c r="K51" s="2465">
        <f>SUM(K47:K49)</f>
        <v>0</v>
      </c>
      <c r="L51" s="2368"/>
      <c r="M51" s="2465">
        <f>SUM(M47:M49)</f>
        <v>0</v>
      </c>
      <c r="N51" s="2368"/>
      <c r="O51" s="2465">
        <f>SUM(O47:O49)</f>
        <v>0</v>
      </c>
      <c r="P51" s="2368"/>
      <c r="Q51" s="2465">
        <f>SUM(Q47:Q49)</f>
        <v>0</v>
      </c>
      <c r="R51" s="2368"/>
      <c r="S51" s="2465">
        <f>SUM(S47:S49)</f>
        <v>0</v>
      </c>
    </row>
    <row r="52" spans="1:19">
      <c r="A52" s="2358"/>
      <c r="B52" s="2359"/>
      <c r="C52" s="2360"/>
      <c r="D52" s="2360"/>
      <c r="E52" s="2361"/>
      <c r="F52" s="2370" t="s">
        <v>571</v>
      </c>
      <c r="G52" s="2371"/>
      <c r="H52" s="2372"/>
      <c r="I52" s="2373" t="e">
        <f>I51/'Area Calculations'!$J$4</f>
        <v>#DIV/0!</v>
      </c>
      <c r="J52" s="2372"/>
      <c r="K52" s="2373" t="e">
        <f>K51/'Area Calculations'!$J$4</f>
        <v>#DIV/0!</v>
      </c>
      <c r="L52" s="2372"/>
      <c r="M52" s="2373" t="e">
        <f>M51/'Area Calculations'!$J$4</f>
        <v>#DIV/0!</v>
      </c>
      <c r="N52" s="2372"/>
      <c r="O52" s="2373" t="e">
        <f>O51/'Area Calculations'!$J$4</f>
        <v>#DIV/0!</v>
      </c>
      <c r="P52" s="2372"/>
      <c r="Q52" s="2373" t="e">
        <f>Q51/'Area Calculations'!$J$4</f>
        <v>#DIV/0!</v>
      </c>
      <c r="R52" s="2372"/>
      <c r="S52" s="2373" t="e">
        <f>S51/'Area Calculations'!$J$4</f>
        <v>#DIV/0!</v>
      </c>
    </row>
    <row r="53" spans="1:19">
      <c r="A53" s="2358"/>
      <c r="B53" s="2359"/>
      <c r="C53" s="2360"/>
      <c r="D53" s="2360"/>
      <c r="E53" s="2361"/>
      <c r="F53" s="2370" t="s">
        <v>572</v>
      </c>
      <c r="G53" s="2374"/>
      <c r="H53" s="2372"/>
      <c r="I53" s="2373" t="e">
        <f>I51/'Area Calculations'!#REF!</f>
        <v>#REF!</v>
      </c>
      <c r="J53" s="2372"/>
      <c r="K53" s="2373" t="e">
        <f>K51/'Area Calculations'!#REF!</f>
        <v>#REF!</v>
      </c>
      <c r="L53" s="2372"/>
      <c r="M53" s="2373" t="e">
        <f>M51/'Area Calculations'!#REF!</f>
        <v>#REF!</v>
      </c>
      <c r="N53" s="2372"/>
      <c r="O53" s="2373" t="e">
        <f>O51/'Area Calculations'!#REF!</f>
        <v>#REF!</v>
      </c>
      <c r="P53" s="2372"/>
      <c r="Q53" s="2373" t="e">
        <f>Q51/'Area Calculations'!#REF!</f>
        <v>#REF!</v>
      </c>
      <c r="R53" s="2372"/>
      <c r="S53" s="2373" t="e">
        <f>S51/'Area Calculations'!#REF!</f>
        <v>#REF!</v>
      </c>
    </row>
    <row r="54" spans="1:19" ht="15.75" thickBot="1">
      <c r="A54" s="2358"/>
      <c r="B54" s="2359"/>
      <c r="C54" s="2360"/>
      <c r="D54" s="2360"/>
      <c r="E54" s="2361"/>
      <c r="F54" s="2362"/>
      <c r="G54" s="2375"/>
      <c r="H54" s="2376"/>
      <c r="I54" s="2377"/>
      <c r="J54" s="2376"/>
      <c r="K54" s="2377"/>
      <c r="L54" s="2376"/>
      <c r="M54" s="2377"/>
      <c r="N54" s="2376"/>
      <c r="O54" s="2377"/>
      <c r="P54" s="2376"/>
      <c r="Q54" s="2377"/>
      <c r="R54" s="2376"/>
      <c r="S54" s="2377"/>
    </row>
    <row r="55" spans="1:19" ht="16.5" thickTop="1" thickBot="1">
      <c r="A55" s="726" t="s">
        <v>573</v>
      </c>
      <c r="B55" s="727"/>
      <c r="C55" s="12"/>
      <c r="D55" s="12"/>
      <c r="E55" s="12"/>
      <c r="F55" s="12"/>
      <c r="G55" s="54"/>
      <c r="H55" s="52"/>
      <c r="I55" s="21"/>
      <c r="J55" s="21"/>
      <c r="K55" s="21"/>
      <c r="L55" s="21"/>
      <c r="M55" s="21"/>
      <c r="N55" s="21"/>
      <c r="O55" s="21"/>
      <c r="P55" s="21"/>
      <c r="Q55" s="21"/>
      <c r="R55" s="21"/>
      <c r="S55" s="21"/>
    </row>
    <row r="56" spans="1:19" ht="15.75" thickTop="1">
      <c r="A56" s="2674"/>
      <c r="B56" s="2404"/>
      <c r="C56" s="2675"/>
      <c r="D56" s="2675"/>
      <c r="E56" s="2675"/>
      <c r="F56" s="2675"/>
      <c r="G56" s="2676"/>
      <c r="H56" s="2677"/>
      <c r="I56" s="2678"/>
      <c r="J56" s="2678"/>
      <c r="K56" s="2678"/>
      <c r="L56" s="2678"/>
      <c r="M56" s="2678"/>
      <c r="N56" s="2678"/>
      <c r="O56" s="2678"/>
      <c r="P56" s="2678"/>
      <c r="Q56" s="2678"/>
      <c r="R56" s="2678"/>
      <c r="S56" s="2678"/>
    </row>
    <row r="57" spans="1:19" s="2" customFormat="1">
      <c r="A57" s="2674"/>
      <c r="B57" s="2404"/>
      <c r="C57" s="2675"/>
      <c r="D57" s="2675"/>
      <c r="E57" s="2675"/>
      <c r="F57" s="2675"/>
      <c r="G57" s="2676"/>
      <c r="H57" s="2677"/>
      <c r="I57" s="2678"/>
      <c r="J57" s="2678"/>
      <c r="K57" s="2678"/>
      <c r="L57" s="2678"/>
      <c r="M57" s="2678"/>
      <c r="N57" s="2678"/>
      <c r="O57" s="2678"/>
      <c r="P57" s="2678"/>
      <c r="Q57" s="2678"/>
      <c r="R57" s="2678"/>
      <c r="S57" s="2678"/>
    </row>
    <row r="58" spans="1:19" s="2" customFormat="1" ht="15.75" thickBot="1">
      <c r="A58" s="2674"/>
      <c r="B58" s="2404"/>
      <c r="C58" s="2675"/>
      <c r="D58" s="2675"/>
      <c r="E58" s="2675"/>
      <c r="F58" s="2675"/>
      <c r="G58" s="2676"/>
      <c r="H58" s="2677"/>
      <c r="I58" s="2678"/>
      <c r="J58" s="2678"/>
      <c r="K58" s="2678"/>
      <c r="L58" s="2678"/>
      <c r="M58" s="2678"/>
      <c r="N58" s="2678"/>
      <c r="O58" s="2678"/>
      <c r="P58" s="2678"/>
      <c r="Q58" s="2678"/>
      <c r="R58" s="2678"/>
      <c r="S58" s="2678"/>
    </row>
    <row r="59" spans="1:19" ht="16.5" thickTop="1" thickBot="1">
      <c r="A59" s="726" t="s">
        <v>574</v>
      </c>
      <c r="B59" s="727"/>
      <c r="C59" s="12"/>
      <c r="D59" s="12"/>
      <c r="E59" s="12"/>
      <c r="F59" s="12"/>
      <c r="G59" s="54"/>
      <c r="H59" s="52"/>
      <c r="I59" s="21"/>
      <c r="J59" s="21"/>
      <c r="K59" s="21"/>
      <c r="L59" s="21"/>
      <c r="M59" s="21"/>
      <c r="N59" s="21"/>
      <c r="O59" s="21"/>
      <c r="P59" s="21"/>
      <c r="Q59" s="21"/>
      <c r="R59" s="21"/>
      <c r="S59" s="21"/>
    </row>
    <row r="60" spans="1:19" s="2" customFormat="1" ht="15.75" thickTop="1">
      <c r="A60" s="2674"/>
      <c r="B60" s="2404"/>
      <c r="C60" s="2675"/>
      <c r="D60" s="2675"/>
      <c r="E60" s="2675"/>
      <c r="F60" s="2675"/>
      <c r="G60" s="2676"/>
      <c r="H60" s="2677"/>
      <c r="I60" s="2678"/>
      <c r="J60" s="2678"/>
      <c r="K60" s="2678"/>
      <c r="L60" s="2678"/>
      <c r="M60" s="2678"/>
      <c r="N60" s="2678"/>
      <c r="O60" s="2678"/>
      <c r="P60" s="2678"/>
      <c r="Q60" s="2678"/>
      <c r="R60" s="2678"/>
      <c r="S60" s="2678"/>
    </row>
    <row r="61" spans="1:19" s="2" customFormat="1">
      <c r="A61" s="2674"/>
      <c r="B61" s="2404"/>
      <c r="C61" s="2675"/>
      <c r="D61" s="2675"/>
      <c r="E61" s="2675"/>
      <c r="F61" s="2675"/>
      <c r="G61" s="2676"/>
      <c r="H61" s="2677"/>
      <c r="I61" s="2678"/>
      <c r="J61" s="2678"/>
      <c r="K61" s="2678"/>
      <c r="L61" s="2678"/>
      <c r="M61" s="2678"/>
      <c r="N61" s="2678"/>
      <c r="O61" s="2678"/>
      <c r="P61" s="2678"/>
      <c r="Q61" s="2678"/>
      <c r="R61" s="2678"/>
      <c r="S61" s="2678"/>
    </row>
    <row r="62" spans="1:19" ht="15.75" thickBot="1">
      <c r="A62" s="2674"/>
      <c r="B62" s="2404"/>
      <c r="C62" s="2675"/>
      <c r="D62" s="2675"/>
      <c r="E62" s="2675"/>
      <c r="F62" s="2675"/>
      <c r="G62" s="2676"/>
      <c r="H62" s="2677"/>
      <c r="I62" s="2678"/>
      <c r="J62" s="2678"/>
      <c r="K62" s="2678"/>
      <c r="L62" s="2678"/>
      <c r="M62" s="2678"/>
      <c r="N62" s="2678"/>
      <c r="O62" s="2678"/>
      <c r="P62" s="2678"/>
      <c r="Q62" s="2678"/>
      <c r="R62" s="2678"/>
      <c r="S62" s="2678"/>
    </row>
    <row r="63" spans="1:19" ht="16.5" thickTop="1" thickBot="1">
      <c r="A63" s="726" t="s">
        <v>575</v>
      </c>
      <c r="B63" s="727"/>
      <c r="C63" s="12"/>
      <c r="D63" s="12"/>
      <c r="E63" s="12"/>
      <c r="F63" s="12"/>
      <c r="G63" s="54"/>
      <c r="H63" s="52"/>
      <c r="I63" s="21"/>
      <c r="J63" s="21"/>
      <c r="K63" s="21"/>
      <c r="L63" s="21"/>
      <c r="M63" s="21"/>
      <c r="N63" s="21"/>
      <c r="O63" s="21"/>
      <c r="P63" s="21"/>
      <c r="Q63" s="21"/>
      <c r="R63" s="21"/>
      <c r="S63" s="21"/>
    </row>
    <row r="64" spans="1:19" ht="15.75" thickTop="1">
      <c r="A64" s="2674"/>
      <c r="B64" s="2404"/>
      <c r="C64" s="2675"/>
      <c r="D64" s="2675"/>
      <c r="E64" s="2675"/>
      <c r="F64" s="2675"/>
      <c r="G64" s="2676"/>
      <c r="H64" s="2677"/>
      <c r="I64" s="2678"/>
      <c r="J64" s="2678"/>
      <c r="K64" s="2678"/>
      <c r="L64" s="2678"/>
      <c r="M64" s="2678"/>
      <c r="N64" s="2678"/>
      <c r="O64" s="2678"/>
      <c r="P64" s="2678"/>
      <c r="Q64" s="2678"/>
      <c r="R64" s="2678"/>
      <c r="S64" s="2678"/>
    </row>
    <row r="65" spans="1:19">
      <c r="A65" s="2421"/>
      <c r="B65" s="2404"/>
      <c r="C65" s="2405"/>
      <c r="D65" s="2405"/>
      <c r="E65" s="2405"/>
      <c r="F65" s="2405"/>
      <c r="G65" s="2552"/>
      <c r="H65" s="2474"/>
      <c r="I65" s="2382"/>
      <c r="J65" s="2382"/>
      <c r="K65" s="2382"/>
      <c r="L65" s="2382"/>
      <c r="M65" s="2382"/>
      <c r="N65" s="2382"/>
      <c r="O65" s="2382"/>
      <c r="P65" s="2382"/>
      <c r="Q65" s="2382"/>
      <c r="R65" s="2382"/>
      <c r="S65" s="2382"/>
    </row>
    <row r="66" spans="1:19" ht="15.75" thickBot="1">
      <c r="A66" s="2383"/>
      <c r="B66" s="2384"/>
      <c r="C66" s="2405"/>
      <c r="D66" s="2405"/>
      <c r="E66" s="2405"/>
      <c r="F66" s="2405"/>
      <c r="G66" s="2552"/>
      <c r="H66" s="2475"/>
      <c r="I66" s="2385"/>
      <c r="J66" s="2385"/>
      <c r="K66" s="2385"/>
      <c r="L66" s="2385"/>
      <c r="M66" s="2385"/>
      <c r="N66" s="2385"/>
      <c r="O66" s="2385"/>
      <c r="P66" s="2385"/>
      <c r="Q66" s="2385"/>
      <c r="R66" s="2385"/>
      <c r="S66" s="2385"/>
    </row>
    <row r="67" spans="1:19" ht="16.5" thickTop="1" thickBot="1">
      <c r="A67" s="726" t="s">
        <v>576</v>
      </c>
      <c r="B67" s="727"/>
      <c r="C67" s="12"/>
      <c r="D67" s="12"/>
      <c r="E67" s="12"/>
      <c r="F67" s="12"/>
      <c r="G67" s="54"/>
      <c r="H67" s="52"/>
      <c r="I67" s="21"/>
      <c r="J67" s="21"/>
      <c r="K67" s="21"/>
      <c r="L67" s="21"/>
      <c r="M67" s="21"/>
      <c r="N67" s="21"/>
      <c r="O67" s="21"/>
      <c r="P67" s="21"/>
      <c r="Q67" s="21"/>
      <c r="R67" s="21"/>
      <c r="S67" s="21"/>
    </row>
    <row r="68" spans="1:19" ht="15.75" thickTop="1">
      <c r="A68" s="2679"/>
      <c r="B68" s="2680"/>
      <c r="C68" s="2675"/>
      <c r="D68" s="2675"/>
      <c r="E68" s="2675"/>
      <c r="F68" s="2675"/>
      <c r="G68" s="2676"/>
      <c r="H68" s="2677"/>
      <c r="I68" s="2678"/>
      <c r="J68" s="2678"/>
      <c r="K68" s="2678"/>
      <c r="L68" s="2678"/>
      <c r="M68" s="2678"/>
      <c r="N68" s="2678"/>
      <c r="O68" s="2678"/>
      <c r="P68" s="2678"/>
      <c r="Q68" s="2678"/>
      <c r="R68" s="2678"/>
      <c r="S68" s="2678"/>
    </row>
    <row r="69" spans="1:19">
      <c r="A69" s="2383"/>
      <c r="B69" s="2384"/>
      <c r="C69" s="2405"/>
      <c r="D69" s="2405"/>
      <c r="E69" s="2405"/>
      <c r="F69" s="2405"/>
      <c r="G69" s="2552"/>
      <c r="H69" s="2478"/>
      <c r="I69" s="2388"/>
      <c r="J69" s="2388"/>
      <c r="K69" s="2388"/>
      <c r="L69" s="2388"/>
      <c r="M69" s="2388"/>
      <c r="N69" s="2388"/>
      <c r="O69" s="2388"/>
      <c r="P69" s="2388"/>
      <c r="Q69" s="2388"/>
      <c r="R69" s="2388"/>
      <c r="S69" s="2388"/>
    </row>
    <row r="70" spans="1:19" ht="15.75" thickBot="1">
      <c r="A70" s="2383"/>
      <c r="B70" s="2384"/>
      <c r="C70" s="2405"/>
      <c r="D70" s="2405"/>
      <c r="E70" s="2405"/>
      <c r="F70" s="2405"/>
      <c r="G70" s="2552"/>
      <c r="H70" s="2478"/>
      <c r="I70" s="2388"/>
      <c r="J70" s="2388"/>
      <c r="K70" s="2388"/>
      <c r="L70" s="2388"/>
      <c r="M70" s="2388"/>
      <c r="N70" s="2388"/>
      <c r="O70" s="2388"/>
      <c r="P70" s="2388"/>
      <c r="Q70" s="2388"/>
      <c r="R70" s="2388"/>
      <c r="S70" s="2388"/>
    </row>
    <row r="71" spans="1:19" ht="16.5" thickTop="1" thickBot="1">
      <c r="A71" s="726" t="s">
        <v>577</v>
      </c>
      <c r="B71" s="727"/>
      <c r="C71" s="12"/>
      <c r="D71" s="12"/>
      <c r="E71" s="12"/>
      <c r="F71" s="12"/>
      <c r="G71" s="54"/>
      <c r="H71" s="52"/>
      <c r="I71" s="21"/>
      <c r="J71" s="21"/>
      <c r="K71" s="21"/>
      <c r="L71" s="21"/>
      <c r="M71" s="21"/>
      <c r="N71" s="21"/>
      <c r="O71" s="21"/>
      <c r="P71" s="21"/>
      <c r="Q71" s="21"/>
      <c r="R71" s="21"/>
      <c r="S71" s="21"/>
    </row>
    <row r="72" spans="1:19" ht="15.75" thickTop="1">
      <c r="A72" s="2421"/>
      <c r="B72" s="2404" t="s">
        <v>578</v>
      </c>
      <c r="C72" s="2405"/>
      <c r="D72" s="2405"/>
      <c r="E72" s="2405"/>
      <c r="F72" s="2405"/>
      <c r="G72" s="2552"/>
      <c r="H72" s="2478"/>
      <c r="I72" s="2388"/>
      <c r="J72" s="2388"/>
      <c r="K72" s="2388"/>
      <c r="L72" s="2388"/>
      <c r="M72" s="2388"/>
      <c r="N72" s="2388"/>
      <c r="O72" s="2388"/>
      <c r="P72" s="2388"/>
      <c r="Q72" s="2388"/>
      <c r="R72" s="2388"/>
      <c r="S72" s="2388"/>
    </row>
    <row r="73" spans="1:19">
      <c r="A73" s="2421"/>
      <c r="B73" s="2404" t="s">
        <v>579</v>
      </c>
      <c r="C73" s="2405"/>
      <c r="D73" s="2405"/>
      <c r="E73" s="2405"/>
      <c r="F73" s="2405"/>
      <c r="G73" s="2552"/>
      <c r="H73" s="2478"/>
      <c r="I73" s="2388"/>
      <c r="J73" s="2388"/>
      <c r="K73" s="2388"/>
      <c r="L73" s="2388"/>
      <c r="M73" s="2388"/>
      <c r="N73" s="2388"/>
      <c r="O73" s="2388"/>
      <c r="P73" s="2388"/>
      <c r="Q73" s="2388"/>
      <c r="R73" s="2388"/>
      <c r="S73" s="2388"/>
    </row>
    <row r="74" spans="1:19">
      <c r="A74" s="2421"/>
      <c r="B74" s="2404" t="s">
        <v>580</v>
      </c>
      <c r="C74" s="2405"/>
      <c r="D74" s="2405"/>
      <c r="E74" s="2405"/>
      <c r="F74" s="2405"/>
      <c r="G74" s="2552"/>
      <c r="H74" s="2478"/>
      <c r="I74" s="2388"/>
      <c r="J74" s="2388"/>
      <c r="K74" s="2388"/>
      <c r="L74" s="2388"/>
      <c r="M74" s="2388"/>
      <c r="N74" s="2388"/>
      <c r="O74" s="2388"/>
      <c r="P74" s="2388"/>
      <c r="Q74" s="2388"/>
      <c r="R74" s="2388"/>
      <c r="S74" s="2388"/>
    </row>
    <row r="75" spans="1:19">
      <c r="A75" s="2421"/>
      <c r="B75" s="2404" t="s">
        <v>581</v>
      </c>
      <c r="C75" s="2405"/>
      <c r="D75" s="2405"/>
      <c r="E75" s="2405"/>
      <c r="F75" s="2405"/>
      <c r="G75" s="2552"/>
      <c r="H75" s="2478"/>
      <c r="I75" s="2388"/>
      <c r="J75" s="2388"/>
      <c r="K75" s="2388"/>
      <c r="L75" s="2388"/>
      <c r="M75" s="2388"/>
      <c r="N75" s="2388"/>
      <c r="O75" s="2388"/>
      <c r="P75" s="2388"/>
      <c r="Q75" s="2388"/>
      <c r="R75" s="2388"/>
      <c r="S75" s="2388"/>
    </row>
    <row r="76" spans="1:19" ht="15.75" thickBot="1">
      <c r="A76" s="416"/>
      <c r="B76" s="295"/>
      <c r="C76" s="184"/>
      <c r="D76" s="184"/>
      <c r="E76" s="184"/>
      <c r="F76" s="184"/>
      <c r="G76" s="417"/>
      <c r="H76" s="53"/>
      <c r="I76" s="418"/>
      <c r="J76" s="418"/>
      <c r="K76" s="418"/>
      <c r="L76" s="418"/>
      <c r="M76" s="418"/>
      <c r="N76" s="418"/>
      <c r="O76" s="418"/>
      <c r="P76" s="418"/>
      <c r="Q76" s="418"/>
      <c r="R76" s="418"/>
      <c r="S76" s="418"/>
    </row>
    <row r="77" spans="1:19" ht="16.5" thickTop="1" thickBot="1">
      <c r="A77" s="7" t="s">
        <v>582</v>
      </c>
      <c r="B77" s="8"/>
      <c r="C77" s="12"/>
      <c r="D77" s="12"/>
      <c r="E77" s="12"/>
      <c r="F77" s="12"/>
      <c r="G77" s="54"/>
      <c r="H77" s="52"/>
      <c r="I77" s="21"/>
      <c r="J77" s="21"/>
      <c r="K77" s="21"/>
      <c r="L77" s="21"/>
      <c r="M77" s="21"/>
      <c r="N77" s="21"/>
      <c r="O77" s="21"/>
      <c r="P77" s="21"/>
      <c r="Q77" s="21"/>
      <c r="R77" s="21"/>
      <c r="S77" s="21"/>
    </row>
    <row r="78" spans="1:19" ht="15.75" thickTop="1">
      <c r="A78" s="2674"/>
      <c r="B78" s="2681" t="s">
        <v>583</v>
      </c>
      <c r="C78" s="2675"/>
      <c r="D78" s="2675"/>
      <c r="E78" s="2675"/>
      <c r="F78" s="2675"/>
      <c r="G78" s="2676"/>
      <c r="H78" s="2650"/>
      <c r="I78" s="2660"/>
      <c r="J78" s="2660"/>
      <c r="K78" s="2660"/>
      <c r="L78" s="2660"/>
      <c r="M78" s="2660"/>
      <c r="N78" s="2660"/>
      <c r="O78" s="2660"/>
      <c r="P78" s="2660"/>
      <c r="Q78" s="2660"/>
      <c r="R78" s="2660"/>
      <c r="S78" s="2660"/>
    </row>
    <row r="79" spans="1:19">
      <c r="A79" s="2421"/>
      <c r="B79" s="2404" t="s">
        <v>584</v>
      </c>
      <c r="C79" s="2405"/>
      <c r="D79" s="2405"/>
      <c r="E79" s="2405"/>
      <c r="F79" s="2405"/>
      <c r="G79" s="2552"/>
      <c r="H79" s="2481"/>
      <c r="I79" s="2390"/>
      <c r="J79" s="2390"/>
      <c r="K79" s="2390"/>
      <c r="L79" s="2390"/>
      <c r="M79" s="2390"/>
      <c r="N79" s="2390"/>
      <c r="O79" s="2390"/>
      <c r="P79" s="2390"/>
      <c r="Q79" s="2390"/>
      <c r="R79" s="2390"/>
      <c r="S79" s="2390"/>
    </row>
    <row r="80" spans="1:19" ht="15.75" thickBot="1">
      <c r="A80" s="2391"/>
      <c r="B80" s="2392" t="s">
        <v>585</v>
      </c>
      <c r="C80" s="2393"/>
      <c r="D80" s="2393"/>
      <c r="E80" s="2393"/>
      <c r="F80" s="2393"/>
      <c r="G80" s="2555"/>
      <c r="H80" s="2482"/>
      <c r="I80" s="2395"/>
      <c r="J80" s="2395"/>
      <c r="K80" s="2395"/>
      <c r="L80" s="2395"/>
      <c r="M80" s="2395"/>
      <c r="N80" s="2395"/>
      <c r="O80" s="2395"/>
      <c r="P80" s="2395"/>
      <c r="Q80" s="2395"/>
      <c r="R80" s="2395"/>
      <c r="S80" s="2395"/>
    </row>
    <row r="81" spans="1:2" ht="16.5" thickTop="1" thickBot="1"/>
    <row r="82" spans="1:2" ht="16.5" thickTop="1" thickBot="1">
      <c r="A82" s="92" t="s">
        <v>586</v>
      </c>
      <c r="B82" s="94"/>
    </row>
    <row r="83" spans="1:2" ht="15.75" thickTop="1">
      <c r="A83" s="93" t="s">
        <v>487</v>
      </c>
      <c r="B83" s="2396"/>
    </row>
    <row r="84" spans="1:2">
      <c r="A84" s="2397" t="s">
        <v>491</v>
      </c>
      <c r="B84" s="2396"/>
    </row>
    <row r="85" spans="1:2">
      <c r="A85" s="2398" t="s">
        <v>494</v>
      </c>
      <c r="B85" s="2399"/>
    </row>
    <row r="86" spans="1:2">
      <c r="A86" s="2398" t="s">
        <v>497</v>
      </c>
      <c r="B86" s="2400"/>
    </row>
    <row r="87" spans="1:2" ht="15.75" thickBot="1">
      <c r="A87" s="2401" t="s">
        <v>587</v>
      </c>
      <c r="B87" s="2402"/>
    </row>
    <row r="88" spans="1:2" ht="15.75" thickTop="1"/>
    <row r="89" spans="1:2">
      <c r="A89" s="95"/>
      <c r="B89" s="1" t="s">
        <v>588</v>
      </c>
    </row>
    <row r="90" spans="1:2">
      <c r="A90" s="96"/>
      <c r="B9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5:B55"/>
    <mergeCell ref="A59:B59"/>
    <mergeCell ref="A63:B63"/>
    <mergeCell ref="A67:B67"/>
    <mergeCell ref="A71:B71"/>
  </mergeCells>
  <hyperlinks>
    <hyperlink ref="B3" location="'Cost Summary'!A1" display="BACK TO SUMMARY SHEET" xr:uid="{F607242E-FC33-4222-A664-21244331EF68}"/>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F923-C73E-41C9-AC37-24F18B5D5FEC}">
  <sheetPr>
    <tabColor rgb="FF92D050"/>
  </sheetPr>
  <dimension ref="A1:S100"/>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1157</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1158</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625">
        <f>I61</f>
        <v>0</v>
      </c>
      <c r="I8" s="2625"/>
      <c r="J8" s="2625">
        <f>K61</f>
        <v>0</v>
      </c>
      <c r="K8" s="2625"/>
      <c r="L8" s="2625">
        <f>M61</f>
        <v>0</v>
      </c>
      <c r="M8" s="2625"/>
      <c r="N8" s="2625">
        <f>O61</f>
        <v>0</v>
      </c>
      <c r="O8" s="2625"/>
      <c r="P8" s="2625">
        <f>Q61</f>
        <v>0</v>
      </c>
      <c r="Q8" s="2625"/>
      <c r="R8" s="2420">
        <f>S61</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682"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683"/>
      <c r="B20" s="2404"/>
      <c r="C20" s="2426"/>
      <c r="D20" s="2405"/>
      <c r="E20" s="2405"/>
      <c r="F20" s="2405"/>
      <c r="G20" s="2423"/>
      <c r="H20" s="2427"/>
      <c r="I20" s="2424"/>
      <c r="J20" s="2427"/>
      <c r="K20" s="2424"/>
      <c r="L20" s="2427"/>
      <c r="M20" s="2424"/>
      <c r="N20" s="2427"/>
      <c r="O20" s="2424"/>
      <c r="P20" s="2427"/>
      <c r="Q20" s="2424"/>
      <c r="R20" s="2427"/>
      <c r="S20" s="2424"/>
    </row>
    <row r="21" spans="1:19">
      <c r="A21" s="2683"/>
      <c r="B21" s="2428" t="s">
        <v>1157</v>
      </c>
      <c r="C21" s="56"/>
      <c r="D21" s="57"/>
      <c r="E21" s="57"/>
      <c r="F21" s="57"/>
      <c r="G21" s="63"/>
      <c r="H21" s="2427"/>
      <c r="I21" s="2655"/>
      <c r="J21" s="2427"/>
      <c r="K21" s="2684"/>
      <c r="L21" s="2427"/>
      <c r="M21" s="2684"/>
      <c r="N21" s="2427"/>
      <c r="O21" s="2684"/>
      <c r="P21" s="2427"/>
      <c r="Q21" s="2684"/>
      <c r="R21" s="2427"/>
      <c r="S21" s="2684"/>
    </row>
    <row r="22" spans="1:19">
      <c r="A22" s="2683"/>
      <c r="B22" s="2318" t="s">
        <v>512</v>
      </c>
      <c r="C22" s="2426"/>
      <c r="D22" s="2405"/>
      <c r="E22" s="2405"/>
      <c r="F22" s="2405"/>
      <c r="G22" s="2423"/>
      <c r="H22" s="2427"/>
      <c r="I22" s="2655"/>
      <c r="J22" s="2427"/>
      <c r="K22" s="2684"/>
      <c r="L22" s="2427"/>
      <c r="M22" s="2684"/>
      <c r="N22" s="2427"/>
      <c r="O22" s="2684"/>
      <c r="P22" s="2427"/>
      <c r="Q22" s="2684"/>
      <c r="R22" s="2427"/>
      <c r="S22" s="2684"/>
    </row>
    <row r="23" spans="1:19">
      <c r="A23" s="2683"/>
      <c r="B23" s="2652" t="s">
        <v>513</v>
      </c>
      <c r="C23" s="2426"/>
      <c r="D23" s="2405"/>
      <c r="E23" s="2405"/>
      <c r="F23" s="2405"/>
      <c r="G23" s="2423"/>
      <c r="H23" s="2427"/>
      <c r="I23" s="2655"/>
      <c r="J23" s="2427"/>
      <c r="K23" s="2684"/>
      <c r="L23" s="2427"/>
      <c r="M23" s="2684"/>
      <c r="N23" s="2427"/>
      <c r="O23" s="2684"/>
      <c r="P23" s="2427"/>
      <c r="Q23" s="2684"/>
      <c r="R23" s="2427"/>
      <c r="S23" s="2684"/>
    </row>
    <row r="24" spans="1:19">
      <c r="A24" s="2683"/>
      <c r="B24" s="2652" t="s">
        <v>514</v>
      </c>
      <c r="C24" s="2430"/>
      <c r="D24" s="2405"/>
      <c r="E24" s="2405"/>
      <c r="F24" s="2405"/>
      <c r="G24" s="2423"/>
      <c r="H24" s="2427"/>
      <c r="I24" s="2655"/>
      <c r="J24" s="2427"/>
      <c r="K24" s="2684"/>
      <c r="L24" s="2427"/>
      <c r="M24" s="2684"/>
      <c r="N24" s="2427"/>
      <c r="O24" s="2684"/>
      <c r="P24" s="2427"/>
      <c r="Q24" s="2684"/>
      <c r="R24" s="2427"/>
      <c r="S24" s="2684"/>
    </row>
    <row r="25" spans="1:19">
      <c r="A25" s="2636"/>
      <c r="B25" s="2653" t="s">
        <v>515</v>
      </c>
      <c r="C25" s="2430"/>
      <c r="D25" s="2405"/>
      <c r="E25" s="2405"/>
      <c r="F25" s="2405"/>
      <c r="G25" s="2423"/>
      <c r="H25" s="2427"/>
      <c r="I25" s="2655"/>
      <c r="J25" s="2427"/>
      <c r="K25" s="2684"/>
      <c r="L25" s="2427"/>
      <c r="M25" s="2684"/>
      <c r="N25" s="2427"/>
      <c r="O25" s="2684"/>
      <c r="P25" s="2427"/>
      <c r="Q25" s="2684"/>
      <c r="R25" s="2427"/>
      <c r="S25" s="2684"/>
    </row>
    <row r="26" spans="1:19" s="91" customFormat="1">
      <c r="A26" s="2636"/>
      <c r="B26" s="2653" t="s">
        <v>516</v>
      </c>
      <c r="C26" s="2432"/>
      <c r="D26" s="2433"/>
      <c r="E26" s="2433"/>
      <c r="F26" s="2433"/>
      <c r="G26" s="2432"/>
      <c r="H26" s="2427"/>
      <c r="I26" s="2655"/>
      <c r="J26" s="2427"/>
      <c r="K26" s="2654"/>
      <c r="L26" s="2427"/>
      <c r="M26" s="2654"/>
      <c r="N26" s="2427"/>
      <c r="O26" s="2654"/>
      <c r="P26" s="2427"/>
      <c r="Q26" s="2654"/>
      <c r="R26" s="2427"/>
      <c r="S26" s="2654"/>
    </row>
    <row r="27" spans="1:19" s="91" customFormat="1">
      <c r="A27" s="2683"/>
      <c r="B27" s="2653" t="s">
        <v>517</v>
      </c>
      <c r="C27" s="2432"/>
      <c r="D27" s="2433"/>
      <c r="E27" s="2433"/>
      <c r="F27" s="2433"/>
      <c r="G27" s="2432"/>
      <c r="H27" s="2427"/>
      <c r="I27" s="2655"/>
      <c r="J27" s="2427"/>
      <c r="K27" s="2654"/>
      <c r="L27" s="2427"/>
      <c r="M27" s="2654"/>
      <c r="N27" s="2427"/>
      <c r="O27" s="2654"/>
      <c r="P27" s="2427"/>
      <c r="Q27" s="2654"/>
      <c r="R27" s="2427"/>
      <c r="S27" s="2654"/>
    </row>
    <row r="28" spans="1:19" s="91" customFormat="1">
      <c r="A28" s="2683"/>
      <c r="B28" s="2653" t="s">
        <v>518</v>
      </c>
      <c r="C28" s="2432"/>
      <c r="D28" s="2433"/>
      <c r="E28" s="2433"/>
      <c r="F28" s="2433"/>
      <c r="G28" s="2432"/>
      <c r="H28" s="2427"/>
      <c r="I28" s="2655"/>
      <c r="J28" s="2427"/>
      <c r="K28" s="2654"/>
      <c r="L28" s="2427"/>
      <c r="M28" s="2654"/>
      <c r="N28" s="2427"/>
      <c r="O28" s="2654"/>
      <c r="P28" s="2427"/>
      <c r="Q28" s="2654"/>
      <c r="R28" s="2427"/>
      <c r="S28" s="2654"/>
    </row>
    <row r="29" spans="1:19" s="91" customFormat="1">
      <c r="A29" s="2683"/>
      <c r="B29" s="2653" t="s">
        <v>693</v>
      </c>
      <c r="C29" s="2432"/>
      <c r="D29" s="2433"/>
      <c r="E29" s="2433"/>
      <c r="F29" s="2433"/>
      <c r="G29" s="2432"/>
      <c r="H29" s="2427"/>
      <c r="I29" s="2655"/>
      <c r="J29" s="2427"/>
      <c r="K29" s="2654"/>
      <c r="L29" s="2427"/>
      <c r="M29" s="2654"/>
      <c r="N29" s="2427"/>
      <c r="O29" s="2654"/>
      <c r="P29" s="2427"/>
      <c r="Q29" s="2654"/>
      <c r="R29" s="2427"/>
      <c r="S29" s="2654"/>
    </row>
    <row r="30" spans="1:19" s="91" customFormat="1">
      <c r="A30" s="2683"/>
      <c r="B30" s="2656" t="s">
        <v>519</v>
      </c>
      <c r="C30" s="2432"/>
      <c r="D30" s="2433"/>
      <c r="E30" s="2433"/>
      <c r="F30" s="2433"/>
      <c r="G30" s="2432"/>
      <c r="H30" s="2427"/>
      <c r="I30" s="2655"/>
      <c r="J30" s="2427"/>
      <c r="K30" s="2654"/>
      <c r="L30" s="2427"/>
      <c r="M30" s="2654"/>
      <c r="N30" s="2427"/>
      <c r="O30" s="2654"/>
      <c r="P30" s="2427"/>
      <c r="Q30" s="2654"/>
      <c r="R30" s="2427"/>
      <c r="S30" s="2654"/>
    </row>
    <row r="31" spans="1:19" s="91" customFormat="1">
      <c r="A31" s="2683"/>
      <c r="B31" s="2657" t="s">
        <v>520</v>
      </c>
      <c r="C31" s="2435"/>
      <c r="D31" s="2436"/>
      <c r="E31" s="2436"/>
      <c r="F31" s="2436"/>
      <c r="G31" s="2435"/>
      <c r="H31" s="2439"/>
      <c r="I31" s="2658"/>
      <c r="J31" s="2443"/>
      <c r="K31" s="2659"/>
      <c r="L31" s="2443"/>
      <c r="M31" s="2659"/>
      <c r="N31" s="2659"/>
      <c r="O31" s="2659"/>
      <c r="P31" s="2659"/>
      <c r="Q31" s="2659"/>
      <c r="R31" s="2659"/>
      <c r="S31" s="2659"/>
    </row>
    <row r="32" spans="1:19" s="91" customFormat="1">
      <c r="A32" s="2683"/>
      <c r="B32" s="145" t="s">
        <v>748</v>
      </c>
      <c r="C32" s="2432"/>
      <c r="D32" s="2433"/>
      <c r="E32" s="2433"/>
      <c r="F32" s="2433"/>
      <c r="G32" s="2432"/>
      <c r="H32" s="2427"/>
      <c r="I32" s="2655"/>
      <c r="J32" s="2427"/>
      <c r="K32" s="2654"/>
      <c r="L32" s="2427"/>
      <c r="M32" s="2654"/>
      <c r="N32" s="2427"/>
      <c r="O32" s="2654"/>
      <c r="P32" s="2427"/>
      <c r="Q32" s="2654"/>
      <c r="R32" s="2427"/>
      <c r="S32" s="2654"/>
    </row>
    <row r="33" spans="1:19" s="91" customFormat="1">
      <c r="A33" s="2683"/>
      <c r="B33" s="2545"/>
      <c r="C33" s="2432"/>
      <c r="D33" s="2433"/>
      <c r="E33" s="2433"/>
      <c r="F33" s="2433"/>
      <c r="G33" s="2432"/>
      <c r="H33" s="2427"/>
      <c r="I33" s="2655"/>
      <c r="J33" s="2427"/>
      <c r="K33" s="2654"/>
      <c r="L33" s="2427"/>
      <c r="M33" s="2654"/>
      <c r="N33" s="2427"/>
      <c r="O33" s="2654"/>
      <c r="P33" s="2427"/>
      <c r="Q33" s="2654"/>
      <c r="R33" s="2427"/>
      <c r="S33" s="2654"/>
    </row>
    <row r="34" spans="1:19" s="91" customFormat="1">
      <c r="A34" s="2636"/>
      <c r="B34" s="2550" t="s">
        <v>1159</v>
      </c>
      <c r="C34" s="2445"/>
      <c r="D34" s="2433"/>
      <c r="E34" s="2433"/>
      <c r="F34" s="2433"/>
      <c r="G34" s="2432"/>
      <c r="H34" s="2427"/>
      <c r="I34" s="2655"/>
      <c r="J34" s="2427"/>
      <c r="K34" s="2654"/>
      <c r="L34" s="2427"/>
      <c r="M34" s="2654"/>
      <c r="N34" s="2427"/>
      <c r="O34" s="2654"/>
      <c r="P34" s="2427"/>
      <c r="Q34" s="2654"/>
      <c r="R34" s="2427"/>
      <c r="S34" s="2654"/>
    </row>
    <row r="35" spans="1:19" s="91" customFormat="1">
      <c r="A35" s="2636"/>
      <c r="B35" s="2444" t="s">
        <v>1160</v>
      </c>
      <c r="C35" s="2445"/>
      <c r="D35" s="2433"/>
      <c r="E35" s="2433"/>
      <c r="F35" s="2433"/>
      <c r="G35" s="2432"/>
      <c r="H35" s="2427"/>
      <c r="I35" s="2655"/>
      <c r="J35" s="2427"/>
      <c r="K35" s="2654"/>
      <c r="L35" s="2427"/>
      <c r="M35" s="2654"/>
      <c r="N35" s="2427"/>
      <c r="O35" s="2654"/>
      <c r="P35" s="2427"/>
      <c r="Q35" s="2654"/>
      <c r="R35" s="2427"/>
      <c r="S35" s="2654"/>
    </row>
    <row r="36" spans="1:19" s="91" customFormat="1">
      <c r="A36" s="2636"/>
      <c r="B36" s="2444" t="s">
        <v>1161</v>
      </c>
      <c r="C36" s="2445"/>
      <c r="D36" s="2433"/>
      <c r="E36" s="2433"/>
      <c r="F36" s="2433"/>
      <c r="G36" s="2432"/>
      <c r="H36" s="2427"/>
      <c r="I36" s="2655"/>
      <c r="J36" s="2427"/>
      <c r="K36" s="2654"/>
      <c r="L36" s="2427"/>
      <c r="M36" s="2654"/>
      <c r="N36" s="2427"/>
      <c r="O36" s="2654"/>
      <c r="P36" s="2427"/>
      <c r="Q36" s="2654"/>
      <c r="R36" s="2427"/>
      <c r="S36" s="2654"/>
    </row>
    <row r="37" spans="1:19" s="91" customFormat="1" ht="25.5">
      <c r="A37" s="2636"/>
      <c r="B37" s="2506" t="s">
        <v>1162</v>
      </c>
      <c r="C37" s="2445"/>
      <c r="D37" s="2433"/>
      <c r="E37" s="2433"/>
      <c r="F37" s="2433"/>
      <c r="G37" s="2432"/>
      <c r="H37" s="2427"/>
      <c r="I37" s="2655"/>
      <c r="J37" s="2427"/>
      <c r="K37" s="2654"/>
      <c r="L37" s="2427"/>
      <c r="M37" s="2654"/>
      <c r="N37" s="2427"/>
      <c r="O37" s="2654"/>
      <c r="P37" s="2427"/>
      <c r="Q37" s="2654"/>
      <c r="R37" s="2427"/>
      <c r="S37" s="2654"/>
    </row>
    <row r="38" spans="1:19" s="91" customFormat="1">
      <c r="A38" s="2636"/>
      <c r="B38" s="2444" t="s">
        <v>1163</v>
      </c>
      <c r="C38" s="2445"/>
      <c r="D38" s="2433"/>
      <c r="E38" s="2433"/>
      <c r="F38" s="2433"/>
      <c r="G38" s="2432"/>
      <c r="H38" s="2427"/>
      <c r="I38" s="2655"/>
      <c r="J38" s="2427"/>
      <c r="K38" s="2654"/>
      <c r="L38" s="2427"/>
      <c r="M38" s="2654"/>
      <c r="N38" s="2427"/>
      <c r="O38" s="2654"/>
      <c r="P38" s="2427"/>
      <c r="Q38" s="2654"/>
      <c r="R38" s="2427"/>
      <c r="S38" s="2654"/>
    </row>
    <row r="39" spans="1:19" s="91" customFormat="1">
      <c r="A39" s="2636"/>
      <c r="B39" s="2444" t="s">
        <v>919</v>
      </c>
      <c r="C39" s="2445"/>
      <c r="D39" s="2433"/>
      <c r="E39" s="2546"/>
      <c r="F39" s="2547"/>
      <c r="G39" s="2432"/>
      <c r="H39" s="2427"/>
      <c r="I39" s="2655"/>
      <c r="J39" s="2427"/>
      <c r="K39" s="2654"/>
      <c r="L39" s="2427"/>
      <c r="M39" s="2654"/>
      <c r="N39" s="2427"/>
      <c r="O39" s="2654"/>
      <c r="P39" s="2427"/>
      <c r="Q39" s="2654"/>
      <c r="R39" s="2427"/>
      <c r="S39" s="2654"/>
    </row>
    <row r="40" spans="1:19" s="91" customFormat="1">
      <c r="A40" s="2636"/>
      <c r="B40" s="2444" t="s">
        <v>1164</v>
      </c>
      <c r="C40" s="2445"/>
      <c r="D40" s="2433"/>
      <c r="E40" s="2546"/>
      <c r="F40" s="2547"/>
      <c r="G40" s="2432"/>
      <c r="H40" s="2427"/>
      <c r="I40" s="2655"/>
      <c r="J40" s="2427"/>
      <c r="K40" s="2654"/>
      <c r="L40" s="2427"/>
      <c r="M40" s="2654"/>
      <c r="N40" s="2427"/>
      <c r="O40" s="2654"/>
      <c r="P40" s="2427"/>
      <c r="Q40" s="2654"/>
      <c r="R40" s="2427"/>
      <c r="S40" s="2654"/>
    </row>
    <row r="41" spans="1:19" s="91" customFormat="1">
      <c r="A41" s="2636"/>
      <c r="B41" s="2444" t="s">
        <v>921</v>
      </c>
      <c r="C41" s="2445"/>
      <c r="D41" s="2433"/>
      <c r="E41" s="2546"/>
      <c r="F41" s="2547"/>
      <c r="G41" s="2432"/>
      <c r="H41" s="2427"/>
      <c r="I41" s="2655"/>
      <c r="J41" s="2427"/>
      <c r="K41" s="2654"/>
      <c r="L41" s="2427"/>
      <c r="M41" s="2654"/>
      <c r="N41" s="2427"/>
      <c r="O41" s="2654"/>
      <c r="P41" s="2427"/>
      <c r="Q41" s="2654"/>
      <c r="R41" s="2427"/>
      <c r="S41" s="2654"/>
    </row>
    <row r="42" spans="1:19" s="91" customFormat="1">
      <c r="A42" s="2636"/>
      <c r="B42" s="2637"/>
      <c r="C42" s="2445"/>
      <c r="D42" s="2433"/>
      <c r="E42" s="2546"/>
      <c r="F42" s="2547"/>
      <c r="G42" s="2432"/>
      <c r="H42" s="2427"/>
      <c r="I42" s="2655"/>
      <c r="J42" s="2427"/>
      <c r="K42" s="2654"/>
      <c r="L42" s="2427"/>
      <c r="M42" s="2654"/>
      <c r="N42" s="2427"/>
      <c r="O42" s="2654"/>
      <c r="P42" s="2427"/>
      <c r="Q42" s="2654"/>
      <c r="R42" s="2427"/>
      <c r="S42" s="2654"/>
    </row>
    <row r="43" spans="1:19" s="91" customFormat="1">
      <c r="A43" s="2636"/>
      <c r="B43" s="2638"/>
      <c r="C43" s="2445"/>
      <c r="D43" s="2433"/>
      <c r="E43" s="2546"/>
      <c r="F43" s="2547"/>
      <c r="G43" s="2432"/>
      <c r="H43" s="2427"/>
      <c r="I43" s="2655"/>
      <c r="J43" s="2427"/>
      <c r="K43" s="2654"/>
      <c r="L43" s="2427"/>
      <c r="M43" s="2654"/>
      <c r="N43" s="2427"/>
      <c r="O43" s="2654"/>
      <c r="P43" s="2427"/>
      <c r="Q43" s="2654"/>
      <c r="R43" s="2427"/>
      <c r="S43" s="2654"/>
    </row>
    <row r="44" spans="1:19" s="91" customFormat="1">
      <c r="A44" s="2636"/>
      <c r="B44" s="152"/>
      <c r="C44" s="2445"/>
      <c r="D44" s="2433"/>
      <c r="E44" s="2546"/>
      <c r="F44" s="2547"/>
      <c r="G44" s="2432"/>
      <c r="H44" s="2427" t="s">
        <v>710</v>
      </c>
      <c r="I44" s="2655"/>
      <c r="J44" s="2427"/>
      <c r="K44" s="2654"/>
      <c r="L44" s="2427"/>
      <c r="M44" s="2654"/>
      <c r="N44" s="2427"/>
      <c r="O44" s="2654"/>
      <c r="P44" s="2427"/>
      <c r="Q44" s="2654"/>
      <c r="R44" s="2427"/>
      <c r="S44" s="2654"/>
    </row>
    <row r="45" spans="1:19" s="91" customFormat="1">
      <c r="A45" s="2636"/>
      <c r="B45" s="2545"/>
      <c r="C45" s="2445"/>
      <c r="D45" s="2433"/>
      <c r="E45" s="2546"/>
      <c r="F45" s="2547"/>
      <c r="G45" s="2432"/>
      <c r="H45" s="2427"/>
      <c r="I45" s="2655"/>
      <c r="J45" s="2427"/>
      <c r="K45" s="2654"/>
      <c r="L45" s="2427"/>
      <c r="M45" s="2654"/>
      <c r="N45" s="2427"/>
      <c r="O45" s="2654"/>
      <c r="P45" s="2427"/>
      <c r="Q45" s="2654"/>
      <c r="R45" s="2427"/>
      <c r="S45" s="2654"/>
    </row>
    <row r="46" spans="1:19" s="91" customFormat="1">
      <c r="A46" s="2636"/>
      <c r="B46" s="2545"/>
      <c r="C46" s="2445"/>
      <c r="D46" s="2433"/>
      <c r="E46" s="2546"/>
      <c r="F46" s="2547"/>
      <c r="G46" s="2432"/>
      <c r="H46" s="2427"/>
      <c r="I46" s="2655"/>
      <c r="J46" s="2427"/>
      <c r="K46" s="2654"/>
      <c r="L46" s="2427"/>
      <c r="M46" s="2654"/>
      <c r="N46" s="2427"/>
      <c r="O46" s="2654"/>
      <c r="P46" s="2427"/>
      <c r="Q46" s="2654"/>
      <c r="R46" s="2427"/>
      <c r="S46" s="2654"/>
    </row>
    <row r="47" spans="1:19" s="91" customFormat="1">
      <c r="A47" s="2636"/>
      <c r="B47" s="2545"/>
      <c r="C47" s="2445"/>
      <c r="D47" s="2433"/>
      <c r="E47" s="2546"/>
      <c r="F47" s="2547"/>
      <c r="G47" s="2432"/>
      <c r="H47" s="2427"/>
      <c r="I47" s="2655"/>
      <c r="J47" s="2427"/>
      <c r="K47" s="2654"/>
      <c r="L47" s="2427"/>
      <c r="M47" s="2654"/>
      <c r="N47" s="2427"/>
      <c r="O47" s="2654"/>
      <c r="P47" s="2427"/>
      <c r="Q47" s="2654"/>
      <c r="R47" s="2427"/>
      <c r="S47" s="2654"/>
    </row>
    <row r="48" spans="1:19" s="91" customFormat="1">
      <c r="A48" s="2636"/>
      <c r="B48" s="2545"/>
      <c r="C48" s="2445"/>
      <c r="D48" s="2433"/>
      <c r="E48" s="2546"/>
      <c r="F48" s="2547"/>
      <c r="G48" s="2432"/>
      <c r="H48" s="2427"/>
      <c r="I48" s="2655"/>
      <c r="J48" s="2427"/>
      <c r="K48" s="2654"/>
      <c r="L48" s="2427"/>
      <c r="M48" s="2654"/>
      <c r="N48" s="2427"/>
      <c r="O48" s="2654"/>
      <c r="P48" s="2427"/>
      <c r="Q48" s="2654"/>
      <c r="R48" s="2427"/>
      <c r="S48" s="2654"/>
    </row>
    <row r="49" spans="1:19" s="91" customFormat="1">
      <c r="A49" s="2636"/>
      <c r="B49" s="2545"/>
      <c r="C49" s="2445"/>
      <c r="D49" s="2433"/>
      <c r="E49" s="2546"/>
      <c r="F49" s="2547"/>
      <c r="G49" s="2432"/>
      <c r="H49" s="2427"/>
      <c r="I49" s="2655"/>
      <c r="J49" s="2427"/>
      <c r="K49" s="2654"/>
      <c r="L49" s="2427"/>
      <c r="M49" s="2654"/>
      <c r="N49" s="2427"/>
      <c r="O49" s="2654"/>
      <c r="P49" s="2427"/>
      <c r="Q49" s="2654"/>
      <c r="R49" s="2427"/>
      <c r="S49" s="2654"/>
    </row>
    <row r="50" spans="1:19" s="91" customFormat="1">
      <c r="A50" s="2636"/>
      <c r="B50" s="2545"/>
      <c r="C50" s="2445"/>
      <c r="D50" s="2433"/>
      <c r="E50" s="2546"/>
      <c r="F50" s="2547"/>
      <c r="G50" s="2432"/>
      <c r="H50" s="2427"/>
      <c r="I50" s="2655"/>
      <c r="J50" s="2427"/>
      <c r="K50" s="2654"/>
      <c r="L50" s="2427"/>
      <c r="M50" s="2654"/>
      <c r="N50" s="2427"/>
      <c r="O50" s="2654"/>
      <c r="P50" s="2427"/>
      <c r="Q50" s="2654"/>
      <c r="R50" s="2427"/>
      <c r="S50" s="2654"/>
    </row>
    <row r="51" spans="1:19" s="91" customFormat="1">
      <c r="A51" s="2636"/>
      <c r="B51" s="2545"/>
      <c r="C51" s="2445"/>
      <c r="D51" s="2433"/>
      <c r="E51" s="2546"/>
      <c r="F51" s="2547"/>
      <c r="G51" s="2432"/>
      <c r="H51" s="2427"/>
      <c r="I51" s="2655"/>
      <c r="J51" s="2427"/>
      <c r="K51" s="2654"/>
      <c r="L51" s="2427"/>
      <c r="M51" s="2654"/>
      <c r="N51" s="2427"/>
      <c r="O51" s="2654"/>
      <c r="P51" s="2427"/>
      <c r="Q51" s="2654"/>
      <c r="R51" s="2427"/>
      <c r="S51" s="2654"/>
    </row>
    <row r="52" spans="1:19" s="91" customFormat="1">
      <c r="A52" s="2636"/>
      <c r="B52" s="2545"/>
      <c r="C52" s="2445"/>
      <c r="D52" s="2433"/>
      <c r="E52" s="2546"/>
      <c r="F52" s="2547"/>
      <c r="G52" s="2432"/>
      <c r="H52" s="2427"/>
      <c r="I52" s="2655"/>
      <c r="J52" s="2427"/>
      <c r="K52" s="2654"/>
      <c r="L52" s="2427"/>
      <c r="M52" s="2654"/>
      <c r="N52" s="2427"/>
      <c r="O52" s="2654"/>
      <c r="P52" s="2427"/>
      <c r="Q52" s="2654"/>
      <c r="R52" s="2427"/>
      <c r="S52" s="2654"/>
    </row>
    <row r="53" spans="1:19" s="91" customFormat="1">
      <c r="A53" s="2636"/>
      <c r="B53" s="2545"/>
      <c r="C53" s="2445"/>
      <c r="D53" s="2433"/>
      <c r="E53" s="2546"/>
      <c r="F53" s="2547"/>
      <c r="G53" s="2432"/>
      <c r="H53" s="2427"/>
      <c r="I53" s="2655"/>
      <c r="J53" s="2427"/>
      <c r="K53" s="2654"/>
      <c r="L53" s="2427"/>
      <c r="M53" s="2654"/>
      <c r="N53" s="2427"/>
      <c r="O53" s="2654"/>
      <c r="P53" s="2427"/>
      <c r="Q53" s="2654"/>
      <c r="R53" s="2427"/>
      <c r="S53" s="2654"/>
    </row>
    <row r="54" spans="1:19" s="91" customFormat="1">
      <c r="A54" s="2636"/>
      <c r="B54" s="2545"/>
      <c r="C54" s="2445"/>
      <c r="D54" s="2433"/>
      <c r="E54" s="2546"/>
      <c r="F54" s="2547"/>
      <c r="G54" s="2432"/>
      <c r="H54" s="2427"/>
      <c r="I54" s="2655"/>
      <c r="J54" s="2427"/>
      <c r="K54" s="2654"/>
      <c r="L54" s="2427"/>
      <c r="M54" s="2654"/>
      <c r="N54" s="2427"/>
      <c r="O54" s="2654"/>
      <c r="P54" s="2427"/>
      <c r="Q54" s="2654"/>
      <c r="R54" s="2427"/>
      <c r="S54" s="2654"/>
    </row>
    <row r="55" spans="1:19" s="91" customFormat="1">
      <c r="A55" s="2636"/>
      <c r="B55" s="2545"/>
      <c r="C55" s="2445"/>
      <c r="D55" s="2433"/>
      <c r="E55" s="2546"/>
      <c r="F55" s="2547"/>
      <c r="G55" s="2432"/>
      <c r="H55" s="2427"/>
      <c r="I55" s="2655"/>
      <c r="J55" s="2427"/>
      <c r="K55" s="2654"/>
      <c r="L55" s="2427"/>
      <c r="M55" s="2654"/>
      <c r="N55" s="2427"/>
      <c r="O55" s="2654"/>
      <c r="P55" s="2427"/>
      <c r="Q55" s="2654"/>
      <c r="R55" s="2427"/>
      <c r="S55" s="2654"/>
    </row>
    <row r="56" spans="1:19">
      <c r="A56" s="2685"/>
      <c r="B56" s="2686"/>
      <c r="C56" s="2426"/>
      <c r="D56" s="2405"/>
      <c r="E56" s="2405"/>
      <c r="F56" s="2405"/>
      <c r="G56" s="2423"/>
      <c r="H56" s="2427"/>
      <c r="I56" s="2684"/>
      <c r="J56" s="2427"/>
      <c r="K56" s="2684"/>
      <c r="L56" s="2427"/>
      <c r="M56" s="2684"/>
      <c r="N56" s="2427"/>
      <c r="O56" s="2684"/>
      <c r="P56" s="2427"/>
      <c r="Q56" s="2684"/>
      <c r="R56" s="2427"/>
      <c r="S56" s="2684"/>
    </row>
    <row r="57" spans="1:19">
      <c r="A57" s="14"/>
      <c r="B57" s="15"/>
      <c r="C57" s="16"/>
      <c r="D57" s="16"/>
      <c r="E57" s="17"/>
      <c r="F57" s="18" t="s">
        <v>567</v>
      </c>
      <c r="G57" s="19"/>
      <c r="H57" s="20"/>
      <c r="I57" s="61">
        <f>SUM(I23:I56)</f>
        <v>0</v>
      </c>
      <c r="J57" s="20"/>
      <c r="K57" s="61">
        <f>SUM(K23:K56)</f>
        <v>0</v>
      </c>
      <c r="L57" s="20"/>
      <c r="M57" s="61">
        <f>SUM(M23:M56)</f>
        <v>0</v>
      </c>
      <c r="N57" s="20"/>
      <c r="O57" s="61">
        <f>SUM(O23:O56)</f>
        <v>0</v>
      </c>
      <c r="P57" s="20"/>
      <c r="Q57" s="61">
        <f>SUM(Q23:Q56)</f>
        <v>0</v>
      </c>
      <c r="R57" s="20"/>
      <c r="S57" s="61">
        <f>SUM(S23:S56)</f>
        <v>0</v>
      </c>
    </row>
    <row r="58" spans="1:19">
      <c r="A58" s="2358"/>
      <c r="B58" s="2359"/>
      <c r="C58" s="2360"/>
      <c r="D58" s="2360"/>
      <c r="E58" s="2361"/>
      <c r="F58" s="2362" t="s">
        <v>568</v>
      </c>
      <c r="G58" s="2363"/>
      <c r="H58" s="2364">
        <v>0</v>
      </c>
      <c r="I58" s="2460"/>
      <c r="J58" s="2364">
        <v>0</v>
      </c>
      <c r="K58" s="2460"/>
      <c r="L58" s="2364">
        <v>0</v>
      </c>
      <c r="M58" s="2460"/>
      <c r="N58" s="2364">
        <v>0</v>
      </c>
      <c r="O58" s="2460"/>
      <c r="P58" s="2364">
        <v>0</v>
      </c>
      <c r="Q58" s="2460"/>
      <c r="R58" s="2364">
        <v>0</v>
      </c>
      <c r="S58" s="2460"/>
    </row>
    <row r="59" spans="1:19">
      <c r="A59" s="2358"/>
      <c r="B59" s="2359"/>
      <c r="C59" s="2360"/>
      <c r="D59" s="2360"/>
      <c r="E59" s="2361"/>
      <c r="F59" s="2362" t="s">
        <v>569</v>
      </c>
      <c r="G59" s="2363"/>
      <c r="H59" s="2366"/>
      <c r="I59" s="2462">
        <f>H58*I57</f>
        <v>0</v>
      </c>
      <c r="J59" s="2366"/>
      <c r="K59" s="2462">
        <f>J58*K57</f>
        <v>0</v>
      </c>
      <c r="L59" s="2366"/>
      <c r="M59" s="2462">
        <f>L58*M57</f>
        <v>0</v>
      </c>
      <c r="N59" s="2366"/>
      <c r="O59" s="2462">
        <f>N58*O57</f>
        <v>0</v>
      </c>
      <c r="P59" s="2366"/>
      <c r="Q59" s="2462">
        <f>P58*Q57</f>
        <v>0</v>
      </c>
      <c r="R59" s="2366"/>
      <c r="S59" s="2462">
        <f>R58*S57</f>
        <v>0</v>
      </c>
    </row>
    <row r="60" spans="1:19">
      <c r="A60" s="2358"/>
      <c r="B60" s="2359"/>
      <c r="C60" s="2360"/>
      <c r="D60" s="2360"/>
      <c r="E60" s="2361"/>
      <c r="F60" s="2362"/>
      <c r="G60" s="2363"/>
      <c r="H60" s="2366"/>
      <c r="I60" s="2464"/>
      <c r="J60" s="2366"/>
      <c r="K60" s="2464"/>
      <c r="L60" s="2366"/>
      <c r="M60" s="2464"/>
      <c r="N60" s="2366"/>
      <c r="O60" s="2464"/>
      <c r="P60" s="2366"/>
      <c r="Q60" s="2464"/>
      <c r="R60" s="2366"/>
      <c r="S60" s="2464"/>
    </row>
    <row r="61" spans="1:19">
      <c r="A61" s="2358"/>
      <c r="B61" s="2359"/>
      <c r="C61" s="2360"/>
      <c r="D61" s="2360"/>
      <c r="E61" s="2361"/>
      <c r="F61" s="2362" t="s">
        <v>570</v>
      </c>
      <c r="G61" s="2363"/>
      <c r="H61" s="2368"/>
      <c r="I61" s="2465">
        <f>SUM(I57:I59)</f>
        <v>0</v>
      </c>
      <c r="J61" s="2368"/>
      <c r="K61" s="2465">
        <f>SUM(K57:K59)</f>
        <v>0</v>
      </c>
      <c r="L61" s="2368"/>
      <c r="M61" s="2465">
        <f>SUM(M57:M59)</f>
        <v>0</v>
      </c>
      <c r="N61" s="2368"/>
      <c r="O61" s="2465">
        <f>SUM(O57:O59)</f>
        <v>0</v>
      </c>
      <c r="P61" s="2368"/>
      <c r="Q61" s="2465">
        <f>SUM(Q57:Q59)</f>
        <v>0</v>
      </c>
      <c r="R61" s="2368"/>
      <c r="S61" s="2465">
        <f>SUM(S57:S59)</f>
        <v>0</v>
      </c>
    </row>
    <row r="62" spans="1:19">
      <c r="A62" s="2358"/>
      <c r="B62" s="2359"/>
      <c r="C62" s="2360"/>
      <c r="D62" s="2360"/>
      <c r="E62" s="2361"/>
      <c r="F62" s="2370" t="s">
        <v>571</v>
      </c>
      <c r="G62" s="2371"/>
      <c r="H62" s="2372"/>
      <c r="I62" s="2373" t="e">
        <f>I61/'Area Calculations'!$J$4</f>
        <v>#DIV/0!</v>
      </c>
      <c r="J62" s="2372"/>
      <c r="K62" s="2373" t="e">
        <f>K61/'Area Calculations'!$J$4</f>
        <v>#DIV/0!</v>
      </c>
      <c r="L62" s="2372"/>
      <c r="M62" s="2373" t="e">
        <f>M61/'Area Calculations'!$J$4</f>
        <v>#DIV/0!</v>
      </c>
      <c r="N62" s="2372"/>
      <c r="O62" s="2373" t="e">
        <f>O61/'Area Calculations'!$J$4</f>
        <v>#DIV/0!</v>
      </c>
      <c r="P62" s="2372"/>
      <c r="Q62" s="2373" t="e">
        <f>Q61/'Area Calculations'!$J$4</f>
        <v>#DIV/0!</v>
      </c>
      <c r="R62" s="2372"/>
      <c r="S62" s="2373" t="e">
        <f>S61/'Area Calculations'!$J$4</f>
        <v>#DIV/0!</v>
      </c>
    </row>
    <row r="63" spans="1:19">
      <c r="A63" s="2358"/>
      <c r="B63" s="2359"/>
      <c r="C63" s="2360"/>
      <c r="D63" s="2360"/>
      <c r="E63" s="2361"/>
      <c r="F63" s="2370" t="s">
        <v>572</v>
      </c>
      <c r="G63" s="2374"/>
      <c r="H63" s="2372"/>
      <c r="I63" s="2373" t="e">
        <f>I61/'Area Calculations'!#REF!</f>
        <v>#REF!</v>
      </c>
      <c r="J63" s="2372"/>
      <c r="K63" s="2373" t="e">
        <f>K61/'Area Calculations'!#REF!</f>
        <v>#REF!</v>
      </c>
      <c r="L63" s="2372"/>
      <c r="M63" s="2373" t="e">
        <f>M61/'Area Calculations'!#REF!</f>
        <v>#REF!</v>
      </c>
      <c r="N63" s="2372"/>
      <c r="O63" s="2373" t="e">
        <f>O61/'Area Calculations'!#REF!</f>
        <v>#REF!</v>
      </c>
      <c r="P63" s="2372"/>
      <c r="Q63" s="2373" t="e">
        <f>Q61/'Area Calculations'!#REF!</f>
        <v>#REF!</v>
      </c>
      <c r="R63" s="2372"/>
      <c r="S63" s="2373" t="e">
        <f>S61/'Area Calculations'!#REF!</f>
        <v>#REF!</v>
      </c>
    </row>
    <row r="64" spans="1:19">
      <c r="A64" s="2358"/>
      <c r="B64" s="2359"/>
      <c r="C64" s="2360"/>
      <c r="D64" s="2360"/>
      <c r="E64" s="2361"/>
      <c r="F64" s="2362"/>
      <c r="G64" s="2375"/>
      <c r="H64" s="2376"/>
      <c r="I64" s="2377"/>
      <c r="J64" s="2376"/>
      <c r="K64" s="2377"/>
      <c r="L64" s="2376"/>
      <c r="M64" s="2377"/>
      <c r="N64" s="2376"/>
      <c r="O64" s="2377"/>
      <c r="P64" s="2376"/>
      <c r="Q64" s="2377"/>
      <c r="R64" s="2376"/>
      <c r="S64" s="2377"/>
    </row>
    <row r="65" spans="1:19">
      <c r="A65" s="726" t="s">
        <v>573</v>
      </c>
      <c r="B65" s="727"/>
      <c r="C65" s="12"/>
      <c r="D65" s="12"/>
      <c r="E65" s="12"/>
      <c r="F65" s="12"/>
      <c r="G65" s="13"/>
      <c r="H65" s="21"/>
      <c r="I65" s="21"/>
      <c r="J65" s="21"/>
      <c r="K65" s="21"/>
      <c r="L65" s="21"/>
      <c r="M65" s="21"/>
      <c r="N65" s="21"/>
      <c r="O65" s="21"/>
      <c r="P65" s="21"/>
      <c r="Q65" s="21"/>
      <c r="R65" s="21"/>
      <c r="S65" s="21"/>
    </row>
    <row r="66" spans="1:19">
      <c r="A66" s="2639"/>
      <c r="B66" s="2404"/>
      <c r="C66" s="2640"/>
      <c r="D66" s="2640"/>
      <c r="E66" s="2640"/>
      <c r="F66" s="2640"/>
      <c r="G66" s="2641"/>
      <c r="H66" s="2642"/>
      <c r="I66" s="2642"/>
      <c r="J66" s="2642"/>
      <c r="K66" s="2642"/>
      <c r="L66" s="2642"/>
      <c r="M66" s="2642"/>
      <c r="N66" s="2642"/>
      <c r="O66" s="2642"/>
      <c r="P66" s="2642"/>
      <c r="Q66" s="2642"/>
      <c r="R66" s="2642"/>
      <c r="S66" s="2642"/>
    </row>
    <row r="67" spans="1:19" s="2" customFormat="1">
      <c r="A67" s="2639"/>
      <c r="B67" s="2404"/>
      <c r="C67" s="2640"/>
      <c r="D67" s="2640"/>
      <c r="E67" s="2640"/>
      <c r="F67" s="2640"/>
      <c r="G67" s="2641"/>
      <c r="H67" s="2642"/>
      <c r="I67" s="2642"/>
      <c r="J67" s="2642"/>
      <c r="K67" s="2642"/>
      <c r="L67" s="2642"/>
      <c r="M67" s="2642"/>
      <c r="N67" s="2642"/>
      <c r="O67" s="2642"/>
      <c r="P67" s="2642"/>
      <c r="Q67" s="2642"/>
      <c r="R67" s="2642"/>
      <c r="S67" s="2642"/>
    </row>
    <row r="68" spans="1:19" s="2" customFormat="1">
      <c r="A68" s="2639"/>
      <c r="B68" s="2404"/>
      <c r="C68" s="2640"/>
      <c r="D68" s="2640"/>
      <c r="E68" s="2640"/>
      <c r="F68" s="2640"/>
      <c r="G68" s="2641"/>
      <c r="H68" s="2642"/>
      <c r="I68" s="2642"/>
      <c r="J68" s="2642"/>
      <c r="K68" s="2642"/>
      <c r="L68" s="2642"/>
      <c r="M68" s="2642"/>
      <c r="N68" s="2642"/>
      <c r="O68" s="2642"/>
      <c r="P68" s="2642"/>
      <c r="Q68" s="2642"/>
      <c r="R68" s="2642"/>
      <c r="S68" s="2642"/>
    </row>
    <row r="69" spans="1:19">
      <c r="A69" s="726" t="s">
        <v>574</v>
      </c>
      <c r="B69" s="727"/>
      <c r="C69" s="12"/>
      <c r="D69" s="12"/>
      <c r="E69" s="12"/>
      <c r="F69" s="12"/>
      <c r="G69" s="13"/>
      <c r="H69" s="21"/>
      <c r="I69" s="21"/>
      <c r="J69" s="21"/>
      <c r="K69" s="21"/>
      <c r="L69" s="21"/>
      <c r="M69" s="21"/>
      <c r="N69" s="21"/>
      <c r="O69" s="21"/>
      <c r="P69" s="21"/>
      <c r="Q69" s="21"/>
      <c r="R69" s="21"/>
      <c r="S69" s="21"/>
    </row>
    <row r="70" spans="1:19" s="2" customFormat="1">
      <c r="A70" s="2639"/>
      <c r="B70" s="2404"/>
      <c r="C70" s="2640"/>
      <c r="D70" s="2640"/>
      <c r="E70" s="2640"/>
      <c r="F70" s="2640"/>
      <c r="G70" s="2641"/>
      <c r="H70" s="2642"/>
      <c r="I70" s="2642"/>
      <c r="J70" s="2642"/>
      <c r="K70" s="2642"/>
      <c r="L70" s="2642"/>
      <c r="M70" s="2642"/>
      <c r="N70" s="2642"/>
      <c r="O70" s="2642"/>
      <c r="P70" s="2642"/>
      <c r="Q70" s="2642"/>
      <c r="R70" s="2642"/>
      <c r="S70" s="2642"/>
    </row>
    <row r="71" spans="1:19" s="2" customFormat="1">
      <c r="A71" s="2639"/>
      <c r="B71" s="2404"/>
      <c r="C71" s="2640"/>
      <c r="D71" s="2640"/>
      <c r="E71" s="2640"/>
      <c r="F71" s="2640"/>
      <c r="G71" s="2641"/>
      <c r="H71" s="2642"/>
      <c r="I71" s="2642"/>
      <c r="J71" s="2642"/>
      <c r="K71" s="2642"/>
      <c r="L71" s="2642"/>
      <c r="M71" s="2642"/>
      <c r="N71" s="2642"/>
      <c r="O71" s="2642"/>
      <c r="P71" s="2642"/>
      <c r="Q71" s="2642"/>
      <c r="R71" s="2642"/>
      <c r="S71" s="2642"/>
    </row>
    <row r="72" spans="1:19">
      <c r="A72" s="2639"/>
      <c r="B72" s="2404"/>
      <c r="C72" s="2640"/>
      <c r="D72" s="2640"/>
      <c r="E72" s="2640"/>
      <c r="F72" s="2640"/>
      <c r="G72" s="2641"/>
      <c r="H72" s="2642"/>
      <c r="I72" s="2642"/>
      <c r="J72" s="2642"/>
      <c r="K72" s="2642"/>
      <c r="L72" s="2642"/>
      <c r="M72" s="2642"/>
      <c r="N72" s="2642"/>
      <c r="O72" s="2642"/>
      <c r="P72" s="2642"/>
      <c r="Q72" s="2642"/>
      <c r="R72" s="2642"/>
      <c r="S72" s="2642"/>
    </row>
    <row r="73" spans="1:19">
      <c r="A73" s="726" t="s">
        <v>575</v>
      </c>
      <c r="B73" s="727"/>
      <c r="C73" s="12"/>
      <c r="D73" s="12"/>
      <c r="E73" s="12"/>
      <c r="F73" s="12"/>
      <c r="G73" s="13"/>
      <c r="H73" s="21"/>
      <c r="I73" s="21"/>
      <c r="J73" s="21"/>
      <c r="K73" s="21"/>
      <c r="L73" s="21"/>
      <c r="M73" s="21"/>
      <c r="N73" s="21"/>
      <c r="O73" s="21"/>
      <c r="P73" s="21"/>
      <c r="Q73" s="21"/>
      <c r="R73" s="21"/>
      <c r="S73" s="21"/>
    </row>
    <row r="74" spans="1:19">
      <c r="A74" s="2639"/>
      <c r="B74" s="2404"/>
      <c r="C74" s="2640"/>
      <c r="D74" s="2640"/>
      <c r="E74" s="2640"/>
      <c r="F74" s="2640"/>
      <c r="G74" s="2641"/>
      <c r="H74" s="2642"/>
      <c r="I74" s="2642"/>
      <c r="J74" s="2642"/>
      <c r="K74" s="2642"/>
      <c r="L74" s="2642"/>
      <c r="M74" s="2642"/>
      <c r="N74" s="2642"/>
      <c r="O74" s="2642"/>
      <c r="P74" s="2642"/>
      <c r="Q74" s="2642"/>
      <c r="R74" s="2642"/>
      <c r="S74" s="2642"/>
    </row>
    <row r="75" spans="1:19">
      <c r="A75" s="2421"/>
      <c r="B75" s="2404"/>
      <c r="C75" s="2405"/>
      <c r="D75" s="2405"/>
      <c r="E75" s="2405"/>
      <c r="F75" s="2405"/>
      <c r="G75" s="2423"/>
      <c r="H75" s="2382"/>
      <c r="I75" s="2382"/>
      <c r="J75" s="2382"/>
      <c r="K75" s="2382"/>
      <c r="L75" s="2382"/>
      <c r="M75" s="2382"/>
      <c r="N75" s="2382"/>
      <c r="O75" s="2382"/>
      <c r="P75" s="2382"/>
      <c r="Q75" s="2382"/>
      <c r="R75" s="2382"/>
      <c r="S75" s="2382"/>
    </row>
    <row r="76" spans="1:19">
      <c r="A76" s="2383"/>
      <c r="B76" s="2384"/>
      <c r="C76" s="2405"/>
      <c r="D76" s="2405"/>
      <c r="E76" s="2405"/>
      <c r="F76" s="2405"/>
      <c r="G76" s="2423"/>
      <c r="H76" s="2385"/>
      <c r="I76" s="2385"/>
      <c r="J76" s="2385"/>
      <c r="K76" s="2385"/>
      <c r="L76" s="2385"/>
      <c r="M76" s="2385"/>
      <c r="N76" s="2385"/>
      <c r="O76" s="2385"/>
      <c r="P76" s="2385"/>
      <c r="Q76" s="2385"/>
      <c r="R76" s="2385"/>
      <c r="S76" s="2385"/>
    </row>
    <row r="77" spans="1:19">
      <c r="A77" s="726" t="s">
        <v>576</v>
      </c>
      <c r="B77" s="727"/>
      <c r="C77" s="12"/>
      <c r="D77" s="12"/>
      <c r="E77" s="12"/>
      <c r="F77" s="12"/>
      <c r="G77" s="13"/>
      <c r="H77" s="21"/>
      <c r="I77" s="21"/>
      <c r="J77" s="21"/>
      <c r="K77" s="21"/>
      <c r="L77" s="21"/>
      <c r="M77" s="21"/>
      <c r="N77" s="21"/>
      <c r="O77" s="21"/>
      <c r="P77" s="21"/>
      <c r="Q77" s="21"/>
      <c r="R77" s="21"/>
      <c r="S77" s="21"/>
    </row>
    <row r="78" spans="1:19">
      <c r="A78" s="2643"/>
      <c r="B78" s="2644"/>
      <c r="C78" s="2640"/>
      <c r="D78" s="2640"/>
      <c r="E78" s="2640"/>
      <c r="F78" s="2640"/>
      <c r="G78" s="2641"/>
      <c r="H78" s="2642"/>
      <c r="I78" s="2642"/>
      <c r="J78" s="2642"/>
      <c r="K78" s="2642"/>
      <c r="L78" s="2642"/>
      <c r="M78" s="2642"/>
      <c r="N78" s="2642"/>
      <c r="O78" s="2642"/>
      <c r="P78" s="2642"/>
      <c r="Q78" s="2642"/>
      <c r="R78" s="2642"/>
      <c r="S78" s="2642"/>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2383"/>
      <c r="B80" s="2384"/>
      <c r="C80" s="2405"/>
      <c r="D80" s="2405"/>
      <c r="E80" s="2405"/>
      <c r="F80" s="2405"/>
      <c r="G80" s="2423"/>
      <c r="H80" s="2388"/>
      <c r="I80" s="2388"/>
      <c r="J80" s="2388"/>
      <c r="K80" s="2388"/>
      <c r="L80" s="2388"/>
      <c r="M80" s="2388"/>
      <c r="N80" s="2388"/>
      <c r="O80" s="2388"/>
      <c r="P80" s="2388"/>
      <c r="Q80" s="2388"/>
      <c r="R80" s="2388"/>
      <c r="S80" s="2388"/>
    </row>
    <row r="81" spans="1:19">
      <c r="A81" s="726" t="s">
        <v>577</v>
      </c>
      <c r="B81" s="727"/>
      <c r="C81" s="12"/>
      <c r="D81" s="12"/>
      <c r="E81" s="12"/>
      <c r="F81" s="12"/>
      <c r="G81" s="13"/>
      <c r="H81" s="21"/>
      <c r="I81" s="21"/>
      <c r="J81" s="21"/>
      <c r="K81" s="21"/>
      <c r="L81" s="21"/>
      <c r="M81" s="21"/>
      <c r="N81" s="21"/>
      <c r="O81" s="21"/>
      <c r="P81" s="21"/>
      <c r="Q81" s="21"/>
      <c r="R81" s="21"/>
      <c r="S81" s="21"/>
    </row>
    <row r="82" spans="1:19">
      <c r="A82" s="2421"/>
      <c r="B82" s="2404" t="s">
        <v>578</v>
      </c>
      <c r="C82" s="2405"/>
      <c r="D82" s="2405"/>
      <c r="E82" s="2405"/>
      <c r="F82" s="2405"/>
      <c r="G82" s="2423"/>
      <c r="H82" s="2388"/>
      <c r="I82" s="2388"/>
      <c r="J82" s="2388"/>
      <c r="K82" s="2388"/>
      <c r="L82" s="2388"/>
      <c r="M82" s="2388"/>
      <c r="N82" s="2388"/>
      <c r="O82" s="2388"/>
      <c r="P82" s="2388"/>
      <c r="Q82" s="2388"/>
      <c r="R82" s="2388"/>
      <c r="S82" s="2388"/>
    </row>
    <row r="83" spans="1:19">
      <c r="A83" s="2421"/>
      <c r="B83" s="2404" t="s">
        <v>579</v>
      </c>
      <c r="C83" s="2405"/>
      <c r="D83" s="2405"/>
      <c r="E83" s="2405"/>
      <c r="F83" s="2405"/>
      <c r="G83" s="2423"/>
      <c r="H83" s="2388"/>
      <c r="I83" s="2388"/>
      <c r="J83" s="2388"/>
      <c r="K83" s="2388"/>
      <c r="L83" s="2388"/>
      <c r="M83" s="2388"/>
      <c r="N83" s="2388"/>
      <c r="O83" s="2388"/>
      <c r="P83" s="2388"/>
      <c r="Q83" s="2388"/>
      <c r="R83" s="2388"/>
      <c r="S83" s="2388"/>
    </row>
    <row r="84" spans="1:19">
      <c r="A84" s="2421"/>
      <c r="B84" s="2404" t="s">
        <v>580</v>
      </c>
      <c r="C84" s="2405"/>
      <c r="D84" s="2405"/>
      <c r="E84" s="2405"/>
      <c r="F84" s="2405"/>
      <c r="G84" s="2423"/>
      <c r="H84" s="2388"/>
      <c r="I84" s="2388"/>
      <c r="J84" s="2388"/>
      <c r="K84" s="2388"/>
      <c r="L84" s="2388"/>
      <c r="M84" s="2388"/>
      <c r="N84" s="2388"/>
      <c r="O84" s="2388"/>
      <c r="P84" s="2388"/>
      <c r="Q84" s="2388"/>
      <c r="R84" s="2388"/>
      <c r="S84" s="2388"/>
    </row>
    <row r="85" spans="1:19">
      <c r="A85" s="2421"/>
      <c r="B85" s="2404" t="s">
        <v>581</v>
      </c>
      <c r="C85" s="2405"/>
      <c r="D85" s="2405"/>
      <c r="E85" s="2405"/>
      <c r="F85" s="2405"/>
      <c r="G85" s="2423"/>
      <c r="H85" s="2388"/>
      <c r="I85" s="2388"/>
      <c r="J85" s="2388"/>
      <c r="K85" s="2388"/>
      <c r="L85" s="2388"/>
      <c r="M85" s="2388"/>
      <c r="N85" s="2388"/>
      <c r="O85" s="2388"/>
      <c r="P85" s="2388"/>
      <c r="Q85" s="2388"/>
      <c r="R85" s="2388"/>
      <c r="S85" s="2388"/>
    </row>
    <row r="86" spans="1:19">
      <c r="A86" s="416"/>
      <c r="B86" s="295"/>
      <c r="C86" s="184"/>
      <c r="D86" s="184"/>
      <c r="E86" s="184"/>
      <c r="F86" s="184"/>
      <c r="G86" s="296"/>
      <c r="H86" s="418"/>
      <c r="I86" s="418"/>
      <c r="J86" s="418"/>
      <c r="K86" s="418"/>
      <c r="L86" s="418"/>
      <c r="M86" s="418"/>
      <c r="N86" s="418"/>
      <c r="O86" s="418"/>
      <c r="P86" s="418"/>
      <c r="Q86" s="418"/>
      <c r="R86" s="418"/>
      <c r="S86" s="418"/>
    </row>
    <row r="87" spans="1:19">
      <c r="A87" s="7" t="s">
        <v>582</v>
      </c>
      <c r="B87" s="8"/>
      <c r="C87" s="12"/>
      <c r="D87" s="12"/>
      <c r="E87" s="12"/>
      <c r="F87" s="12"/>
      <c r="G87" s="13"/>
      <c r="H87" s="21"/>
      <c r="I87" s="21"/>
      <c r="J87" s="21"/>
      <c r="K87" s="21"/>
      <c r="L87" s="21"/>
      <c r="M87" s="21"/>
      <c r="N87" s="21"/>
      <c r="O87" s="21"/>
      <c r="P87" s="21"/>
      <c r="Q87" s="21"/>
      <c r="R87" s="21"/>
      <c r="S87" s="21"/>
    </row>
    <row r="88" spans="1:19">
      <c r="A88" s="2639"/>
      <c r="B88" s="2645" t="s">
        <v>583</v>
      </c>
      <c r="C88" s="2640"/>
      <c r="D88" s="2640"/>
      <c r="E88" s="2640"/>
      <c r="F88" s="2640"/>
      <c r="G88" s="2641"/>
      <c r="H88" s="2687"/>
      <c r="I88" s="2687"/>
      <c r="J88" s="2687"/>
      <c r="K88" s="2687"/>
      <c r="L88" s="2687"/>
      <c r="M88" s="2687"/>
      <c r="N88" s="2687"/>
      <c r="O88" s="2687"/>
      <c r="P88" s="2687"/>
      <c r="Q88" s="2687"/>
      <c r="R88" s="2687"/>
      <c r="S88" s="2687"/>
    </row>
    <row r="89" spans="1:19">
      <c r="A89" s="2421"/>
      <c r="B89" s="2404" t="s">
        <v>584</v>
      </c>
      <c r="C89" s="2405"/>
      <c r="D89" s="2405"/>
      <c r="E89" s="2405"/>
      <c r="F89" s="2405"/>
      <c r="G89" s="2423"/>
      <c r="H89" s="2390"/>
      <c r="I89" s="2390"/>
      <c r="J89" s="2390"/>
      <c r="K89" s="2390"/>
      <c r="L89" s="2390"/>
      <c r="M89" s="2390"/>
      <c r="N89" s="2390"/>
      <c r="O89" s="2390"/>
      <c r="P89" s="2390"/>
      <c r="Q89" s="2390"/>
      <c r="R89" s="2390"/>
      <c r="S89" s="2390"/>
    </row>
    <row r="90" spans="1:19">
      <c r="A90" s="2391"/>
      <c r="B90" s="2392" t="s">
        <v>585</v>
      </c>
      <c r="C90" s="2393"/>
      <c r="D90" s="2393"/>
      <c r="E90" s="2393"/>
      <c r="F90" s="2393"/>
      <c r="G90" s="2394"/>
      <c r="H90" s="2395"/>
      <c r="I90" s="2395"/>
      <c r="J90" s="2395"/>
      <c r="K90" s="2395"/>
      <c r="L90" s="2395"/>
      <c r="M90" s="2395"/>
      <c r="N90" s="2395"/>
      <c r="O90" s="2395"/>
      <c r="P90" s="2395"/>
      <c r="Q90" s="2395"/>
      <c r="R90" s="2395"/>
      <c r="S90" s="2395"/>
    </row>
    <row r="92" spans="1:19">
      <c r="A92" s="92" t="s">
        <v>586</v>
      </c>
      <c r="B92" s="94"/>
    </row>
    <row r="93" spans="1:19">
      <c r="A93" s="93" t="s">
        <v>487</v>
      </c>
      <c r="B93" s="2396"/>
    </row>
    <row r="94" spans="1:19">
      <c r="A94" s="2397" t="s">
        <v>491</v>
      </c>
      <c r="B94" s="2396"/>
    </row>
    <row r="95" spans="1:19">
      <c r="A95" s="2398" t="s">
        <v>494</v>
      </c>
      <c r="B95" s="2399"/>
    </row>
    <row r="96" spans="1:19">
      <c r="A96" s="2398" t="s">
        <v>497</v>
      </c>
      <c r="B96" s="2400"/>
    </row>
    <row r="97" spans="1:2">
      <c r="A97" s="2401" t="s">
        <v>587</v>
      </c>
      <c r="B97" s="2402"/>
    </row>
    <row r="99" spans="1:2">
      <c r="A99" s="95"/>
      <c r="B99" s="1" t="s">
        <v>588</v>
      </c>
    </row>
    <row r="100" spans="1:2">
      <c r="A100" s="96"/>
      <c r="B10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5:B65"/>
    <mergeCell ref="A69:B69"/>
    <mergeCell ref="A73:B73"/>
    <mergeCell ref="A77:B77"/>
    <mergeCell ref="A81:B81"/>
  </mergeCells>
  <conditionalFormatting sqref="H20:H30">
    <cfRule type="cellIs" dxfId="677" priority="13" operator="equal">
      <formula>"X"</formula>
    </cfRule>
    <cfRule type="cellIs" dxfId="676" priority="14" operator="equal">
      <formula>"I"</formula>
    </cfRule>
  </conditionalFormatting>
  <conditionalFormatting sqref="H32:H56">
    <cfRule type="cellIs" dxfId="675" priority="1" operator="equal">
      <formula>"X"</formula>
    </cfRule>
    <cfRule type="cellIs" dxfId="674" priority="2" operator="equal">
      <formula>"I"</formula>
    </cfRule>
  </conditionalFormatting>
  <conditionalFormatting sqref="J20:J30">
    <cfRule type="cellIs" dxfId="673" priority="15" operator="equal">
      <formula>"X"</formula>
    </cfRule>
    <cfRule type="cellIs" dxfId="672" priority="16" operator="equal">
      <formula>"I"</formula>
    </cfRule>
  </conditionalFormatting>
  <conditionalFormatting sqref="J32:J56">
    <cfRule type="cellIs" dxfId="671" priority="3" operator="equal">
      <formula>"X"</formula>
    </cfRule>
    <cfRule type="cellIs" dxfId="670" priority="4" operator="equal">
      <formula>"I"</formula>
    </cfRule>
  </conditionalFormatting>
  <conditionalFormatting sqref="L20:L30">
    <cfRule type="cellIs" dxfId="669" priority="17" operator="equal">
      <formula>"X"</formula>
    </cfRule>
    <cfRule type="cellIs" dxfId="668" priority="18" operator="equal">
      <formula>"I"</formula>
    </cfRule>
  </conditionalFormatting>
  <conditionalFormatting sqref="L32:L56">
    <cfRule type="cellIs" dxfId="667" priority="5" operator="equal">
      <formula>"X"</formula>
    </cfRule>
    <cfRule type="cellIs" dxfId="666" priority="6" operator="equal">
      <formula>"I"</formula>
    </cfRule>
  </conditionalFormatting>
  <conditionalFormatting sqref="N20:N30">
    <cfRule type="cellIs" dxfId="665" priority="19" operator="equal">
      <formula>"X"</formula>
    </cfRule>
    <cfRule type="cellIs" dxfId="664" priority="20" operator="equal">
      <formula>"I"</formula>
    </cfRule>
  </conditionalFormatting>
  <conditionalFormatting sqref="N32:N56">
    <cfRule type="cellIs" dxfId="663" priority="7" operator="equal">
      <formula>"X"</formula>
    </cfRule>
    <cfRule type="cellIs" dxfId="662" priority="8" operator="equal">
      <formula>"I"</formula>
    </cfRule>
  </conditionalFormatting>
  <conditionalFormatting sqref="P20:P30">
    <cfRule type="cellIs" dxfId="661" priority="21" operator="equal">
      <formula>"X"</formula>
    </cfRule>
    <cfRule type="cellIs" dxfId="660" priority="22" operator="equal">
      <formula>"I"</formula>
    </cfRule>
  </conditionalFormatting>
  <conditionalFormatting sqref="P32:P56">
    <cfRule type="cellIs" dxfId="659" priority="9" operator="equal">
      <formula>"X"</formula>
    </cfRule>
    <cfRule type="cellIs" dxfId="658" priority="10" operator="equal">
      <formula>"I"</formula>
    </cfRule>
  </conditionalFormatting>
  <conditionalFormatting sqref="R20:R30">
    <cfRule type="cellIs" dxfId="657" priority="23" operator="equal">
      <formula>"X"</formula>
    </cfRule>
    <cfRule type="cellIs" dxfId="656" priority="24" operator="equal">
      <formula>"I"</formula>
    </cfRule>
  </conditionalFormatting>
  <conditionalFormatting sqref="R32:R56">
    <cfRule type="cellIs" dxfId="655" priority="11" operator="equal">
      <formula>"X"</formula>
    </cfRule>
    <cfRule type="cellIs" dxfId="654" priority="12" operator="equal">
      <formula>"I"</formula>
    </cfRule>
  </conditionalFormatting>
  <hyperlinks>
    <hyperlink ref="B3" location="'Cost Summary'!A1" display="BACK TO SUMMARY SHEET" xr:uid="{C2390CEB-EA9B-4A86-B9E5-94006D53DD9D}"/>
  </hyperlink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69C4-8209-4B28-908B-B3F1217C1055}">
  <sheetPr>
    <tabColor rgb="FF92D050"/>
  </sheetPr>
  <dimension ref="A1:S100"/>
  <sheetViews>
    <sheetView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1165</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1166</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ht="15.75" thickBot="1">
      <c r="A8" s="414" t="s">
        <v>499</v>
      </c>
      <c r="B8" s="295"/>
      <c r="C8" s="184"/>
      <c r="D8" s="184"/>
      <c r="E8" s="184"/>
      <c r="F8" s="184"/>
      <c r="G8" s="419" t="s">
        <v>499</v>
      </c>
      <c r="H8" s="2418">
        <f>I61</f>
        <v>0</v>
      </c>
      <c r="I8" s="2419"/>
      <c r="J8" s="2418">
        <f>K61</f>
        <v>0</v>
      </c>
      <c r="K8" s="2419"/>
      <c r="L8" s="2418">
        <f>M61</f>
        <v>0</v>
      </c>
      <c r="M8" s="2419"/>
      <c r="N8" s="2418">
        <f>O61</f>
        <v>0</v>
      </c>
      <c r="O8" s="2419"/>
      <c r="P8" s="2418">
        <f>Q61</f>
        <v>0</v>
      </c>
      <c r="Q8" s="2419"/>
      <c r="R8" s="2418">
        <f>S61</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648"/>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2651"/>
      <c r="B21" s="2428" t="s">
        <v>1165</v>
      </c>
      <c r="C21" s="56"/>
      <c r="D21" s="57"/>
      <c r="E21" s="57"/>
      <c r="F21" s="57"/>
      <c r="G21" s="63"/>
      <c r="H21" s="2427"/>
      <c r="I21" s="2649"/>
      <c r="J21" s="2427"/>
      <c r="K21" s="2650"/>
      <c r="L21" s="2427"/>
      <c r="M21" s="2650"/>
      <c r="N21" s="2427"/>
      <c r="O21" s="2650"/>
      <c r="P21" s="2427"/>
      <c r="Q21" s="2650"/>
      <c r="R21" s="2427"/>
      <c r="S21" s="2650"/>
    </row>
    <row r="22" spans="1:19">
      <c r="A22" s="2651"/>
      <c r="B22" s="2318" t="s">
        <v>512</v>
      </c>
      <c r="C22" s="2426"/>
      <c r="D22" s="2405"/>
      <c r="E22" s="2405"/>
      <c r="F22" s="2405"/>
      <c r="G22" s="2423"/>
      <c r="H22" s="2427"/>
      <c r="I22" s="2649"/>
      <c r="J22" s="2427"/>
      <c r="K22" s="2650"/>
      <c r="L22" s="2427"/>
      <c r="M22" s="2650"/>
      <c r="N22" s="2427"/>
      <c r="O22" s="2650"/>
      <c r="P22" s="2427"/>
      <c r="Q22" s="2650"/>
      <c r="R22" s="2427"/>
      <c r="S22" s="2650"/>
    </row>
    <row r="23" spans="1:19">
      <c r="A23" s="2651"/>
      <c r="B23" s="2688" t="s">
        <v>513</v>
      </c>
      <c r="C23" s="2426"/>
      <c r="D23" s="2405"/>
      <c r="E23" s="2405"/>
      <c r="F23" s="2405"/>
      <c r="G23" s="2423"/>
      <c r="H23" s="2427"/>
      <c r="I23" s="2649"/>
      <c r="J23" s="2427"/>
      <c r="K23" s="2650"/>
      <c r="L23" s="2427"/>
      <c r="M23" s="2650"/>
      <c r="N23" s="2427"/>
      <c r="O23" s="2650"/>
      <c r="P23" s="2427"/>
      <c r="Q23" s="2650"/>
      <c r="R23" s="2427"/>
      <c r="S23" s="2650"/>
    </row>
    <row r="24" spans="1:19">
      <c r="A24" s="2651"/>
      <c r="B24" s="2688" t="s">
        <v>514</v>
      </c>
      <c r="C24" s="2430"/>
      <c r="D24" s="2405"/>
      <c r="E24" s="2405"/>
      <c r="F24" s="2405"/>
      <c r="G24" s="2423"/>
      <c r="H24" s="2427"/>
      <c r="I24" s="2649"/>
      <c r="J24" s="2427"/>
      <c r="K24" s="2650"/>
      <c r="L24" s="2427"/>
      <c r="M24" s="2650"/>
      <c r="N24" s="2427"/>
      <c r="O24" s="2650"/>
      <c r="P24" s="2427"/>
      <c r="Q24" s="2650"/>
      <c r="R24" s="2427"/>
      <c r="S24" s="2650"/>
    </row>
    <row r="25" spans="1:19">
      <c r="A25" s="2648"/>
      <c r="B25" s="2689"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651"/>
      <c r="B26" s="2689" t="s">
        <v>516</v>
      </c>
      <c r="C26" s="2432"/>
      <c r="D26" s="2433"/>
      <c r="E26" s="2433"/>
      <c r="F26" s="2433"/>
      <c r="G26" s="2432"/>
      <c r="H26" s="2427"/>
      <c r="I26" s="2649"/>
      <c r="J26" s="2427"/>
      <c r="K26" s="2690"/>
      <c r="L26" s="2427"/>
      <c r="M26" s="2690"/>
      <c r="N26" s="2427"/>
      <c r="O26" s="2690"/>
      <c r="P26" s="2427"/>
      <c r="Q26" s="2690"/>
      <c r="R26" s="2427"/>
      <c r="S26" s="2690"/>
    </row>
    <row r="27" spans="1:19" s="91" customFormat="1">
      <c r="A27" s="2651"/>
      <c r="B27" s="2689" t="s">
        <v>517</v>
      </c>
      <c r="C27" s="2432"/>
      <c r="D27" s="2433"/>
      <c r="E27" s="2433"/>
      <c r="F27" s="2433"/>
      <c r="G27" s="2432"/>
      <c r="H27" s="2427"/>
      <c r="I27" s="2649"/>
      <c r="J27" s="2427"/>
      <c r="K27" s="2690"/>
      <c r="L27" s="2427"/>
      <c r="M27" s="2690"/>
      <c r="N27" s="2427"/>
      <c r="O27" s="2690"/>
      <c r="P27" s="2427"/>
      <c r="Q27" s="2690"/>
      <c r="R27" s="2427"/>
      <c r="S27" s="2690"/>
    </row>
    <row r="28" spans="1:19" s="91" customFormat="1">
      <c r="A28" s="2651"/>
      <c r="B28" s="2689" t="s">
        <v>518</v>
      </c>
      <c r="C28" s="2432"/>
      <c r="D28" s="2433"/>
      <c r="E28" s="2433"/>
      <c r="F28" s="2433"/>
      <c r="G28" s="2432"/>
      <c r="H28" s="2427"/>
      <c r="I28" s="2649"/>
      <c r="J28" s="2427"/>
      <c r="K28" s="2690"/>
      <c r="L28" s="2427"/>
      <c r="M28" s="2690"/>
      <c r="N28" s="2427"/>
      <c r="O28" s="2690"/>
      <c r="P28" s="2427"/>
      <c r="Q28" s="2690"/>
      <c r="R28" s="2427"/>
      <c r="S28" s="2690"/>
    </row>
    <row r="29" spans="1:19" s="91" customFormat="1">
      <c r="A29" s="2651"/>
      <c r="B29" s="2689" t="s">
        <v>693</v>
      </c>
      <c r="C29" s="2432"/>
      <c r="D29" s="2433"/>
      <c r="E29" s="2433"/>
      <c r="F29" s="2433"/>
      <c r="G29" s="2432"/>
      <c r="H29" s="2427"/>
      <c r="I29" s="2649"/>
      <c r="J29" s="2427"/>
      <c r="K29" s="2690"/>
      <c r="L29" s="2427"/>
      <c r="M29" s="2690"/>
      <c r="N29" s="2427"/>
      <c r="O29" s="2690"/>
      <c r="P29" s="2427"/>
      <c r="Q29" s="2690"/>
      <c r="R29" s="2427"/>
      <c r="S29" s="2690"/>
    </row>
    <row r="30" spans="1:19" s="91" customFormat="1">
      <c r="A30" s="2651"/>
      <c r="B30" s="2691" t="s">
        <v>519</v>
      </c>
      <c r="C30" s="2432"/>
      <c r="D30" s="2433"/>
      <c r="E30" s="2433"/>
      <c r="F30" s="2433"/>
      <c r="G30" s="2432"/>
      <c r="H30" s="2427"/>
      <c r="I30" s="2649"/>
      <c r="J30" s="2427"/>
      <c r="K30" s="2690"/>
      <c r="L30" s="2427"/>
      <c r="M30" s="2690"/>
      <c r="N30" s="2427"/>
      <c r="O30" s="2690"/>
      <c r="P30" s="2427"/>
      <c r="Q30" s="2690"/>
      <c r="R30" s="2427"/>
      <c r="S30" s="2690"/>
    </row>
    <row r="31" spans="1:19" s="91" customFormat="1">
      <c r="A31" s="2651"/>
      <c r="B31" s="2692" t="s">
        <v>520</v>
      </c>
      <c r="C31" s="2435"/>
      <c r="D31" s="2436"/>
      <c r="E31" s="2436"/>
      <c r="F31" s="2436"/>
      <c r="G31" s="2435"/>
      <c r="H31" s="2439"/>
      <c r="I31" s="2693"/>
      <c r="J31" s="2443"/>
      <c r="K31" s="2694"/>
      <c r="L31" s="2443"/>
      <c r="M31" s="2694"/>
      <c r="N31" s="2694"/>
      <c r="O31" s="2694"/>
      <c r="P31" s="2694"/>
      <c r="Q31" s="2694"/>
      <c r="R31" s="2694"/>
      <c r="S31" s="2694"/>
    </row>
    <row r="32" spans="1:19" s="91" customFormat="1">
      <c r="A32" s="2651"/>
      <c r="B32" s="151"/>
      <c r="C32" s="2432"/>
      <c r="D32" s="2433"/>
      <c r="E32" s="2433"/>
      <c r="F32" s="2433"/>
      <c r="G32" s="2432"/>
      <c r="H32" s="2537"/>
      <c r="I32" s="2649"/>
      <c r="J32" s="2539"/>
      <c r="K32" s="2690"/>
      <c r="L32" s="2539"/>
      <c r="M32" s="2690"/>
      <c r="N32" s="2690"/>
      <c r="O32" s="2690"/>
      <c r="P32" s="2690"/>
      <c r="Q32" s="2690"/>
      <c r="R32" s="2427"/>
      <c r="S32" s="2690"/>
    </row>
    <row r="33" spans="1:19" s="91" customFormat="1">
      <c r="A33" s="2695"/>
      <c r="B33" s="2550"/>
      <c r="C33" s="2445"/>
      <c r="D33" s="2433"/>
      <c r="E33" s="2433"/>
      <c r="F33" s="2433"/>
      <c r="G33" s="2432"/>
      <c r="H33" s="2537"/>
      <c r="I33" s="2649"/>
      <c r="J33" s="2539"/>
      <c r="K33" s="2690"/>
      <c r="L33" s="2539"/>
      <c r="M33" s="2690"/>
      <c r="N33" s="2690"/>
      <c r="O33" s="2690"/>
      <c r="P33" s="2690"/>
      <c r="Q33" s="2690"/>
      <c r="R33" s="2427"/>
      <c r="S33" s="2690"/>
    </row>
    <row r="34" spans="1:19" s="91" customFormat="1">
      <c r="A34" s="2695"/>
      <c r="B34" s="2444"/>
      <c r="C34" s="2445"/>
      <c r="D34" s="2433"/>
      <c r="E34" s="2433"/>
      <c r="F34" s="2433"/>
      <c r="G34" s="2432"/>
      <c r="H34" s="2427"/>
      <c r="I34" s="2649"/>
      <c r="J34" s="2427"/>
      <c r="K34" s="2690"/>
      <c r="L34" s="2427"/>
      <c r="M34" s="2690"/>
      <c r="N34" s="2427"/>
      <c r="O34" s="2690"/>
      <c r="P34" s="2427"/>
      <c r="Q34" s="2690"/>
      <c r="R34" s="2427"/>
      <c r="S34" s="2690"/>
    </row>
    <row r="35" spans="1:19" s="91" customFormat="1">
      <c r="A35" s="2695"/>
      <c r="B35" s="2444"/>
      <c r="C35" s="2445"/>
      <c r="D35" s="2433"/>
      <c r="E35" s="2433"/>
      <c r="F35" s="2433"/>
      <c r="G35" s="2432"/>
      <c r="H35" s="2427"/>
      <c r="I35" s="2649"/>
      <c r="J35" s="2427"/>
      <c r="K35" s="2690"/>
      <c r="L35" s="2427"/>
      <c r="M35" s="2690"/>
      <c r="N35" s="2427"/>
      <c r="O35" s="2690"/>
      <c r="P35" s="2427"/>
      <c r="Q35" s="2690"/>
      <c r="R35" s="2427"/>
      <c r="S35" s="2690"/>
    </row>
    <row r="36" spans="1:19" s="91" customFormat="1">
      <c r="A36" s="2695"/>
      <c r="B36" s="2506"/>
      <c r="C36" s="2445"/>
      <c r="D36" s="2433"/>
      <c r="E36" s="2433"/>
      <c r="F36" s="2433"/>
      <c r="G36" s="2432"/>
      <c r="H36" s="2427"/>
      <c r="I36" s="2649"/>
      <c r="J36" s="2427"/>
      <c r="K36" s="2690"/>
      <c r="L36" s="2427"/>
      <c r="M36" s="2690"/>
      <c r="N36" s="2427"/>
      <c r="O36" s="2690"/>
      <c r="P36" s="2427"/>
      <c r="Q36" s="2690"/>
      <c r="R36" s="2427"/>
      <c r="S36" s="2690"/>
    </row>
    <row r="37" spans="1:19" s="91" customFormat="1">
      <c r="A37" s="2695"/>
      <c r="B37" s="2444"/>
      <c r="C37" s="2445"/>
      <c r="D37" s="2433"/>
      <c r="E37" s="2433"/>
      <c r="F37" s="2433"/>
      <c r="G37" s="2432"/>
      <c r="H37" s="2427"/>
      <c r="I37" s="2649"/>
      <c r="J37" s="2427"/>
      <c r="K37" s="2690"/>
      <c r="L37" s="2427"/>
      <c r="M37" s="2690"/>
      <c r="N37" s="2427"/>
      <c r="O37" s="2690"/>
      <c r="P37" s="2427"/>
      <c r="Q37" s="2690"/>
      <c r="R37" s="2427"/>
      <c r="S37" s="2690"/>
    </row>
    <row r="38" spans="1:19" s="91" customFormat="1">
      <c r="A38" s="2695"/>
      <c r="B38" s="2444"/>
      <c r="C38" s="2445"/>
      <c r="D38" s="2433"/>
      <c r="E38" s="2546"/>
      <c r="F38" s="2547"/>
      <c r="G38" s="2432"/>
      <c r="H38" s="2427"/>
      <c r="I38" s="2649"/>
      <c r="J38" s="2427"/>
      <c r="K38" s="2690"/>
      <c r="L38" s="2427"/>
      <c r="M38" s="2690"/>
      <c r="N38" s="2427"/>
      <c r="O38" s="2690"/>
      <c r="P38" s="2427"/>
      <c r="Q38" s="2690"/>
      <c r="R38" s="2427"/>
      <c r="S38" s="2690"/>
    </row>
    <row r="39" spans="1:19" s="91" customFormat="1">
      <c r="A39" s="2695"/>
      <c r="B39" s="2444"/>
      <c r="C39" s="2445"/>
      <c r="D39" s="2433"/>
      <c r="E39" s="2546"/>
      <c r="F39" s="2547"/>
      <c r="G39" s="2432"/>
      <c r="H39" s="2427"/>
      <c r="I39" s="2649"/>
      <c r="J39" s="2427"/>
      <c r="K39" s="2690"/>
      <c r="L39" s="2427"/>
      <c r="M39" s="2690"/>
      <c r="N39" s="2427"/>
      <c r="O39" s="2690"/>
      <c r="P39" s="2427"/>
      <c r="Q39" s="2690"/>
      <c r="R39" s="2427"/>
      <c r="S39" s="2690"/>
    </row>
    <row r="40" spans="1:19" s="91" customFormat="1">
      <c r="A40" s="2695"/>
      <c r="B40" s="2444"/>
      <c r="C40" s="2445"/>
      <c r="D40" s="2433"/>
      <c r="E40" s="2546"/>
      <c r="F40" s="2547"/>
      <c r="G40" s="2432"/>
      <c r="H40" s="2427"/>
      <c r="I40" s="2649"/>
      <c r="J40" s="2427"/>
      <c r="K40" s="2690"/>
      <c r="L40" s="2427"/>
      <c r="M40" s="2690"/>
      <c r="N40" s="2427"/>
      <c r="O40" s="2690"/>
      <c r="P40" s="2427"/>
      <c r="Q40" s="2690"/>
      <c r="R40" s="2427"/>
      <c r="S40" s="2690"/>
    </row>
    <row r="41" spans="1:19" s="91" customFormat="1">
      <c r="A41" s="2695"/>
      <c r="B41" s="2696"/>
      <c r="C41" s="2445"/>
      <c r="D41" s="2433"/>
      <c r="E41" s="2546"/>
      <c r="F41" s="2547"/>
      <c r="G41" s="2432"/>
      <c r="H41" s="2427"/>
      <c r="I41" s="2649"/>
      <c r="J41" s="2427"/>
      <c r="K41" s="2690"/>
      <c r="L41" s="2427"/>
      <c r="M41" s="2690"/>
      <c r="N41" s="2427"/>
      <c r="O41" s="2690"/>
      <c r="P41" s="2427"/>
      <c r="Q41" s="2690"/>
      <c r="R41" s="2427"/>
      <c r="S41" s="2690"/>
    </row>
    <row r="42" spans="1:19" s="91" customFormat="1">
      <c r="A42" s="2695"/>
      <c r="B42" s="2697"/>
      <c r="C42" s="2445"/>
      <c r="D42" s="2433"/>
      <c r="E42" s="2546"/>
      <c r="F42" s="2547"/>
      <c r="G42" s="2432"/>
      <c r="H42" s="2427"/>
      <c r="I42" s="2649"/>
      <c r="J42" s="2427"/>
      <c r="K42" s="2690"/>
      <c r="L42" s="2427"/>
      <c r="M42" s="2690"/>
      <c r="N42" s="2427"/>
      <c r="O42" s="2690"/>
      <c r="P42" s="2427"/>
      <c r="Q42" s="2690"/>
      <c r="R42" s="2427"/>
      <c r="S42" s="2690"/>
    </row>
    <row r="43" spans="1:19" s="91" customFormat="1">
      <c r="A43" s="2695"/>
      <c r="B43" s="152"/>
      <c r="C43" s="2445"/>
      <c r="D43" s="2433"/>
      <c r="E43" s="2546"/>
      <c r="F43" s="2547"/>
      <c r="G43" s="2432"/>
      <c r="H43" s="2427"/>
      <c r="I43" s="2649"/>
      <c r="J43" s="2427"/>
      <c r="K43" s="2690"/>
      <c r="L43" s="2427"/>
      <c r="M43" s="2690"/>
      <c r="N43" s="2427"/>
      <c r="O43" s="2690"/>
      <c r="P43" s="2427"/>
      <c r="Q43" s="2690"/>
      <c r="R43" s="2427"/>
      <c r="S43" s="2690"/>
    </row>
    <row r="44" spans="1:19" s="91" customFormat="1">
      <c r="A44" s="2695"/>
      <c r="B44" s="2545"/>
      <c r="C44" s="2445"/>
      <c r="D44" s="2433"/>
      <c r="E44" s="2546"/>
      <c r="F44" s="2547"/>
      <c r="G44" s="2432"/>
      <c r="H44" s="2427"/>
      <c r="I44" s="2649"/>
      <c r="J44" s="2427"/>
      <c r="K44" s="2690"/>
      <c r="L44" s="2427"/>
      <c r="M44" s="2690"/>
      <c r="N44" s="2427"/>
      <c r="O44" s="2690"/>
      <c r="P44" s="2427"/>
      <c r="Q44" s="2690"/>
      <c r="R44" s="2427"/>
      <c r="S44" s="2690"/>
    </row>
    <row r="45" spans="1:19" s="91" customFormat="1">
      <c r="A45" s="2695"/>
      <c r="B45" s="2545"/>
      <c r="C45" s="2445"/>
      <c r="D45" s="2433"/>
      <c r="E45" s="2546"/>
      <c r="F45" s="2547"/>
      <c r="G45" s="2432"/>
      <c r="H45" s="2427"/>
      <c r="I45" s="2649"/>
      <c r="J45" s="2427"/>
      <c r="K45" s="2690"/>
      <c r="L45" s="2427"/>
      <c r="M45" s="2690"/>
      <c r="N45" s="2427"/>
      <c r="O45" s="2690"/>
      <c r="P45" s="2427"/>
      <c r="Q45" s="2690"/>
      <c r="R45" s="2427"/>
      <c r="S45" s="2690"/>
    </row>
    <row r="46" spans="1:19" s="91" customFormat="1">
      <c r="A46" s="2695"/>
      <c r="B46" s="2545"/>
      <c r="C46" s="2445"/>
      <c r="D46" s="2433"/>
      <c r="E46" s="2546"/>
      <c r="F46" s="2547"/>
      <c r="G46" s="2432"/>
      <c r="H46" s="2427"/>
      <c r="I46" s="2649"/>
      <c r="J46" s="2427"/>
      <c r="K46" s="2690"/>
      <c r="L46" s="2427"/>
      <c r="M46" s="2690"/>
      <c r="N46" s="2427"/>
      <c r="O46" s="2690"/>
      <c r="P46" s="2427"/>
      <c r="Q46" s="2690"/>
      <c r="R46" s="2427"/>
      <c r="S46" s="2690"/>
    </row>
    <row r="47" spans="1:19" s="91" customFormat="1">
      <c r="A47" s="2695"/>
      <c r="B47" s="2545"/>
      <c r="C47" s="2445"/>
      <c r="D47" s="2433"/>
      <c r="E47" s="2546"/>
      <c r="F47" s="2547"/>
      <c r="G47" s="2432"/>
      <c r="H47" s="2427"/>
      <c r="I47" s="2649"/>
      <c r="J47" s="2427"/>
      <c r="K47" s="2690"/>
      <c r="L47" s="2427"/>
      <c r="M47" s="2690"/>
      <c r="N47" s="2427"/>
      <c r="O47" s="2690"/>
      <c r="P47" s="2427"/>
      <c r="Q47" s="2690"/>
      <c r="R47" s="2427"/>
      <c r="S47" s="2690"/>
    </row>
    <row r="48" spans="1:19" s="91" customFormat="1">
      <c r="A48" s="2695"/>
      <c r="B48" s="2545"/>
      <c r="C48" s="2445"/>
      <c r="D48" s="2433"/>
      <c r="E48" s="2546"/>
      <c r="F48" s="2547"/>
      <c r="G48" s="2432"/>
      <c r="H48" s="2427"/>
      <c r="I48" s="2649"/>
      <c r="J48" s="2427"/>
      <c r="K48" s="2690"/>
      <c r="L48" s="2427"/>
      <c r="M48" s="2690"/>
      <c r="N48" s="2427"/>
      <c r="O48" s="2690"/>
      <c r="P48" s="2427"/>
      <c r="Q48" s="2690"/>
      <c r="R48" s="2427"/>
      <c r="S48" s="2690"/>
    </row>
    <row r="49" spans="1:19" s="91" customFormat="1">
      <c r="A49" s="2695"/>
      <c r="B49" s="2545"/>
      <c r="C49" s="2445"/>
      <c r="D49" s="2433"/>
      <c r="E49" s="2546"/>
      <c r="F49" s="2547"/>
      <c r="G49" s="2432"/>
      <c r="H49" s="2427"/>
      <c r="I49" s="2649"/>
      <c r="J49" s="2427"/>
      <c r="K49" s="2690"/>
      <c r="L49" s="2427"/>
      <c r="M49" s="2690"/>
      <c r="N49" s="2427"/>
      <c r="O49" s="2690"/>
      <c r="P49" s="2427"/>
      <c r="Q49" s="2690"/>
      <c r="R49" s="2427"/>
      <c r="S49" s="2690"/>
    </row>
    <row r="50" spans="1:19" s="91" customFormat="1">
      <c r="A50" s="2695"/>
      <c r="B50" s="2545"/>
      <c r="C50" s="2445"/>
      <c r="D50" s="2433"/>
      <c r="E50" s="2546"/>
      <c r="F50" s="2547"/>
      <c r="G50" s="2432"/>
      <c r="H50" s="2427"/>
      <c r="I50" s="2649"/>
      <c r="J50" s="2427"/>
      <c r="K50" s="2690"/>
      <c r="L50" s="2427"/>
      <c r="M50" s="2690"/>
      <c r="N50" s="2427"/>
      <c r="O50" s="2690"/>
      <c r="P50" s="2427"/>
      <c r="Q50" s="2690"/>
      <c r="R50" s="2427"/>
      <c r="S50" s="2690"/>
    </row>
    <row r="51" spans="1:19" s="91" customFormat="1">
      <c r="A51" s="2695"/>
      <c r="B51" s="2545"/>
      <c r="C51" s="2445"/>
      <c r="D51" s="2433"/>
      <c r="E51" s="2546"/>
      <c r="F51" s="2547"/>
      <c r="G51" s="2432"/>
      <c r="H51" s="2427"/>
      <c r="I51" s="2649"/>
      <c r="J51" s="2427"/>
      <c r="K51" s="2690"/>
      <c r="L51" s="2427"/>
      <c r="M51" s="2690"/>
      <c r="N51" s="2427"/>
      <c r="O51" s="2690"/>
      <c r="P51" s="2427"/>
      <c r="Q51" s="2690"/>
      <c r="R51" s="2427"/>
      <c r="S51" s="2690"/>
    </row>
    <row r="52" spans="1:19" s="91" customFormat="1">
      <c r="A52" s="2695"/>
      <c r="B52" s="2545"/>
      <c r="C52" s="2445"/>
      <c r="D52" s="2433"/>
      <c r="E52" s="2546"/>
      <c r="F52" s="2547"/>
      <c r="G52" s="2432"/>
      <c r="H52" s="2427"/>
      <c r="I52" s="2649"/>
      <c r="J52" s="2427"/>
      <c r="K52" s="2690"/>
      <c r="L52" s="2427"/>
      <c r="M52" s="2690"/>
      <c r="N52" s="2427"/>
      <c r="O52" s="2690"/>
      <c r="P52" s="2427"/>
      <c r="Q52" s="2690"/>
      <c r="R52" s="2427"/>
      <c r="S52" s="2690"/>
    </row>
    <row r="53" spans="1:19" s="91" customFormat="1">
      <c r="A53" s="2695"/>
      <c r="B53" s="2545"/>
      <c r="C53" s="2445"/>
      <c r="D53" s="2433"/>
      <c r="E53" s="2546"/>
      <c r="F53" s="2547"/>
      <c r="G53" s="2432"/>
      <c r="H53" s="2427"/>
      <c r="I53" s="2649"/>
      <c r="J53" s="2427"/>
      <c r="K53" s="2690"/>
      <c r="L53" s="2427"/>
      <c r="M53" s="2690"/>
      <c r="N53" s="2427"/>
      <c r="O53" s="2690"/>
      <c r="P53" s="2427"/>
      <c r="Q53" s="2690"/>
      <c r="R53" s="2427"/>
      <c r="S53" s="2690"/>
    </row>
    <row r="54" spans="1:19" s="91" customFormat="1">
      <c r="A54" s="2695"/>
      <c r="B54" s="2545"/>
      <c r="C54" s="2445"/>
      <c r="D54" s="2433"/>
      <c r="E54" s="2546"/>
      <c r="F54" s="2547"/>
      <c r="G54" s="2432"/>
      <c r="H54" s="2427"/>
      <c r="I54" s="2649"/>
      <c r="J54" s="2427"/>
      <c r="K54" s="2690"/>
      <c r="L54" s="2427"/>
      <c r="M54" s="2690"/>
      <c r="N54" s="2427"/>
      <c r="O54" s="2690"/>
      <c r="P54" s="2427"/>
      <c r="Q54" s="2690"/>
      <c r="R54" s="2427"/>
      <c r="S54" s="2690"/>
    </row>
    <row r="55" spans="1:19">
      <c r="A55" s="2648"/>
      <c r="B55" s="2686"/>
      <c r="C55" s="2426"/>
      <c r="D55" s="2405"/>
      <c r="E55" s="2405"/>
      <c r="F55" s="2405"/>
      <c r="G55" s="2423"/>
      <c r="H55" s="2427"/>
      <c r="I55" s="2650"/>
      <c r="J55" s="2427"/>
      <c r="K55" s="2650"/>
      <c r="L55" s="2427"/>
      <c r="M55" s="2650"/>
      <c r="N55" s="2427"/>
      <c r="O55" s="2650"/>
      <c r="P55" s="2427"/>
      <c r="Q55" s="2650"/>
      <c r="R55" s="2427"/>
      <c r="S55" s="2650"/>
    </row>
    <row r="56" spans="1:19" ht="15.75" thickBot="1">
      <c r="A56" s="2685"/>
      <c r="B56" s="2686"/>
      <c r="C56" s="2426"/>
      <c r="D56" s="2405"/>
      <c r="E56" s="2405"/>
      <c r="F56" s="2405"/>
      <c r="G56" s="2423"/>
      <c r="H56" s="2427"/>
      <c r="I56" s="2650"/>
      <c r="J56" s="2427"/>
      <c r="K56" s="2650"/>
      <c r="L56" s="2427"/>
      <c r="M56" s="2650"/>
      <c r="N56" s="2427"/>
      <c r="O56" s="2650"/>
      <c r="P56" s="2427"/>
      <c r="Q56" s="2650"/>
      <c r="R56" s="2427"/>
      <c r="S56" s="2650"/>
    </row>
    <row r="57" spans="1:19" ht="15.75" thickTop="1">
      <c r="A57" s="14"/>
      <c r="B57" s="15"/>
      <c r="C57" s="16"/>
      <c r="D57" s="16"/>
      <c r="E57" s="17"/>
      <c r="F57" s="18" t="s">
        <v>567</v>
      </c>
      <c r="G57" s="19"/>
      <c r="H57" s="20"/>
      <c r="I57" s="61">
        <f>SUM(I23:I56)</f>
        <v>0</v>
      </c>
      <c r="J57" s="20"/>
      <c r="K57" s="61">
        <f>SUM(K23:K56)</f>
        <v>0</v>
      </c>
      <c r="L57" s="20"/>
      <c r="M57" s="61">
        <f>SUM(M23:M56)</f>
        <v>0</v>
      </c>
      <c r="N57" s="20"/>
      <c r="O57" s="61">
        <f>SUM(O23:O56)</f>
        <v>0</v>
      </c>
      <c r="P57" s="20"/>
      <c r="Q57" s="61">
        <f>SUM(Q23:Q56)</f>
        <v>0</v>
      </c>
      <c r="R57" s="20"/>
      <c r="S57" s="61">
        <f>SUM(S23:S56)</f>
        <v>0</v>
      </c>
    </row>
    <row r="58" spans="1:19">
      <c r="A58" s="2358"/>
      <c r="B58" s="2359"/>
      <c r="C58" s="2360"/>
      <c r="D58" s="2360"/>
      <c r="E58" s="2361"/>
      <c r="F58" s="2362" t="s">
        <v>568</v>
      </c>
      <c r="G58" s="2363"/>
      <c r="H58" s="2364">
        <v>0</v>
      </c>
      <c r="I58" s="2460"/>
      <c r="J58" s="2364">
        <v>0</v>
      </c>
      <c r="K58" s="2460"/>
      <c r="L58" s="2364">
        <v>0</v>
      </c>
      <c r="M58" s="2460"/>
      <c r="N58" s="2364">
        <v>0</v>
      </c>
      <c r="O58" s="2460"/>
      <c r="P58" s="2364">
        <v>0</v>
      </c>
      <c r="Q58" s="2460"/>
      <c r="R58" s="2364">
        <v>0</v>
      </c>
      <c r="S58" s="2460"/>
    </row>
    <row r="59" spans="1:19">
      <c r="A59" s="2358"/>
      <c r="B59" s="2359"/>
      <c r="C59" s="2360"/>
      <c r="D59" s="2360"/>
      <c r="E59" s="2361"/>
      <c r="F59" s="2362" t="s">
        <v>569</v>
      </c>
      <c r="G59" s="2363"/>
      <c r="H59" s="2366"/>
      <c r="I59" s="2462">
        <f>H58*I57</f>
        <v>0</v>
      </c>
      <c r="J59" s="2366"/>
      <c r="K59" s="2462">
        <f>J58*K57</f>
        <v>0</v>
      </c>
      <c r="L59" s="2366"/>
      <c r="M59" s="2462">
        <f>L58*M57</f>
        <v>0</v>
      </c>
      <c r="N59" s="2366"/>
      <c r="O59" s="2462">
        <f>N58*O57</f>
        <v>0</v>
      </c>
      <c r="P59" s="2366"/>
      <c r="Q59" s="2462">
        <f>P58*Q57</f>
        <v>0</v>
      </c>
      <c r="R59" s="2366"/>
      <c r="S59" s="2462">
        <f>R58*S57</f>
        <v>0</v>
      </c>
    </row>
    <row r="60" spans="1:19">
      <c r="A60" s="2358"/>
      <c r="B60" s="2359"/>
      <c r="C60" s="2360"/>
      <c r="D60" s="2360"/>
      <c r="E60" s="2361"/>
      <c r="F60" s="2362"/>
      <c r="G60" s="2363"/>
      <c r="H60" s="2366"/>
      <c r="I60" s="2464"/>
      <c r="J60" s="2366"/>
      <c r="K60" s="2464"/>
      <c r="L60" s="2366"/>
      <c r="M60" s="2464"/>
      <c r="N60" s="2366"/>
      <c r="O60" s="2464"/>
      <c r="P60" s="2366"/>
      <c r="Q60" s="2464"/>
      <c r="R60" s="2366"/>
      <c r="S60" s="2464"/>
    </row>
    <row r="61" spans="1:19">
      <c r="A61" s="2358"/>
      <c r="B61" s="2359"/>
      <c r="C61" s="2360"/>
      <c r="D61" s="2360"/>
      <c r="E61" s="2361"/>
      <c r="F61" s="2362" t="s">
        <v>570</v>
      </c>
      <c r="G61" s="2363"/>
      <c r="H61" s="2368"/>
      <c r="I61" s="2465">
        <f>SUM(I57:I59)</f>
        <v>0</v>
      </c>
      <c r="J61" s="2368"/>
      <c r="K61" s="2465">
        <f>SUM(K57:K59)</f>
        <v>0</v>
      </c>
      <c r="L61" s="2368"/>
      <c r="M61" s="2465">
        <f>SUM(M57:M59)</f>
        <v>0</v>
      </c>
      <c r="N61" s="2368"/>
      <c r="O61" s="2465">
        <f>SUM(O57:O59)</f>
        <v>0</v>
      </c>
      <c r="P61" s="2368"/>
      <c r="Q61" s="2465">
        <f>SUM(Q57:Q59)</f>
        <v>0</v>
      </c>
      <c r="R61" s="2368"/>
      <c r="S61" s="2465">
        <f>SUM(S57:S59)</f>
        <v>0</v>
      </c>
    </row>
    <row r="62" spans="1:19">
      <c r="A62" s="2358"/>
      <c r="B62" s="2359"/>
      <c r="C62" s="2360"/>
      <c r="D62" s="2360"/>
      <c r="E62" s="2361"/>
      <c r="F62" s="2370" t="s">
        <v>571</v>
      </c>
      <c r="G62" s="2371"/>
      <c r="H62" s="2372"/>
      <c r="I62" s="2373" t="e">
        <f>I61/'Area Calculations'!$J$4</f>
        <v>#DIV/0!</v>
      </c>
      <c r="J62" s="2372"/>
      <c r="K62" s="2373" t="e">
        <f>K61/'Area Calculations'!$J$4</f>
        <v>#DIV/0!</v>
      </c>
      <c r="L62" s="2372"/>
      <c r="M62" s="2373" t="e">
        <f>M61/'Area Calculations'!$J$4</f>
        <v>#DIV/0!</v>
      </c>
      <c r="N62" s="2372"/>
      <c r="O62" s="2373" t="e">
        <f>O61/'Area Calculations'!$J$4</f>
        <v>#DIV/0!</v>
      </c>
      <c r="P62" s="2372"/>
      <c r="Q62" s="2373" t="e">
        <f>Q61/'Area Calculations'!$J$4</f>
        <v>#DIV/0!</v>
      </c>
      <c r="R62" s="2372"/>
      <c r="S62" s="2373" t="e">
        <f>S61/'Area Calculations'!$J$4</f>
        <v>#DIV/0!</v>
      </c>
    </row>
    <row r="63" spans="1:19">
      <c r="A63" s="2358"/>
      <c r="B63" s="2359"/>
      <c r="C63" s="2360"/>
      <c r="D63" s="2360"/>
      <c r="E63" s="2361"/>
      <c r="F63" s="2370" t="s">
        <v>572</v>
      </c>
      <c r="G63" s="2374"/>
      <c r="H63" s="2372"/>
      <c r="I63" s="2373" t="e">
        <f>I61/'Area Calculations'!#REF!</f>
        <v>#REF!</v>
      </c>
      <c r="J63" s="2372"/>
      <c r="K63" s="2373" t="e">
        <f>K61/'Area Calculations'!#REF!</f>
        <v>#REF!</v>
      </c>
      <c r="L63" s="2372"/>
      <c r="M63" s="2373" t="e">
        <f>M61/'Area Calculations'!#REF!</f>
        <v>#REF!</v>
      </c>
      <c r="N63" s="2372"/>
      <c r="O63" s="2373" t="e">
        <f>O61/'Area Calculations'!#REF!</f>
        <v>#REF!</v>
      </c>
      <c r="P63" s="2372"/>
      <c r="Q63" s="2373" t="e">
        <f>Q61/'Area Calculations'!#REF!</f>
        <v>#REF!</v>
      </c>
      <c r="R63" s="2372"/>
      <c r="S63" s="2373" t="e">
        <f>S61/'Area Calculations'!#REF!</f>
        <v>#REF!</v>
      </c>
    </row>
    <row r="64" spans="1:19" ht="15.75" thickBot="1">
      <c r="A64" s="2358"/>
      <c r="B64" s="2359"/>
      <c r="C64" s="2360"/>
      <c r="D64" s="2360"/>
      <c r="E64" s="2361"/>
      <c r="F64" s="2362"/>
      <c r="G64" s="2375"/>
      <c r="H64" s="2376"/>
      <c r="I64" s="2377"/>
      <c r="J64" s="2376"/>
      <c r="K64" s="2377"/>
      <c r="L64" s="2376"/>
      <c r="M64" s="2377"/>
      <c r="N64" s="2376"/>
      <c r="O64" s="2377"/>
      <c r="P64" s="2376"/>
      <c r="Q64" s="2377"/>
      <c r="R64" s="2376"/>
      <c r="S64" s="2377"/>
    </row>
    <row r="65" spans="1:19" ht="16.5" thickTop="1" thickBot="1">
      <c r="A65" s="726" t="s">
        <v>573</v>
      </c>
      <c r="B65" s="727"/>
      <c r="C65" s="12"/>
      <c r="D65" s="12"/>
      <c r="E65" s="12"/>
      <c r="F65" s="12"/>
      <c r="G65" s="13"/>
      <c r="H65" s="21"/>
      <c r="I65" s="21"/>
      <c r="J65" s="21"/>
      <c r="K65" s="21"/>
      <c r="L65" s="21"/>
      <c r="M65" s="21"/>
      <c r="N65" s="21"/>
      <c r="O65" s="21"/>
      <c r="P65" s="21"/>
      <c r="Q65" s="21"/>
      <c r="R65" s="21"/>
      <c r="S65" s="21"/>
    </row>
    <row r="66" spans="1:19" ht="15.75" thickTop="1">
      <c r="A66" s="2698"/>
      <c r="B66" s="2404"/>
      <c r="C66" s="2699"/>
      <c r="D66" s="2699"/>
      <c r="E66" s="2699"/>
      <c r="F66" s="2699"/>
      <c r="G66" s="2700"/>
      <c r="H66" s="2701"/>
      <c r="I66" s="2701"/>
      <c r="J66" s="2701"/>
      <c r="K66" s="2701"/>
      <c r="L66" s="2701"/>
      <c r="M66" s="2701"/>
      <c r="N66" s="2701"/>
      <c r="O66" s="2701"/>
      <c r="P66" s="2701"/>
      <c r="Q66" s="2701"/>
      <c r="R66" s="2701"/>
      <c r="S66" s="2701"/>
    </row>
    <row r="67" spans="1:19" s="2" customFormat="1">
      <c r="A67" s="2698"/>
      <c r="B67" s="2404"/>
      <c r="C67" s="2699"/>
      <c r="D67" s="2699"/>
      <c r="E67" s="2699"/>
      <c r="F67" s="2699"/>
      <c r="G67" s="2700"/>
      <c r="H67" s="2701"/>
      <c r="I67" s="2701"/>
      <c r="J67" s="2701"/>
      <c r="K67" s="2701"/>
      <c r="L67" s="2701"/>
      <c r="M67" s="2701"/>
      <c r="N67" s="2701"/>
      <c r="O67" s="2701"/>
      <c r="P67" s="2701"/>
      <c r="Q67" s="2701"/>
      <c r="R67" s="2701"/>
      <c r="S67" s="2701"/>
    </row>
    <row r="68" spans="1:19" s="2" customFormat="1" ht="15.75" thickBot="1">
      <c r="A68" s="2698"/>
      <c r="B68" s="2404"/>
      <c r="C68" s="2699"/>
      <c r="D68" s="2699"/>
      <c r="E68" s="2699"/>
      <c r="F68" s="2699"/>
      <c r="G68" s="2700"/>
      <c r="H68" s="2701"/>
      <c r="I68" s="2701"/>
      <c r="J68" s="2701"/>
      <c r="K68" s="2701"/>
      <c r="L68" s="2701"/>
      <c r="M68" s="2701"/>
      <c r="N68" s="2701"/>
      <c r="O68" s="2701"/>
      <c r="P68" s="2701"/>
      <c r="Q68" s="2701"/>
      <c r="R68" s="2701"/>
      <c r="S68" s="2701"/>
    </row>
    <row r="69" spans="1:19" ht="16.5" thickTop="1" thickBot="1">
      <c r="A69" s="726" t="s">
        <v>574</v>
      </c>
      <c r="B69" s="727"/>
      <c r="C69" s="12"/>
      <c r="D69" s="12"/>
      <c r="E69" s="12"/>
      <c r="F69" s="12"/>
      <c r="G69" s="13"/>
      <c r="H69" s="21"/>
      <c r="I69" s="21"/>
      <c r="J69" s="21"/>
      <c r="K69" s="21"/>
      <c r="L69" s="21"/>
      <c r="M69" s="21"/>
      <c r="N69" s="21"/>
      <c r="O69" s="21"/>
      <c r="P69" s="21"/>
      <c r="Q69" s="21"/>
      <c r="R69" s="21"/>
      <c r="S69" s="21"/>
    </row>
    <row r="70" spans="1:19" s="2" customFormat="1" ht="15.75" thickTop="1">
      <c r="A70" s="2698"/>
      <c r="B70" s="2404"/>
      <c r="C70" s="2699"/>
      <c r="D70" s="2699"/>
      <c r="E70" s="2699"/>
      <c r="F70" s="2699"/>
      <c r="G70" s="2700"/>
      <c r="H70" s="2701"/>
      <c r="I70" s="2701"/>
      <c r="J70" s="2701"/>
      <c r="K70" s="2701"/>
      <c r="L70" s="2701"/>
      <c r="M70" s="2701"/>
      <c r="N70" s="2701"/>
      <c r="O70" s="2701"/>
      <c r="P70" s="2701"/>
      <c r="Q70" s="2701"/>
      <c r="R70" s="2701"/>
      <c r="S70" s="2701"/>
    </row>
    <row r="71" spans="1:19" s="2" customFormat="1">
      <c r="A71" s="2698"/>
      <c r="B71" s="2404"/>
      <c r="C71" s="2699"/>
      <c r="D71" s="2699"/>
      <c r="E71" s="2699"/>
      <c r="F71" s="2699"/>
      <c r="G71" s="2700"/>
      <c r="H71" s="2701"/>
      <c r="I71" s="2701"/>
      <c r="J71" s="2701"/>
      <c r="K71" s="2701"/>
      <c r="L71" s="2701"/>
      <c r="M71" s="2701"/>
      <c r="N71" s="2701"/>
      <c r="O71" s="2701"/>
      <c r="P71" s="2701"/>
      <c r="Q71" s="2701"/>
      <c r="R71" s="2701"/>
      <c r="S71" s="2701"/>
    </row>
    <row r="72" spans="1:19" ht="15.75" thickBot="1">
      <c r="A72" s="2698"/>
      <c r="B72" s="2404"/>
      <c r="C72" s="2699"/>
      <c r="D72" s="2699"/>
      <c r="E72" s="2699"/>
      <c r="F72" s="2699"/>
      <c r="G72" s="2700"/>
      <c r="H72" s="2701"/>
      <c r="I72" s="2701"/>
      <c r="J72" s="2701"/>
      <c r="K72" s="2701"/>
      <c r="L72" s="2701"/>
      <c r="M72" s="2701"/>
      <c r="N72" s="2701"/>
      <c r="O72" s="2701"/>
      <c r="P72" s="2701"/>
      <c r="Q72" s="2701"/>
      <c r="R72" s="2701"/>
      <c r="S72" s="2701"/>
    </row>
    <row r="73" spans="1:19" ht="16.5" thickTop="1" thickBot="1">
      <c r="A73" s="726" t="s">
        <v>575</v>
      </c>
      <c r="B73" s="727"/>
      <c r="C73" s="12"/>
      <c r="D73" s="12"/>
      <c r="E73" s="12"/>
      <c r="F73" s="12"/>
      <c r="G73" s="13"/>
      <c r="H73" s="21"/>
      <c r="I73" s="21"/>
      <c r="J73" s="21"/>
      <c r="K73" s="21"/>
      <c r="L73" s="21"/>
      <c r="M73" s="21"/>
      <c r="N73" s="21"/>
      <c r="O73" s="21"/>
      <c r="P73" s="21"/>
      <c r="Q73" s="21"/>
      <c r="R73" s="21"/>
      <c r="S73" s="21"/>
    </row>
    <row r="74" spans="1:19" ht="15.75" thickTop="1">
      <c r="A74" s="2698"/>
      <c r="B74" s="2404"/>
      <c r="C74" s="2699"/>
      <c r="D74" s="2699"/>
      <c r="E74" s="2699"/>
      <c r="F74" s="2699"/>
      <c r="G74" s="2700"/>
      <c r="H74" s="2701"/>
      <c r="I74" s="2701"/>
      <c r="J74" s="2701"/>
      <c r="K74" s="2701"/>
      <c r="L74" s="2701"/>
      <c r="M74" s="2701"/>
      <c r="N74" s="2701"/>
      <c r="O74" s="2701"/>
      <c r="P74" s="2701"/>
      <c r="Q74" s="2701"/>
      <c r="R74" s="2701"/>
      <c r="S74" s="2701"/>
    </row>
    <row r="75" spans="1:19">
      <c r="A75" s="2421"/>
      <c r="B75" s="2404"/>
      <c r="C75" s="2405"/>
      <c r="D75" s="2405"/>
      <c r="E75" s="2405"/>
      <c r="F75" s="2405"/>
      <c r="G75" s="2423"/>
      <c r="H75" s="2382"/>
      <c r="I75" s="2382"/>
      <c r="J75" s="2382"/>
      <c r="K75" s="2382"/>
      <c r="L75" s="2382"/>
      <c r="M75" s="2382"/>
      <c r="N75" s="2382"/>
      <c r="O75" s="2382"/>
      <c r="P75" s="2382"/>
      <c r="Q75" s="2382"/>
      <c r="R75" s="2382"/>
      <c r="S75" s="2382"/>
    </row>
    <row r="76" spans="1:19" ht="15.75" thickBot="1">
      <c r="A76" s="2383"/>
      <c r="B76" s="2384"/>
      <c r="C76" s="2405"/>
      <c r="D76" s="2405"/>
      <c r="E76" s="2405"/>
      <c r="F76" s="2405"/>
      <c r="G76" s="2423"/>
      <c r="H76" s="2385"/>
      <c r="I76" s="2385"/>
      <c r="J76" s="2385"/>
      <c r="K76" s="2385"/>
      <c r="L76" s="2385"/>
      <c r="M76" s="2385"/>
      <c r="N76" s="2385"/>
      <c r="O76" s="2385"/>
      <c r="P76" s="2385"/>
      <c r="Q76" s="2385"/>
      <c r="R76" s="2385"/>
      <c r="S76" s="2385"/>
    </row>
    <row r="77" spans="1:19" ht="16.5" thickTop="1" thickBot="1">
      <c r="A77" s="726" t="s">
        <v>576</v>
      </c>
      <c r="B77" s="727"/>
      <c r="C77" s="12"/>
      <c r="D77" s="12"/>
      <c r="E77" s="12"/>
      <c r="F77" s="12"/>
      <c r="G77" s="13"/>
      <c r="H77" s="21"/>
      <c r="I77" s="21"/>
      <c r="J77" s="21"/>
      <c r="K77" s="21"/>
      <c r="L77" s="21"/>
      <c r="M77" s="21"/>
      <c r="N77" s="21"/>
      <c r="O77" s="21"/>
      <c r="P77" s="21"/>
      <c r="Q77" s="21"/>
      <c r="R77" s="21"/>
      <c r="S77" s="21"/>
    </row>
    <row r="78" spans="1:19" ht="15.75" thickTop="1">
      <c r="A78" s="2702"/>
      <c r="B78" s="2703"/>
      <c r="C78" s="2699"/>
      <c r="D78" s="2699"/>
      <c r="E78" s="2699"/>
      <c r="F78" s="2699"/>
      <c r="G78" s="2700"/>
      <c r="H78" s="2701"/>
      <c r="I78" s="2701"/>
      <c r="J78" s="2701"/>
      <c r="K78" s="2701"/>
      <c r="L78" s="2701"/>
      <c r="M78" s="2701"/>
      <c r="N78" s="2701"/>
      <c r="O78" s="2701"/>
      <c r="P78" s="2701"/>
      <c r="Q78" s="2701"/>
      <c r="R78" s="2701"/>
      <c r="S78" s="2701"/>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ht="15.75" thickBot="1">
      <c r="A80" s="2383"/>
      <c r="B80" s="2384"/>
      <c r="C80" s="2405"/>
      <c r="D80" s="2405"/>
      <c r="E80" s="2405"/>
      <c r="F80" s="2405"/>
      <c r="G80" s="2423"/>
      <c r="H80" s="2388"/>
      <c r="I80" s="2388"/>
      <c r="J80" s="2388"/>
      <c r="K80" s="2388"/>
      <c r="L80" s="2388"/>
      <c r="M80" s="2388"/>
      <c r="N80" s="2388"/>
      <c r="O80" s="2388"/>
      <c r="P80" s="2388"/>
      <c r="Q80" s="2388"/>
      <c r="R80" s="2388"/>
      <c r="S80" s="2388"/>
    </row>
    <row r="81" spans="1:19" ht="16.5" thickTop="1" thickBot="1">
      <c r="A81" s="726" t="s">
        <v>577</v>
      </c>
      <c r="B81" s="727"/>
      <c r="C81" s="12"/>
      <c r="D81" s="12"/>
      <c r="E81" s="12"/>
      <c r="F81" s="12"/>
      <c r="G81" s="13"/>
      <c r="H81" s="21"/>
      <c r="I81" s="21"/>
      <c r="J81" s="21"/>
      <c r="K81" s="21"/>
      <c r="L81" s="21"/>
      <c r="M81" s="21"/>
      <c r="N81" s="21"/>
      <c r="O81" s="21"/>
      <c r="P81" s="21"/>
      <c r="Q81" s="21"/>
      <c r="R81" s="21"/>
      <c r="S81" s="21"/>
    </row>
    <row r="82" spans="1:19" ht="15.75" thickTop="1">
      <c r="A82" s="2421"/>
      <c r="B82" s="2404" t="s">
        <v>578</v>
      </c>
      <c r="C82" s="2405"/>
      <c r="D82" s="2405"/>
      <c r="E82" s="2405"/>
      <c r="F82" s="2405"/>
      <c r="G82" s="2423"/>
      <c r="H82" s="2388"/>
      <c r="I82" s="2388"/>
      <c r="J82" s="2388"/>
      <c r="K82" s="2388"/>
      <c r="L82" s="2388"/>
      <c r="M82" s="2388"/>
      <c r="N82" s="2388"/>
      <c r="O82" s="2388"/>
      <c r="P82" s="2388"/>
      <c r="Q82" s="2388"/>
      <c r="R82" s="2388"/>
      <c r="S82" s="2388"/>
    </row>
    <row r="83" spans="1:19">
      <c r="A83" s="2421"/>
      <c r="B83" s="2404" t="s">
        <v>579</v>
      </c>
      <c r="C83" s="2405"/>
      <c r="D83" s="2405"/>
      <c r="E83" s="2405"/>
      <c r="F83" s="2405"/>
      <c r="G83" s="2423"/>
      <c r="H83" s="2388"/>
      <c r="I83" s="2388"/>
      <c r="J83" s="2388"/>
      <c r="K83" s="2388"/>
      <c r="L83" s="2388"/>
      <c r="M83" s="2388"/>
      <c r="N83" s="2388"/>
      <c r="O83" s="2388"/>
      <c r="P83" s="2388"/>
      <c r="Q83" s="2388"/>
      <c r="R83" s="2388"/>
      <c r="S83" s="2388"/>
    </row>
    <row r="84" spans="1:19">
      <c r="A84" s="2421"/>
      <c r="B84" s="2404" t="s">
        <v>580</v>
      </c>
      <c r="C84" s="2405"/>
      <c r="D84" s="2405"/>
      <c r="E84" s="2405"/>
      <c r="F84" s="2405"/>
      <c r="G84" s="2423"/>
      <c r="H84" s="2388"/>
      <c r="I84" s="2388"/>
      <c r="J84" s="2388"/>
      <c r="K84" s="2388"/>
      <c r="L84" s="2388"/>
      <c r="M84" s="2388"/>
      <c r="N84" s="2388"/>
      <c r="O84" s="2388"/>
      <c r="P84" s="2388"/>
      <c r="Q84" s="2388"/>
      <c r="R84" s="2388"/>
      <c r="S84" s="2388"/>
    </row>
    <row r="85" spans="1:19">
      <c r="A85" s="2421"/>
      <c r="B85" s="2404" t="s">
        <v>581</v>
      </c>
      <c r="C85" s="2405"/>
      <c r="D85" s="2405"/>
      <c r="E85" s="2405"/>
      <c r="F85" s="2405"/>
      <c r="G85" s="2423"/>
      <c r="H85" s="2388"/>
      <c r="I85" s="2388"/>
      <c r="J85" s="2388"/>
      <c r="K85" s="2388"/>
      <c r="L85" s="2388"/>
      <c r="M85" s="2388"/>
      <c r="N85" s="2388"/>
      <c r="O85" s="2388"/>
      <c r="P85" s="2388"/>
      <c r="Q85" s="2388"/>
      <c r="R85" s="2388"/>
      <c r="S85" s="2388"/>
    </row>
    <row r="86" spans="1:19" ht="15.75" thickBot="1">
      <c r="A86" s="416"/>
      <c r="B86" s="295"/>
      <c r="C86" s="184"/>
      <c r="D86" s="184"/>
      <c r="E86" s="184"/>
      <c r="F86" s="184"/>
      <c r="G86" s="296"/>
      <c r="H86" s="418"/>
      <c r="I86" s="418"/>
      <c r="J86" s="418"/>
      <c r="K86" s="418"/>
      <c r="L86" s="418"/>
      <c r="M86" s="418"/>
      <c r="N86" s="418"/>
      <c r="O86" s="418"/>
      <c r="P86" s="418"/>
      <c r="Q86" s="418"/>
      <c r="R86" s="418"/>
      <c r="S86" s="418"/>
    </row>
    <row r="87" spans="1:19" ht="16.5" thickTop="1" thickBot="1">
      <c r="A87" s="7" t="s">
        <v>582</v>
      </c>
      <c r="B87" s="8"/>
      <c r="C87" s="12"/>
      <c r="D87" s="12"/>
      <c r="E87" s="12"/>
      <c r="F87" s="12"/>
      <c r="G87" s="13"/>
      <c r="H87" s="21"/>
      <c r="I87" s="21"/>
      <c r="J87" s="21"/>
      <c r="K87" s="21"/>
      <c r="L87" s="21"/>
      <c r="M87" s="21"/>
      <c r="N87" s="21"/>
      <c r="O87" s="21"/>
      <c r="P87" s="21"/>
      <c r="Q87" s="21"/>
      <c r="R87" s="21"/>
      <c r="S87" s="21"/>
    </row>
    <row r="88" spans="1:19" ht="15.75" thickTop="1">
      <c r="A88" s="2698"/>
      <c r="B88" s="2704" t="s">
        <v>583</v>
      </c>
      <c r="C88" s="2699"/>
      <c r="D88" s="2699"/>
      <c r="E88" s="2699"/>
      <c r="F88" s="2699"/>
      <c r="G88" s="2700"/>
      <c r="H88" s="2705"/>
      <c r="I88" s="2705"/>
      <c r="J88" s="2705"/>
      <c r="K88" s="2705"/>
      <c r="L88" s="2705"/>
      <c r="M88" s="2705"/>
      <c r="N88" s="2705"/>
      <c r="O88" s="2705"/>
      <c r="P88" s="2705"/>
      <c r="Q88" s="2705"/>
      <c r="R88" s="2705"/>
      <c r="S88" s="2705"/>
    </row>
    <row r="89" spans="1:19">
      <c r="A89" s="2421"/>
      <c r="B89" s="2404" t="s">
        <v>584</v>
      </c>
      <c r="C89" s="2405"/>
      <c r="D89" s="2405"/>
      <c r="E89" s="2405"/>
      <c r="F89" s="2405"/>
      <c r="G89" s="2423"/>
      <c r="H89" s="2390"/>
      <c r="I89" s="2390"/>
      <c r="J89" s="2390"/>
      <c r="K89" s="2390"/>
      <c r="L89" s="2390"/>
      <c r="M89" s="2390"/>
      <c r="N89" s="2390"/>
      <c r="O89" s="2390"/>
      <c r="P89" s="2390"/>
      <c r="Q89" s="2390"/>
      <c r="R89" s="2390"/>
      <c r="S89" s="2390"/>
    </row>
    <row r="90" spans="1:19" ht="15.75" thickBot="1">
      <c r="A90" s="2391"/>
      <c r="B90" s="2392" t="s">
        <v>585</v>
      </c>
      <c r="C90" s="2393"/>
      <c r="D90" s="2393"/>
      <c r="E90" s="2393"/>
      <c r="F90" s="2393"/>
      <c r="G90" s="2394"/>
      <c r="H90" s="2395"/>
      <c r="I90" s="2395"/>
      <c r="J90" s="2395"/>
      <c r="K90" s="2395"/>
      <c r="L90" s="2395"/>
      <c r="M90" s="2395"/>
      <c r="N90" s="2395"/>
      <c r="O90" s="2395"/>
      <c r="P90" s="2395"/>
      <c r="Q90" s="2395"/>
      <c r="R90" s="2395"/>
      <c r="S90" s="2395"/>
    </row>
    <row r="91" spans="1:19" ht="16.5" thickTop="1" thickBot="1"/>
    <row r="92" spans="1:19" ht="16.5" thickTop="1" thickBot="1">
      <c r="A92" s="92" t="s">
        <v>586</v>
      </c>
      <c r="B92" s="94"/>
    </row>
    <row r="93" spans="1:19" ht="15.75" thickTop="1">
      <c r="A93" s="93" t="s">
        <v>487</v>
      </c>
      <c r="B93" s="2396"/>
    </row>
    <row r="94" spans="1:19">
      <c r="A94" s="2397" t="s">
        <v>491</v>
      </c>
      <c r="B94" s="2396"/>
    </row>
    <row r="95" spans="1:19">
      <c r="A95" s="2398" t="s">
        <v>494</v>
      </c>
      <c r="B95" s="2399"/>
    </row>
    <row r="96" spans="1:19">
      <c r="A96" s="2398" t="s">
        <v>497</v>
      </c>
      <c r="B96" s="2400"/>
    </row>
    <row r="97" spans="1:2" ht="15.75" thickBot="1">
      <c r="A97" s="2401" t="s">
        <v>587</v>
      </c>
      <c r="B97" s="2402"/>
    </row>
    <row r="98" spans="1:2" ht="15.75" thickTop="1"/>
    <row r="99" spans="1:2">
      <c r="A99" s="95"/>
      <c r="B99" s="1" t="s">
        <v>588</v>
      </c>
    </row>
    <row r="100" spans="1:2">
      <c r="A100" s="96"/>
      <c r="B10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5:B65"/>
    <mergeCell ref="A69:B69"/>
    <mergeCell ref="A73:B73"/>
    <mergeCell ref="A77:B77"/>
    <mergeCell ref="A81:B81"/>
  </mergeCells>
  <conditionalFormatting sqref="H20:H30">
    <cfRule type="cellIs" dxfId="653" priority="13" operator="equal">
      <formula>"X"</formula>
    </cfRule>
    <cfRule type="cellIs" dxfId="652" priority="14" operator="equal">
      <formula>"I"</formula>
    </cfRule>
  </conditionalFormatting>
  <conditionalFormatting sqref="H34:H56">
    <cfRule type="cellIs" dxfId="651" priority="1" operator="equal">
      <formula>"X"</formula>
    </cfRule>
    <cfRule type="cellIs" dxfId="650" priority="2" operator="equal">
      <formula>"I"</formula>
    </cfRule>
  </conditionalFormatting>
  <conditionalFormatting sqref="J20:J30">
    <cfRule type="cellIs" dxfId="649" priority="15" operator="equal">
      <formula>"X"</formula>
    </cfRule>
    <cfRule type="cellIs" dxfId="648" priority="16" operator="equal">
      <formula>"I"</formula>
    </cfRule>
  </conditionalFormatting>
  <conditionalFormatting sqref="J34:J56">
    <cfRule type="cellIs" dxfId="647" priority="3" operator="equal">
      <formula>"X"</formula>
    </cfRule>
    <cfRule type="cellIs" dxfId="646" priority="4" operator="equal">
      <formula>"I"</formula>
    </cfRule>
  </conditionalFormatting>
  <conditionalFormatting sqref="L20:L30">
    <cfRule type="cellIs" dxfId="645" priority="17" operator="equal">
      <formula>"X"</formula>
    </cfRule>
    <cfRule type="cellIs" dxfId="644" priority="18" operator="equal">
      <formula>"I"</formula>
    </cfRule>
  </conditionalFormatting>
  <conditionalFormatting sqref="L34:L56">
    <cfRule type="cellIs" dxfId="643" priority="5" operator="equal">
      <formula>"X"</formula>
    </cfRule>
    <cfRule type="cellIs" dxfId="642" priority="6" operator="equal">
      <formula>"I"</formula>
    </cfRule>
  </conditionalFormatting>
  <conditionalFormatting sqref="N20:N30">
    <cfRule type="cellIs" dxfId="641" priority="19" operator="equal">
      <formula>"X"</formula>
    </cfRule>
    <cfRule type="cellIs" dxfId="640" priority="20" operator="equal">
      <formula>"I"</formula>
    </cfRule>
  </conditionalFormatting>
  <conditionalFormatting sqref="N34:N56">
    <cfRule type="cellIs" dxfId="639" priority="7" operator="equal">
      <formula>"X"</formula>
    </cfRule>
    <cfRule type="cellIs" dxfId="638" priority="8" operator="equal">
      <formula>"I"</formula>
    </cfRule>
  </conditionalFormatting>
  <conditionalFormatting sqref="P20:P30">
    <cfRule type="cellIs" dxfId="637" priority="23" operator="equal">
      <formula>"X"</formula>
    </cfRule>
    <cfRule type="cellIs" dxfId="636" priority="24" operator="equal">
      <formula>"I"</formula>
    </cfRule>
  </conditionalFormatting>
  <conditionalFormatting sqref="P34:P56">
    <cfRule type="cellIs" dxfId="635" priority="9" operator="equal">
      <formula>"X"</formula>
    </cfRule>
    <cfRule type="cellIs" dxfId="634" priority="10" operator="equal">
      <formula>"I"</formula>
    </cfRule>
  </conditionalFormatting>
  <conditionalFormatting sqref="R20:R30">
    <cfRule type="cellIs" dxfId="633" priority="25" operator="equal">
      <formula>"X"</formula>
    </cfRule>
    <cfRule type="cellIs" dxfId="632" priority="26" operator="equal">
      <formula>"I"</formula>
    </cfRule>
  </conditionalFormatting>
  <conditionalFormatting sqref="R32:R56">
    <cfRule type="cellIs" dxfId="631" priority="11" operator="equal">
      <formula>"X"</formula>
    </cfRule>
    <cfRule type="cellIs" dxfId="630" priority="12" operator="equal">
      <formula>"I"</formula>
    </cfRule>
  </conditionalFormatting>
  <hyperlinks>
    <hyperlink ref="B3" location="'Cost Summary'!A1" display="BACK TO SUMMARY SHEET" xr:uid="{32FCF9AF-46C8-4A4F-B239-90791E355048}"/>
  </hyperlink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000-571F-4DD9-8726-188118609417}">
  <sheetPr>
    <tabColor rgb="FF92D050"/>
  </sheetPr>
  <dimension ref="A1:S100"/>
  <sheetViews>
    <sheetView zoomScale="85" zoomScaleNormal="8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1167</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1168</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ht="15.75" thickBot="1">
      <c r="A8" s="414" t="s">
        <v>499</v>
      </c>
      <c r="B8" s="295"/>
      <c r="C8" s="184"/>
      <c r="D8" s="184"/>
      <c r="E8" s="184"/>
      <c r="F8" s="184"/>
      <c r="G8" s="419" t="s">
        <v>499</v>
      </c>
      <c r="H8" s="2625">
        <f>I61</f>
        <v>0</v>
      </c>
      <c r="I8" s="2625"/>
      <c r="J8" s="2625">
        <f>K61</f>
        <v>0</v>
      </c>
      <c r="K8" s="2625"/>
      <c r="L8" s="2625">
        <f>M61</f>
        <v>0</v>
      </c>
      <c r="M8" s="2625"/>
      <c r="N8" s="2625">
        <f>O61</f>
        <v>0</v>
      </c>
      <c r="O8" s="2625"/>
      <c r="P8" s="2625">
        <f>Q61</f>
        <v>0</v>
      </c>
      <c r="Q8" s="2625"/>
      <c r="R8" s="2420">
        <f>S61</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706"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707"/>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2707"/>
      <c r="B21" s="2428" t="s">
        <v>1167</v>
      </c>
      <c r="C21" s="56"/>
      <c r="D21" s="57"/>
      <c r="E21" s="57"/>
      <c r="F21" s="57"/>
      <c r="G21" s="63"/>
      <c r="H21" s="2427"/>
      <c r="I21" s="2708"/>
      <c r="J21" s="2427"/>
      <c r="K21" s="2709"/>
      <c r="L21" s="2427"/>
      <c r="M21" s="2709"/>
      <c r="N21" s="2427"/>
      <c r="O21" s="2709"/>
      <c r="P21" s="2427"/>
      <c r="Q21" s="2709"/>
      <c r="R21" s="2427"/>
      <c r="S21" s="2709"/>
    </row>
    <row r="22" spans="1:19">
      <c r="A22" s="2707"/>
      <c r="B22" s="2318" t="s">
        <v>512</v>
      </c>
      <c r="C22" s="2426"/>
      <c r="D22" s="2405"/>
      <c r="E22" s="2405"/>
      <c r="F22" s="2405"/>
      <c r="G22" s="2423"/>
      <c r="H22" s="2427"/>
      <c r="I22" s="2708"/>
      <c r="J22" s="2427"/>
      <c r="K22" s="2709"/>
      <c r="L22" s="2427"/>
      <c r="M22" s="2709"/>
      <c r="N22" s="2427"/>
      <c r="O22" s="2709"/>
      <c r="P22" s="2427"/>
      <c r="Q22" s="2709"/>
      <c r="R22" s="2427"/>
      <c r="S22" s="2709"/>
    </row>
    <row r="23" spans="1:19">
      <c r="A23" s="2707"/>
      <c r="B23" s="2688" t="s">
        <v>513</v>
      </c>
      <c r="C23" s="2426"/>
      <c r="D23" s="2405"/>
      <c r="E23" s="2405"/>
      <c r="F23" s="2405"/>
      <c r="G23" s="2423"/>
      <c r="H23" s="2427"/>
      <c r="I23" s="2708"/>
      <c r="J23" s="2427"/>
      <c r="K23" s="2709"/>
      <c r="L23" s="2427"/>
      <c r="M23" s="2709"/>
      <c r="N23" s="2427"/>
      <c r="O23" s="2709"/>
      <c r="P23" s="2427"/>
      <c r="Q23" s="2709"/>
      <c r="R23" s="2427"/>
      <c r="S23" s="2709"/>
    </row>
    <row r="24" spans="1:19">
      <c r="A24" s="2707"/>
      <c r="B24" s="2688" t="s">
        <v>514</v>
      </c>
      <c r="C24" s="2430"/>
      <c r="D24" s="2405"/>
      <c r="E24" s="2405"/>
      <c r="F24" s="2405"/>
      <c r="G24" s="2423"/>
      <c r="H24" s="2427"/>
      <c r="I24" s="2708"/>
      <c r="J24" s="2427"/>
      <c r="K24" s="2709"/>
      <c r="L24" s="2427"/>
      <c r="M24" s="2709"/>
      <c r="N24" s="2427"/>
      <c r="O24" s="2709"/>
      <c r="P24" s="2427"/>
      <c r="Q24" s="2709"/>
      <c r="R24" s="2427"/>
      <c r="S24" s="2709"/>
    </row>
    <row r="25" spans="1:19">
      <c r="A25" s="2636"/>
      <c r="B25" s="2689" t="s">
        <v>515</v>
      </c>
      <c r="C25" s="2430"/>
      <c r="D25" s="2405"/>
      <c r="E25" s="2405"/>
      <c r="F25" s="2405"/>
      <c r="G25" s="2423"/>
      <c r="H25" s="2427"/>
      <c r="I25" s="2708"/>
      <c r="J25" s="2427"/>
      <c r="K25" s="2709"/>
      <c r="L25" s="2427"/>
      <c r="M25" s="2709"/>
      <c r="N25" s="2427"/>
      <c r="O25" s="2709"/>
      <c r="P25" s="2427"/>
      <c r="Q25" s="2709"/>
      <c r="R25" s="2427"/>
      <c r="S25" s="2709"/>
    </row>
    <row r="26" spans="1:19" s="91" customFormat="1">
      <c r="A26" s="2636"/>
      <c r="B26" s="2689" t="s">
        <v>516</v>
      </c>
      <c r="C26" s="2432"/>
      <c r="D26" s="2433"/>
      <c r="E26" s="2433"/>
      <c r="F26" s="2433"/>
      <c r="G26" s="2432"/>
      <c r="H26" s="2427"/>
      <c r="I26" s="2708"/>
      <c r="J26" s="2427"/>
      <c r="K26" s="2690"/>
      <c r="L26" s="2427"/>
      <c r="M26" s="2690"/>
      <c r="N26" s="2427"/>
      <c r="O26" s="2690"/>
      <c r="P26" s="2427"/>
      <c r="Q26" s="2690"/>
      <c r="R26" s="2427"/>
      <c r="S26" s="2690"/>
    </row>
    <row r="27" spans="1:19" s="91" customFormat="1">
      <c r="A27" s="2707"/>
      <c r="B27" s="2689" t="s">
        <v>517</v>
      </c>
      <c r="C27" s="2432"/>
      <c r="D27" s="2433"/>
      <c r="E27" s="2433"/>
      <c r="F27" s="2433"/>
      <c r="G27" s="2432"/>
      <c r="H27" s="2427"/>
      <c r="I27" s="2708"/>
      <c r="J27" s="2427"/>
      <c r="K27" s="2690"/>
      <c r="L27" s="2427"/>
      <c r="M27" s="2690"/>
      <c r="N27" s="2427"/>
      <c r="O27" s="2690"/>
      <c r="P27" s="2427"/>
      <c r="Q27" s="2690"/>
      <c r="R27" s="2427"/>
      <c r="S27" s="2690"/>
    </row>
    <row r="28" spans="1:19" s="91" customFormat="1">
      <c r="A28" s="2707"/>
      <c r="B28" s="2689" t="s">
        <v>518</v>
      </c>
      <c r="C28" s="2432"/>
      <c r="D28" s="2433"/>
      <c r="E28" s="2433"/>
      <c r="F28" s="2433"/>
      <c r="G28" s="2432"/>
      <c r="H28" s="2427"/>
      <c r="I28" s="2708"/>
      <c r="J28" s="2427"/>
      <c r="K28" s="2690"/>
      <c r="L28" s="2427"/>
      <c r="M28" s="2690"/>
      <c r="N28" s="2427"/>
      <c r="O28" s="2690"/>
      <c r="P28" s="2427"/>
      <c r="Q28" s="2690"/>
      <c r="R28" s="2427"/>
      <c r="S28" s="2690"/>
    </row>
    <row r="29" spans="1:19" s="91" customFormat="1">
      <c r="A29" s="2707"/>
      <c r="B29" s="2689" t="s">
        <v>693</v>
      </c>
      <c r="C29" s="2432"/>
      <c r="D29" s="2433"/>
      <c r="E29" s="2433"/>
      <c r="F29" s="2433"/>
      <c r="G29" s="2432"/>
      <c r="H29" s="2427"/>
      <c r="I29" s="2708"/>
      <c r="J29" s="2427"/>
      <c r="K29" s="2690"/>
      <c r="L29" s="2427"/>
      <c r="M29" s="2690"/>
      <c r="N29" s="2427"/>
      <c r="O29" s="2690"/>
      <c r="P29" s="2427"/>
      <c r="Q29" s="2690"/>
      <c r="R29" s="2427"/>
      <c r="S29" s="2690"/>
    </row>
    <row r="30" spans="1:19" s="91" customFormat="1">
      <c r="A30" s="2707"/>
      <c r="B30" s="2691" t="s">
        <v>519</v>
      </c>
      <c r="C30" s="2432"/>
      <c r="D30" s="2433"/>
      <c r="E30" s="2433"/>
      <c r="F30" s="2433"/>
      <c r="G30" s="2432"/>
      <c r="H30" s="2427"/>
      <c r="I30" s="2708"/>
      <c r="J30" s="2427"/>
      <c r="K30" s="2690"/>
      <c r="L30" s="2427"/>
      <c r="M30" s="2690"/>
      <c r="N30" s="2427"/>
      <c r="O30" s="2690"/>
      <c r="P30" s="2427"/>
      <c r="Q30" s="2690"/>
      <c r="R30" s="2427"/>
      <c r="S30" s="2690"/>
    </row>
    <row r="31" spans="1:19" s="91" customFormat="1">
      <c r="A31" s="2707"/>
      <c r="B31" s="2692" t="s">
        <v>520</v>
      </c>
      <c r="C31" s="2435"/>
      <c r="D31" s="2436"/>
      <c r="E31" s="2436"/>
      <c r="F31" s="2436"/>
      <c r="G31" s="2435"/>
      <c r="H31" s="2439"/>
      <c r="I31" s="2693"/>
      <c r="J31" s="2443"/>
      <c r="K31" s="2694"/>
      <c r="L31" s="2443"/>
      <c r="M31" s="2694"/>
      <c r="N31" s="2694"/>
      <c r="O31" s="2694"/>
      <c r="P31" s="2694"/>
      <c r="Q31" s="2694"/>
      <c r="R31" s="2694"/>
      <c r="S31" s="2694"/>
    </row>
    <row r="32" spans="1:19" s="91" customFormat="1">
      <c r="A32" s="2707"/>
      <c r="B32" s="145" t="s">
        <v>748</v>
      </c>
      <c r="C32" s="2432"/>
      <c r="D32" s="2433"/>
      <c r="E32" s="2433"/>
      <c r="F32" s="2433"/>
      <c r="G32" s="2432"/>
      <c r="H32" s="2427"/>
      <c r="I32" s="2708"/>
      <c r="J32" s="2427"/>
      <c r="K32" s="2690"/>
      <c r="L32" s="2427"/>
      <c r="M32" s="2690"/>
      <c r="N32" s="2427"/>
      <c r="O32" s="2690"/>
      <c r="P32" s="2427"/>
      <c r="Q32" s="2690"/>
      <c r="R32" s="2427"/>
      <c r="S32" s="2690"/>
    </row>
    <row r="33" spans="1:19" s="91" customFormat="1">
      <c r="A33" s="2707"/>
      <c r="B33" s="2545"/>
      <c r="C33" s="2432"/>
      <c r="D33" s="2433"/>
      <c r="E33" s="2433"/>
      <c r="F33" s="2433"/>
      <c r="G33" s="2432"/>
      <c r="H33" s="2427"/>
      <c r="I33" s="2708"/>
      <c r="J33" s="2427"/>
      <c r="K33" s="2690"/>
      <c r="L33" s="2427"/>
      <c r="M33" s="2690"/>
      <c r="N33" s="2427"/>
      <c r="O33" s="2690"/>
      <c r="P33" s="2427"/>
      <c r="Q33" s="2690"/>
      <c r="R33" s="2427"/>
      <c r="S33" s="2690"/>
    </row>
    <row r="34" spans="1:19" s="91" customFormat="1">
      <c r="A34" s="2636"/>
      <c r="B34" s="2550" t="s">
        <v>1159</v>
      </c>
      <c r="C34" s="2445"/>
      <c r="D34" s="2433"/>
      <c r="E34" s="2433"/>
      <c r="F34" s="2433"/>
      <c r="G34" s="2432"/>
      <c r="H34" s="2427"/>
      <c r="I34" s="2708"/>
      <c r="J34" s="2427"/>
      <c r="K34" s="2690"/>
      <c r="L34" s="2427"/>
      <c r="M34" s="2690"/>
      <c r="N34" s="2427"/>
      <c r="O34" s="2690"/>
      <c r="P34" s="2427"/>
      <c r="Q34" s="2690"/>
      <c r="R34" s="2427"/>
      <c r="S34" s="2690"/>
    </row>
    <row r="35" spans="1:19" s="91" customFormat="1">
      <c r="A35" s="2636"/>
      <c r="B35" s="2444" t="s">
        <v>1160</v>
      </c>
      <c r="C35" s="2445"/>
      <c r="D35" s="2433"/>
      <c r="E35" s="2433"/>
      <c r="F35" s="2433"/>
      <c r="G35" s="2432"/>
      <c r="H35" s="2427"/>
      <c r="I35" s="2708"/>
      <c r="J35" s="2427"/>
      <c r="K35" s="2690"/>
      <c r="L35" s="2427"/>
      <c r="M35" s="2690"/>
      <c r="N35" s="2427"/>
      <c r="O35" s="2690"/>
      <c r="P35" s="2427"/>
      <c r="Q35" s="2690"/>
      <c r="R35" s="2427"/>
      <c r="S35" s="2690"/>
    </row>
    <row r="36" spans="1:19" s="91" customFormat="1">
      <c r="A36" s="2636"/>
      <c r="B36" s="2444" t="s">
        <v>1161</v>
      </c>
      <c r="C36" s="2445"/>
      <c r="D36" s="2433"/>
      <c r="E36" s="2433"/>
      <c r="F36" s="2433"/>
      <c r="G36" s="2432"/>
      <c r="H36" s="2427"/>
      <c r="I36" s="2708"/>
      <c r="J36" s="2427"/>
      <c r="K36" s="2690"/>
      <c r="L36" s="2427"/>
      <c r="M36" s="2690"/>
      <c r="N36" s="2427"/>
      <c r="O36" s="2690"/>
      <c r="P36" s="2427"/>
      <c r="Q36" s="2690"/>
      <c r="R36" s="2427"/>
      <c r="S36" s="2690"/>
    </row>
    <row r="37" spans="1:19" s="91" customFormat="1" ht="25.5">
      <c r="A37" s="2636"/>
      <c r="B37" s="2506" t="s">
        <v>1162</v>
      </c>
      <c r="C37" s="2445"/>
      <c r="D37" s="2433"/>
      <c r="E37" s="2433"/>
      <c r="F37" s="2433"/>
      <c r="G37" s="2432"/>
      <c r="H37" s="2427"/>
      <c r="I37" s="2708"/>
      <c r="J37" s="2427"/>
      <c r="K37" s="2690"/>
      <c r="L37" s="2427"/>
      <c r="M37" s="2690"/>
      <c r="N37" s="2427"/>
      <c r="O37" s="2690"/>
      <c r="P37" s="2427"/>
      <c r="Q37" s="2690"/>
      <c r="R37" s="2427"/>
      <c r="S37" s="2690"/>
    </row>
    <row r="38" spans="1:19" s="91" customFormat="1">
      <c r="A38" s="2636"/>
      <c r="B38" s="2444" t="s">
        <v>1163</v>
      </c>
      <c r="C38" s="2445"/>
      <c r="D38" s="2433"/>
      <c r="E38" s="2433"/>
      <c r="F38" s="2433"/>
      <c r="G38" s="2432"/>
      <c r="H38" s="2427"/>
      <c r="I38" s="2708"/>
      <c r="J38" s="2427"/>
      <c r="K38" s="2690"/>
      <c r="L38" s="2427"/>
      <c r="M38" s="2690"/>
      <c r="N38" s="2427"/>
      <c r="O38" s="2690"/>
      <c r="P38" s="2427"/>
      <c r="Q38" s="2690"/>
      <c r="R38" s="2427"/>
      <c r="S38" s="2690"/>
    </row>
    <row r="39" spans="1:19" s="91" customFormat="1">
      <c r="A39" s="2636"/>
      <c r="B39" s="2444" t="s">
        <v>919</v>
      </c>
      <c r="C39" s="2445"/>
      <c r="D39" s="2433"/>
      <c r="E39" s="2546"/>
      <c r="F39" s="2547"/>
      <c r="G39" s="2432"/>
      <c r="H39" s="2427"/>
      <c r="I39" s="2708"/>
      <c r="J39" s="2427"/>
      <c r="K39" s="2690"/>
      <c r="L39" s="2427"/>
      <c r="M39" s="2690"/>
      <c r="N39" s="2427"/>
      <c r="O39" s="2690"/>
      <c r="P39" s="2427"/>
      <c r="Q39" s="2690"/>
      <c r="R39" s="2427"/>
      <c r="S39" s="2690"/>
    </row>
    <row r="40" spans="1:19" s="91" customFormat="1">
      <c r="A40" s="2636"/>
      <c r="B40" s="2444" t="s">
        <v>1164</v>
      </c>
      <c r="C40" s="2445"/>
      <c r="D40" s="2433"/>
      <c r="E40" s="2546"/>
      <c r="F40" s="2547"/>
      <c r="G40" s="2432"/>
      <c r="H40" s="2427"/>
      <c r="I40" s="2708"/>
      <c r="J40" s="2427"/>
      <c r="K40" s="2690"/>
      <c r="L40" s="2427"/>
      <c r="M40" s="2690"/>
      <c r="N40" s="2427"/>
      <c r="O40" s="2690"/>
      <c r="P40" s="2427"/>
      <c r="Q40" s="2690"/>
      <c r="R40" s="2427"/>
      <c r="S40" s="2690"/>
    </row>
    <row r="41" spans="1:19" s="91" customFormat="1">
      <c r="A41" s="2636"/>
      <c r="B41" s="2444" t="s">
        <v>921</v>
      </c>
      <c r="C41" s="2445"/>
      <c r="D41" s="2433"/>
      <c r="E41" s="2546"/>
      <c r="F41" s="2547"/>
      <c r="G41" s="2432"/>
      <c r="H41" s="2427"/>
      <c r="I41" s="2708"/>
      <c r="J41" s="2427"/>
      <c r="K41" s="2690"/>
      <c r="L41" s="2427"/>
      <c r="M41" s="2690"/>
      <c r="N41" s="2427"/>
      <c r="O41" s="2690"/>
      <c r="P41" s="2427"/>
      <c r="Q41" s="2690"/>
      <c r="R41" s="2427"/>
      <c r="S41" s="2690"/>
    </row>
    <row r="42" spans="1:19" s="91" customFormat="1">
      <c r="A42" s="2636"/>
      <c r="B42" s="2672"/>
      <c r="C42" s="2445"/>
      <c r="D42" s="2433"/>
      <c r="E42" s="2546"/>
      <c r="F42" s="2547"/>
      <c r="G42" s="2432"/>
      <c r="H42" s="2427"/>
      <c r="I42" s="2708"/>
      <c r="J42" s="2427"/>
      <c r="K42" s="2690"/>
      <c r="L42" s="2427"/>
      <c r="M42" s="2690"/>
      <c r="N42" s="2427"/>
      <c r="O42" s="2690"/>
      <c r="P42" s="2427"/>
      <c r="Q42" s="2690"/>
      <c r="R42" s="2427"/>
      <c r="S42" s="2690"/>
    </row>
    <row r="43" spans="1:19" s="91" customFormat="1">
      <c r="A43" s="2636"/>
      <c r="B43" s="2673"/>
      <c r="C43" s="2445"/>
      <c r="D43" s="2433"/>
      <c r="E43" s="2546"/>
      <c r="F43" s="2547"/>
      <c r="G43" s="2432"/>
      <c r="H43" s="2427"/>
      <c r="I43" s="2708"/>
      <c r="J43" s="2427"/>
      <c r="K43" s="2690"/>
      <c r="L43" s="2427"/>
      <c r="M43" s="2690"/>
      <c r="N43" s="2427"/>
      <c r="O43" s="2690"/>
      <c r="P43" s="2427"/>
      <c r="Q43" s="2690"/>
      <c r="R43" s="2427"/>
      <c r="S43" s="2690"/>
    </row>
    <row r="44" spans="1:19" s="91" customFormat="1">
      <c r="A44" s="2636"/>
      <c r="B44" s="152"/>
      <c r="C44" s="2445"/>
      <c r="D44" s="2433"/>
      <c r="E44" s="2546"/>
      <c r="F44" s="2547"/>
      <c r="G44" s="2432"/>
      <c r="H44" s="2427" t="s">
        <v>710</v>
      </c>
      <c r="I44" s="2708"/>
      <c r="J44" s="2427"/>
      <c r="K44" s="2690"/>
      <c r="L44" s="2427"/>
      <c r="M44" s="2690"/>
      <c r="N44" s="2427"/>
      <c r="O44" s="2690"/>
      <c r="P44" s="2427"/>
      <c r="Q44" s="2690"/>
      <c r="R44" s="2427"/>
      <c r="S44" s="2690"/>
    </row>
    <row r="45" spans="1:19" s="91" customFormat="1">
      <c r="A45" s="2636"/>
      <c r="B45" s="2545"/>
      <c r="C45" s="2445"/>
      <c r="D45" s="2433"/>
      <c r="E45" s="2546"/>
      <c r="F45" s="2547"/>
      <c r="G45" s="2432"/>
      <c r="H45" s="2427"/>
      <c r="I45" s="2708"/>
      <c r="J45" s="2427"/>
      <c r="K45" s="2690"/>
      <c r="L45" s="2427"/>
      <c r="M45" s="2690"/>
      <c r="N45" s="2427"/>
      <c r="O45" s="2690"/>
      <c r="P45" s="2427"/>
      <c r="Q45" s="2690"/>
      <c r="R45" s="2427"/>
      <c r="S45" s="2690"/>
    </row>
    <row r="46" spans="1:19" s="91" customFormat="1">
      <c r="A46" s="2636"/>
      <c r="B46" s="2545"/>
      <c r="C46" s="2445"/>
      <c r="D46" s="2433"/>
      <c r="E46" s="2546"/>
      <c r="F46" s="2547"/>
      <c r="G46" s="2432"/>
      <c r="H46" s="2427"/>
      <c r="I46" s="2708"/>
      <c r="J46" s="2427"/>
      <c r="K46" s="2690"/>
      <c r="L46" s="2427"/>
      <c r="M46" s="2690"/>
      <c r="N46" s="2427"/>
      <c r="O46" s="2690"/>
      <c r="P46" s="2427"/>
      <c r="Q46" s="2690"/>
      <c r="R46" s="2427"/>
      <c r="S46" s="2690"/>
    </row>
    <row r="47" spans="1:19" s="91" customFormat="1">
      <c r="A47" s="2636"/>
      <c r="B47" s="2545"/>
      <c r="C47" s="2445"/>
      <c r="D47" s="2433"/>
      <c r="E47" s="2546"/>
      <c r="F47" s="2547"/>
      <c r="G47" s="2432"/>
      <c r="H47" s="2427"/>
      <c r="I47" s="2708"/>
      <c r="J47" s="2427"/>
      <c r="K47" s="2690"/>
      <c r="L47" s="2427"/>
      <c r="M47" s="2690"/>
      <c r="N47" s="2427"/>
      <c r="O47" s="2690"/>
      <c r="P47" s="2427"/>
      <c r="Q47" s="2690"/>
      <c r="R47" s="2427"/>
      <c r="S47" s="2690"/>
    </row>
    <row r="48" spans="1:19" s="91" customFormat="1">
      <c r="A48" s="2636"/>
      <c r="B48" s="2545"/>
      <c r="C48" s="2445"/>
      <c r="D48" s="2433"/>
      <c r="E48" s="2546"/>
      <c r="F48" s="2547"/>
      <c r="G48" s="2432"/>
      <c r="H48" s="2427"/>
      <c r="I48" s="2708"/>
      <c r="J48" s="2427"/>
      <c r="K48" s="2690"/>
      <c r="L48" s="2427"/>
      <c r="M48" s="2690"/>
      <c r="N48" s="2427"/>
      <c r="O48" s="2690"/>
      <c r="P48" s="2427"/>
      <c r="Q48" s="2690"/>
      <c r="R48" s="2427"/>
      <c r="S48" s="2690"/>
    </row>
    <row r="49" spans="1:19" s="91" customFormat="1">
      <c r="A49" s="2636"/>
      <c r="B49" s="2545"/>
      <c r="C49" s="2445"/>
      <c r="D49" s="2433"/>
      <c r="E49" s="2546"/>
      <c r="F49" s="2547"/>
      <c r="G49" s="2432"/>
      <c r="H49" s="2427"/>
      <c r="I49" s="2708"/>
      <c r="J49" s="2427"/>
      <c r="K49" s="2690"/>
      <c r="L49" s="2427"/>
      <c r="M49" s="2690"/>
      <c r="N49" s="2427"/>
      <c r="O49" s="2690"/>
      <c r="P49" s="2427"/>
      <c r="Q49" s="2690"/>
      <c r="R49" s="2427"/>
      <c r="S49" s="2690"/>
    </row>
    <row r="50" spans="1:19" s="91" customFormat="1">
      <c r="A50" s="2636"/>
      <c r="B50" s="2545"/>
      <c r="C50" s="2445"/>
      <c r="D50" s="2433"/>
      <c r="E50" s="2546"/>
      <c r="F50" s="2547"/>
      <c r="G50" s="2432"/>
      <c r="H50" s="2427"/>
      <c r="I50" s="2708"/>
      <c r="J50" s="2427"/>
      <c r="K50" s="2690"/>
      <c r="L50" s="2427"/>
      <c r="M50" s="2690"/>
      <c r="N50" s="2427"/>
      <c r="O50" s="2690"/>
      <c r="P50" s="2427"/>
      <c r="Q50" s="2690"/>
      <c r="R50" s="2427"/>
      <c r="S50" s="2690"/>
    </row>
    <row r="51" spans="1:19" s="91" customFormat="1">
      <c r="A51" s="2636"/>
      <c r="B51" s="2545"/>
      <c r="C51" s="2445"/>
      <c r="D51" s="2433"/>
      <c r="E51" s="2546"/>
      <c r="F51" s="2547"/>
      <c r="G51" s="2432"/>
      <c r="H51" s="2427"/>
      <c r="I51" s="2708"/>
      <c r="J51" s="2427"/>
      <c r="K51" s="2690"/>
      <c r="L51" s="2427"/>
      <c r="M51" s="2690"/>
      <c r="N51" s="2427"/>
      <c r="O51" s="2690"/>
      <c r="P51" s="2427"/>
      <c r="Q51" s="2690"/>
      <c r="R51" s="2427"/>
      <c r="S51" s="2690"/>
    </row>
    <row r="52" spans="1:19" s="91" customFormat="1">
      <c r="A52" s="2636"/>
      <c r="B52" s="2545"/>
      <c r="C52" s="2445"/>
      <c r="D52" s="2433"/>
      <c r="E52" s="2546"/>
      <c r="F52" s="2547"/>
      <c r="G52" s="2432"/>
      <c r="H52" s="2427"/>
      <c r="I52" s="2708"/>
      <c r="J52" s="2427"/>
      <c r="K52" s="2690"/>
      <c r="L52" s="2427"/>
      <c r="M52" s="2690"/>
      <c r="N52" s="2427"/>
      <c r="O52" s="2690"/>
      <c r="P52" s="2427"/>
      <c r="Q52" s="2690"/>
      <c r="R52" s="2427"/>
      <c r="S52" s="2690"/>
    </row>
    <row r="53" spans="1:19" s="91" customFormat="1">
      <c r="A53" s="2636"/>
      <c r="B53" s="2545"/>
      <c r="C53" s="2445"/>
      <c r="D53" s="2433"/>
      <c r="E53" s="2546"/>
      <c r="F53" s="2547"/>
      <c r="G53" s="2432"/>
      <c r="H53" s="2427"/>
      <c r="I53" s="2708"/>
      <c r="J53" s="2427"/>
      <c r="K53" s="2690"/>
      <c r="L53" s="2427"/>
      <c r="M53" s="2690"/>
      <c r="N53" s="2427"/>
      <c r="O53" s="2690"/>
      <c r="P53" s="2427"/>
      <c r="Q53" s="2690"/>
      <c r="R53" s="2427"/>
      <c r="S53" s="2690"/>
    </row>
    <row r="54" spans="1:19" s="91" customFormat="1">
      <c r="A54" s="2636"/>
      <c r="B54" s="2545"/>
      <c r="C54" s="2445"/>
      <c r="D54" s="2433"/>
      <c r="E54" s="2546"/>
      <c r="F54" s="2547"/>
      <c r="G54" s="2432"/>
      <c r="H54" s="2427"/>
      <c r="I54" s="2708"/>
      <c r="J54" s="2427"/>
      <c r="K54" s="2690"/>
      <c r="L54" s="2427"/>
      <c r="M54" s="2690"/>
      <c r="N54" s="2427"/>
      <c r="O54" s="2690"/>
      <c r="P54" s="2427"/>
      <c r="Q54" s="2690"/>
      <c r="R54" s="2427"/>
      <c r="S54" s="2690"/>
    </row>
    <row r="55" spans="1:19" s="91" customFormat="1">
      <c r="A55" s="2636"/>
      <c r="B55" s="2545"/>
      <c r="C55" s="2445"/>
      <c r="D55" s="2433"/>
      <c r="E55" s="2546"/>
      <c r="F55" s="2547"/>
      <c r="G55" s="2432"/>
      <c r="H55" s="2427"/>
      <c r="I55" s="2708"/>
      <c r="J55" s="2427"/>
      <c r="K55" s="2690"/>
      <c r="L55" s="2427"/>
      <c r="M55" s="2690"/>
      <c r="N55" s="2427"/>
      <c r="O55" s="2690"/>
      <c r="P55" s="2427"/>
      <c r="Q55" s="2690"/>
      <c r="R55" s="2427"/>
      <c r="S55" s="2690"/>
    </row>
    <row r="56" spans="1:19" ht="15.75" thickBot="1">
      <c r="A56" s="2685"/>
      <c r="B56" s="2686"/>
      <c r="C56" s="2426"/>
      <c r="D56" s="2405"/>
      <c r="E56" s="2405"/>
      <c r="F56" s="2405"/>
      <c r="G56" s="2423"/>
      <c r="H56" s="2427"/>
      <c r="I56" s="2709"/>
      <c r="J56" s="2427"/>
      <c r="K56" s="2709"/>
      <c r="L56" s="2427"/>
      <c r="M56" s="2709"/>
      <c r="N56" s="2427"/>
      <c r="O56" s="2709"/>
      <c r="P56" s="2427"/>
      <c r="Q56" s="2709"/>
      <c r="R56" s="2427"/>
      <c r="S56" s="2709"/>
    </row>
    <row r="57" spans="1:19" ht="15.75" thickTop="1">
      <c r="A57" s="14"/>
      <c r="B57" s="15"/>
      <c r="C57" s="16"/>
      <c r="D57" s="16"/>
      <c r="E57" s="17"/>
      <c r="F57" s="18" t="s">
        <v>567</v>
      </c>
      <c r="G57" s="19"/>
      <c r="H57" s="20"/>
      <c r="I57" s="61">
        <f>SUM(I23:I56)</f>
        <v>0</v>
      </c>
      <c r="J57" s="20"/>
      <c r="K57" s="61">
        <f>SUM(K23:K56)</f>
        <v>0</v>
      </c>
      <c r="L57" s="20"/>
      <c r="M57" s="61">
        <f>SUM(M23:M56)</f>
        <v>0</v>
      </c>
      <c r="N57" s="20"/>
      <c r="O57" s="61">
        <f>SUM(O23:O56)</f>
        <v>0</v>
      </c>
      <c r="P57" s="20"/>
      <c r="Q57" s="61">
        <f>SUM(Q23:Q56)</f>
        <v>0</v>
      </c>
      <c r="R57" s="20"/>
      <c r="S57" s="61">
        <f>SUM(S23:S56)</f>
        <v>0</v>
      </c>
    </row>
    <row r="58" spans="1:19">
      <c r="A58" s="2358"/>
      <c r="B58" s="2359"/>
      <c r="C58" s="2360"/>
      <c r="D58" s="2360"/>
      <c r="E58" s="2361"/>
      <c r="F58" s="2362" t="s">
        <v>568</v>
      </c>
      <c r="G58" s="2363"/>
      <c r="H58" s="2364">
        <v>0</v>
      </c>
      <c r="I58" s="2460"/>
      <c r="J58" s="2364">
        <v>0</v>
      </c>
      <c r="K58" s="2460"/>
      <c r="L58" s="2364">
        <v>0</v>
      </c>
      <c r="M58" s="2460"/>
      <c r="N58" s="2364">
        <v>0</v>
      </c>
      <c r="O58" s="2460"/>
      <c r="P58" s="2364">
        <v>0</v>
      </c>
      <c r="Q58" s="2460"/>
      <c r="R58" s="2364">
        <v>0</v>
      </c>
      <c r="S58" s="2460"/>
    </row>
    <row r="59" spans="1:19">
      <c r="A59" s="2358"/>
      <c r="B59" s="2359"/>
      <c r="C59" s="2360"/>
      <c r="D59" s="2360"/>
      <c r="E59" s="2361"/>
      <c r="F59" s="2362" t="s">
        <v>569</v>
      </c>
      <c r="G59" s="2363"/>
      <c r="H59" s="2366"/>
      <c r="I59" s="2462">
        <f>H58*I57</f>
        <v>0</v>
      </c>
      <c r="J59" s="2366"/>
      <c r="K59" s="2462">
        <f>J58*K57</f>
        <v>0</v>
      </c>
      <c r="L59" s="2366"/>
      <c r="M59" s="2462">
        <f>L58*M57</f>
        <v>0</v>
      </c>
      <c r="N59" s="2366"/>
      <c r="O59" s="2462">
        <f>N58*O57</f>
        <v>0</v>
      </c>
      <c r="P59" s="2366"/>
      <c r="Q59" s="2462">
        <f>P58*Q57</f>
        <v>0</v>
      </c>
      <c r="R59" s="2366"/>
      <c r="S59" s="2462">
        <f>R58*S57</f>
        <v>0</v>
      </c>
    </row>
    <row r="60" spans="1:19">
      <c r="A60" s="2358"/>
      <c r="B60" s="2359"/>
      <c r="C60" s="2360"/>
      <c r="D60" s="2360"/>
      <c r="E60" s="2361"/>
      <c r="F60" s="2362"/>
      <c r="G60" s="2363"/>
      <c r="H60" s="2366"/>
      <c r="I60" s="2464"/>
      <c r="J60" s="2366"/>
      <c r="K60" s="2464"/>
      <c r="L60" s="2366"/>
      <c r="M60" s="2464"/>
      <c r="N60" s="2366"/>
      <c r="O60" s="2464"/>
      <c r="P60" s="2366"/>
      <c r="Q60" s="2464"/>
      <c r="R60" s="2366"/>
      <c r="S60" s="2464"/>
    </row>
    <row r="61" spans="1:19">
      <c r="A61" s="2358"/>
      <c r="B61" s="2359"/>
      <c r="C61" s="2360"/>
      <c r="D61" s="2360"/>
      <c r="E61" s="2361"/>
      <c r="F61" s="2362" t="s">
        <v>570</v>
      </c>
      <c r="G61" s="2363"/>
      <c r="H61" s="2368"/>
      <c r="I61" s="2465">
        <f>SUM(I57:I59)</f>
        <v>0</v>
      </c>
      <c r="J61" s="2368"/>
      <c r="K61" s="2465">
        <f>SUM(K57:K59)</f>
        <v>0</v>
      </c>
      <c r="L61" s="2368"/>
      <c r="M61" s="2465">
        <f>SUM(M57:M59)</f>
        <v>0</v>
      </c>
      <c r="N61" s="2368"/>
      <c r="O61" s="2465">
        <f>SUM(O57:O59)</f>
        <v>0</v>
      </c>
      <c r="P61" s="2368"/>
      <c r="Q61" s="2465">
        <f>SUM(Q57:Q59)</f>
        <v>0</v>
      </c>
      <c r="R61" s="2368"/>
      <c r="S61" s="2465">
        <f>SUM(S57:S59)</f>
        <v>0</v>
      </c>
    </row>
    <row r="62" spans="1:19">
      <c r="A62" s="2358"/>
      <c r="B62" s="2359"/>
      <c r="C62" s="2360"/>
      <c r="D62" s="2360"/>
      <c r="E62" s="2361"/>
      <c r="F62" s="2370" t="s">
        <v>571</v>
      </c>
      <c r="G62" s="2371"/>
      <c r="H62" s="2372"/>
      <c r="I62" s="2373" t="e">
        <f>I61/'Area Calculations'!$J$4</f>
        <v>#DIV/0!</v>
      </c>
      <c r="J62" s="2372"/>
      <c r="K62" s="2373" t="e">
        <f>K61/'Area Calculations'!$J$4</f>
        <v>#DIV/0!</v>
      </c>
      <c r="L62" s="2372"/>
      <c r="M62" s="2373" t="e">
        <f>M61/'Area Calculations'!$J$4</f>
        <v>#DIV/0!</v>
      </c>
      <c r="N62" s="2372"/>
      <c r="O62" s="2373" t="e">
        <f>O61/'Area Calculations'!$J$4</f>
        <v>#DIV/0!</v>
      </c>
      <c r="P62" s="2372"/>
      <c r="Q62" s="2373" t="e">
        <f>Q61/'Area Calculations'!$J$4</f>
        <v>#DIV/0!</v>
      </c>
      <c r="R62" s="2372"/>
      <c r="S62" s="2373" t="e">
        <f>S61/'Area Calculations'!$J$4</f>
        <v>#DIV/0!</v>
      </c>
    </row>
    <row r="63" spans="1:19">
      <c r="A63" s="2358"/>
      <c r="B63" s="2359"/>
      <c r="C63" s="2360"/>
      <c r="D63" s="2360"/>
      <c r="E63" s="2361"/>
      <c r="F63" s="2370" t="s">
        <v>572</v>
      </c>
      <c r="G63" s="2374"/>
      <c r="H63" s="2372"/>
      <c r="I63" s="2373" t="e">
        <f>I61/'Area Calculations'!#REF!</f>
        <v>#REF!</v>
      </c>
      <c r="J63" s="2372"/>
      <c r="K63" s="2373" t="e">
        <f>K61/'Area Calculations'!#REF!</f>
        <v>#REF!</v>
      </c>
      <c r="L63" s="2372"/>
      <c r="M63" s="2373" t="e">
        <f>M61/'Area Calculations'!#REF!</f>
        <v>#REF!</v>
      </c>
      <c r="N63" s="2372"/>
      <c r="O63" s="2373" t="e">
        <f>O61/'Area Calculations'!#REF!</f>
        <v>#REF!</v>
      </c>
      <c r="P63" s="2372"/>
      <c r="Q63" s="2373" t="e">
        <f>Q61/'Area Calculations'!#REF!</f>
        <v>#REF!</v>
      </c>
      <c r="R63" s="2372"/>
      <c r="S63" s="2373" t="e">
        <f>S61/'Area Calculations'!#REF!</f>
        <v>#REF!</v>
      </c>
    </row>
    <row r="64" spans="1:19" ht="15.75" thickBot="1">
      <c r="A64" s="2358"/>
      <c r="B64" s="2359"/>
      <c r="C64" s="2360"/>
      <c r="D64" s="2360"/>
      <c r="E64" s="2361"/>
      <c r="F64" s="2362"/>
      <c r="G64" s="2375"/>
      <c r="H64" s="2376"/>
      <c r="I64" s="2377"/>
      <c r="J64" s="2376"/>
      <c r="K64" s="2377"/>
      <c r="L64" s="2376"/>
      <c r="M64" s="2377"/>
      <c r="N64" s="2376"/>
      <c r="O64" s="2377"/>
      <c r="P64" s="2376"/>
      <c r="Q64" s="2377"/>
      <c r="R64" s="2376"/>
      <c r="S64" s="2377"/>
    </row>
    <row r="65" spans="1:19" ht="16.5" thickTop="1" thickBot="1">
      <c r="A65" s="726" t="s">
        <v>573</v>
      </c>
      <c r="B65" s="727"/>
      <c r="C65" s="12"/>
      <c r="D65" s="12"/>
      <c r="E65" s="12"/>
      <c r="F65" s="12"/>
      <c r="G65" s="13"/>
      <c r="H65" s="21"/>
      <c r="I65" s="21"/>
      <c r="J65" s="21"/>
      <c r="K65" s="21"/>
      <c r="L65" s="21"/>
      <c r="M65" s="21"/>
      <c r="N65" s="21"/>
      <c r="O65" s="21"/>
      <c r="P65" s="21"/>
      <c r="Q65" s="21"/>
      <c r="R65" s="21"/>
      <c r="S65" s="21"/>
    </row>
    <row r="66" spans="1:19" ht="15.75" thickTop="1">
      <c r="A66" s="2639"/>
      <c r="B66" s="2404"/>
      <c r="C66" s="2640"/>
      <c r="D66" s="2640"/>
      <c r="E66" s="2640"/>
      <c r="F66" s="2640"/>
      <c r="G66" s="2641"/>
      <c r="H66" s="2678"/>
      <c r="I66" s="2678"/>
      <c r="J66" s="2678"/>
      <c r="K66" s="2678"/>
      <c r="L66" s="2678"/>
      <c r="M66" s="2678"/>
      <c r="N66" s="2678"/>
      <c r="O66" s="2678"/>
      <c r="P66" s="2678"/>
      <c r="Q66" s="2678"/>
      <c r="R66" s="2678"/>
      <c r="S66" s="2678"/>
    </row>
    <row r="67" spans="1:19" s="2" customFormat="1">
      <c r="A67" s="2639"/>
      <c r="B67" s="2404"/>
      <c r="C67" s="2640"/>
      <c r="D67" s="2640"/>
      <c r="E67" s="2640"/>
      <c r="F67" s="2640"/>
      <c r="G67" s="2641"/>
      <c r="H67" s="2678"/>
      <c r="I67" s="2678"/>
      <c r="J67" s="2678"/>
      <c r="K67" s="2678"/>
      <c r="L67" s="2678"/>
      <c r="M67" s="2678"/>
      <c r="N67" s="2678"/>
      <c r="O67" s="2678"/>
      <c r="P67" s="2678"/>
      <c r="Q67" s="2678"/>
      <c r="R67" s="2678"/>
      <c r="S67" s="2678"/>
    </row>
    <row r="68" spans="1:19" s="2" customFormat="1" ht="15.75" thickBot="1">
      <c r="A68" s="2639"/>
      <c r="B68" s="2404"/>
      <c r="C68" s="2640"/>
      <c r="D68" s="2640"/>
      <c r="E68" s="2640"/>
      <c r="F68" s="2640"/>
      <c r="G68" s="2641"/>
      <c r="H68" s="2678"/>
      <c r="I68" s="2678"/>
      <c r="J68" s="2678"/>
      <c r="K68" s="2678"/>
      <c r="L68" s="2678"/>
      <c r="M68" s="2678"/>
      <c r="N68" s="2678"/>
      <c r="O68" s="2678"/>
      <c r="P68" s="2678"/>
      <c r="Q68" s="2678"/>
      <c r="R68" s="2678"/>
      <c r="S68" s="2678"/>
    </row>
    <row r="69" spans="1:19" ht="16.5" thickTop="1" thickBot="1">
      <c r="A69" s="726" t="s">
        <v>574</v>
      </c>
      <c r="B69" s="727"/>
      <c r="C69" s="12"/>
      <c r="D69" s="12"/>
      <c r="E69" s="12"/>
      <c r="F69" s="12"/>
      <c r="G69" s="13"/>
      <c r="H69" s="21"/>
      <c r="I69" s="21"/>
      <c r="J69" s="21"/>
      <c r="K69" s="21"/>
      <c r="L69" s="21"/>
      <c r="M69" s="21"/>
      <c r="N69" s="21"/>
      <c r="O69" s="21"/>
      <c r="P69" s="21"/>
      <c r="Q69" s="21"/>
      <c r="R69" s="21"/>
      <c r="S69" s="21"/>
    </row>
    <row r="70" spans="1:19" s="2" customFormat="1" ht="15.75" thickTop="1">
      <c r="A70" s="2639"/>
      <c r="B70" s="2404"/>
      <c r="C70" s="2640"/>
      <c r="D70" s="2640"/>
      <c r="E70" s="2640"/>
      <c r="F70" s="2640"/>
      <c r="G70" s="2641"/>
      <c r="H70" s="2678"/>
      <c r="I70" s="2678"/>
      <c r="J70" s="2678"/>
      <c r="K70" s="2678"/>
      <c r="L70" s="2678"/>
      <c r="M70" s="2678"/>
      <c r="N70" s="2678"/>
      <c r="O70" s="2678"/>
      <c r="P70" s="2678"/>
      <c r="Q70" s="2678"/>
      <c r="R70" s="2678"/>
      <c r="S70" s="2678"/>
    </row>
    <row r="71" spans="1:19" s="2" customFormat="1">
      <c r="A71" s="2639"/>
      <c r="B71" s="2404"/>
      <c r="C71" s="2640"/>
      <c r="D71" s="2640"/>
      <c r="E71" s="2640"/>
      <c r="F71" s="2640"/>
      <c r="G71" s="2641"/>
      <c r="H71" s="2678"/>
      <c r="I71" s="2678"/>
      <c r="J71" s="2678"/>
      <c r="K71" s="2678"/>
      <c r="L71" s="2678"/>
      <c r="M71" s="2678"/>
      <c r="N71" s="2678"/>
      <c r="O71" s="2678"/>
      <c r="P71" s="2678"/>
      <c r="Q71" s="2678"/>
      <c r="R71" s="2678"/>
      <c r="S71" s="2678"/>
    </row>
    <row r="72" spans="1:19" ht="15.75" thickBot="1">
      <c r="A72" s="2639"/>
      <c r="B72" s="2404"/>
      <c r="C72" s="2640"/>
      <c r="D72" s="2640"/>
      <c r="E72" s="2640"/>
      <c r="F72" s="2640"/>
      <c r="G72" s="2641"/>
      <c r="H72" s="2678"/>
      <c r="I72" s="2678"/>
      <c r="J72" s="2678"/>
      <c r="K72" s="2678"/>
      <c r="L72" s="2678"/>
      <c r="M72" s="2678"/>
      <c r="N72" s="2678"/>
      <c r="O72" s="2678"/>
      <c r="P72" s="2678"/>
      <c r="Q72" s="2678"/>
      <c r="R72" s="2678"/>
      <c r="S72" s="2678"/>
    </row>
    <row r="73" spans="1:19" ht="16.5" thickTop="1" thickBot="1">
      <c r="A73" s="726" t="s">
        <v>575</v>
      </c>
      <c r="B73" s="727"/>
      <c r="C73" s="12"/>
      <c r="D73" s="12"/>
      <c r="E73" s="12"/>
      <c r="F73" s="12"/>
      <c r="G73" s="13"/>
      <c r="H73" s="21"/>
      <c r="I73" s="21"/>
      <c r="J73" s="21"/>
      <c r="K73" s="21"/>
      <c r="L73" s="21"/>
      <c r="M73" s="21"/>
      <c r="N73" s="21"/>
      <c r="O73" s="21"/>
      <c r="P73" s="21"/>
      <c r="Q73" s="21"/>
      <c r="R73" s="21"/>
      <c r="S73" s="21"/>
    </row>
    <row r="74" spans="1:19" ht="15.75" thickTop="1">
      <c r="A74" s="2639"/>
      <c r="B74" s="2404"/>
      <c r="C74" s="2640"/>
      <c r="D74" s="2640"/>
      <c r="E74" s="2640"/>
      <c r="F74" s="2640"/>
      <c r="G74" s="2641"/>
      <c r="H74" s="2678"/>
      <c r="I74" s="2678"/>
      <c r="J74" s="2678"/>
      <c r="K74" s="2678"/>
      <c r="L74" s="2678"/>
      <c r="M74" s="2678"/>
      <c r="N74" s="2678"/>
      <c r="O74" s="2678"/>
      <c r="P74" s="2678"/>
      <c r="Q74" s="2678"/>
      <c r="R74" s="2678"/>
      <c r="S74" s="2678"/>
    </row>
    <row r="75" spans="1:19">
      <c r="A75" s="2421"/>
      <c r="B75" s="2404"/>
      <c r="C75" s="2405"/>
      <c r="D75" s="2405"/>
      <c r="E75" s="2405"/>
      <c r="F75" s="2405"/>
      <c r="G75" s="2423"/>
      <c r="H75" s="2382"/>
      <c r="I75" s="2382"/>
      <c r="J75" s="2382"/>
      <c r="K75" s="2382"/>
      <c r="L75" s="2382"/>
      <c r="M75" s="2382"/>
      <c r="N75" s="2382"/>
      <c r="O75" s="2382"/>
      <c r="P75" s="2382"/>
      <c r="Q75" s="2382"/>
      <c r="R75" s="2382"/>
      <c r="S75" s="2382"/>
    </row>
    <row r="76" spans="1:19" ht="15.75" thickBot="1">
      <c r="A76" s="2383"/>
      <c r="B76" s="2384"/>
      <c r="C76" s="2405"/>
      <c r="D76" s="2405"/>
      <c r="E76" s="2405"/>
      <c r="F76" s="2405"/>
      <c r="G76" s="2423"/>
      <c r="H76" s="2385"/>
      <c r="I76" s="2385"/>
      <c r="J76" s="2385"/>
      <c r="K76" s="2385"/>
      <c r="L76" s="2385"/>
      <c r="M76" s="2385"/>
      <c r="N76" s="2385"/>
      <c r="O76" s="2385"/>
      <c r="P76" s="2385"/>
      <c r="Q76" s="2385"/>
      <c r="R76" s="2385"/>
      <c r="S76" s="2385"/>
    </row>
    <row r="77" spans="1:19" ht="16.5" thickTop="1" thickBot="1">
      <c r="A77" s="726" t="s">
        <v>576</v>
      </c>
      <c r="B77" s="727"/>
      <c r="C77" s="12"/>
      <c r="D77" s="12"/>
      <c r="E77" s="12"/>
      <c r="F77" s="12"/>
      <c r="G77" s="13"/>
      <c r="H77" s="21"/>
      <c r="I77" s="21"/>
      <c r="J77" s="21"/>
      <c r="K77" s="21"/>
      <c r="L77" s="21"/>
      <c r="M77" s="21"/>
      <c r="N77" s="21"/>
      <c r="O77" s="21"/>
      <c r="P77" s="21"/>
      <c r="Q77" s="21"/>
      <c r="R77" s="21"/>
      <c r="S77" s="21"/>
    </row>
    <row r="78" spans="1:19" ht="15.75" thickTop="1">
      <c r="A78" s="2643"/>
      <c r="B78" s="2644"/>
      <c r="C78" s="2640"/>
      <c r="D78" s="2640"/>
      <c r="E78" s="2640"/>
      <c r="F78" s="2640"/>
      <c r="G78" s="2641"/>
      <c r="H78" s="2678"/>
      <c r="I78" s="2678"/>
      <c r="J78" s="2678"/>
      <c r="K78" s="2678"/>
      <c r="L78" s="2678"/>
      <c r="M78" s="2678"/>
      <c r="N78" s="2678"/>
      <c r="O78" s="2678"/>
      <c r="P78" s="2678"/>
      <c r="Q78" s="2678"/>
      <c r="R78" s="2678"/>
      <c r="S78" s="267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ht="15.75" thickBot="1">
      <c r="A80" s="2383"/>
      <c r="B80" s="2384"/>
      <c r="C80" s="2405"/>
      <c r="D80" s="2405"/>
      <c r="E80" s="2405"/>
      <c r="F80" s="2405"/>
      <c r="G80" s="2423"/>
      <c r="H80" s="2388"/>
      <c r="I80" s="2388"/>
      <c r="J80" s="2388"/>
      <c r="K80" s="2388"/>
      <c r="L80" s="2388"/>
      <c r="M80" s="2388"/>
      <c r="N80" s="2388"/>
      <c r="O80" s="2388"/>
      <c r="P80" s="2388"/>
      <c r="Q80" s="2388"/>
      <c r="R80" s="2388"/>
      <c r="S80" s="2388"/>
    </row>
    <row r="81" spans="1:19" ht="16.5" thickTop="1" thickBot="1">
      <c r="A81" s="726" t="s">
        <v>577</v>
      </c>
      <c r="B81" s="727"/>
      <c r="C81" s="12"/>
      <c r="D81" s="12"/>
      <c r="E81" s="12"/>
      <c r="F81" s="12"/>
      <c r="G81" s="13"/>
      <c r="H81" s="21"/>
      <c r="I81" s="21"/>
      <c r="J81" s="21"/>
      <c r="K81" s="21"/>
      <c r="L81" s="21"/>
      <c r="M81" s="21"/>
      <c r="N81" s="21"/>
      <c r="O81" s="21"/>
      <c r="P81" s="21"/>
      <c r="Q81" s="21"/>
      <c r="R81" s="21"/>
      <c r="S81" s="21"/>
    </row>
    <row r="82" spans="1:19" ht="15.75" thickTop="1">
      <c r="A82" s="2421"/>
      <c r="B82" s="2404" t="s">
        <v>578</v>
      </c>
      <c r="C82" s="2405"/>
      <c r="D82" s="2405"/>
      <c r="E82" s="2405"/>
      <c r="F82" s="2405"/>
      <c r="G82" s="2423"/>
      <c r="H82" s="2388"/>
      <c r="I82" s="2388"/>
      <c r="J82" s="2388"/>
      <c r="K82" s="2388"/>
      <c r="L82" s="2388"/>
      <c r="M82" s="2388"/>
      <c r="N82" s="2388"/>
      <c r="O82" s="2388"/>
      <c r="P82" s="2388"/>
      <c r="Q82" s="2388"/>
      <c r="R82" s="2388"/>
      <c r="S82" s="2388"/>
    </row>
    <row r="83" spans="1:19">
      <c r="A83" s="2421"/>
      <c r="B83" s="2404" t="s">
        <v>579</v>
      </c>
      <c r="C83" s="2405"/>
      <c r="D83" s="2405"/>
      <c r="E83" s="2405"/>
      <c r="F83" s="2405"/>
      <c r="G83" s="2423"/>
      <c r="H83" s="2388"/>
      <c r="I83" s="2388"/>
      <c r="J83" s="2388"/>
      <c r="K83" s="2388"/>
      <c r="L83" s="2388"/>
      <c r="M83" s="2388"/>
      <c r="N83" s="2388"/>
      <c r="O83" s="2388"/>
      <c r="P83" s="2388"/>
      <c r="Q83" s="2388"/>
      <c r="R83" s="2388"/>
      <c r="S83" s="2388"/>
    </row>
    <row r="84" spans="1:19">
      <c r="A84" s="2421"/>
      <c r="B84" s="2404" t="s">
        <v>580</v>
      </c>
      <c r="C84" s="2405"/>
      <c r="D84" s="2405"/>
      <c r="E84" s="2405"/>
      <c r="F84" s="2405"/>
      <c r="G84" s="2423"/>
      <c r="H84" s="2388"/>
      <c r="I84" s="2388"/>
      <c r="J84" s="2388"/>
      <c r="K84" s="2388"/>
      <c r="L84" s="2388"/>
      <c r="M84" s="2388"/>
      <c r="N84" s="2388"/>
      <c r="O84" s="2388"/>
      <c r="P84" s="2388"/>
      <c r="Q84" s="2388"/>
      <c r="R84" s="2388"/>
      <c r="S84" s="2388"/>
    </row>
    <row r="85" spans="1:19">
      <c r="A85" s="2421"/>
      <c r="B85" s="2404" t="s">
        <v>581</v>
      </c>
      <c r="C85" s="2405"/>
      <c r="D85" s="2405"/>
      <c r="E85" s="2405"/>
      <c r="F85" s="2405"/>
      <c r="G85" s="2423"/>
      <c r="H85" s="2388"/>
      <c r="I85" s="2388"/>
      <c r="J85" s="2388"/>
      <c r="K85" s="2388"/>
      <c r="L85" s="2388"/>
      <c r="M85" s="2388"/>
      <c r="N85" s="2388"/>
      <c r="O85" s="2388"/>
      <c r="P85" s="2388"/>
      <c r="Q85" s="2388"/>
      <c r="R85" s="2388"/>
      <c r="S85" s="2388"/>
    </row>
    <row r="86" spans="1:19" ht="15.75" thickBot="1">
      <c r="A86" s="416"/>
      <c r="B86" s="295"/>
      <c r="C86" s="184"/>
      <c r="D86" s="184"/>
      <c r="E86" s="184"/>
      <c r="F86" s="184"/>
      <c r="G86" s="296"/>
      <c r="H86" s="418"/>
      <c r="I86" s="418"/>
      <c r="J86" s="418"/>
      <c r="K86" s="418"/>
      <c r="L86" s="418"/>
      <c r="M86" s="418"/>
      <c r="N86" s="418"/>
      <c r="O86" s="418"/>
      <c r="P86" s="418"/>
      <c r="Q86" s="418"/>
      <c r="R86" s="418"/>
      <c r="S86" s="418"/>
    </row>
    <row r="87" spans="1:19" ht="16.5" thickTop="1" thickBot="1">
      <c r="A87" s="7" t="s">
        <v>582</v>
      </c>
      <c r="B87" s="8"/>
      <c r="C87" s="12"/>
      <c r="D87" s="12"/>
      <c r="E87" s="12"/>
      <c r="F87" s="12"/>
      <c r="G87" s="13"/>
      <c r="H87" s="21"/>
      <c r="I87" s="21"/>
      <c r="J87" s="21"/>
      <c r="K87" s="21"/>
      <c r="L87" s="21"/>
      <c r="M87" s="21"/>
      <c r="N87" s="21"/>
      <c r="O87" s="21"/>
      <c r="P87" s="21"/>
      <c r="Q87" s="21"/>
      <c r="R87" s="21"/>
      <c r="S87" s="21"/>
    </row>
    <row r="88" spans="1:19" ht="15.75" thickTop="1">
      <c r="A88" s="2639"/>
      <c r="B88" s="2645" t="s">
        <v>583</v>
      </c>
      <c r="C88" s="2640"/>
      <c r="D88" s="2640"/>
      <c r="E88" s="2640"/>
      <c r="F88" s="2640"/>
      <c r="G88" s="2641"/>
      <c r="H88" s="2687"/>
      <c r="I88" s="2687"/>
      <c r="J88" s="2687"/>
      <c r="K88" s="2687"/>
      <c r="L88" s="2687"/>
      <c r="M88" s="2687"/>
      <c r="N88" s="2687"/>
      <c r="O88" s="2687"/>
      <c r="P88" s="2687"/>
      <c r="Q88" s="2687"/>
      <c r="R88" s="2687"/>
      <c r="S88" s="2687"/>
    </row>
    <row r="89" spans="1:19">
      <c r="A89" s="2421"/>
      <c r="B89" s="2404" t="s">
        <v>584</v>
      </c>
      <c r="C89" s="2405"/>
      <c r="D89" s="2405"/>
      <c r="E89" s="2405"/>
      <c r="F89" s="2405"/>
      <c r="G89" s="2423"/>
      <c r="H89" s="2390"/>
      <c r="I89" s="2390"/>
      <c r="J89" s="2390"/>
      <c r="K89" s="2390"/>
      <c r="L89" s="2390"/>
      <c r="M89" s="2390"/>
      <c r="N89" s="2390"/>
      <c r="O89" s="2390"/>
      <c r="P89" s="2390"/>
      <c r="Q89" s="2390"/>
      <c r="R89" s="2390"/>
      <c r="S89" s="2390"/>
    </row>
    <row r="90" spans="1:19" ht="15.75" thickBot="1">
      <c r="A90" s="2391"/>
      <c r="B90" s="2392" t="s">
        <v>585</v>
      </c>
      <c r="C90" s="2393"/>
      <c r="D90" s="2393"/>
      <c r="E90" s="2393"/>
      <c r="F90" s="2393"/>
      <c r="G90" s="2394"/>
      <c r="H90" s="2395"/>
      <c r="I90" s="2395"/>
      <c r="J90" s="2395"/>
      <c r="K90" s="2395"/>
      <c r="L90" s="2395"/>
      <c r="M90" s="2395"/>
      <c r="N90" s="2395"/>
      <c r="O90" s="2395"/>
      <c r="P90" s="2395"/>
      <c r="Q90" s="2395"/>
      <c r="R90" s="2395"/>
      <c r="S90" s="2395"/>
    </row>
    <row r="91" spans="1:19" ht="16.5" thickTop="1" thickBot="1"/>
    <row r="92" spans="1:19" ht="16.5" thickTop="1" thickBot="1">
      <c r="A92" s="92" t="s">
        <v>586</v>
      </c>
      <c r="B92" s="94"/>
    </row>
    <row r="93" spans="1:19" ht="15.75" thickTop="1">
      <c r="A93" s="93" t="s">
        <v>487</v>
      </c>
      <c r="B93" s="2396"/>
    </row>
    <row r="94" spans="1:19">
      <c r="A94" s="2397" t="s">
        <v>491</v>
      </c>
      <c r="B94" s="2396"/>
    </row>
    <row r="95" spans="1:19">
      <c r="A95" s="2398" t="s">
        <v>494</v>
      </c>
      <c r="B95" s="2399"/>
    </row>
    <row r="96" spans="1:19">
      <c r="A96" s="2398" t="s">
        <v>497</v>
      </c>
      <c r="B96" s="2400"/>
    </row>
    <row r="97" spans="1:2" ht="15.75" thickBot="1">
      <c r="A97" s="2401" t="s">
        <v>587</v>
      </c>
      <c r="B97" s="2402"/>
    </row>
    <row r="98" spans="1:2" ht="15.75" thickTop="1"/>
    <row r="99" spans="1:2">
      <c r="A99" s="95"/>
      <c r="B99" s="1" t="s">
        <v>588</v>
      </c>
    </row>
    <row r="100" spans="1:2">
      <c r="A100" s="96"/>
      <c r="B10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5:B65"/>
    <mergeCell ref="A69:B69"/>
    <mergeCell ref="A73:B73"/>
    <mergeCell ref="A77:B77"/>
    <mergeCell ref="A81:B81"/>
  </mergeCells>
  <conditionalFormatting sqref="H20:H30">
    <cfRule type="cellIs" dxfId="629" priority="13" operator="equal">
      <formula>"X"</formula>
    </cfRule>
    <cfRule type="cellIs" dxfId="628" priority="14" operator="equal">
      <formula>"I"</formula>
    </cfRule>
  </conditionalFormatting>
  <conditionalFormatting sqref="H32:H56">
    <cfRule type="cellIs" dxfId="627" priority="1" operator="equal">
      <formula>"X"</formula>
    </cfRule>
    <cfRule type="cellIs" dxfId="626" priority="2" operator="equal">
      <formula>"I"</formula>
    </cfRule>
  </conditionalFormatting>
  <conditionalFormatting sqref="J20:J30">
    <cfRule type="cellIs" dxfId="625" priority="15" operator="equal">
      <formula>"X"</formula>
    </cfRule>
    <cfRule type="cellIs" dxfId="624" priority="16" operator="equal">
      <formula>"I"</formula>
    </cfRule>
  </conditionalFormatting>
  <conditionalFormatting sqref="J32:J56">
    <cfRule type="cellIs" dxfId="623" priority="3" operator="equal">
      <formula>"X"</formula>
    </cfRule>
    <cfRule type="cellIs" dxfId="622" priority="4" operator="equal">
      <formula>"I"</formula>
    </cfRule>
  </conditionalFormatting>
  <conditionalFormatting sqref="L20:L30">
    <cfRule type="cellIs" dxfId="621" priority="17" operator="equal">
      <formula>"X"</formula>
    </cfRule>
    <cfRule type="cellIs" dxfId="620" priority="18" operator="equal">
      <formula>"I"</formula>
    </cfRule>
  </conditionalFormatting>
  <conditionalFormatting sqref="L32:L56">
    <cfRule type="cellIs" dxfId="619" priority="5" operator="equal">
      <formula>"X"</formula>
    </cfRule>
    <cfRule type="cellIs" dxfId="618" priority="6" operator="equal">
      <formula>"I"</formula>
    </cfRule>
  </conditionalFormatting>
  <conditionalFormatting sqref="N20:N30">
    <cfRule type="cellIs" dxfId="617" priority="19" operator="equal">
      <formula>"X"</formula>
    </cfRule>
    <cfRule type="cellIs" dxfId="616" priority="20" operator="equal">
      <formula>"I"</formula>
    </cfRule>
  </conditionalFormatting>
  <conditionalFormatting sqref="N32:N56">
    <cfRule type="cellIs" dxfId="615" priority="7" operator="equal">
      <formula>"X"</formula>
    </cfRule>
    <cfRule type="cellIs" dxfId="614" priority="8" operator="equal">
      <formula>"I"</formula>
    </cfRule>
  </conditionalFormatting>
  <conditionalFormatting sqref="P20:P30">
    <cfRule type="cellIs" dxfId="613" priority="21" operator="equal">
      <formula>"X"</formula>
    </cfRule>
    <cfRule type="cellIs" dxfId="612" priority="22" operator="equal">
      <formula>"I"</formula>
    </cfRule>
  </conditionalFormatting>
  <conditionalFormatting sqref="P32:P56">
    <cfRule type="cellIs" dxfId="611" priority="9" operator="equal">
      <formula>"X"</formula>
    </cfRule>
    <cfRule type="cellIs" dxfId="610" priority="10" operator="equal">
      <formula>"I"</formula>
    </cfRule>
  </conditionalFormatting>
  <conditionalFormatting sqref="R20:R30">
    <cfRule type="cellIs" dxfId="609" priority="23" operator="equal">
      <formula>"X"</formula>
    </cfRule>
    <cfRule type="cellIs" dxfId="608" priority="24" operator="equal">
      <formula>"I"</formula>
    </cfRule>
  </conditionalFormatting>
  <conditionalFormatting sqref="R32:R56">
    <cfRule type="cellIs" dxfId="607" priority="11" operator="equal">
      <formula>"X"</formula>
    </cfRule>
    <cfRule type="cellIs" dxfId="606" priority="12" operator="equal">
      <formula>"I"</formula>
    </cfRule>
  </conditionalFormatting>
  <hyperlinks>
    <hyperlink ref="B3" location="'Cost Summary'!A1" display="BACK TO SUMMARY SHEET" xr:uid="{2970D1D1-44C8-4166-8BE2-19F2E74004B8}"/>
  </hyperlink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C086-972E-46E3-AFAB-D8FE9BE34F83}">
  <dimension ref="A1:S91"/>
  <sheetViews>
    <sheetView zoomScale="85" zoomScaleNormal="85" workbookViewId="0">
      <pane xSplit="2" ySplit="19" topLeftCell="C49" activePane="bottomRight" state="frozen"/>
      <selection pane="bottomRight" activeCell="I53" sqref="I53:I54"/>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c r="G2" s="147" t="s">
        <v>476</v>
      </c>
      <c r="H2" s="732"/>
      <c r="I2" s="732"/>
      <c r="J2" s="732"/>
      <c r="K2" s="732"/>
      <c r="L2" s="732"/>
      <c r="M2" s="732"/>
      <c r="N2" s="732"/>
      <c r="O2" s="732"/>
      <c r="P2" s="732"/>
      <c r="Q2" s="732"/>
      <c r="R2" s="732"/>
      <c r="S2" s="732"/>
    </row>
    <row r="3" spans="1:19" ht="21" thickBot="1">
      <c r="B3" s="161" t="s">
        <v>477</v>
      </c>
      <c r="E3" s="175"/>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81"/>
      <c r="K4" s="729"/>
      <c r="L4" s="781"/>
      <c r="M4" s="729"/>
      <c r="N4" s="781"/>
      <c r="O4" s="729"/>
      <c r="P4" s="781"/>
      <c r="Q4" s="729"/>
      <c r="R4" s="781"/>
      <c r="S4" s="729"/>
    </row>
    <row r="5" spans="1:19">
      <c r="A5" s="2403" t="s">
        <v>489</v>
      </c>
      <c r="B5" s="2404" t="s">
        <v>1169</v>
      </c>
      <c r="C5" s="2405"/>
      <c r="D5" s="2405"/>
      <c r="E5" s="2405"/>
      <c r="F5" s="2405"/>
      <c r="G5" s="2406" t="s">
        <v>491</v>
      </c>
      <c r="H5" s="2407"/>
      <c r="I5" s="2408"/>
      <c r="J5" s="2533"/>
      <c r="K5" s="2408"/>
      <c r="L5" s="2533"/>
      <c r="M5" s="2408"/>
      <c r="N5" s="2533"/>
      <c r="O5" s="2408"/>
      <c r="P5" s="2533"/>
      <c r="Q5" s="2408"/>
      <c r="R5" s="2533"/>
      <c r="S5" s="2408"/>
    </row>
    <row r="6" spans="1:19">
      <c r="A6" s="2403" t="s">
        <v>493</v>
      </c>
      <c r="B6" s="2410" t="s">
        <v>1170</v>
      </c>
      <c r="C6" s="2405"/>
      <c r="D6" s="2405"/>
      <c r="E6" s="2405"/>
      <c r="F6" s="2405"/>
      <c r="G6" s="2406" t="s">
        <v>494</v>
      </c>
      <c r="H6" s="2411"/>
      <c r="I6" s="2412"/>
      <c r="J6" s="2534"/>
      <c r="K6" s="2412"/>
      <c r="L6" s="2534"/>
      <c r="M6" s="2412"/>
      <c r="N6" s="2534"/>
      <c r="O6" s="2412"/>
      <c r="P6" s="2534"/>
      <c r="Q6" s="2412"/>
      <c r="R6" s="2534"/>
      <c r="S6" s="2412"/>
    </row>
    <row r="7" spans="1:19">
      <c r="A7" s="2403" t="s">
        <v>496</v>
      </c>
      <c r="B7" s="2414"/>
      <c r="C7" s="2405"/>
      <c r="D7" s="2405"/>
      <c r="E7" s="2405"/>
      <c r="F7" s="2405"/>
      <c r="G7" s="2406" t="s">
        <v>497</v>
      </c>
      <c r="H7" s="2415"/>
      <c r="I7" s="2416"/>
      <c r="J7" s="2535"/>
      <c r="K7" s="2416"/>
      <c r="L7" s="2535"/>
      <c r="M7" s="2416"/>
      <c r="N7" s="2535"/>
      <c r="O7" s="2416"/>
      <c r="P7" s="2535"/>
      <c r="Q7" s="2416"/>
      <c r="R7" s="2535"/>
      <c r="S7" s="2416"/>
    </row>
    <row r="8" spans="1:19" ht="15.75" thickBot="1">
      <c r="A8" s="414" t="s">
        <v>499</v>
      </c>
      <c r="B8" s="295"/>
      <c r="C8" s="184"/>
      <c r="D8" s="184"/>
      <c r="E8" s="184"/>
      <c r="F8" s="184"/>
      <c r="G8" s="414" t="s">
        <v>499</v>
      </c>
      <c r="H8" s="2418">
        <f>I52</f>
        <v>0</v>
      </c>
      <c r="I8" s="2419"/>
      <c r="J8" s="2418">
        <f>K52</f>
        <v>0</v>
      </c>
      <c r="K8" s="2419"/>
      <c r="L8" s="2418">
        <f>M52</f>
        <v>0</v>
      </c>
      <c r="M8" s="2419"/>
      <c r="N8" s="2418">
        <f>O52</f>
        <v>0</v>
      </c>
      <c r="O8" s="2419"/>
      <c r="P8" s="2418">
        <f>Q52</f>
        <v>0</v>
      </c>
      <c r="Q8" s="2419"/>
      <c r="R8" s="2418">
        <f>S52</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4"/>
      <c r="I20" s="2424"/>
      <c r="J20" s="2424"/>
      <c r="K20" s="2424"/>
      <c r="L20" s="2424"/>
      <c r="M20" s="2424"/>
      <c r="N20" s="2424"/>
      <c r="O20" s="2424"/>
      <c r="P20" s="2424"/>
      <c r="Q20" s="2424"/>
      <c r="R20" s="2424"/>
      <c r="S20" s="2424"/>
    </row>
    <row r="21" spans="1:19" ht="15.75" thickBot="1">
      <c r="A21" s="2421"/>
      <c r="B21" s="2428" t="s">
        <v>1169</v>
      </c>
      <c r="C21" s="2426"/>
      <c r="D21" s="2405"/>
      <c r="E21" s="2405"/>
      <c r="F21" s="2405"/>
      <c r="G21" s="2423"/>
      <c r="H21" s="2424"/>
      <c r="I21" s="2424"/>
      <c r="J21" s="2424"/>
      <c r="K21" s="2424"/>
      <c r="L21" s="2424"/>
      <c r="M21" s="2424"/>
      <c r="N21" s="2424"/>
      <c r="O21" s="2424"/>
      <c r="P21" s="2424"/>
      <c r="Q21" s="2424"/>
      <c r="R21" s="2424"/>
      <c r="S21" s="2424"/>
    </row>
    <row r="22" spans="1:19">
      <c r="A22" s="2648"/>
      <c r="B22" s="2318" t="s">
        <v>512</v>
      </c>
      <c r="C22" s="2426"/>
      <c r="D22" s="2405"/>
      <c r="E22" s="2405"/>
      <c r="F22" s="2405"/>
      <c r="G22" s="2423"/>
      <c r="H22" s="2687"/>
      <c r="I22" s="2650"/>
      <c r="J22" s="2650"/>
      <c r="K22" s="2650"/>
      <c r="L22" s="2537"/>
      <c r="M22" s="2650"/>
      <c r="N22" s="2650"/>
      <c r="O22" s="2650"/>
      <c r="P22" s="2650"/>
      <c r="Q22" s="2650"/>
      <c r="R22" s="2650"/>
      <c r="S22" s="2650"/>
    </row>
    <row r="23" spans="1:19">
      <c r="A23" s="2648"/>
      <c r="B23" s="2688" t="s">
        <v>513</v>
      </c>
      <c r="C23" s="2426"/>
      <c r="D23" s="2405"/>
      <c r="E23" s="2405"/>
      <c r="F23" s="2405"/>
      <c r="G23" s="2423"/>
      <c r="H23" s="2537"/>
      <c r="I23" s="2708"/>
      <c r="J23" s="2537"/>
      <c r="K23" s="2650"/>
      <c r="L23" s="2537"/>
      <c r="M23" s="2650"/>
      <c r="N23" s="2650"/>
      <c r="O23" s="2650"/>
      <c r="P23" s="2650"/>
      <c r="Q23" s="2650"/>
      <c r="R23" s="2650"/>
      <c r="S23" s="2650"/>
    </row>
    <row r="24" spans="1:19">
      <c r="A24" s="2648"/>
      <c r="B24" s="2688" t="s">
        <v>514</v>
      </c>
      <c r="C24" s="2430"/>
      <c r="D24" s="2405"/>
      <c r="E24" s="2405"/>
      <c r="F24" s="2405"/>
      <c r="G24" s="2423"/>
      <c r="H24" s="2537"/>
      <c r="I24" s="2708"/>
      <c r="J24" s="2537"/>
      <c r="K24" s="2650"/>
      <c r="L24" s="2537"/>
      <c r="M24" s="2650"/>
      <c r="N24" s="2650"/>
      <c r="O24" s="2650"/>
      <c r="P24" s="2650"/>
      <c r="Q24" s="2650"/>
      <c r="R24" s="2650"/>
      <c r="S24" s="2650"/>
    </row>
    <row r="25" spans="1:19">
      <c r="A25" s="2648"/>
      <c r="B25" s="2689" t="s">
        <v>515</v>
      </c>
      <c r="C25" s="2430"/>
      <c r="D25" s="2405"/>
      <c r="E25" s="2405"/>
      <c r="F25" s="2405"/>
      <c r="G25" s="2423"/>
      <c r="H25" s="2537"/>
      <c r="I25" s="2708"/>
      <c r="J25" s="2537"/>
      <c r="K25" s="2650"/>
      <c r="L25" s="2537"/>
      <c r="M25" s="2650"/>
      <c r="N25" s="2650"/>
      <c r="O25" s="2650"/>
      <c r="P25" s="2650"/>
      <c r="Q25" s="2650"/>
      <c r="R25" s="2650"/>
      <c r="S25" s="2650"/>
    </row>
    <row r="26" spans="1:19" s="91" customFormat="1">
      <c r="A26" s="2651"/>
      <c r="B26" s="2689" t="s">
        <v>516</v>
      </c>
      <c r="C26" s="2432"/>
      <c r="D26" s="2433"/>
      <c r="E26" s="2433"/>
      <c r="F26" s="2433"/>
      <c r="G26" s="2432"/>
      <c r="H26" s="2537"/>
      <c r="I26" s="2708"/>
      <c r="J26" s="2539"/>
      <c r="K26" s="2631"/>
      <c r="L26" s="2539"/>
      <c r="M26" s="2631"/>
      <c r="N26" s="2631"/>
      <c r="O26" s="2631"/>
      <c r="P26" s="2631"/>
      <c r="Q26" s="2631"/>
      <c r="R26" s="2631"/>
      <c r="S26" s="2631"/>
    </row>
    <row r="27" spans="1:19" s="91" customFormat="1">
      <c r="A27" s="2651"/>
      <c r="B27" s="2689" t="s">
        <v>517</v>
      </c>
      <c r="C27" s="2432"/>
      <c r="D27" s="2433"/>
      <c r="E27" s="2433"/>
      <c r="F27" s="2433"/>
      <c r="G27" s="2432"/>
      <c r="H27" s="2537"/>
      <c r="I27" s="2708"/>
      <c r="J27" s="2539"/>
      <c r="K27" s="2631"/>
      <c r="L27" s="2539"/>
      <c r="M27" s="2631"/>
      <c r="N27" s="2631"/>
      <c r="O27" s="2631"/>
      <c r="P27" s="2631"/>
      <c r="Q27" s="2631"/>
      <c r="R27" s="2631"/>
      <c r="S27" s="2631"/>
    </row>
    <row r="28" spans="1:19" s="91" customFormat="1">
      <c r="A28" s="2651"/>
      <c r="B28" s="2689" t="s">
        <v>518</v>
      </c>
      <c r="C28" s="2432"/>
      <c r="D28" s="2433"/>
      <c r="E28" s="2433"/>
      <c r="F28" s="2433"/>
      <c r="G28" s="2432"/>
      <c r="H28" s="2537"/>
      <c r="I28" s="2708"/>
      <c r="J28" s="2539"/>
      <c r="K28" s="2631"/>
      <c r="L28" s="2539"/>
      <c r="M28" s="2631"/>
      <c r="N28" s="2631"/>
      <c r="O28" s="2631"/>
      <c r="P28" s="2631"/>
      <c r="Q28" s="2631"/>
      <c r="R28" s="2631"/>
      <c r="S28" s="2631"/>
    </row>
    <row r="29" spans="1:19" s="91" customFormat="1">
      <c r="A29" s="2651"/>
      <c r="B29" s="2710" t="s">
        <v>519</v>
      </c>
      <c r="C29" s="2432"/>
      <c r="D29" s="2433"/>
      <c r="E29" s="2433"/>
      <c r="F29" s="2433"/>
      <c r="G29" s="2432"/>
      <c r="H29" s="2537"/>
      <c r="I29" s="2708"/>
      <c r="J29" s="2539"/>
      <c r="K29" s="2631"/>
      <c r="L29" s="2539"/>
      <c r="M29" s="2631"/>
      <c r="N29" s="2631"/>
      <c r="O29" s="2631"/>
      <c r="P29" s="2631"/>
      <c r="Q29" s="2631"/>
      <c r="R29" s="2631"/>
      <c r="S29" s="2631"/>
    </row>
    <row r="30" spans="1:19" s="91" customFormat="1">
      <c r="A30" s="2651"/>
      <c r="B30" s="2711" t="s">
        <v>520</v>
      </c>
      <c r="C30" s="2435"/>
      <c r="D30" s="2436"/>
      <c r="E30" s="2436"/>
      <c r="F30" s="2436"/>
      <c r="G30" s="2435"/>
      <c r="H30" s="2439"/>
      <c r="I30" s="2712"/>
      <c r="J30" s="2443"/>
      <c r="K30" s="2713"/>
      <c r="L30" s="2443"/>
      <c r="M30" s="2713"/>
      <c r="N30" s="2713"/>
      <c r="O30" s="2713"/>
      <c r="P30" s="2713"/>
      <c r="Q30" s="2713"/>
      <c r="R30" s="2713"/>
      <c r="S30" s="2713"/>
    </row>
    <row r="31" spans="1:19" s="91" customFormat="1">
      <c r="A31" s="2651"/>
      <c r="B31" s="151"/>
      <c r="C31" s="2432"/>
      <c r="D31" s="2433"/>
      <c r="E31" s="2433"/>
      <c r="F31" s="2433"/>
      <c r="G31" s="2432"/>
      <c r="H31" s="2537"/>
      <c r="I31" s="2708"/>
      <c r="J31" s="2539"/>
      <c r="K31" s="2631"/>
      <c r="L31" s="2539"/>
      <c r="M31" s="2631"/>
      <c r="N31" s="2631"/>
      <c r="O31" s="2631"/>
      <c r="P31" s="2631"/>
      <c r="Q31" s="2631"/>
      <c r="R31" s="2631"/>
      <c r="S31" s="2631"/>
    </row>
    <row r="32" spans="1:19" s="91" customFormat="1">
      <c r="A32" s="2636"/>
      <c r="B32" s="2550"/>
      <c r="C32" s="2445"/>
      <c r="D32" s="2433"/>
      <c r="E32" s="2433"/>
      <c r="F32" s="2433"/>
      <c r="G32" s="2432"/>
      <c r="H32" s="2537"/>
      <c r="I32" s="2708"/>
      <c r="J32" s="2539"/>
      <c r="K32" s="2631"/>
      <c r="L32" s="2539"/>
      <c r="M32" s="2631"/>
      <c r="N32" s="2631"/>
      <c r="O32" s="2631"/>
      <c r="P32" s="2631"/>
      <c r="Q32" s="2631"/>
      <c r="R32" s="2631"/>
      <c r="S32" s="2631"/>
    </row>
    <row r="33" spans="1:19" s="91" customFormat="1">
      <c r="A33" s="2636"/>
      <c r="B33" s="2444"/>
      <c r="C33" s="2445"/>
      <c r="D33" s="2433"/>
      <c r="E33" s="2433"/>
      <c r="F33" s="2433"/>
      <c r="G33" s="2432"/>
      <c r="H33" s="2537"/>
      <c r="I33" s="2708"/>
      <c r="J33" s="2539"/>
      <c r="K33" s="2631"/>
      <c r="L33" s="2539"/>
      <c r="M33" s="2631"/>
      <c r="N33" s="2631"/>
      <c r="O33" s="2631"/>
      <c r="P33" s="2631"/>
      <c r="Q33" s="2631"/>
      <c r="R33" s="2631"/>
      <c r="S33" s="2631"/>
    </row>
    <row r="34" spans="1:19" s="91" customFormat="1">
      <c r="A34" s="2636"/>
      <c r="B34" s="2444"/>
      <c r="C34" s="2445"/>
      <c r="D34" s="2433"/>
      <c r="E34" s="2433"/>
      <c r="F34" s="2433"/>
      <c r="G34" s="2432"/>
      <c r="H34" s="2537"/>
      <c r="I34" s="2708"/>
      <c r="J34" s="2539"/>
      <c r="K34" s="2631"/>
      <c r="L34" s="2539"/>
      <c r="M34" s="2631"/>
      <c r="N34" s="2631"/>
      <c r="O34" s="2631"/>
      <c r="P34" s="2631"/>
      <c r="Q34" s="2631"/>
      <c r="R34" s="2631"/>
      <c r="S34" s="2631"/>
    </row>
    <row r="35" spans="1:19" s="91" customFormat="1">
      <c r="A35" s="2636"/>
      <c r="B35" s="2506"/>
      <c r="C35" s="2445"/>
      <c r="D35" s="2433"/>
      <c r="E35" s="2433"/>
      <c r="F35" s="2433"/>
      <c r="G35" s="2432"/>
      <c r="H35" s="2537"/>
      <c r="I35" s="2708"/>
      <c r="J35" s="2539"/>
      <c r="K35" s="2631"/>
      <c r="L35" s="2539"/>
      <c r="M35" s="2631"/>
      <c r="N35" s="2631"/>
      <c r="O35" s="2631"/>
      <c r="P35" s="2631"/>
      <c r="Q35" s="2631"/>
      <c r="R35" s="2631"/>
      <c r="S35" s="2631"/>
    </row>
    <row r="36" spans="1:19" s="91" customFormat="1">
      <c r="A36" s="2636"/>
      <c r="B36" s="2444"/>
      <c r="C36" s="2445"/>
      <c r="D36" s="2433"/>
      <c r="E36" s="2433"/>
      <c r="F36" s="2433"/>
      <c r="G36" s="2432"/>
      <c r="H36" s="2537"/>
      <c r="I36" s="2708"/>
      <c r="J36" s="2539"/>
      <c r="K36" s="2631"/>
      <c r="L36" s="2539"/>
      <c r="M36" s="2631"/>
      <c r="N36" s="2631"/>
      <c r="O36" s="2631"/>
      <c r="P36" s="2631"/>
      <c r="Q36" s="2631"/>
      <c r="R36" s="2631"/>
      <c r="S36" s="2631"/>
    </row>
    <row r="37" spans="1:19" s="91" customFormat="1">
      <c r="A37" s="2636"/>
      <c r="B37" s="2444"/>
      <c r="C37" s="2445"/>
      <c r="D37" s="2433"/>
      <c r="E37" s="2546"/>
      <c r="F37" s="2547"/>
      <c r="G37" s="2432"/>
      <c r="H37" s="2537"/>
      <c r="I37" s="2708"/>
      <c r="J37" s="2539"/>
      <c r="K37" s="2631"/>
      <c r="L37" s="2539"/>
      <c r="M37" s="2631"/>
      <c r="N37" s="2631"/>
      <c r="O37" s="2631"/>
      <c r="P37" s="2631"/>
      <c r="Q37" s="2631"/>
      <c r="R37" s="2631"/>
      <c r="S37" s="2631"/>
    </row>
    <row r="38" spans="1:19" s="91" customFormat="1">
      <c r="A38" s="2636"/>
      <c r="B38" s="2444"/>
      <c r="C38" s="2445"/>
      <c r="D38" s="2433"/>
      <c r="E38" s="2546"/>
      <c r="F38" s="2547"/>
      <c r="G38" s="2432"/>
      <c r="H38" s="2537"/>
      <c r="I38" s="2708"/>
      <c r="J38" s="2539"/>
      <c r="K38" s="2631"/>
      <c r="L38" s="2539"/>
      <c r="M38" s="2631"/>
      <c r="N38" s="2631"/>
      <c r="O38" s="2631"/>
      <c r="P38" s="2631"/>
      <c r="Q38" s="2631"/>
      <c r="R38" s="2631"/>
      <c r="S38" s="2631"/>
    </row>
    <row r="39" spans="1:19" s="91" customFormat="1">
      <c r="A39" s="2636"/>
      <c r="B39" s="2444"/>
      <c r="C39" s="2445"/>
      <c r="D39" s="2433"/>
      <c r="E39" s="2546"/>
      <c r="F39" s="2547"/>
      <c r="G39" s="2432"/>
      <c r="H39" s="2537"/>
      <c r="I39" s="2708"/>
      <c r="J39" s="2539"/>
      <c r="K39" s="2631"/>
      <c r="L39" s="2539"/>
      <c r="M39" s="2631"/>
      <c r="N39" s="2631"/>
      <c r="O39" s="2631"/>
      <c r="P39" s="2631"/>
      <c r="Q39" s="2631"/>
      <c r="R39" s="2631"/>
      <c r="S39" s="2631"/>
    </row>
    <row r="40" spans="1:19" s="91" customFormat="1">
      <c r="A40" s="2636"/>
      <c r="B40" s="2672"/>
      <c r="C40" s="2445"/>
      <c r="D40" s="2433"/>
      <c r="E40" s="2546"/>
      <c r="F40" s="2547"/>
      <c r="G40" s="2432"/>
      <c r="H40" s="2537"/>
      <c r="I40" s="2708"/>
      <c r="J40" s="2539"/>
      <c r="K40" s="2631"/>
      <c r="L40" s="2539"/>
      <c r="M40" s="2631"/>
      <c r="N40" s="2631"/>
      <c r="O40" s="2631"/>
      <c r="P40" s="2631"/>
      <c r="Q40" s="2631"/>
      <c r="R40" s="2631"/>
      <c r="S40" s="2631"/>
    </row>
    <row r="41" spans="1:19" s="91" customFormat="1">
      <c r="A41" s="2636"/>
      <c r="B41" s="2673"/>
      <c r="C41" s="2445"/>
      <c r="D41" s="2433"/>
      <c r="E41" s="2546"/>
      <c r="F41" s="2547"/>
      <c r="G41" s="2432"/>
      <c r="H41" s="2537"/>
      <c r="I41" s="2708"/>
      <c r="J41" s="2539"/>
      <c r="K41" s="2631"/>
      <c r="L41" s="2539"/>
      <c r="M41" s="2631"/>
      <c r="N41" s="2631"/>
      <c r="O41" s="2631"/>
      <c r="P41" s="2631"/>
      <c r="Q41" s="2631"/>
      <c r="R41" s="2631"/>
      <c r="S41" s="2631"/>
    </row>
    <row r="42" spans="1:19" s="91" customFormat="1">
      <c r="A42" s="2636"/>
      <c r="B42" s="152"/>
      <c r="C42" s="2445"/>
      <c r="D42" s="2433"/>
      <c r="E42" s="2546"/>
      <c r="F42" s="2547"/>
      <c r="G42" s="2432"/>
      <c r="H42" s="2537"/>
      <c r="I42" s="2708"/>
      <c r="J42" s="2539"/>
      <c r="K42" s="2631"/>
      <c r="L42" s="2539"/>
      <c r="M42" s="2631"/>
      <c r="N42" s="2631"/>
      <c r="O42" s="2631"/>
      <c r="P42" s="2631"/>
      <c r="Q42" s="2631"/>
      <c r="R42" s="2631"/>
      <c r="S42" s="2631"/>
    </row>
    <row r="43" spans="1:19" s="91" customFormat="1">
      <c r="A43" s="2636"/>
      <c r="B43" s="2545"/>
      <c r="C43" s="2445"/>
      <c r="D43" s="2433"/>
      <c r="E43" s="2546"/>
      <c r="F43" s="2547"/>
      <c r="G43" s="2432"/>
      <c r="H43" s="2537"/>
      <c r="I43" s="2708"/>
      <c r="J43" s="2539"/>
      <c r="K43" s="2631"/>
      <c r="L43" s="2539"/>
      <c r="M43" s="2631"/>
      <c r="N43" s="2631"/>
      <c r="O43" s="2631"/>
      <c r="P43" s="2631"/>
      <c r="Q43" s="2631"/>
      <c r="R43" s="2631"/>
      <c r="S43" s="2631"/>
    </row>
    <row r="44" spans="1:19" s="91" customFormat="1">
      <c r="A44" s="2636"/>
      <c r="B44" s="2545"/>
      <c r="C44" s="2445"/>
      <c r="D44" s="2433"/>
      <c r="E44" s="2546"/>
      <c r="F44" s="2547"/>
      <c r="G44" s="2432"/>
      <c r="H44" s="2537"/>
      <c r="I44" s="2708"/>
      <c r="J44" s="2539"/>
      <c r="K44" s="2631"/>
      <c r="L44" s="2539"/>
      <c r="M44" s="2631"/>
      <c r="N44" s="2631"/>
      <c r="O44" s="2631"/>
      <c r="P44" s="2631"/>
      <c r="Q44" s="2631"/>
      <c r="R44" s="2631"/>
      <c r="S44" s="2631"/>
    </row>
    <row r="45" spans="1:19" s="91" customFormat="1">
      <c r="A45" s="2636"/>
      <c r="B45" s="2545"/>
      <c r="C45" s="2445"/>
      <c r="D45" s="2433"/>
      <c r="E45" s="2546"/>
      <c r="F45" s="2547"/>
      <c r="G45" s="2432"/>
      <c r="H45" s="2537"/>
      <c r="I45" s="2708"/>
      <c r="J45" s="2539"/>
      <c r="K45" s="2631"/>
      <c r="L45" s="2539"/>
      <c r="M45" s="2631"/>
      <c r="N45" s="2631"/>
      <c r="O45" s="2631"/>
      <c r="P45" s="2631"/>
      <c r="Q45" s="2631"/>
      <c r="R45" s="2631"/>
      <c r="S45" s="2631"/>
    </row>
    <row r="46" spans="1:19" s="91" customFormat="1">
      <c r="A46" s="2636"/>
      <c r="B46" s="2545"/>
      <c r="C46" s="2445"/>
      <c r="D46" s="2433"/>
      <c r="E46" s="2546"/>
      <c r="F46" s="2547"/>
      <c r="G46" s="2432"/>
      <c r="H46" s="2537"/>
      <c r="I46" s="2708"/>
      <c r="J46" s="2539"/>
      <c r="K46" s="2631"/>
      <c r="L46" s="2539"/>
      <c r="M46" s="2631"/>
      <c r="N46" s="2631"/>
      <c r="O46" s="2631"/>
      <c r="P46" s="2631"/>
      <c r="Q46" s="2631"/>
      <c r="R46" s="2631"/>
      <c r="S46" s="2631"/>
    </row>
    <row r="47" spans="1:19" s="91" customFormat="1" ht="15.75" thickBot="1">
      <c r="A47" s="2636"/>
      <c r="B47" s="2545"/>
      <c r="C47" s="2445"/>
      <c r="D47" s="2433"/>
      <c r="E47" s="2546"/>
      <c r="F47" s="2547"/>
      <c r="G47" s="2432"/>
      <c r="H47" s="2537"/>
      <c r="I47" s="2708"/>
      <c r="J47" s="2539"/>
      <c r="K47" s="2631"/>
      <c r="L47" s="2539"/>
      <c r="M47" s="2631"/>
      <c r="N47" s="2631"/>
      <c r="O47" s="2631"/>
      <c r="P47" s="2631"/>
      <c r="Q47" s="2631"/>
      <c r="R47" s="2631"/>
      <c r="S47" s="2631"/>
    </row>
    <row r="48" spans="1:19" ht="15.75" thickTop="1">
      <c r="A48" s="14"/>
      <c r="B48" s="15"/>
      <c r="C48" s="16"/>
      <c r="D48" s="16"/>
      <c r="E48" s="17"/>
      <c r="F48" s="18" t="s">
        <v>567</v>
      </c>
      <c r="G48" s="19"/>
      <c r="H48" s="20"/>
      <c r="I48" s="61">
        <f>SUM(I23:I47)</f>
        <v>0</v>
      </c>
      <c r="J48" s="20"/>
      <c r="K48" s="61">
        <f>SUM(K23:K47)</f>
        <v>0</v>
      </c>
      <c r="L48" s="20"/>
      <c r="M48" s="61">
        <f>SUM(M23:M47)</f>
        <v>0</v>
      </c>
      <c r="N48" s="20"/>
      <c r="O48" s="61">
        <f>SUM(O23:O47)</f>
        <v>0</v>
      </c>
      <c r="P48" s="20"/>
      <c r="Q48" s="61">
        <f>SUM(Q23:Q47)</f>
        <v>0</v>
      </c>
      <c r="R48" s="20"/>
      <c r="S48" s="61">
        <f>SUM(S23:S47)</f>
        <v>0</v>
      </c>
    </row>
    <row r="49" spans="1:19">
      <c r="A49" s="2358"/>
      <c r="B49" s="2359"/>
      <c r="C49" s="2360"/>
      <c r="D49" s="2360"/>
      <c r="E49" s="2361"/>
      <c r="F49" s="2362" t="s">
        <v>568</v>
      </c>
      <c r="G49" s="2363"/>
      <c r="H49" s="2364">
        <v>0</v>
      </c>
      <c r="I49" s="2460"/>
      <c r="J49" s="2364">
        <v>0</v>
      </c>
      <c r="K49" s="2460"/>
      <c r="L49" s="2364">
        <v>0</v>
      </c>
      <c r="M49" s="2460"/>
      <c r="N49" s="2364">
        <v>0</v>
      </c>
      <c r="O49" s="2460"/>
      <c r="P49" s="2364">
        <v>0</v>
      </c>
      <c r="Q49" s="2460"/>
      <c r="R49" s="2364">
        <v>0</v>
      </c>
      <c r="S49" s="2460"/>
    </row>
    <row r="50" spans="1:19">
      <c r="A50" s="2358"/>
      <c r="B50" s="2359"/>
      <c r="C50" s="2360"/>
      <c r="D50" s="2360"/>
      <c r="E50" s="2361"/>
      <c r="F50" s="2362" t="s">
        <v>569</v>
      </c>
      <c r="G50" s="2363"/>
      <c r="H50" s="2366"/>
      <c r="I50" s="2462">
        <f>H49*I48</f>
        <v>0</v>
      </c>
      <c r="J50" s="2366"/>
      <c r="K50" s="2462">
        <f>J49*K48</f>
        <v>0</v>
      </c>
      <c r="L50" s="2366"/>
      <c r="M50" s="2462">
        <f>L49*M48</f>
        <v>0</v>
      </c>
      <c r="N50" s="2366"/>
      <c r="O50" s="2462">
        <f>N49*O48</f>
        <v>0</v>
      </c>
      <c r="P50" s="2366"/>
      <c r="Q50" s="2462">
        <f>P49*Q48</f>
        <v>0</v>
      </c>
      <c r="R50" s="2366"/>
      <c r="S50" s="2462">
        <f>R49*S48</f>
        <v>0</v>
      </c>
    </row>
    <row r="51" spans="1:19">
      <c r="A51" s="2358"/>
      <c r="B51" s="2359"/>
      <c r="C51" s="2360"/>
      <c r="D51" s="2360"/>
      <c r="E51" s="2361"/>
      <c r="F51" s="2362"/>
      <c r="G51" s="2363"/>
      <c r="H51" s="2366"/>
      <c r="I51" s="2464"/>
      <c r="J51" s="2366"/>
      <c r="K51" s="2464"/>
      <c r="L51" s="2366"/>
      <c r="M51" s="2464"/>
      <c r="N51" s="2366"/>
      <c r="O51" s="2464"/>
      <c r="P51" s="2366"/>
      <c r="Q51" s="2464"/>
      <c r="R51" s="2366"/>
      <c r="S51" s="2464"/>
    </row>
    <row r="52" spans="1:19">
      <c r="A52" s="2358"/>
      <c r="B52" s="2359"/>
      <c r="C52" s="2360"/>
      <c r="D52" s="2360"/>
      <c r="E52" s="2361"/>
      <c r="F52" s="2362" t="s">
        <v>570</v>
      </c>
      <c r="G52" s="2363"/>
      <c r="H52" s="2368"/>
      <c r="I52" s="2465">
        <f>SUM(I48:I50)</f>
        <v>0</v>
      </c>
      <c r="J52" s="2368"/>
      <c r="K52" s="2465">
        <f>SUM(K48:K50)</f>
        <v>0</v>
      </c>
      <c r="L52" s="2368"/>
      <c r="M52" s="2465">
        <f>SUM(M48:M50)</f>
        <v>0</v>
      </c>
      <c r="N52" s="2368"/>
      <c r="O52" s="2465">
        <f>SUM(O48:O50)</f>
        <v>0</v>
      </c>
      <c r="P52" s="2368"/>
      <c r="Q52" s="2465">
        <f>SUM(Q48:Q50)</f>
        <v>0</v>
      </c>
      <c r="R52" s="2368"/>
      <c r="S52" s="2465">
        <f>SUM(S48:S50)</f>
        <v>0</v>
      </c>
    </row>
    <row r="53" spans="1:19">
      <c r="A53" s="2358"/>
      <c r="B53" s="2359"/>
      <c r="C53" s="2360"/>
      <c r="D53" s="2360"/>
      <c r="E53" s="2361"/>
      <c r="F53" s="2370" t="s">
        <v>571</v>
      </c>
      <c r="G53" s="2371"/>
      <c r="H53" s="2372"/>
      <c r="I53" s="2373" t="e">
        <f>I52/'Area Calculations'!$J$4</f>
        <v>#DIV/0!</v>
      </c>
      <c r="J53" s="2372"/>
      <c r="K53" s="2373" t="e">
        <f>K52/'Area Calculations'!$J$4</f>
        <v>#DIV/0!</v>
      </c>
      <c r="L53" s="2372"/>
      <c r="M53" s="2373" t="e">
        <f>M52/'Area Calculations'!$J$4</f>
        <v>#DIV/0!</v>
      </c>
      <c r="N53" s="2372"/>
      <c r="O53" s="2373" t="e">
        <f>O52/'Area Calculations'!$J$4</f>
        <v>#DIV/0!</v>
      </c>
      <c r="P53" s="2372"/>
      <c r="Q53" s="2373" t="e">
        <f>Q52/'Area Calculations'!$J$4</f>
        <v>#DIV/0!</v>
      </c>
      <c r="R53" s="2372"/>
      <c r="S53" s="2373" t="e">
        <f>S52/'Area Calculations'!$J$4</f>
        <v>#DIV/0!</v>
      </c>
    </row>
    <row r="54" spans="1:19">
      <c r="A54" s="2358"/>
      <c r="B54" s="2359"/>
      <c r="C54" s="2360"/>
      <c r="D54" s="2360"/>
      <c r="E54" s="2361"/>
      <c r="F54" s="2370" t="s">
        <v>572</v>
      </c>
      <c r="G54" s="2374"/>
      <c r="H54" s="2372"/>
      <c r="I54" s="2373" t="e">
        <f>I52/'Area Calculations'!#REF!</f>
        <v>#REF!</v>
      </c>
      <c r="J54" s="2372"/>
      <c r="K54" s="2373" t="e">
        <f>K52/'Area Calculations'!#REF!</f>
        <v>#REF!</v>
      </c>
      <c r="L54" s="2372"/>
      <c r="M54" s="2373" t="e">
        <f>M52/'Area Calculations'!#REF!</f>
        <v>#REF!</v>
      </c>
      <c r="N54" s="2372"/>
      <c r="O54" s="2373" t="e">
        <f>O52/'Area Calculations'!#REF!</f>
        <v>#REF!</v>
      </c>
      <c r="P54" s="2372"/>
      <c r="Q54" s="2373" t="e">
        <f>Q52/'Area Calculations'!#REF!</f>
        <v>#REF!</v>
      </c>
      <c r="R54" s="2372"/>
      <c r="S54" s="2373" t="e">
        <f>S52/'Area Calculations'!#REF!</f>
        <v>#REF!</v>
      </c>
    </row>
    <row r="55" spans="1:19" ht="15.75" thickBot="1">
      <c r="A55" s="2358"/>
      <c r="B55" s="2359"/>
      <c r="C55" s="2360"/>
      <c r="D55" s="2360"/>
      <c r="E55" s="2361"/>
      <c r="F55" s="2362"/>
      <c r="G55" s="2375"/>
      <c r="H55" s="2376"/>
      <c r="I55" s="2377"/>
      <c r="J55" s="2376"/>
      <c r="K55" s="2377"/>
      <c r="L55" s="2376"/>
      <c r="M55" s="2377"/>
      <c r="N55" s="2376"/>
      <c r="O55" s="2377"/>
      <c r="P55" s="2376"/>
      <c r="Q55" s="2377"/>
      <c r="R55" s="2376"/>
      <c r="S55" s="2377"/>
    </row>
    <row r="56" spans="1:19" ht="16.5" thickTop="1" thickBot="1">
      <c r="A56" s="726" t="s">
        <v>573</v>
      </c>
      <c r="B56" s="727"/>
      <c r="C56" s="12"/>
      <c r="D56" s="12"/>
      <c r="E56" s="12"/>
      <c r="F56" s="12"/>
      <c r="G56" s="54"/>
      <c r="H56" s="52"/>
      <c r="I56" s="21"/>
      <c r="J56" s="21"/>
      <c r="K56" s="21"/>
      <c r="L56" s="21"/>
      <c r="M56" s="21"/>
      <c r="N56" s="21"/>
      <c r="O56" s="21"/>
      <c r="P56" s="21"/>
      <c r="Q56" s="21"/>
      <c r="R56" s="21"/>
      <c r="S56" s="21"/>
    </row>
    <row r="57" spans="1:19" ht="15.75" thickTop="1">
      <c r="A57" s="2639"/>
      <c r="B57" s="2404"/>
      <c r="C57" s="2640"/>
      <c r="D57" s="2640"/>
      <c r="E57" s="2640"/>
      <c r="F57" s="2640"/>
      <c r="G57" s="2714"/>
      <c r="H57" s="2715"/>
      <c r="I57" s="2678"/>
      <c r="J57" s="2678"/>
      <c r="K57" s="2678"/>
      <c r="L57" s="2678"/>
      <c r="M57" s="2678"/>
      <c r="N57" s="2678"/>
      <c r="O57" s="2678"/>
      <c r="P57" s="2678"/>
      <c r="Q57" s="2678"/>
      <c r="R57" s="2678"/>
      <c r="S57" s="2678"/>
    </row>
    <row r="58" spans="1:19" s="2" customFormat="1">
      <c r="A58" s="2639"/>
      <c r="B58" s="2404"/>
      <c r="C58" s="2640"/>
      <c r="D58" s="2640"/>
      <c r="E58" s="2640"/>
      <c r="F58" s="2640"/>
      <c r="G58" s="2714"/>
      <c r="H58" s="2715"/>
      <c r="I58" s="2678"/>
      <c r="J58" s="2678"/>
      <c r="K58" s="2678"/>
      <c r="L58" s="2678"/>
      <c r="M58" s="2678"/>
      <c r="N58" s="2678"/>
      <c r="O58" s="2678"/>
      <c r="P58" s="2678"/>
      <c r="Q58" s="2678"/>
      <c r="R58" s="2678"/>
      <c r="S58" s="2678"/>
    </row>
    <row r="59" spans="1:19" s="2" customFormat="1" ht="15.75" thickBot="1">
      <c r="A59" s="2639"/>
      <c r="B59" s="2404"/>
      <c r="C59" s="2640"/>
      <c r="D59" s="2640"/>
      <c r="E59" s="2640"/>
      <c r="F59" s="2640"/>
      <c r="G59" s="2714"/>
      <c r="H59" s="2715"/>
      <c r="I59" s="2678"/>
      <c r="J59" s="2678"/>
      <c r="K59" s="2678"/>
      <c r="L59" s="2678"/>
      <c r="M59" s="2678"/>
      <c r="N59" s="2678"/>
      <c r="O59" s="2678"/>
      <c r="P59" s="2678"/>
      <c r="Q59" s="2678"/>
      <c r="R59" s="2678"/>
      <c r="S59" s="2678"/>
    </row>
    <row r="60" spans="1:19" ht="16.5" thickTop="1" thickBot="1">
      <c r="A60" s="726" t="s">
        <v>574</v>
      </c>
      <c r="B60" s="727"/>
      <c r="C60" s="12"/>
      <c r="D60" s="12"/>
      <c r="E60" s="12"/>
      <c r="F60" s="12"/>
      <c r="G60" s="54"/>
      <c r="H60" s="52"/>
      <c r="I60" s="21"/>
      <c r="J60" s="21"/>
      <c r="K60" s="21"/>
      <c r="L60" s="21"/>
      <c r="M60" s="21"/>
      <c r="N60" s="21"/>
      <c r="O60" s="21"/>
      <c r="P60" s="21"/>
      <c r="Q60" s="21"/>
      <c r="R60" s="21"/>
      <c r="S60" s="21"/>
    </row>
    <row r="61" spans="1:19" s="2" customFormat="1" ht="15.75" thickTop="1">
      <c r="A61" s="2639"/>
      <c r="B61" s="2404"/>
      <c r="C61" s="2640"/>
      <c r="D61" s="2640"/>
      <c r="E61" s="2640"/>
      <c r="F61" s="2640"/>
      <c r="G61" s="2714"/>
      <c r="H61" s="2715"/>
      <c r="I61" s="2678"/>
      <c r="J61" s="2678"/>
      <c r="K61" s="2678"/>
      <c r="L61" s="2678"/>
      <c r="M61" s="2678"/>
      <c r="N61" s="2678"/>
      <c r="O61" s="2678"/>
      <c r="P61" s="2678"/>
      <c r="Q61" s="2678"/>
      <c r="R61" s="2678"/>
      <c r="S61" s="2678"/>
    </row>
    <row r="62" spans="1:19" s="2" customFormat="1">
      <c r="A62" s="2639"/>
      <c r="B62" s="2404"/>
      <c r="C62" s="2640"/>
      <c r="D62" s="2640"/>
      <c r="E62" s="2640"/>
      <c r="F62" s="2640"/>
      <c r="G62" s="2714"/>
      <c r="H62" s="2715"/>
      <c r="I62" s="2678"/>
      <c r="J62" s="2678"/>
      <c r="K62" s="2678"/>
      <c r="L62" s="2678"/>
      <c r="M62" s="2678"/>
      <c r="N62" s="2678"/>
      <c r="O62" s="2678"/>
      <c r="P62" s="2678"/>
      <c r="Q62" s="2678"/>
      <c r="R62" s="2678"/>
      <c r="S62" s="2678"/>
    </row>
    <row r="63" spans="1:19" ht="15.75" thickBot="1">
      <c r="A63" s="2639"/>
      <c r="B63" s="2404"/>
      <c r="C63" s="2640"/>
      <c r="D63" s="2640"/>
      <c r="E63" s="2640"/>
      <c r="F63" s="2640"/>
      <c r="G63" s="2714"/>
      <c r="H63" s="2715"/>
      <c r="I63" s="2678"/>
      <c r="J63" s="2678"/>
      <c r="K63" s="2678"/>
      <c r="L63" s="2678"/>
      <c r="M63" s="2678"/>
      <c r="N63" s="2678"/>
      <c r="O63" s="2678"/>
      <c r="P63" s="2678"/>
      <c r="Q63" s="2678"/>
      <c r="R63" s="2678"/>
      <c r="S63" s="2678"/>
    </row>
    <row r="64" spans="1:19" ht="16.5" thickTop="1" thickBot="1">
      <c r="A64" s="726" t="s">
        <v>575</v>
      </c>
      <c r="B64" s="727"/>
      <c r="C64" s="12"/>
      <c r="D64" s="12"/>
      <c r="E64" s="12"/>
      <c r="F64" s="12"/>
      <c r="G64" s="54"/>
      <c r="H64" s="52"/>
      <c r="I64" s="21"/>
      <c r="J64" s="21"/>
      <c r="K64" s="21"/>
      <c r="L64" s="21"/>
      <c r="M64" s="21"/>
      <c r="N64" s="21"/>
      <c r="O64" s="21"/>
      <c r="P64" s="21"/>
      <c r="Q64" s="21"/>
      <c r="R64" s="21"/>
      <c r="S64" s="21"/>
    </row>
    <row r="65" spans="1:19" ht="15.75" thickTop="1">
      <c r="A65" s="2639"/>
      <c r="B65" s="2404"/>
      <c r="C65" s="2640"/>
      <c r="D65" s="2640"/>
      <c r="E65" s="2640"/>
      <c r="F65" s="2640"/>
      <c r="G65" s="2714"/>
      <c r="H65" s="2715"/>
      <c r="I65" s="2678"/>
      <c r="J65" s="2678"/>
      <c r="K65" s="2678"/>
      <c r="L65" s="2678"/>
      <c r="M65" s="2678"/>
      <c r="N65" s="2678"/>
      <c r="O65" s="2678"/>
      <c r="P65" s="2678"/>
      <c r="Q65" s="2678"/>
      <c r="R65" s="2678"/>
      <c r="S65" s="2678"/>
    </row>
    <row r="66" spans="1:19">
      <c r="A66" s="2421"/>
      <c r="B66" s="2404"/>
      <c r="C66" s="2405"/>
      <c r="D66" s="2405"/>
      <c r="E66" s="2405"/>
      <c r="F66" s="2405"/>
      <c r="G66" s="2552"/>
      <c r="H66" s="2474"/>
      <c r="I66" s="2382"/>
      <c r="J66" s="2382"/>
      <c r="K66" s="2382"/>
      <c r="L66" s="2382"/>
      <c r="M66" s="2382"/>
      <c r="N66" s="2382"/>
      <c r="O66" s="2382"/>
      <c r="P66" s="2382"/>
      <c r="Q66" s="2382"/>
      <c r="R66" s="2382"/>
      <c r="S66" s="2382"/>
    </row>
    <row r="67" spans="1:19" ht="15.75" thickBot="1">
      <c r="A67" s="2383"/>
      <c r="B67" s="2384"/>
      <c r="C67" s="2405"/>
      <c r="D67" s="2405"/>
      <c r="E67" s="2405"/>
      <c r="F67" s="2405"/>
      <c r="G67" s="2552"/>
      <c r="H67" s="2475"/>
      <c r="I67" s="2385"/>
      <c r="J67" s="2385"/>
      <c r="K67" s="2385"/>
      <c r="L67" s="2385"/>
      <c r="M67" s="2385"/>
      <c r="N67" s="2385"/>
      <c r="O67" s="2385"/>
      <c r="P67" s="2385"/>
      <c r="Q67" s="2385"/>
      <c r="R67" s="2385"/>
      <c r="S67" s="2385"/>
    </row>
    <row r="68" spans="1:19" ht="16.5" thickTop="1" thickBot="1">
      <c r="A68" s="726" t="s">
        <v>576</v>
      </c>
      <c r="B68" s="727"/>
      <c r="C68" s="12"/>
      <c r="D68" s="12"/>
      <c r="E68" s="12"/>
      <c r="F68" s="12"/>
      <c r="G68" s="54"/>
      <c r="H68" s="52"/>
      <c r="I68" s="21"/>
      <c r="J68" s="21"/>
      <c r="K68" s="21"/>
      <c r="L68" s="21"/>
      <c r="M68" s="21"/>
      <c r="N68" s="21"/>
      <c r="O68" s="21"/>
      <c r="P68" s="21"/>
      <c r="Q68" s="21"/>
      <c r="R68" s="21"/>
      <c r="S68" s="21"/>
    </row>
    <row r="69" spans="1:19" ht="15.75" thickTop="1">
      <c r="A69" s="2643"/>
      <c r="B69" s="2644"/>
      <c r="C69" s="2640"/>
      <c r="D69" s="2640"/>
      <c r="E69" s="2640"/>
      <c r="F69" s="2640"/>
      <c r="G69" s="2714"/>
      <c r="H69" s="2715"/>
      <c r="I69" s="2678"/>
      <c r="J69" s="2678"/>
      <c r="K69" s="2678"/>
      <c r="L69" s="2678"/>
      <c r="M69" s="2678"/>
      <c r="N69" s="2678"/>
      <c r="O69" s="2678"/>
      <c r="P69" s="2678"/>
      <c r="Q69" s="2678"/>
      <c r="R69" s="2678"/>
      <c r="S69" s="2678"/>
    </row>
    <row r="70" spans="1:19">
      <c r="A70" s="2383"/>
      <c r="B70" s="2384"/>
      <c r="C70" s="2405"/>
      <c r="D70" s="2405"/>
      <c r="E70" s="2405"/>
      <c r="F70" s="2405"/>
      <c r="G70" s="2552"/>
      <c r="H70" s="2478"/>
      <c r="I70" s="2388"/>
      <c r="J70" s="2388"/>
      <c r="K70" s="2388"/>
      <c r="L70" s="2388"/>
      <c r="M70" s="2388"/>
      <c r="N70" s="2388"/>
      <c r="O70" s="2388"/>
      <c r="P70" s="2388"/>
      <c r="Q70" s="2388"/>
      <c r="R70" s="2388"/>
      <c r="S70" s="2388"/>
    </row>
    <row r="71" spans="1:19" ht="15.75" thickBot="1">
      <c r="A71" s="2383"/>
      <c r="B71" s="2384"/>
      <c r="C71" s="2405"/>
      <c r="D71" s="2405"/>
      <c r="E71" s="2405"/>
      <c r="F71" s="2405"/>
      <c r="G71" s="2552"/>
      <c r="H71" s="2478"/>
      <c r="I71" s="2388"/>
      <c r="J71" s="2388"/>
      <c r="K71" s="2388"/>
      <c r="L71" s="2388"/>
      <c r="M71" s="2388"/>
      <c r="N71" s="2388"/>
      <c r="O71" s="2388"/>
      <c r="P71" s="2388"/>
      <c r="Q71" s="2388"/>
      <c r="R71" s="2388"/>
      <c r="S71" s="2388"/>
    </row>
    <row r="72" spans="1:19" ht="16.5" thickTop="1" thickBot="1">
      <c r="A72" s="726" t="s">
        <v>577</v>
      </c>
      <c r="B72" s="727"/>
      <c r="C72" s="12"/>
      <c r="D72" s="12"/>
      <c r="E72" s="12"/>
      <c r="F72" s="12"/>
      <c r="G72" s="54"/>
      <c r="H72" s="52"/>
      <c r="I72" s="21"/>
      <c r="J72" s="21"/>
      <c r="K72" s="21"/>
      <c r="L72" s="21"/>
      <c r="M72" s="21"/>
      <c r="N72" s="21"/>
      <c r="O72" s="21"/>
      <c r="P72" s="21"/>
      <c r="Q72" s="21"/>
      <c r="R72" s="21"/>
      <c r="S72" s="21"/>
    </row>
    <row r="73" spans="1:19" ht="15.75" thickTop="1">
      <c r="A73" s="2421"/>
      <c r="B73" s="2404" t="s">
        <v>578</v>
      </c>
      <c r="C73" s="2405"/>
      <c r="D73" s="2405"/>
      <c r="E73" s="2405"/>
      <c r="F73" s="2405"/>
      <c r="G73" s="2552"/>
      <c r="H73" s="2478"/>
      <c r="I73" s="2388"/>
      <c r="J73" s="2388"/>
      <c r="K73" s="2388"/>
      <c r="L73" s="2388"/>
      <c r="M73" s="2388"/>
      <c r="N73" s="2388"/>
      <c r="O73" s="2388"/>
      <c r="P73" s="2388"/>
      <c r="Q73" s="2388"/>
      <c r="R73" s="2388"/>
      <c r="S73" s="2388"/>
    </row>
    <row r="74" spans="1:19">
      <c r="A74" s="2421"/>
      <c r="B74" s="2404" t="s">
        <v>579</v>
      </c>
      <c r="C74" s="2405"/>
      <c r="D74" s="2405"/>
      <c r="E74" s="2405"/>
      <c r="F74" s="2405"/>
      <c r="G74" s="2552"/>
      <c r="H74" s="2478"/>
      <c r="I74" s="2388"/>
      <c r="J74" s="2388"/>
      <c r="K74" s="2388"/>
      <c r="L74" s="2388"/>
      <c r="M74" s="2388"/>
      <c r="N74" s="2388"/>
      <c r="O74" s="2388"/>
      <c r="P74" s="2388"/>
      <c r="Q74" s="2388"/>
      <c r="R74" s="2388"/>
      <c r="S74" s="2388"/>
    </row>
    <row r="75" spans="1:19">
      <c r="A75" s="2421"/>
      <c r="B75" s="2404" t="s">
        <v>580</v>
      </c>
      <c r="C75" s="2405"/>
      <c r="D75" s="2405"/>
      <c r="E75" s="2405"/>
      <c r="F75" s="2405"/>
      <c r="G75" s="2552"/>
      <c r="H75" s="2478"/>
      <c r="I75" s="2388"/>
      <c r="J75" s="2388"/>
      <c r="K75" s="2388"/>
      <c r="L75" s="2388"/>
      <c r="M75" s="2388"/>
      <c r="N75" s="2388"/>
      <c r="O75" s="2388"/>
      <c r="P75" s="2388"/>
      <c r="Q75" s="2388"/>
      <c r="R75" s="2388"/>
      <c r="S75" s="2388"/>
    </row>
    <row r="76" spans="1:19">
      <c r="A76" s="2421"/>
      <c r="B76" s="2404" t="s">
        <v>581</v>
      </c>
      <c r="C76" s="2405"/>
      <c r="D76" s="2405"/>
      <c r="E76" s="2405"/>
      <c r="F76" s="2405"/>
      <c r="G76" s="2552"/>
      <c r="H76" s="2478"/>
      <c r="I76" s="2388"/>
      <c r="J76" s="2388"/>
      <c r="K76" s="2388"/>
      <c r="L76" s="2388"/>
      <c r="M76" s="2388"/>
      <c r="N76" s="2388"/>
      <c r="O76" s="2388"/>
      <c r="P76" s="2388"/>
      <c r="Q76" s="2388"/>
      <c r="R76" s="2388"/>
      <c r="S76" s="2388"/>
    </row>
    <row r="77" spans="1:19" ht="15.75" thickBot="1">
      <c r="A77" s="416"/>
      <c r="B77" s="295"/>
      <c r="C77" s="184"/>
      <c r="D77" s="184"/>
      <c r="E77" s="184"/>
      <c r="F77" s="184"/>
      <c r="G77" s="417"/>
      <c r="H77" s="53"/>
      <c r="I77" s="418"/>
      <c r="J77" s="418"/>
      <c r="K77" s="418"/>
      <c r="L77" s="418"/>
      <c r="M77" s="418"/>
      <c r="N77" s="418"/>
      <c r="O77" s="418"/>
      <c r="P77" s="418"/>
      <c r="Q77" s="418"/>
      <c r="R77" s="418"/>
      <c r="S77" s="418"/>
    </row>
    <row r="78" spans="1:19" ht="16.5" thickTop="1" thickBot="1">
      <c r="A78" s="7" t="s">
        <v>582</v>
      </c>
      <c r="B78" s="8"/>
      <c r="C78" s="12"/>
      <c r="D78" s="12"/>
      <c r="E78" s="12"/>
      <c r="F78" s="12"/>
      <c r="G78" s="54"/>
      <c r="H78" s="52"/>
      <c r="I78" s="21"/>
      <c r="J78" s="21"/>
      <c r="K78" s="21"/>
      <c r="L78" s="21"/>
      <c r="M78" s="21"/>
      <c r="N78" s="21"/>
      <c r="O78" s="21"/>
      <c r="P78" s="21"/>
      <c r="Q78" s="21"/>
      <c r="R78" s="21"/>
      <c r="S78" s="21"/>
    </row>
    <row r="79" spans="1:19" ht="15.75" thickTop="1">
      <c r="A79" s="2639"/>
      <c r="B79" s="2645" t="s">
        <v>583</v>
      </c>
      <c r="C79" s="2640"/>
      <c r="D79" s="2640"/>
      <c r="E79" s="2640"/>
      <c r="F79" s="2640"/>
      <c r="G79" s="2714"/>
      <c r="H79" s="2650"/>
      <c r="I79" s="2687"/>
      <c r="J79" s="2687"/>
      <c r="K79" s="2687"/>
      <c r="L79" s="2687"/>
      <c r="M79" s="2687"/>
      <c r="N79" s="2687"/>
      <c r="O79" s="2687"/>
      <c r="P79" s="2687"/>
      <c r="Q79" s="2687"/>
      <c r="R79" s="2687"/>
      <c r="S79" s="2687"/>
    </row>
    <row r="80" spans="1:19">
      <c r="A80" s="2421"/>
      <c r="B80" s="2404" t="s">
        <v>584</v>
      </c>
      <c r="C80" s="2405"/>
      <c r="D80" s="2405"/>
      <c r="E80" s="2405"/>
      <c r="F80" s="2405"/>
      <c r="G80" s="2552"/>
      <c r="H80" s="2481"/>
      <c r="I80" s="2390"/>
      <c r="J80" s="2390"/>
      <c r="K80" s="2390"/>
      <c r="L80" s="2390"/>
      <c r="M80" s="2390"/>
      <c r="N80" s="2390"/>
      <c r="O80" s="2390"/>
      <c r="P80" s="2390"/>
      <c r="Q80" s="2390"/>
      <c r="R80" s="2390"/>
      <c r="S80" s="2390"/>
    </row>
    <row r="81" spans="1:19" ht="15.75" thickBot="1">
      <c r="A81" s="2391"/>
      <c r="B81" s="2392" t="s">
        <v>585</v>
      </c>
      <c r="C81" s="2393"/>
      <c r="D81" s="2393"/>
      <c r="E81" s="2393"/>
      <c r="F81" s="2393"/>
      <c r="G81" s="2555"/>
      <c r="H81" s="2482"/>
      <c r="I81" s="2395"/>
      <c r="J81" s="2395"/>
      <c r="K81" s="2395"/>
      <c r="L81" s="2395"/>
      <c r="M81" s="2395"/>
      <c r="N81" s="2395"/>
      <c r="O81" s="2395"/>
      <c r="P81" s="2395"/>
      <c r="Q81" s="2395"/>
      <c r="R81" s="2395"/>
      <c r="S81" s="2395"/>
    </row>
    <row r="82" spans="1:19" ht="16.5" thickTop="1" thickBot="1"/>
    <row r="83" spans="1:19" ht="16.5" thickTop="1" thickBot="1">
      <c r="A83" s="92" t="s">
        <v>586</v>
      </c>
      <c r="B83" s="94"/>
    </row>
    <row r="84" spans="1:19" ht="15.75" thickTop="1">
      <c r="A84" s="93" t="s">
        <v>487</v>
      </c>
      <c r="B84" s="2396"/>
    </row>
    <row r="85" spans="1:19">
      <c r="A85" s="2397" t="s">
        <v>491</v>
      </c>
      <c r="B85" s="2396"/>
    </row>
    <row r="86" spans="1:19">
      <c r="A86" s="2398" t="s">
        <v>494</v>
      </c>
      <c r="B86" s="2399"/>
    </row>
    <row r="87" spans="1:19">
      <c r="A87" s="2398" t="s">
        <v>497</v>
      </c>
      <c r="B87" s="2400"/>
    </row>
    <row r="88" spans="1:19" ht="15.75" thickBot="1">
      <c r="A88" s="2401" t="s">
        <v>587</v>
      </c>
      <c r="B88" s="2402"/>
    </row>
    <row r="89" spans="1:19" ht="15.75" thickTop="1"/>
    <row r="90" spans="1:19">
      <c r="A90" s="95"/>
      <c r="B90" s="1" t="s">
        <v>588</v>
      </c>
    </row>
    <row r="91" spans="1:19">
      <c r="A91" s="96"/>
      <c r="B91"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6:B56"/>
    <mergeCell ref="A60:B60"/>
    <mergeCell ref="A64:B64"/>
    <mergeCell ref="A68:B68"/>
    <mergeCell ref="A72:B72"/>
  </mergeCells>
  <hyperlinks>
    <hyperlink ref="B3" location="'Cost Summary'!A1" display="BACK TO SUMMARY SHEET" xr:uid="{86984F60-E640-4713-964D-DBE038698EA4}"/>
  </hyperlink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09FD-541E-4913-B0D1-B9D890A6BD2E}">
  <sheetPr>
    <tabColor rgb="FF92D050"/>
  </sheetPr>
  <dimension ref="A1:S100"/>
  <sheetViews>
    <sheetView zoomScale="85" zoomScaleNormal="85" workbookViewId="0">
      <pane xSplit="2" ySplit="9" topLeftCell="C20" activePane="bottomRight" state="frozen"/>
      <selection pane="bottomRight" activeCell="C31" sqref="C31"/>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1171</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1172</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625">
        <f>I61</f>
        <v>0</v>
      </c>
      <c r="I8" s="2625"/>
      <c r="J8" s="2625">
        <f>K61</f>
        <v>0</v>
      </c>
      <c r="K8" s="2625"/>
      <c r="L8" s="2625">
        <f>M61</f>
        <v>0</v>
      </c>
      <c r="M8" s="2625"/>
      <c r="N8" s="2625">
        <f>O61</f>
        <v>0</v>
      </c>
      <c r="O8" s="2625"/>
      <c r="P8" s="2625">
        <f>Q61</f>
        <v>0</v>
      </c>
      <c r="Q8" s="2625"/>
      <c r="R8" s="2420">
        <f>S61</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651"/>
      <c r="B20" s="2404"/>
      <c r="C20" s="2426"/>
      <c r="D20" s="2405"/>
      <c r="E20" s="2405"/>
      <c r="F20" s="2405"/>
      <c r="G20" s="2423"/>
      <c r="H20" s="2427"/>
      <c r="I20" s="2424"/>
      <c r="J20" s="2427"/>
      <c r="K20" s="2424"/>
      <c r="L20" s="2427"/>
      <c r="M20" s="2424"/>
      <c r="N20" s="2427"/>
      <c r="O20" s="2424"/>
      <c r="P20" s="2427"/>
      <c r="Q20" s="2424"/>
      <c r="R20" s="2427"/>
      <c r="S20" s="2424"/>
    </row>
    <row r="21" spans="1:19">
      <c r="A21" s="2651"/>
      <c r="B21" s="2428" t="s">
        <v>1171</v>
      </c>
      <c r="C21" s="56"/>
      <c r="D21" s="57"/>
      <c r="E21" s="57"/>
      <c r="F21" s="57"/>
      <c r="G21" s="63"/>
      <c r="H21" s="2427"/>
      <c r="I21" s="2649"/>
      <c r="J21" s="2427"/>
      <c r="K21" s="2650"/>
      <c r="L21" s="2427"/>
      <c r="M21" s="2650"/>
      <c r="N21" s="2427"/>
      <c r="O21" s="2650"/>
      <c r="P21" s="2427"/>
      <c r="Q21" s="2650"/>
      <c r="R21" s="2427"/>
      <c r="S21" s="2650"/>
    </row>
    <row r="22" spans="1:19">
      <c r="A22" s="2651"/>
      <c r="B22" s="2318" t="s">
        <v>512</v>
      </c>
      <c r="C22" s="2426"/>
      <c r="D22" s="2405"/>
      <c r="E22" s="2405"/>
      <c r="F22" s="2405"/>
      <c r="G22" s="2423"/>
      <c r="H22" s="2427"/>
      <c r="I22" s="2649"/>
      <c r="J22" s="2427"/>
      <c r="K22" s="2650"/>
      <c r="L22" s="2427"/>
      <c r="M22" s="2650"/>
      <c r="N22" s="2427"/>
      <c r="O22" s="2650"/>
      <c r="P22" s="2427"/>
      <c r="Q22" s="2650"/>
      <c r="R22" s="2427"/>
      <c r="S22" s="2650"/>
    </row>
    <row r="23" spans="1:19">
      <c r="A23" s="2651"/>
      <c r="B23" s="2716" t="s">
        <v>513</v>
      </c>
      <c r="C23" s="2426"/>
      <c r="D23" s="2405"/>
      <c r="E23" s="2405"/>
      <c r="F23" s="2405"/>
      <c r="G23" s="2423"/>
      <c r="H23" s="2427"/>
      <c r="I23" s="2649"/>
      <c r="J23" s="2427"/>
      <c r="K23" s="2650"/>
      <c r="L23" s="2427"/>
      <c r="M23" s="2650"/>
      <c r="N23" s="2427"/>
      <c r="O23" s="2650"/>
      <c r="P23" s="2427"/>
      <c r="Q23" s="2650"/>
      <c r="R23" s="2427"/>
      <c r="S23" s="2650"/>
    </row>
    <row r="24" spans="1:19">
      <c r="A24" s="2651"/>
      <c r="B24" s="2716" t="s">
        <v>514</v>
      </c>
      <c r="C24" s="2430"/>
      <c r="D24" s="2405"/>
      <c r="E24" s="2405"/>
      <c r="F24" s="2405"/>
      <c r="G24" s="2423"/>
      <c r="H24" s="2427"/>
      <c r="I24" s="2649"/>
      <c r="J24" s="2427"/>
      <c r="K24" s="2650"/>
      <c r="L24" s="2427"/>
      <c r="M24" s="2650"/>
      <c r="N24" s="2427"/>
      <c r="O24" s="2650"/>
      <c r="P24" s="2427"/>
      <c r="Q24" s="2650"/>
      <c r="R24" s="2427"/>
      <c r="S24" s="2650"/>
    </row>
    <row r="25" spans="1:19">
      <c r="A25" s="2636"/>
      <c r="B25" s="2717"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636"/>
      <c r="B26" s="2717" t="s">
        <v>516</v>
      </c>
      <c r="C26" s="2432"/>
      <c r="D26" s="2433"/>
      <c r="E26" s="2433"/>
      <c r="F26" s="2433"/>
      <c r="G26" s="2432"/>
      <c r="H26" s="2427"/>
      <c r="I26" s="2649"/>
      <c r="J26" s="2427"/>
      <c r="K26" s="2718"/>
      <c r="L26" s="2427"/>
      <c r="M26" s="2718"/>
      <c r="N26" s="2427"/>
      <c r="O26" s="2718"/>
      <c r="P26" s="2427"/>
      <c r="Q26" s="2718"/>
      <c r="R26" s="2427"/>
      <c r="S26" s="2718"/>
    </row>
    <row r="27" spans="1:19" s="91" customFormat="1">
      <c r="A27" s="2651"/>
      <c r="B27" s="2717" t="s">
        <v>517</v>
      </c>
      <c r="C27" s="2432"/>
      <c r="D27" s="2433"/>
      <c r="E27" s="2433"/>
      <c r="F27" s="2433"/>
      <c r="G27" s="2432"/>
      <c r="H27" s="2427"/>
      <c r="I27" s="2649"/>
      <c r="J27" s="2427"/>
      <c r="K27" s="2718"/>
      <c r="L27" s="2427"/>
      <c r="M27" s="2718"/>
      <c r="N27" s="2427"/>
      <c r="O27" s="2718"/>
      <c r="P27" s="2427"/>
      <c r="Q27" s="2718"/>
      <c r="R27" s="2427"/>
      <c r="S27" s="2718"/>
    </row>
    <row r="28" spans="1:19" s="91" customFormat="1">
      <c r="A28" s="2651"/>
      <c r="B28" s="2717" t="s">
        <v>518</v>
      </c>
      <c r="C28" s="2432"/>
      <c r="D28" s="2433"/>
      <c r="E28" s="2433"/>
      <c r="F28" s="2433"/>
      <c r="G28" s="2432"/>
      <c r="H28" s="2427"/>
      <c r="I28" s="2649"/>
      <c r="J28" s="2427"/>
      <c r="K28" s="2718"/>
      <c r="L28" s="2427"/>
      <c r="M28" s="2718"/>
      <c r="N28" s="2427"/>
      <c r="O28" s="2718"/>
      <c r="P28" s="2427"/>
      <c r="Q28" s="2718"/>
      <c r="R28" s="2427"/>
      <c r="S28" s="2718"/>
    </row>
    <row r="29" spans="1:19" s="91" customFormat="1">
      <c r="A29" s="2651"/>
      <c r="B29" s="2717" t="s">
        <v>693</v>
      </c>
      <c r="C29" s="2432"/>
      <c r="D29" s="2433"/>
      <c r="E29" s="2433"/>
      <c r="F29" s="2433"/>
      <c r="G29" s="2432"/>
      <c r="H29" s="2427"/>
      <c r="I29" s="2649"/>
      <c r="J29" s="2427"/>
      <c r="K29" s="2718"/>
      <c r="L29" s="2427"/>
      <c r="M29" s="2718"/>
      <c r="N29" s="2427"/>
      <c r="O29" s="2718"/>
      <c r="P29" s="2427"/>
      <c r="Q29" s="2718"/>
      <c r="R29" s="2427"/>
      <c r="S29" s="2718"/>
    </row>
    <row r="30" spans="1:19" s="91" customFormat="1">
      <c r="A30" s="2651"/>
      <c r="B30" s="2719" t="s">
        <v>519</v>
      </c>
      <c r="C30" s="2432"/>
      <c r="D30" s="2433"/>
      <c r="E30" s="2433"/>
      <c r="F30" s="2433"/>
      <c r="G30" s="2432"/>
      <c r="H30" s="2427"/>
      <c r="I30" s="2649"/>
      <c r="J30" s="2427"/>
      <c r="K30" s="2718"/>
      <c r="L30" s="2427"/>
      <c r="M30" s="2718"/>
      <c r="N30" s="2427"/>
      <c r="O30" s="2718"/>
      <c r="P30" s="2427"/>
      <c r="Q30" s="2718"/>
      <c r="R30" s="2427"/>
      <c r="S30" s="2718"/>
    </row>
    <row r="31" spans="1:19" s="91" customFormat="1">
      <c r="A31" s="2651"/>
      <c r="B31" s="2720" t="s">
        <v>520</v>
      </c>
      <c r="C31" s="2435"/>
      <c r="D31" s="2436"/>
      <c r="E31" s="2436"/>
      <c r="F31" s="2436"/>
      <c r="G31" s="2435"/>
      <c r="H31" s="2439"/>
      <c r="I31" s="2721"/>
      <c r="J31" s="2443"/>
      <c r="K31" s="2722"/>
      <c r="L31" s="2443"/>
      <c r="M31" s="2722"/>
      <c r="N31" s="2722"/>
      <c r="O31" s="2722"/>
      <c r="P31" s="2722"/>
      <c r="Q31" s="2722"/>
      <c r="R31" s="2722"/>
      <c r="S31" s="2722"/>
    </row>
    <row r="32" spans="1:19" s="91" customFormat="1">
      <c r="A32" s="2651"/>
      <c r="B32" s="145" t="s">
        <v>748</v>
      </c>
      <c r="C32" s="2432"/>
      <c r="D32" s="2433"/>
      <c r="E32" s="2433"/>
      <c r="F32" s="2433"/>
      <c r="G32" s="2432"/>
      <c r="H32" s="2427"/>
      <c r="I32" s="2649"/>
      <c r="J32" s="2427"/>
      <c r="K32" s="2718"/>
      <c r="L32" s="2427"/>
      <c r="M32" s="2718"/>
      <c r="N32" s="2427"/>
      <c r="O32" s="2718"/>
      <c r="P32" s="2427"/>
      <c r="Q32" s="2718"/>
      <c r="R32" s="2427"/>
      <c r="S32" s="2718"/>
    </row>
    <row r="33" spans="1:19" s="91" customFormat="1">
      <c r="A33" s="2651"/>
      <c r="B33" s="2545"/>
      <c r="C33" s="2432"/>
      <c r="D33" s="2433"/>
      <c r="E33" s="2433"/>
      <c r="F33" s="2433"/>
      <c r="G33" s="2432"/>
      <c r="H33" s="2427"/>
      <c r="I33" s="2649"/>
      <c r="J33" s="2427"/>
      <c r="K33" s="2718"/>
      <c r="L33" s="2427"/>
      <c r="M33" s="2718"/>
      <c r="N33" s="2427"/>
      <c r="O33" s="2718"/>
      <c r="P33" s="2427"/>
      <c r="Q33" s="2718"/>
      <c r="R33" s="2427"/>
      <c r="S33" s="2718"/>
    </row>
    <row r="34" spans="1:19" s="91" customFormat="1">
      <c r="A34" s="2636"/>
      <c r="B34" s="2550" t="s">
        <v>1159</v>
      </c>
      <c r="C34" s="2445"/>
      <c r="D34" s="2433"/>
      <c r="E34" s="2433"/>
      <c r="F34" s="2433"/>
      <c r="G34" s="2432"/>
      <c r="H34" s="2427"/>
      <c r="I34" s="2649"/>
      <c r="J34" s="2427"/>
      <c r="K34" s="2718"/>
      <c r="L34" s="2427"/>
      <c r="M34" s="2718"/>
      <c r="N34" s="2427"/>
      <c r="O34" s="2718"/>
      <c r="P34" s="2427"/>
      <c r="Q34" s="2718"/>
      <c r="R34" s="2427"/>
      <c r="S34" s="2718"/>
    </row>
    <row r="35" spans="1:19" s="91" customFormat="1">
      <c r="A35" s="2636"/>
      <c r="B35" s="2444" t="s">
        <v>1160</v>
      </c>
      <c r="C35" s="2445"/>
      <c r="D35" s="2433"/>
      <c r="E35" s="2433"/>
      <c r="F35" s="2433"/>
      <c r="G35" s="2432"/>
      <c r="H35" s="2427"/>
      <c r="I35" s="2649"/>
      <c r="J35" s="2427"/>
      <c r="K35" s="2718"/>
      <c r="L35" s="2427"/>
      <c r="M35" s="2718"/>
      <c r="N35" s="2427"/>
      <c r="O35" s="2718"/>
      <c r="P35" s="2427"/>
      <c r="Q35" s="2718"/>
      <c r="R35" s="2427"/>
      <c r="S35" s="2718"/>
    </row>
    <row r="36" spans="1:19" s="91" customFormat="1">
      <c r="A36" s="2636"/>
      <c r="B36" s="2444" t="s">
        <v>1161</v>
      </c>
      <c r="C36" s="2445"/>
      <c r="D36" s="2433"/>
      <c r="E36" s="2433"/>
      <c r="F36" s="2433"/>
      <c r="G36" s="2432"/>
      <c r="H36" s="2427"/>
      <c r="I36" s="2649"/>
      <c r="J36" s="2427"/>
      <c r="K36" s="2718"/>
      <c r="L36" s="2427"/>
      <c r="M36" s="2718"/>
      <c r="N36" s="2427"/>
      <c r="O36" s="2718"/>
      <c r="P36" s="2427"/>
      <c r="Q36" s="2718"/>
      <c r="R36" s="2427"/>
      <c r="S36" s="2718"/>
    </row>
    <row r="37" spans="1:19" s="91" customFormat="1" ht="25.5">
      <c r="A37" s="2636"/>
      <c r="B37" s="2506" t="s">
        <v>1162</v>
      </c>
      <c r="C37" s="2445"/>
      <c r="D37" s="2433"/>
      <c r="E37" s="2433"/>
      <c r="F37" s="2433"/>
      <c r="G37" s="2432"/>
      <c r="H37" s="2427"/>
      <c r="I37" s="2649"/>
      <c r="J37" s="2427"/>
      <c r="K37" s="2718"/>
      <c r="L37" s="2427"/>
      <c r="M37" s="2718"/>
      <c r="N37" s="2427"/>
      <c r="O37" s="2718"/>
      <c r="P37" s="2427"/>
      <c r="Q37" s="2718"/>
      <c r="R37" s="2427"/>
      <c r="S37" s="2718"/>
    </row>
    <row r="38" spans="1:19" s="91" customFormat="1">
      <c r="A38" s="2636"/>
      <c r="B38" s="2444" t="s">
        <v>1163</v>
      </c>
      <c r="C38" s="2445"/>
      <c r="D38" s="2433"/>
      <c r="E38" s="2433"/>
      <c r="F38" s="2433"/>
      <c r="G38" s="2432"/>
      <c r="H38" s="2427"/>
      <c r="I38" s="2649"/>
      <c r="J38" s="2427"/>
      <c r="K38" s="2718"/>
      <c r="L38" s="2427"/>
      <c r="M38" s="2718"/>
      <c r="N38" s="2427"/>
      <c r="O38" s="2718"/>
      <c r="P38" s="2427"/>
      <c r="Q38" s="2718"/>
      <c r="R38" s="2427"/>
      <c r="S38" s="2718"/>
    </row>
    <row r="39" spans="1:19" s="91" customFormat="1">
      <c r="A39" s="2636"/>
      <c r="B39" s="2444" t="s">
        <v>919</v>
      </c>
      <c r="C39" s="2445"/>
      <c r="D39" s="2433"/>
      <c r="E39" s="2546"/>
      <c r="F39" s="2547"/>
      <c r="G39" s="2432"/>
      <c r="H39" s="2427"/>
      <c r="I39" s="2649"/>
      <c r="J39" s="2427"/>
      <c r="K39" s="2718"/>
      <c r="L39" s="2427"/>
      <c r="M39" s="2718"/>
      <c r="N39" s="2427"/>
      <c r="O39" s="2718"/>
      <c r="P39" s="2427"/>
      <c r="Q39" s="2718"/>
      <c r="R39" s="2427"/>
      <c r="S39" s="2718"/>
    </row>
    <row r="40" spans="1:19" s="91" customFormat="1">
      <c r="A40" s="2636"/>
      <c r="B40" s="2444" t="s">
        <v>1164</v>
      </c>
      <c r="C40" s="2445"/>
      <c r="D40" s="2433"/>
      <c r="E40" s="2546"/>
      <c r="F40" s="2547"/>
      <c r="G40" s="2432"/>
      <c r="H40" s="2427"/>
      <c r="I40" s="2649"/>
      <c r="J40" s="2427"/>
      <c r="K40" s="2718"/>
      <c r="L40" s="2427"/>
      <c r="M40" s="2718"/>
      <c r="N40" s="2427"/>
      <c r="O40" s="2718"/>
      <c r="P40" s="2427"/>
      <c r="Q40" s="2718"/>
      <c r="R40" s="2427"/>
      <c r="S40" s="2718"/>
    </row>
    <row r="41" spans="1:19" s="91" customFormat="1">
      <c r="A41" s="2636"/>
      <c r="B41" s="2444" t="s">
        <v>921</v>
      </c>
      <c r="C41" s="2445"/>
      <c r="D41" s="2433"/>
      <c r="E41" s="2546"/>
      <c r="F41" s="2547"/>
      <c r="G41" s="2432"/>
      <c r="H41" s="2427"/>
      <c r="I41" s="2649"/>
      <c r="J41" s="2427"/>
      <c r="K41" s="2718"/>
      <c r="L41" s="2427"/>
      <c r="M41" s="2718"/>
      <c r="N41" s="2427"/>
      <c r="O41" s="2718"/>
      <c r="P41" s="2427"/>
      <c r="Q41" s="2718"/>
      <c r="R41" s="2427"/>
      <c r="S41" s="2718"/>
    </row>
    <row r="42" spans="1:19" s="91" customFormat="1">
      <c r="A42" s="2636"/>
      <c r="B42" s="2696"/>
      <c r="C42" s="2445"/>
      <c r="D42" s="2433"/>
      <c r="E42" s="2546"/>
      <c r="F42" s="2547"/>
      <c r="G42" s="2432"/>
      <c r="H42" s="2427"/>
      <c r="I42" s="2649"/>
      <c r="J42" s="2427"/>
      <c r="K42" s="2718"/>
      <c r="L42" s="2427"/>
      <c r="M42" s="2718"/>
      <c r="N42" s="2427"/>
      <c r="O42" s="2718"/>
      <c r="P42" s="2427"/>
      <c r="Q42" s="2718"/>
      <c r="R42" s="2427"/>
      <c r="S42" s="2718"/>
    </row>
    <row r="43" spans="1:19" s="91" customFormat="1">
      <c r="A43" s="2636"/>
      <c r="B43" s="2697"/>
      <c r="C43" s="2445"/>
      <c r="D43" s="2433"/>
      <c r="E43" s="2546"/>
      <c r="F43" s="2547"/>
      <c r="G43" s="2432"/>
      <c r="H43" s="2427"/>
      <c r="I43" s="2649"/>
      <c r="J43" s="2427"/>
      <c r="K43" s="2718"/>
      <c r="L43" s="2427"/>
      <c r="M43" s="2718"/>
      <c r="N43" s="2427"/>
      <c r="O43" s="2718"/>
      <c r="P43" s="2427"/>
      <c r="Q43" s="2718"/>
      <c r="R43" s="2427"/>
      <c r="S43" s="2718"/>
    </row>
    <row r="44" spans="1:19" s="91" customFormat="1">
      <c r="A44" s="2636"/>
      <c r="B44" s="152"/>
      <c r="C44" s="2445"/>
      <c r="D44" s="2433"/>
      <c r="E44" s="2546"/>
      <c r="F44" s="2547"/>
      <c r="G44" s="2432"/>
      <c r="H44" s="2427" t="s">
        <v>710</v>
      </c>
      <c r="I44" s="2649"/>
      <c r="J44" s="2427"/>
      <c r="K44" s="2718"/>
      <c r="L44" s="2427"/>
      <c r="M44" s="2718"/>
      <c r="N44" s="2427"/>
      <c r="O44" s="2718"/>
      <c r="P44" s="2427"/>
      <c r="Q44" s="2718"/>
      <c r="R44" s="2427"/>
      <c r="S44" s="2718"/>
    </row>
    <row r="45" spans="1:19" s="91" customFormat="1">
      <c r="A45" s="2636"/>
      <c r="B45" s="2545"/>
      <c r="C45" s="2445"/>
      <c r="D45" s="2433"/>
      <c r="E45" s="2546"/>
      <c r="F45" s="2547"/>
      <c r="G45" s="2432"/>
      <c r="H45" s="2427"/>
      <c r="I45" s="2649"/>
      <c r="J45" s="2427"/>
      <c r="K45" s="2718"/>
      <c r="L45" s="2427"/>
      <c r="M45" s="2718"/>
      <c r="N45" s="2427"/>
      <c r="O45" s="2718"/>
      <c r="P45" s="2427"/>
      <c r="Q45" s="2718"/>
      <c r="R45" s="2427"/>
      <c r="S45" s="2718"/>
    </row>
    <row r="46" spans="1:19" s="91" customFormat="1">
      <c r="A46" s="2636"/>
      <c r="B46" s="2545"/>
      <c r="C46" s="2445"/>
      <c r="D46" s="2433"/>
      <c r="E46" s="2546"/>
      <c r="F46" s="2547"/>
      <c r="G46" s="2432"/>
      <c r="H46" s="2427"/>
      <c r="I46" s="2649"/>
      <c r="J46" s="2427"/>
      <c r="K46" s="2718"/>
      <c r="L46" s="2427"/>
      <c r="M46" s="2718"/>
      <c r="N46" s="2427"/>
      <c r="O46" s="2718"/>
      <c r="P46" s="2427"/>
      <c r="Q46" s="2718"/>
      <c r="R46" s="2427"/>
      <c r="S46" s="2718"/>
    </row>
    <row r="47" spans="1:19" s="91" customFormat="1">
      <c r="A47" s="2636"/>
      <c r="B47" s="2545"/>
      <c r="C47" s="2445"/>
      <c r="D47" s="2433"/>
      <c r="E47" s="2546"/>
      <c r="F47" s="2547"/>
      <c r="G47" s="2432"/>
      <c r="H47" s="2427"/>
      <c r="I47" s="2649"/>
      <c r="J47" s="2427"/>
      <c r="K47" s="2718"/>
      <c r="L47" s="2427"/>
      <c r="M47" s="2718"/>
      <c r="N47" s="2427"/>
      <c r="O47" s="2718"/>
      <c r="P47" s="2427"/>
      <c r="Q47" s="2718"/>
      <c r="R47" s="2427"/>
      <c r="S47" s="2718"/>
    </row>
    <row r="48" spans="1:19" s="91" customFormat="1">
      <c r="A48" s="2636"/>
      <c r="B48" s="2545"/>
      <c r="C48" s="2445"/>
      <c r="D48" s="2433"/>
      <c r="E48" s="2546"/>
      <c r="F48" s="2547"/>
      <c r="G48" s="2432"/>
      <c r="H48" s="2427"/>
      <c r="I48" s="2649"/>
      <c r="J48" s="2427"/>
      <c r="K48" s="2718"/>
      <c r="L48" s="2427"/>
      <c r="M48" s="2718"/>
      <c r="N48" s="2427"/>
      <c r="O48" s="2718"/>
      <c r="P48" s="2427"/>
      <c r="Q48" s="2718"/>
      <c r="R48" s="2427"/>
      <c r="S48" s="2718"/>
    </row>
    <row r="49" spans="1:19" s="91" customFormat="1">
      <c r="A49" s="2636"/>
      <c r="B49" s="2545"/>
      <c r="C49" s="2445"/>
      <c r="D49" s="2433"/>
      <c r="E49" s="2546"/>
      <c r="F49" s="2547"/>
      <c r="G49" s="2432"/>
      <c r="H49" s="2427"/>
      <c r="I49" s="2649"/>
      <c r="J49" s="2427"/>
      <c r="K49" s="2718"/>
      <c r="L49" s="2427"/>
      <c r="M49" s="2718"/>
      <c r="N49" s="2427"/>
      <c r="O49" s="2718"/>
      <c r="P49" s="2427"/>
      <c r="Q49" s="2718"/>
      <c r="R49" s="2427"/>
      <c r="S49" s="2718"/>
    </row>
    <row r="50" spans="1:19" s="91" customFormat="1">
      <c r="A50" s="2636"/>
      <c r="B50" s="2545"/>
      <c r="C50" s="2445"/>
      <c r="D50" s="2433"/>
      <c r="E50" s="2546"/>
      <c r="F50" s="2547"/>
      <c r="G50" s="2432"/>
      <c r="H50" s="2427"/>
      <c r="I50" s="2649"/>
      <c r="J50" s="2427"/>
      <c r="K50" s="2718"/>
      <c r="L50" s="2427"/>
      <c r="M50" s="2718"/>
      <c r="N50" s="2427"/>
      <c r="O50" s="2718"/>
      <c r="P50" s="2427"/>
      <c r="Q50" s="2718"/>
      <c r="R50" s="2427"/>
      <c r="S50" s="2718"/>
    </row>
    <row r="51" spans="1:19" s="91" customFormat="1">
      <c r="A51" s="2636"/>
      <c r="B51" s="2545"/>
      <c r="C51" s="2445"/>
      <c r="D51" s="2433"/>
      <c r="E51" s="2546"/>
      <c r="F51" s="2547"/>
      <c r="G51" s="2432"/>
      <c r="H51" s="2427"/>
      <c r="I51" s="2649"/>
      <c r="J51" s="2427"/>
      <c r="K51" s="2718"/>
      <c r="L51" s="2427"/>
      <c r="M51" s="2718"/>
      <c r="N51" s="2427"/>
      <c r="O51" s="2718"/>
      <c r="P51" s="2427"/>
      <c r="Q51" s="2718"/>
      <c r="R51" s="2427"/>
      <c r="S51" s="2718"/>
    </row>
    <row r="52" spans="1:19" s="91" customFormat="1">
      <c r="A52" s="2636"/>
      <c r="B52" s="2545"/>
      <c r="C52" s="2445"/>
      <c r="D52" s="2433"/>
      <c r="E52" s="2546"/>
      <c r="F52" s="2547"/>
      <c r="G52" s="2432"/>
      <c r="H52" s="2427"/>
      <c r="I52" s="2649"/>
      <c r="J52" s="2427"/>
      <c r="K52" s="2718"/>
      <c r="L52" s="2427"/>
      <c r="M52" s="2718"/>
      <c r="N52" s="2427"/>
      <c r="O52" s="2718"/>
      <c r="P52" s="2427"/>
      <c r="Q52" s="2718"/>
      <c r="R52" s="2427"/>
      <c r="S52" s="2718"/>
    </row>
    <row r="53" spans="1:19" s="91" customFormat="1">
      <c r="A53" s="2636"/>
      <c r="B53" s="2545"/>
      <c r="C53" s="2445"/>
      <c r="D53" s="2433"/>
      <c r="E53" s="2546"/>
      <c r="F53" s="2547"/>
      <c r="G53" s="2432"/>
      <c r="H53" s="2427"/>
      <c r="I53" s="2649"/>
      <c r="J53" s="2427"/>
      <c r="K53" s="2718"/>
      <c r="L53" s="2427"/>
      <c r="M53" s="2718"/>
      <c r="N53" s="2427"/>
      <c r="O53" s="2718"/>
      <c r="P53" s="2427"/>
      <c r="Q53" s="2718"/>
      <c r="R53" s="2427"/>
      <c r="S53" s="2718"/>
    </row>
    <row r="54" spans="1:19" s="91" customFormat="1">
      <c r="A54" s="2636"/>
      <c r="B54" s="2545"/>
      <c r="C54" s="2445"/>
      <c r="D54" s="2433"/>
      <c r="E54" s="2546"/>
      <c r="F54" s="2547"/>
      <c r="G54" s="2432"/>
      <c r="H54" s="2427"/>
      <c r="I54" s="2649"/>
      <c r="J54" s="2427"/>
      <c r="K54" s="2718"/>
      <c r="L54" s="2427"/>
      <c r="M54" s="2718"/>
      <c r="N54" s="2427"/>
      <c r="O54" s="2718"/>
      <c r="P54" s="2427"/>
      <c r="Q54" s="2718"/>
      <c r="R54" s="2427"/>
      <c r="S54" s="2718"/>
    </row>
    <row r="55" spans="1:19" s="91" customFormat="1">
      <c r="A55" s="2636"/>
      <c r="B55" s="2545"/>
      <c r="C55" s="2445"/>
      <c r="D55" s="2433"/>
      <c r="E55" s="2546"/>
      <c r="F55" s="2547"/>
      <c r="G55" s="2432"/>
      <c r="H55" s="2427"/>
      <c r="I55" s="2649"/>
      <c r="J55" s="2427"/>
      <c r="K55" s="2718"/>
      <c r="L55" s="2427"/>
      <c r="M55" s="2718"/>
      <c r="N55" s="2427"/>
      <c r="O55" s="2718"/>
      <c r="P55" s="2427"/>
      <c r="Q55" s="2718"/>
      <c r="R55" s="2427"/>
      <c r="S55" s="2718"/>
    </row>
    <row r="56" spans="1:19">
      <c r="A56" s="2685"/>
      <c r="B56" s="2686"/>
      <c r="C56" s="2426"/>
      <c r="D56" s="2405"/>
      <c r="E56" s="2405"/>
      <c r="F56" s="2405"/>
      <c r="G56" s="2423"/>
      <c r="H56" s="2427"/>
      <c r="I56" s="2650"/>
      <c r="J56" s="2427"/>
      <c r="K56" s="2650"/>
      <c r="L56" s="2427"/>
      <c r="M56" s="2650"/>
      <c r="N56" s="2427"/>
      <c r="O56" s="2650"/>
      <c r="P56" s="2427"/>
      <c r="Q56" s="2650"/>
      <c r="R56" s="2427"/>
      <c r="S56" s="2650"/>
    </row>
    <row r="57" spans="1:19">
      <c r="A57" s="14"/>
      <c r="B57" s="15"/>
      <c r="C57" s="16"/>
      <c r="D57" s="16"/>
      <c r="E57" s="17"/>
      <c r="F57" s="18" t="s">
        <v>567</v>
      </c>
      <c r="G57" s="19"/>
      <c r="H57" s="20"/>
      <c r="I57" s="61">
        <f>SUM(I23:I56)</f>
        <v>0</v>
      </c>
      <c r="J57" s="20"/>
      <c r="K57" s="61">
        <f>SUM(K23:K56)</f>
        <v>0</v>
      </c>
      <c r="L57" s="20"/>
      <c r="M57" s="61">
        <f>SUM(M23:M56)</f>
        <v>0</v>
      </c>
      <c r="N57" s="20"/>
      <c r="O57" s="61">
        <f>SUM(O23:O56)</f>
        <v>0</v>
      </c>
      <c r="P57" s="20"/>
      <c r="Q57" s="61">
        <f>SUM(Q23:Q56)</f>
        <v>0</v>
      </c>
      <c r="R57" s="20"/>
      <c r="S57" s="61">
        <f>SUM(S23:S56)</f>
        <v>0</v>
      </c>
    </row>
    <row r="58" spans="1:19">
      <c r="A58" s="2358"/>
      <c r="B58" s="2359"/>
      <c r="C58" s="2360"/>
      <c r="D58" s="2360"/>
      <c r="E58" s="2361"/>
      <c r="F58" s="2362" t="s">
        <v>568</v>
      </c>
      <c r="G58" s="2363"/>
      <c r="H58" s="2364">
        <v>0</v>
      </c>
      <c r="I58" s="2460"/>
      <c r="J58" s="2364">
        <v>0</v>
      </c>
      <c r="K58" s="2460"/>
      <c r="L58" s="2364">
        <v>0</v>
      </c>
      <c r="M58" s="2460"/>
      <c r="N58" s="2364">
        <v>0</v>
      </c>
      <c r="O58" s="2460"/>
      <c r="P58" s="2364">
        <v>0</v>
      </c>
      <c r="Q58" s="2460"/>
      <c r="R58" s="2364">
        <v>0</v>
      </c>
      <c r="S58" s="2460"/>
    </row>
    <row r="59" spans="1:19">
      <c r="A59" s="2358"/>
      <c r="B59" s="2359"/>
      <c r="C59" s="2360"/>
      <c r="D59" s="2360"/>
      <c r="E59" s="2361"/>
      <c r="F59" s="2362" t="s">
        <v>569</v>
      </c>
      <c r="G59" s="2363"/>
      <c r="H59" s="2366"/>
      <c r="I59" s="2462">
        <f>H58*I57</f>
        <v>0</v>
      </c>
      <c r="J59" s="2366"/>
      <c r="K59" s="2462">
        <f>J58*K57</f>
        <v>0</v>
      </c>
      <c r="L59" s="2366"/>
      <c r="M59" s="2462">
        <f>L58*M57</f>
        <v>0</v>
      </c>
      <c r="N59" s="2366"/>
      <c r="O59" s="2462">
        <f>N58*O57</f>
        <v>0</v>
      </c>
      <c r="P59" s="2366"/>
      <c r="Q59" s="2462">
        <f>P58*Q57</f>
        <v>0</v>
      </c>
      <c r="R59" s="2366"/>
      <c r="S59" s="2462">
        <f>R58*S57</f>
        <v>0</v>
      </c>
    </row>
    <row r="60" spans="1:19">
      <c r="A60" s="2358"/>
      <c r="B60" s="2359"/>
      <c r="C60" s="2360"/>
      <c r="D60" s="2360"/>
      <c r="E60" s="2361"/>
      <c r="F60" s="2362"/>
      <c r="G60" s="2363"/>
      <c r="H60" s="2366"/>
      <c r="I60" s="2464"/>
      <c r="J60" s="2366"/>
      <c r="K60" s="2464"/>
      <c r="L60" s="2366"/>
      <c r="M60" s="2464"/>
      <c r="N60" s="2366"/>
      <c r="O60" s="2464"/>
      <c r="P60" s="2366"/>
      <c r="Q60" s="2464"/>
      <c r="R60" s="2366"/>
      <c r="S60" s="2464"/>
    </row>
    <row r="61" spans="1:19">
      <c r="A61" s="2358"/>
      <c r="B61" s="2359"/>
      <c r="C61" s="2360"/>
      <c r="D61" s="2360"/>
      <c r="E61" s="2361"/>
      <c r="F61" s="2362" t="s">
        <v>570</v>
      </c>
      <c r="G61" s="2363"/>
      <c r="H61" s="2368"/>
      <c r="I61" s="2465">
        <f>SUM(I57:I59)</f>
        <v>0</v>
      </c>
      <c r="J61" s="2368"/>
      <c r="K61" s="2465">
        <f>SUM(K57:K59)</f>
        <v>0</v>
      </c>
      <c r="L61" s="2368"/>
      <c r="M61" s="2465">
        <f>SUM(M57:M59)</f>
        <v>0</v>
      </c>
      <c r="N61" s="2368"/>
      <c r="O61" s="2465">
        <f>SUM(O57:O59)</f>
        <v>0</v>
      </c>
      <c r="P61" s="2368"/>
      <c r="Q61" s="2465">
        <f>SUM(Q57:Q59)</f>
        <v>0</v>
      </c>
      <c r="R61" s="2368"/>
      <c r="S61" s="2465">
        <f>SUM(S57:S59)</f>
        <v>0</v>
      </c>
    </row>
    <row r="62" spans="1:19">
      <c r="A62" s="2358"/>
      <c r="B62" s="2359"/>
      <c r="C62" s="2360"/>
      <c r="D62" s="2360"/>
      <c r="E62" s="2361"/>
      <c r="F62" s="2370" t="s">
        <v>571</v>
      </c>
      <c r="G62" s="2371"/>
      <c r="H62" s="2372"/>
      <c r="I62" s="2373" t="e">
        <f>I61/'Area Calculations'!$J$4</f>
        <v>#DIV/0!</v>
      </c>
      <c r="J62" s="2372"/>
      <c r="K62" s="2373" t="e">
        <f>K61/'Area Calculations'!$J$4</f>
        <v>#DIV/0!</v>
      </c>
      <c r="L62" s="2372"/>
      <c r="M62" s="2373" t="e">
        <f>M61/'Area Calculations'!$J$4</f>
        <v>#DIV/0!</v>
      </c>
      <c r="N62" s="2372"/>
      <c r="O62" s="2373" t="e">
        <f>O61/'Area Calculations'!$J$4</f>
        <v>#DIV/0!</v>
      </c>
      <c r="P62" s="2372"/>
      <c r="Q62" s="2373" t="e">
        <f>Q61/'Area Calculations'!$J$4</f>
        <v>#DIV/0!</v>
      </c>
      <c r="R62" s="2372"/>
      <c r="S62" s="2373" t="e">
        <f>S61/'Area Calculations'!$J$4</f>
        <v>#DIV/0!</v>
      </c>
    </row>
    <row r="63" spans="1:19">
      <c r="A63" s="2358"/>
      <c r="B63" s="2359"/>
      <c r="C63" s="2360"/>
      <c r="D63" s="2360"/>
      <c r="E63" s="2361"/>
      <c r="F63" s="2370" t="s">
        <v>572</v>
      </c>
      <c r="G63" s="2374"/>
      <c r="H63" s="2372"/>
      <c r="I63" s="2373" t="e">
        <f>I61/'Area Calculations'!#REF!</f>
        <v>#REF!</v>
      </c>
      <c r="J63" s="2372"/>
      <c r="K63" s="2373" t="e">
        <f>K61/'Area Calculations'!#REF!</f>
        <v>#REF!</v>
      </c>
      <c r="L63" s="2372"/>
      <c r="M63" s="2373" t="e">
        <f>M61/'Area Calculations'!#REF!</f>
        <v>#REF!</v>
      </c>
      <c r="N63" s="2372"/>
      <c r="O63" s="2373" t="e">
        <f>O61/'Area Calculations'!#REF!</f>
        <v>#REF!</v>
      </c>
      <c r="P63" s="2372"/>
      <c r="Q63" s="2373" t="e">
        <f>Q61/'Area Calculations'!#REF!</f>
        <v>#REF!</v>
      </c>
      <c r="R63" s="2372"/>
      <c r="S63" s="2373" t="e">
        <f>S61/'Area Calculations'!#REF!</f>
        <v>#REF!</v>
      </c>
    </row>
    <row r="64" spans="1:19">
      <c r="A64" s="2358"/>
      <c r="B64" s="2359"/>
      <c r="C64" s="2360"/>
      <c r="D64" s="2360"/>
      <c r="E64" s="2361"/>
      <c r="F64" s="2362"/>
      <c r="G64" s="2375"/>
      <c r="H64" s="2376"/>
      <c r="I64" s="2377"/>
      <c r="J64" s="2376"/>
      <c r="K64" s="2377"/>
      <c r="L64" s="2376"/>
      <c r="M64" s="2377"/>
      <c r="N64" s="2376"/>
      <c r="O64" s="2377"/>
      <c r="P64" s="2376"/>
      <c r="Q64" s="2377"/>
      <c r="R64" s="2376"/>
      <c r="S64" s="2377"/>
    </row>
    <row r="65" spans="1:19">
      <c r="A65" s="726" t="s">
        <v>573</v>
      </c>
      <c r="B65" s="727"/>
      <c r="C65" s="12"/>
      <c r="D65" s="12"/>
      <c r="E65" s="12"/>
      <c r="F65" s="12"/>
      <c r="G65" s="13"/>
      <c r="H65" s="21"/>
      <c r="I65" s="21"/>
      <c r="J65" s="21"/>
      <c r="K65" s="21"/>
      <c r="L65" s="21"/>
      <c r="M65" s="21"/>
      <c r="N65" s="21"/>
      <c r="O65" s="21"/>
      <c r="P65" s="21"/>
      <c r="Q65" s="21"/>
      <c r="R65" s="21"/>
      <c r="S65" s="21"/>
    </row>
    <row r="66" spans="1:19">
      <c r="A66" s="2639"/>
      <c r="B66" s="2404"/>
      <c r="C66" s="2640"/>
      <c r="D66" s="2640"/>
      <c r="E66" s="2640"/>
      <c r="F66" s="2640"/>
      <c r="G66" s="2641"/>
      <c r="H66" s="2678"/>
      <c r="I66" s="2678"/>
      <c r="J66" s="2678"/>
      <c r="K66" s="2678"/>
      <c r="L66" s="2678"/>
      <c r="M66" s="2678"/>
      <c r="N66" s="2678"/>
      <c r="O66" s="2678"/>
      <c r="P66" s="2678"/>
      <c r="Q66" s="2678"/>
      <c r="R66" s="2678"/>
      <c r="S66" s="2678"/>
    </row>
    <row r="67" spans="1:19" s="2" customFormat="1">
      <c r="A67" s="2639"/>
      <c r="B67" s="2404"/>
      <c r="C67" s="2640"/>
      <c r="D67" s="2640"/>
      <c r="E67" s="2640"/>
      <c r="F67" s="2640"/>
      <c r="G67" s="2641"/>
      <c r="H67" s="2678"/>
      <c r="I67" s="2678"/>
      <c r="J67" s="2678"/>
      <c r="K67" s="2678"/>
      <c r="L67" s="2678"/>
      <c r="M67" s="2678"/>
      <c r="N67" s="2678"/>
      <c r="O67" s="2678"/>
      <c r="P67" s="2678"/>
      <c r="Q67" s="2678"/>
      <c r="R67" s="2678"/>
      <c r="S67" s="2678"/>
    </row>
    <row r="68" spans="1:19" s="2" customFormat="1">
      <c r="A68" s="2639"/>
      <c r="B68" s="2404"/>
      <c r="C68" s="2640"/>
      <c r="D68" s="2640"/>
      <c r="E68" s="2640"/>
      <c r="F68" s="2640"/>
      <c r="G68" s="2641"/>
      <c r="H68" s="2678"/>
      <c r="I68" s="2678"/>
      <c r="J68" s="2678"/>
      <c r="K68" s="2678"/>
      <c r="L68" s="2678"/>
      <c r="M68" s="2678"/>
      <c r="N68" s="2678"/>
      <c r="O68" s="2678"/>
      <c r="P68" s="2678"/>
      <c r="Q68" s="2678"/>
      <c r="R68" s="2678"/>
      <c r="S68" s="2678"/>
    </row>
    <row r="69" spans="1:19">
      <c r="A69" s="726" t="s">
        <v>574</v>
      </c>
      <c r="B69" s="727"/>
      <c r="C69" s="12"/>
      <c r="D69" s="12"/>
      <c r="E69" s="12"/>
      <c r="F69" s="12"/>
      <c r="G69" s="13"/>
      <c r="H69" s="21"/>
      <c r="I69" s="21"/>
      <c r="J69" s="21"/>
      <c r="K69" s="21"/>
      <c r="L69" s="21"/>
      <c r="M69" s="21"/>
      <c r="N69" s="21"/>
      <c r="O69" s="21"/>
      <c r="P69" s="21"/>
      <c r="Q69" s="21"/>
      <c r="R69" s="21"/>
      <c r="S69" s="21"/>
    </row>
    <row r="70" spans="1:19" s="2" customFormat="1">
      <c r="A70" s="2639"/>
      <c r="B70" s="2404"/>
      <c r="C70" s="2640"/>
      <c r="D70" s="2640"/>
      <c r="E70" s="2640"/>
      <c r="F70" s="2640"/>
      <c r="G70" s="2641"/>
      <c r="H70" s="2678"/>
      <c r="I70" s="2678"/>
      <c r="J70" s="2678"/>
      <c r="K70" s="2678"/>
      <c r="L70" s="2678"/>
      <c r="M70" s="2678"/>
      <c r="N70" s="2678"/>
      <c r="O70" s="2678"/>
      <c r="P70" s="2678"/>
      <c r="Q70" s="2678"/>
      <c r="R70" s="2678"/>
      <c r="S70" s="2678"/>
    </row>
    <row r="71" spans="1:19" s="2" customFormat="1">
      <c r="A71" s="2639"/>
      <c r="B71" s="2404"/>
      <c r="C71" s="2640"/>
      <c r="D71" s="2640"/>
      <c r="E71" s="2640"/>
      <c r="F71" s="2640"/>
      <c r="G71" s="2641"/>
      <c r="H71" s="2678"/>
      <c r="I71" s="2678"/>
      <c r="J71" s="2678"/>
      <c r="K71" s="2678"/>
      <c r="L71" s="2678"/>
      <c r="M71" s="2678"/>
      <c r="N71" s="2678"/>
      <c r="O71" s="2678"/>
      <c r="P71" s="2678"/>
      <c r="Q71" s="2678"/>
      <c r="R71" s="2678"/>
      <c r="S71" s="2678"/>
    </row>
    <row r="72" spans="1:19">
      <c r="A72" s="2639"/>
      <c r="B72" s="2404"/>
      <c r="C72" s="2640"/>
      <c r="D72" s="2640"/>
      <c r="E72" s="2640"/>
      <c r="F72" s="2640"/>
      <c r="G72" s="2641"/>
      <c r="H72" s="2678"/>
      <c r="I72" s="2678"/>
      <c r="J72" s="2678"/>
      <c r="K72" s="2678"/>
      <c r="L72" s="2678"/>
      <c r="M72" s="2678"/>
      <c r="N72" s="2678"/>
      <c r="O72" s="2678"/>
      <c r="P72" s="2678"/>
      <c r="Q72" s="2678"/>
      <c r="R72" s="2678"/>
      <c r="S72" s="2678"/>
    </row>
    <row r="73" spans="1:19">
      <c r="A73" s="726" t="s">
        <v>575</v>
      </c>
      <c r="B73" s="727"/>
      <c r="C73" s="12"/>
      <c r="D73" s="12"/>
      <c r="E73" s="12"/>
      <c r="F73" s="12"/>
      <c r="G73" s="13"/>
      <c r="H73" s="21"/>
      <c r="I73" s="21"/>
      <c r="J73" s="21"/>
      <c r="K73" s="21"/>
      <c r="L73" s="21"/>
      <c r="M73" s="21"/>
      <c r="N73" s="21"/>
      <c r="O73" s="21"/>
      <c r="P73" s="21"/>
      <c r="Q73" s="21"/>
      <c r="R73" s="21"/>
      <c r="S73" s="21"/>
    </row>
    <row r="74" spans="1:19">
      <c r="A74" s="2639"/>
      <c r="B74" s="2404"/>
      <c r="C74" s="2640"/>
      <c r="D74" s="2640"/>
      <c r="E74" s="2640"/>
      <c r="F74" s="2640"/>
      <c r="G74" s="2641"/>
      <c r="H74" s="2678"/>
      <c r="I74" s="2678"/>
      <c r="J74" s="2678"/>
      <c r="K74" s="2678"/>
      <c r="L74" s="2678"/>
      <c r="M74" s="2678"/>
      <c r="N74" s="2678"/>
      <c r="O74" s="2678"/>
      <c r="P74" s="2678"/>
      <c r="Q74" s="2678"/>
      <c r="R74" s="2678"/>
      <c r="S74" s="2678"/>
    </row>
    <row r="75" spans="1:19">
      <c r="A75" s="2421"/>
      <c r="B75" s="2404"/>
      <c r="C75" s="2405"/>
      <c r="D75" s="2405"/>
      <c r="E75" s="2405"/>
      <c r="F75" s="2405"/>
      <c r="G75" s="2423"/>
      <c r="H75" s="2382"/>
      <c r="I75" s="2382"/>
      <c r="J75" s="2382"/>
      <c r="K75" s="2382"/>
      <c r="L75" s="2382"/>
      <c r="M75" s="2382"/>
      <c r="N75" s="2382"/>
      <c r="O75" s="2382"/>
      <c r="P75" s="2382"/>
      <c r="Q75" s="2382"/>
      <c r="R75" s="2382"/>
      <c r="S75" s="2382"/>
    </row>
    <row r="76" spans="1:19">
      <c r="A76" s="2383"/>
      <c r="B76" s="2384"/>
      <c r="C76" s="2405"/>
      <c r="D76" s="2405"/>
      <c r="E76" s="2405"/>
      <c r="F76" s="2405"/>
      <c r="G76" s="2423"/>
      <c r="H76" s="2385"/>
      <c r="I76" s="2385"/>
      <c r="J76" s="2385"/>
      <c r="K76" s="2385"/>
      <c r="L76" s="2385"/>
      <c r="M76" s="2385"/>
      <c r="N76" s="2385"/>
      <c r="O76" s="2385"/>
      <c r="P76" s="2385"/>
      <c r="Q76" s="2385"/>
      <c r="R76" s="2385"/>
      <c r="S76" s="2385"/>
    </row>
    <row r="77" spans="1:19">
      <c r="A77" s="726" t="s">
        <v>576</v>
      </c>
      <c r="B77" s="727"/>
      <c r="C77" s="12"/>
      <c r="D77" s="12"/>
      <c r="E77" s="12"/>
      <c r="F77" s="12"/>
      <c r="G77" s="13"/>
      <c r="H77" s="21"/>
      <c r="I77" s="21"/>
      <c r="J77" s="21"/>
      <c r="K77" s="21"/>
      <c r="L77" s="21"/>
      <c r="M77" s="21"/>
      <c r="N77" s="21"/>
      <c r="O77" s="21"/>
      <c r="P77" s="21"/>
      <c r="Q77" s="21"/>
      <c r="R77" s="21"/>
      <c r="S77" s="21"/>
    </row>
    <row r="78" spans="1:19">
      <c r="A78" s="2643"/>
      <c r="B78" s="2644"/>
      <c r="C78" s="2640"/>
      <c r="D78" s="2640"/>
      <c r="E78" s="2640"/>
      <c r="F78" s="2640"/>
      <c r="G78" s="2641"/>
      <c r="H78" s="2678"/>
      <c r="I78" s="2678"/>
      <c r="J78" s="2678"/>
      <c r="K78" s="2678"/>
      <c r="L78" s="2678"/>
      <c r="M78" s="2678"/>
      <c r="N78" s="2678"/>
      <c r="O78" s="2678"/>
      <c r="P78" s="2678"/>
      <c r="Q78" s="2678"/>
      <c r="R78" s="2678"/>
      <c r="S78" s="267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2383"/>
      <c r="B80" s="2384"/>
      <c r="C80" s="2405"/>
      <c r="D80" s="2405"/>
      <c r="E80" s="2405"/>
      <c r="F80" s="2405"/>
      <c r="G80" s="2423"/>
      <c r="H80" s="2388"/>
      <c r="I80" s="2388"/>
      <c r="J80" s="2388"/>
      <c r="K80" s="2388"/>
      <c r="L80" s="2388"/>
      <c r="M80" s="2388"/>
      <c r="N80" s="2388"/>
      <c r="O80" s="2388"/>
      <c r="P80" s="2388"/>
      <c r="Q80" s="2388"/>
      <c r="R80" s="2388"/>
      <c r="S80" s="2388"/>
    </row>
    <row r="81" spans="1:19">
      <c r="A81" s="726" t="s">
        <v>577</v>
      </c>
      <c r="B81" s="727"/>
      <c r="C81" s="12"/>
      <c r="D81" s="12"/>
      <c r="E81" s="12"/>
      <c r="F81" s="12"/>
      <c r="G81" s="13"/>
      <c r="H81" s="21"/>
      <c r="I81" s="21"/>
      <c r="J81" s="21"/>
      <c r="K81" s="21"/>
      <c r="L81" s="21"/>
      <c r="M81" s="21"/>
      <c r="N81" s="21"/>
      <c r="O81" s="21"/>
      <c r="P81" s="21"/>
      <c r="Q81" s="21"/>
      <c r="R81" s="21"/>
      <c r="S81" s="21"/>
    </row>
    <row r="82" spans="1:19">
      <c r="A82" s="2421"/>
      <c r="B82" s="2404" t="s">
        <v>578</v>
      </c>
      <c r="C82" s="2405"/>
      <c r="D82" s="2405"/>
      <c r="E82" s="2405"/>
      <c r="F82" s="2405"/>
      <c r="G82" s="2423"/>
      <c r="H82" s="2388"/>
      <c r="I82" s="2388"/>
      <c r="J82" s="2388"/>
      <c r="K82" s="2388"/>
      <c r="L82" s="2388"/>
      <c r="M82" s="2388"/>
      <c r="N82" s="2388"/>
      <c r="O82" s="2388"/>
      <c r="P82" s="2388"/>
      <c r="Q82" s="2388"/>
      <c r="R82" s="2388"/>
      <c r="S82" s="2388"/>
    </row>
    <row r="83" spans="1:19">
      <c r="A83" s="2421"/>
      <c r="B83" s="2404" t="s">
        <v>579</v>
      </c>
      <c r="C83" s="2405"/>
      <c r="D83" s="2405"/>
      <c r="E83" s="2405"/>
      <c r="F83" s="2405"/>
      <c r="G83" s="2423"/>
      <c r="H83" s="2388"/>
      <c r="I83" s="2388"/>
      <c r="J83" s="2388"/>
      <c r="K83" s="2388"/>
      <c r="L83" s="2388"/>
      <c r="M83" s="2388"/>
      <c r="N83" s="2388"/>
      <c r="O83" s="2388"/>
      <c r="P83" s="2388"/>
      <c r="Q83" s="2388"/>
      <c r="R83" s="2388"/>
      <c r="S83" s="2388"/>
    </row>
    <row r="84" spans="1:19">
      <c r="A84" s="2421"/>
      <c r="B84" s="2404" t="s">
        <v>580</v>
      </c>
      <c r="C84" s="2405"/>
      <c r="D84" s="2405"/>
      <c r="E84" s="2405"/>
      <c r="F84" s="2405"/>
      <c r="G84" s="2423"/>
      <c r="H84" s="2388"/>
      <c r="I84" s="2388"/>
      <c r="J84" s="2388"/>
      <c r="K84" s="2388"/>
      <c r="L84" s="2388"/>
      <c r="M84" s="2388"/>
      <c r="N84" s="2388"/>
      <c r="O84" s="2388"/>
      <c r="P84" s="2388"/>
      <c r="Q84" s="2388"/>
      <c r="R84" s="2388"/>
      <c r="S84" s="2388"/>
    </row>
    <row r="85" spans="1:19">
      <c r="A85" s="2421"/>
      <c r="B85" s="2404" t="s">
        <v>581</v>
      </c>
      <c r="C85" s="2405"/>
      <c r="D85" s="2405"/>
      <c r="E85" s="2405"/>
      <c r="F85" s="2405"/>
      <c r="G85" s="2423"/>
      <c r="H85" s="2388"/>
      <c r="I85" s="2388"/>
      <c r="J85" s="2388"/>
      <c r="K85" s="2388"/>
      <c r="L85" s="2388"/>
      <c r="M85" s="2388"/>
      <c r="N85" s="2388"/>
      <c r="O85" s="2388"/>
      <c r="P85" s="2388"/>
      <c r="Q85" s="2388"/>
      <c r="R85" s="2388"/>
      <c r="S85" s="2388"/>
    </row>
    <row r="86" spans="1:19">
      <c r="A86" s="416"/>
      <c r="B86" s="295"/>
      <c r="C86" s="184"/>
      <c r="D86" s="184"/>
      <c r="E86" s="184"/>
      <c r="F86" s="184"/>
      <c r="G86" s="296"/>
      <c r="H86" s="418"/>
      <c r="I86" s="418"/>
      <c r="J86" s="418"/>
      <c r="K86" s="418"/>
      <c r="L86" s="418"/>
      <c r="M86" s="418"/>
      <c r="N86" s="418"/>
      <c r="O86" s="418"/>
      <c r="P86" s="418"/>
      <c r="Q86" s="418"/>
      <c r="R86" s="418"/>
      <c r="S86" s="418"/>
    </row>
    <row r="87" spans="1:19">
      <c r="A87" s="7" t="s">
        <v>582</v>
      </c>
      <c r="B87" s="8"/>
      <c r="C87" s="12"/>
      <c r="D87" s="12"/>
      <c r="E87" s="12"/>
      <c r="F87" s="12"/>
      <c r="G87" s="13"/>
      <c r="H87" s="21"/>
      <c r="I87" s="21"/>
      <c r="J87" s="21"/>
      <c r="K87" s="21"/>
      <c r="L87" s="21"/>
      <c r="M87" s="21"/>
      <c r="N87" s="21"/>
      <c r="O87" s="21"/>
      <c r="P87" s="21"/>
      <c r="Q87" s="21"/>
      <c r="R87" s="21"/>
      <c r="S87" s="21"/>
    </row>
    <row r="88" spans="1:19">
      <c r="A88" s="2639"/>
      <c r="B88" s="2645" t="s">
        <v>583</v>
      </c>
      <c r="C88" s="2640"/>
      <c r="D88" s="2640"/>
      <c r="E88" s="2640"/>
      <c r="F88" s="2640"/>
      <c r="G88" s="2641"/>
      <c r="H88" s="2687"/>
      <c r="I88" s="2687"/>
      <c r="J88" s="2687"/>
      <c r="K88" s="2687"/>
      <c r="L88" s="2687"/>
      <c r="M88" s="2687"/>
      <c r="N88" s="2687"/>
      <c r="O88" s="2687"/>
      <c r="P88" s="2687"/>
      <c r="Q88" s="2687"/>
      <c r="R88" s="2687"/>
      <c r="S88" s="2687"/>
    </row>
    <row r="89" spans="1:19">
      <c r="A89" s="2421"/>
      <c r="B89" s="2404" t="s">
        <v>584</v>
      </c>
      <c r="C89" s="2405"/>
      <c r="D89" s="2405"/>
      <c r="E89" s="2405"/>
      <c r="F89" s="2405"/>
      <c r="G89" s="2423"/>
      <c r="H89" s="2390"/>
      <c r="I89" s="2390"/>
      <c r="J89" s="2390"/>
      <c r="K89" s="2390"/>
      <c r="L89" s="2390"/>
      <c r="M89" s="2390"/>
      <c r="N89" s="2390"/>
      <c r="O89" s="2390"/>
      <c r="P89" s="2390"/>
      <c r="Q89" s="2390"/>
      <c r="R89" s="2390"/>
      <c r="S89" s="2390"/>
    </row>
    <row r="90" spans="1:19">
      <c r="A90" s="2391"/>
      <c r="B90" s="2392" t="s">
        <v>585</v>
      </c>
      <c r="C90" s="2393"/>
      <c r="D90" s="2393"/>
      <c r="E90" s="2393"/>
      <c r="F90" s="2393"/>
      <c r="G90" s="2394"/>
      <c r="H90" s="2395"/>
      <c r="I90" s="2395"/>
      <c r="J90" s="2395"/>
      <c r="K90" s="2395"/>
      <c r="L90" s="2395"/>
      <c r="M90" s="2395"/>
      <c r="N90" s="2395"/>
      <c r="O90" s="2395"/>
      <c r="P90" s="2395"/>
      <c r="Q90" s="2395"/>
      <c r="R90" s="2395"/>
      <c r="S90" s="2395"/>
    </row>
    <row r="92" spans="1:19">
      <c r="A92" s="92" t="s">
        <v>586</v>
      </c>
      <c r="B92" s="94"/>
    </row>
    <row r="93" spans="1:19">
      <c r="A93" s="93" t="s">
        <v>487</v>
      </c>
      <c r="B93" s="2396"/>
    </row>
    <row r="94" spans="1:19">
      <c r="A94" s="2397" t="s">
        <v>491</v>
      </c>
      <c r="B94" s="2396"/>
    </row>
    <row r="95" spans="1:19">
      <c r="A95" s="2398" t="s">
        <v>494</v>
      </c>
      <c r="B95" s="2399"/>
    </row>
    <row r="96" spans="1:19">
      <c r="A96" s="2398" t="s">
        <v>497</v>
      </c>
      <c r="B96" s="2400"/>
    </row>
    <row r="97" spans="1:2">
      <c r="A97" s="2401" t="s">
        <v>587</v>
      </c>
      <c r="B97" s="2402"/>
    </row>
    <row r="99" spans="1:2">
      <c r="A99" s="95"/>
      <c r="B99" s="1" t="s">
        <v>588</v>
      </c>
    </row>
    <row r="100" spans="1:2">
      <c r="A100" s="96"/>
      <c r="B10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5:B65"/>
    <mergeCell ref="A69:B69"/>
    <mergeCell ref="A73:B73"/>
    <mergeCell ref="A77:B77"/>
    <mergeCell ref="A81:B81"/>
  </mergeCells>
  <conditionalFormatting sqref="H20:H30">
    <cfRule type="cellIs" dxfId="605" priority="13" operator="equal">
      <formula>"X"</formula>
    </cfRule>
    <cfRule type="cellIs" dxfId="604" priority="14" operator="equal">
      <formula>"I"</formula>
    </cfRule>
  </conditionalFormatting>
  <conditionalFormatting sqref="H32:H56">
    <cfRule type="cellIs" dxfId="603" priority="1" operator="equal">
      <formula>"X"</formula>
    </cfRule>
    <cfRule type="cellIs" dxfId="602" priority="2" operator="equal">
      <formula>"I"</formula>
    </cfRule>
  </conditionalFormatting>
  <conditionalFormatting sqref="J20:J30">
    <cfRule type="cellIs" dxfId="601" priority="15" operator="equal">
      <formula>"X"</formula>
    </cfRule>
    <cfRule type="cellIs" dxfId="600" priority="16" operator="equal">
      <formula>"I"</formula>
    </cfRule>
  </conditionalFormatting>
  <conditionalFormatting sqref="J32:J56">
    <cfRule type="cellIs" dxfId="599" priority="3" operator="equal">
      <formula>"X"</formula>
    </cfRule>
    <cfRule type="cellIs" dxfId="598" priority="4" operator="equal">
      <formula>"I"</formula>
    </cfRule>
  </conditionalFormatting>
  <conditionalFormatting sqref="L20:L30">
    <cfRule type="cellIs" dxfId="597" priority="17" operator="equal">
      <formula>"X"</formula>
    </cfRule>
    <cfRule type="cellIs" dxfId="596" priority="18" operator="equal">
      <formula>"I"</formula>
    </cfRule>
  </conditionalFormatting>
  <conditionalFormatting sqref="L32:L56">
    <cfRule type="cellIs" dxfId="595" priority="5" operator="equal">
      <formula>"X"</formula>
    </cfRule>
    <cfRule type="cellIs" dxfId="594" priority="6" operator="equal">
      <formula>"I"</formula>
    </cfRule>
  </conditionalFormatting>
  <conditionalFormatting sqref="N20:N30">
    <cfRule type="cellIs" dxfId="593" priority="19" operator="equal">
      <formula>"X"</formula>
    </cfRule>
    <cfRule type="cellIs" dxfId="592" priority="20" operator="equal">
      <formula>"I"</formula>
    </cfRule>
  </conditionalFormatting>
  <conditionalFormatting sqref="N32:N56">
    <cfRule type="cellIs" dxfId="591" priority="7" operator="equal">
      <formula>"X"</formula>
    </cfRule>
    <cfRule type="cellIs" dxfId="590" priority="8" operator="equal">
      <formula>"I"</formula>
    </cfRule>
  </conditionalFormatting>
  <conditionalFormatting sqref="P20:P30">
    <cfRule type="cellIs" dxfId="589" priority="21" operator="equal">
      <formula>"X"</formula>
    </cfRule>
    <cfRule type="cellIs" dxfId="588" priority="22" operator="equal">
      <formula>"I"</formula>
    </cfRule>
  </conditionalFormatting>
  <conditionalFormatting sqref="P32:P56">
    <cfRule type="cellIs" dxfId="587" priority="9" operator="equal">
      <formula>"X"</formula>
    </cfRule>
    <cfRule type="cellIs" dxfId="586" priority="10" operator="equal">
      <formula>"I"</formula>
    </cfRule>
  </conditionalFormatting>
  <conditionalFormatting sqref="R20:R30">
    <cfRule type="cellIs" dxfId="585" priority="23" operator="equal">
      <formula>"X"</formula>
    </cfRule>
    <cfRule type="cellIs" dxfId="584" priority="24" operator="equal">
      <formula>"I"</formula>
    </cfRule>
  </conditionalFormatting>
  <conditionalFormatting sqref="R32:R56">
    <cfRule type="cellIs" dxfId="583" priority="11" operator="equal">
      <formula>"X"</formula>
    </cfRule>
    <cfRule type="cellIs" dxfId="582" priority="12" operator="equal">
      <formula>"I"</formula>
    </cfRule>
  </conditionalFormatting>
  <hyperlinks>
    <hyperlink ref="B3" location="'Cost Summary'!A1" display="BACK TO SUMMARY SHEET" xr:uid="{241BB269-A87D-4AA2-A05A-00A184165A57}"/>
  </hyperlink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788B-5466-4365-882E-6274582388E9}">
  <sheetPr>
    <tabColor rgb="FF92D050"/>
  </sheetPr>
  <dimension ref="A1:S97"/>
  <sheetViews>
    <sheetView zoomScale="85" zoomScaleNormal="85" workbookViewId="0">
      <pane xSplit="2" ySplit="19" topLeftCell="C28" activePane="bottomRight" state="frozen"/>
      <selection pane="bottomRight" activeCell="F47" sqref="F47"/>
      <selection pane="bottomLeft" sqref="A1:B1"/>
      <selection pane="topRight" sqref="A1:B1"/>
    </sheetView>
  </sheetViews>
  <sheetFormatPr defaultRowHeight="15"/>
  <cols>
    <col min="1" max="1" width="11" customWidth="1"/>
    <col min="2" max="2" width="70.7109375" style="1" customWidth="1"/>
    <col min="3" max="3" width="13.7109375" style="2" customWidth="1"/>
    <col min="4" max="4" width="9.28515625" style="2" bestFit="1"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637</v>
      </c>
      <c r="C5" s="2405"/>
      <c r="D5" s="2405"/>
      <c r="E5" s="2405"/>
      <c r="F5" s="2405"/>
      <c r="G5" s="2406" t="s">
        <v>491</v>
      </c>
      <c r="H5" s="2518"/>
      <c r="I5" s="2518"/>
      <c r="J5" s="2518"/>
      <c r="K5" s="2518"/>
      <c r="L5" s="2518"/>
      <c r="M5" s="2518"/>
      <c r="N5" s="2518"/>
      <c r="O5" s="2518"/>
      <c r="P5" s="2518"/>
      <c r="Q5" s="2518"/>
      <c r="R5" s="2409"/>
      <c r="S5" s="2408"/>
    </row>
    <row r="6" spans="1:19">
      <c r="A6" s="2403" t="s">
        <v>493</v>
      </c>
      <c r="B6" s="2410" t="s">
        <v>636</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ht="15.75" thickBot="1">
      <c r="A8" s="414" t="s">
        <v>499</v>
      </c>
      <c r="B8" s="295"/>
      <c r="C8" s="184"/>
      <c r="D8" s="184"/>
      <c r="E8" s="184"/>
      <c r="F8" s="184"/>
      <c r="G8" s="419" t="s">
        <v>499</v>
      </c>
      <c r="H8" s="2418">
        <f>I58</f>
        <v>34354.5</v>
      </c>
      <c r="I8" s="2419"/>
      <c r="J8" s="2418">
        <f>K58</f>
        <v>0</v>
      </c>
      <c r="K8" s="2419"/>
      <c r="L8" s="2418">
        <f>M58</f>
        <v>0</v>
      </c>
      <c r="M8" s="2419"/>
      <c r="N8" s="2418">
        <f>O58</f>
        <v>0</v>
      </c>
      <c r="O8" s="2419"/>
      <c r="P8" s="2418">
        <f>Q58</f>
        <v>0</v>
      </c>
      <c r="Q8" s="2419"/>
      <c r="R8" s="2418">
        <f>S58</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639"/>
      <c r="B20" s="2404"/>
      <c r="C20" s="2426"/>
      <c r="D20" s="2405"/>
      <c r="E20" s="2405"/>
      <c r="F20" s="2405"/>
      <c r="G20" s="2423"/>
      <c r="H20" s="2424"/>
      <c r="I20" s="2424"/>
      <c r="J20" s="2424"/>
      <c r="K20" s="2424"/>
      <c r="L20" s="2424"/>
      <c r="M20" s="2424"/>
      <c r="N20" s="2424"/>
      <c r="O20" s="2424"/>
      <c r="P20" s="2424"/>
      <c r="Q20" s="2424"/>
      <c r="R20" s="2424"/>
      <c r="S20" s="2424"/>
    </row>
    <row r="21" spans="1:19" hidden="1">
      <c r="A21" s="265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2651"/>
      <c r="B22" s="2428" t="s">
        <v>637</v>
      </c>
      <c r="C22" s="56"/>
      <c r="D22" s="57"/>
      <c r="E22" s="57"/>
      <c r="F22" s="57"/>
      <c r="G22" s="63"/>
      <c r="H22" s="2427"/>
      <c r="I22" s="2649"/>
      <c r="J22" s="2427"/>
      <c r="K22" s="2650"/>
      <c r="L22" s="2427"/>
      <c r="M22" s="2650"/>
      <c r="N22" s="2427"/>
      <c r="O22" s="2650"/>
      <c r="P22" s="2427"/>
      <c r="Q22" s="2650"/>
      <c r="R22" s="2427"/>
      <c r="S22" s="2650"/>
    </row>
    <row r="23" spans="1:19">
      <c r="A23" s="2651"/>
      <c r="B23" s="2318" t="s">
        <v>512</v>
      </c>
      <c r="C23" s="2426"/>
      <c r="D23" s="2405"/>
      <c r="E23" s="2405"/>
      <c r="F23" s="2405"/>
      <c r="G23" s="2423"/>
      <c r="H23" s="2427"/>
      <c r="I23" s="2649"/>
      <c r="J23" s="2427"/>
      <c r="K23" s="2650"/>
      <c r="L23" s="2427"/>
      <c r="M23" s="2650"/>
      <c r="N23" s="2427"/>
      <c r="O23" s="2650"/>
      <c r="P23" s="2427"/>
      <c r="Q23" s="2650"/>
      <c r="R23" s="2427"/>
      <c r="S23" s="2650"/>
    </row>
    <row r="24" spans="1:19">
      <c r="A24" s="2651"/>
      <c r="B24" s="2723" t="s">
        <v>513</v>
      </c>
      <c r="C24" s="2426"/>
      <c r="D24" s="2405"/>
      <c r="E24" s="2405"/>
      <c r="F24" s="2405"/>
      <c r="G24" s="2423"/>
      <c r="H24" s="2427"/>
      <c r="I24" s="2649"/>
      <c r="J24" s="2427"/>
      <c r="K24" s="2650"/>
      <c r="L24" s="2427"/>
      <c r="M24" s="2650"/>
      <c r="N24" s="2427"/>
      <c r="O24" s="2650"/>
      <c r="P24" s="2427"/>
      <c r="Q24" s="2650"/>
      <c r="R24" s="2427"/>
      <c r="S24" s="2650"/>
    </row>
    <row r="25" spans="1:19">
      <c r="A25" s="2651"/>
      <c r="B25" s="2723" t="s">
        <v>514</v>
      </c>
      <c r="C25" s="2430"/>
      <c r="D25" s="2405"/>
      <c r="E25" s="2405"/>
      <c r="F25" s="2405"/>
      <c r="G25" s="2423"/>
      <c r="H25" s="2427"/>
      <c r="I25" s="2649"/>
      <c r="J25" s="2427"/>
      <c r="K25" s="2650"/>
      <c r="L25" s="2427"/>
      <c r="M25" s="2650"/>
      <c r="N25" s="2427"/>
      <c r="O25" s="2650"/>
      <c r="P25" s="2427"/>
      <c r="Q25" s="2650"/>
      <c r="R25" s="2427"/>
      <c r="S25" s="2650"/>
    </row>
    <row r="26" spans="1:19">
      <c r="A26" s="2724"/>
      <c r="B26" s="2725" t="s">
        <v>515</v>
      </c>
      <c r="C26" s="2430"/>
      <c r="D26" s="2405"/>
      <c r="E26" s="2405"/>
      <c r="F26" s="2405"/>
      <c r="G26" s="2423"/>
      <c r="H26" s="2427"/>
      <c r="I26" s="2649"/>
      <c r="J26" s="2427"/>
      <c r="K26" s="2650"/>
      <c r="L26" s="2427"/>
      <c r="M26" s="2650"/>
      <c r="N26" s="2427"/>
      <c r="O26" s="2650"/>
      <c r="P26" s="2427"/>
      <c r="Q26" s="2650"/>
      <c r="R26" s="2427"/>
      <c r="S26" s="2650"/>
    </row>
    <row r="27" spans="1:19" s="91" customFormat="1">
      <c r="A27" s="2724"/>
      <c r="B27" s="2725" t="s">
        <v>516</v>
      </c>
      <c r="C27" s="2432"/>
      <c r="D27" s="2433"/>
      <c r="E27" s="2433"/>
      <c r="F27" s="2433"/>
      <c r="G27" s="2432"/>
      <c r="H27" s="2427"/>
      <c r="I27" s="2649"/>
      <c r="J27" s="2427"/>
      <c r="K27" s="2631"/>
      <c r="L27" s="2427"/>
      <c r="M27" s="2631"/>
      <c r="N27" s="2427"/>
      <c r="O27" s="2631"/>
      <c r="P27" s="2427"/>
      <c r="Q27" s="2631"/>
      <c r="R27" s="2427"/>
      <c r="S27" s="2631"/>
    </row>
    <row r="28" spans="1:19" s="91" customFormat="1">
      <c r="A28" s="2651"/>
      <c r="B28" s="2725" t="s">
        <v>517</v>
      </c>
      <c r="C28" s="2432"/>
      <c r="D28" s="2433"/>
      <c r="E28" s="2433"/>
      <c r="F28" s="2433"/>
      <c r="G28" s="2432"/>
      <c r="H28" s="2427"/>
      <c r="I28" s="2649"/>
      <c r="J28" s="2427"/>
      <c r="K28" s="2631"/>
      <c r="L28" s="2427"/>
      <c r="M28" s="2631"/>
      <c r="N28" s="2427"/>
      <c r="O28" s="2631"/>
      <c r="P28" s="2427"/>
      <c r="Q28" s="2631"/>
      <c r="R28" s="2427"/>
      <c r="S28" s="2631"/>
    </row>
    <row r="29" spans="1:19" s="91" customFormat="1">
      <c r="A29" s="2651"/>
      <c r="B29" s="2725" t="s">
        <v>518</v>
      </c>
      <c r="C29" s="2432"/>
      <c r="D29" s="2433"/>
      <c r="E29" s="2433"/>
      <c r="F29" s="2433"/>
      <c r="G29" s="2432"/>
      <c r="H29" s="2427"/>
      <c r="I29" s="2649"/>
      <c r="J29" s="2427"/>
      <c r="K29" s="2631"/>
      <c r="L29" s="2427"/>
      <c r="M29" s="2631"/>
      <c r="N29" s="2427"/>
      <c r="O29" s="2631"/>
      <c r="P29" s="2427"/>
      <c r="Q29" s="2631"/>
      <c r="R29" s="2427"/>
      <c r="S29" s="2631"/>
    </row>
    <row r="30" spans="1:19" s="91" customFormat="1">
      <c r="A30" s="2651"/>
      <c r="B30" s="2725" t="s">
        <v>693</v>
      </c>
      <c r="C30" s="2432"/>
      <c r="D30" s="2433"/>
      <c r="E30" s="2433"/>
      <c r="F30" s="2433"/>
      <c r="G30" s="2432"/>
      <c r="H30" s="2427"/>
      <c r="I30" s="2649"/>
      <c r="J30" s="2427"/>
      <c r="K30" s="2631"/>
      <c r="L30" s="2427"/>
      <c r="M30" s="2631"/>
      <c r="N30" s="2427"/>
      <c r="O30" s="2631"/>
      <c r="P30" s="2427"/>
      <c r="Q30" s="2631"/>
      <c r="R30" s="2427"/>
      <c r="S30" s="2631"/>
    </row>
    <row r="31" spans="1:19" s="91" customFormat="1">
      <c r="A31" s="2651"/>
      <c r="B31" s="2710" t="s">
        <v>519</v>
      </c>
      <c r="C31" s="2432"/>
      <c r="D31" s="2433"/>
      <c r="E31" s="2433"/>
      <c r="F31" s="2433"/>
      <c r="G31" s="2432"/>
      <c r="H31" s="2427"/>
      <c r="I31" s="2649"/>
      <c r="J31" s="2427"/>
      <c r="K31" s="2631"/>
      <c r="L31" s="2427"/>
      <c r="M31" s="2631"/>
      <c r="N31" s="2427"/>
      <c r="O31" s="2631"/>
      <c r="P31" s="2427"/>
      <c r="Q31" s="2631"/>
      <c r="R31" s="2427"/>
      <c r="S31" s="2631"/>
    </row>
    <row r="32" spans="1:19" s="91" customFormat="1">
      <c r="A32" s="2651"/>
      <c r="B32" s="2711" t="s">
        <v>520</v>
      </c>
      <c r="C32" s="2435"/>
      <c r="D32" s="2436"/>
      <c r="E32" s="2436"/>
      <c r="F32" s="2436"/>
      <c r="G32" s="2435"/>
      <c r="H32" s="2439"/>
      <c r="I32" s="2634"/>
      <c r="J32" s="2443"/>
      <c r="K32" s="2635"/>
      <c r="L32" s="2443"/>
      <c r="M32" s="2635"/>
      <c r="N32" s="2635"/>
      <c r="O32" s="2635"/>
      <c r="P32" s="2635"/>
      <c r="Q32" s="2635"/>
      <c r="R32" s="2635"/>
      <c r="S32" s="2635"/>
    </row>
    <row r="33" spans="1:19" s="91" customFormat="1">
      <c r="A33" s="2651"/>
      <c r="B33" s="2545"/>
      <c r="C33" s="2432"/>
      <c r="D33" s="2433"/>
      <c r="E33" s="2433"/>
      <c r="F33" s="2433"/>
      <c r="G33" s="2432"/>
      <c r="H33" s="2427"/>
      <c r="I33" s="2649"/>
      <c r="J33" s="2427"/>
      <c r="K33" s="2631"/>
      <c r="L33" s="2427"/>
      <c r="M33" s="2631"/>
      <c r="N33" s="2427"/>
      <c r="O33" s="2631"/>
      <c r="P33" s="2427"/>
      <c r="Q33" s="2631"/>
      <c r="R33" s="2427"/>
      <c r="S33" s="2631"/>
    </row>
    <row r="34" spans="1:19" s="91" customFormat="1">
      <c r="A34" s="2651"/>
      <c r="B34" s="2591" t="s">
        <v>694</v>
      </c>
      <c r="C34" s="2593"/>
      <c r="D34" s="2592"/>
      <c r="E34" s="2592"/>
      <c r="F34" s="2592"/>
      <c r="G34" s="2593"/>
      <c r="H34" s="2453"/>
      <c r="I34" s="2726"/>
      <c r="J34" s="2453"/>
      <c r="K34" s="2727"/>
      <c r="L34" s="2453"/>
      <c r="M34" s="2727"/>
      <c r="N34" s="2453"/>
      <c r="O34" s="2727"/>
      <c r="P34" s="2453"/>
      <c r="Q34" s="2727"/>
      <c r="R34" s="2453"/>
      <c r="S34" s="2727"/>
    </row>
    <row r="35" spans="1:19" s="91" customFormat="1">
      <c r="A35" s="2651"/>
      <c r="B35" s="2545"/>
      <c r="C35" s="2432"/>
      <c r="D35" s="2433"/>
      <c r="E35" s="2433"/>
      <c r="F35" s="2433"/>
      <c r="G35" s="2432"/>
      <c r="H35" s="2427"/>
      <c r="I35" s="2649"/>
      <c r="J35" s="2427"/>
      <c r="K35" s="2631"/>
      <c r="L35" s="2427"/>
      <c r="M35" s="2631"/>
      <c r="N35" s="2427"/>
      <c r="O35" s="2631"/>
      <c r="P35" s="2427"/>
      <c r="Q35" s="2631"/>
      <c r="R35" s="2427"/>
      <c r="S35" s="2631"/>
    </row>
    <row r="36" spans="1:19" s="91" customFormat="1">
      <c r="A36" s="2651"/>
      <c r="B36" s="2596" t="s">
        <v>695</v>
      </c>
      <c r="C36" s="2598"/>
      <c r="D36" s="2597"/>
      <c r="E36" s="2597"/>
      <c r="F36" s="2597"/>
      <c r="G36" s="2598"/>
      <c r="H36" s="2459"/>
      <c r="I36" s="2728"/>
      <c r="J36" s="2459"/>
      <c r="K36" s="2729"/>
      <c r="L36" s="2459"/>
      <c r="M36" s="2729"/>
      <c r="N36" s="2459"/>
      <c r="O36" s="2729"/>
      <c r="P36" s="2459"/>
      <c r="Q36" s="2729"/>
      <c r="R36" s="2459"/>
      <c r="S36" s="2729"/>
    </row>
    <row r="37" spans="1:19" s="91" customFormat="1">
      <c r="A37" s="2651"/>
      <c r="B37" s="2545"/>
      <c r="C37" s="2432"/>
      <c r="D37" s="2433"/>
      <c r="E37" s="2433"/>
      <c r="F37" s="2433"/>
      <c r="G37" s="2432"/>
      <c r="H37" s="2427"/>
      <c r="I37" s="2649"/>
      <c r="J37" s="2427"/>
      <c r="K37" s="2631"/>
      <c r="L37" s="2427"/>
      <c r="M37" s="2631"/>
      <c r="N37" s="2427"/>
      <c r="O37" s="2631"/>
      <c r="P37" s="2427"/>
      <c r="Q37" s="2631"/>
      <c r="R37" s="2427"/>
      <c r="S37" s="2631"/>
    </row>
    <row r="38" spans="1:19" s="91" customFormat="1">
      <c r="A38" s="2651"/>
      <c r="B38" s="2591" t="s">
        <v>649</v>
      </c>
      <c r="C38" s="2593"/>
      <c r="D38" s="2592"/>
      <c r="E38" s="2592"/>
      <c r="F38" s="2592"/>
      <c r="G38" s="2593"/>
      <c r="H38" s="2453"/>
      <c r="I38" s="2726"/>
      <c r="J38" s="2453"/>
      <c r="K38" s="2727"/>
      <c r="L38" s="2453"/>
      <c r="M38" s="2727"/>
      <c r="N38" s="2453"/>
      <c r="O38" s="2727"/>
      <c r="P38" s="2453"/>
      <c r="Q38" s="2727"/>
      <c r="R38" s="2453"/>
      <c r="S38" s="2727"/>
    </row>
    <row r="39" spans="1:19" s="91" customFormat="1">
      <c r="A39" s="2651"/>
      <c r="B39" s="2545"/>
      <c r="C39" s="2432"/>
      <c r="D39" s="2433"/>
      <c r="E39" s="2433"/>
      <c r="F39" s="2433"/>
      <c r="G39" s="2432"/>
      <c r="H39" s="2427"/>
      <c r="I39" s="2649"/>
      <c r="J39" s="2427"/>
      <c r="K39" s="2631"/>
      <c r="L39" s="2427"/>
      <c r="M39" s="2631"/>
      <c r="N39" s="2427"/>
      <c r="O39" s="2631"/>
      <c r="P39" s="2427"/>
      <c r="Q39" s="2631"/>
      <c r="R39" s="2427"/>
      <c r="S39" s="2631"/>
    </row>
    <row r="40" spans="1:19" s="91" customFormat="1">
      <c r="A40" s="2651"/>
      <c r="B40" s="2596" t="s">
        <v>700</v>
      </c>
      <c r="C40" s="2598"/>
      <c r="D40" s="2597"/>
      <c r="E40" s="2597"/>
      <c r="F40" s="2597"/>
      <c r="G40" s="2598"/>
      <c r="H40" s="2459"/>
      <c r="I40" s="2728"/>
      <c r="J40" s="2459"/>
      <c r="K40" s="2729"/>
      <c r="L40" s="2459"/>
      <c r="M40" s="2729"/>
      <c r="N40" s="2459"/>
      <c r="O40" s="2729"/>
      <c r="P40" s="2459"/>
      <c r="Q40" s="2729"/>
      <c r="R40" s="2459"/>
      <c r="S40" s="2729"/>
    </row>
    <row r="41" spans="1:19" s="91" customFormat="1">
      <c r="A41" s="2651"/>
      <c r="B41" s="2545" t="s">
        <v>701</v>
      </c>
      <c r="C41" s="2432" t="s">
        <v>702</v>
      </c>
      <c r="D41" s="2607">
        <f>'Cost Summary'!$N$7</f>
        <v>11678</v>
      </c>
      <c r="E41" s="2433" t="s">
        <v>723</v>
      </c>
      <c r="F41" s="2433">
        <v>1.5</v>
      </c>
      <c r="G41" s="2432">
        <f>D41*F41</f>
        <v>17517</v>
      </c>
      <c r="H41" s="2427"/>
      <c r="I41" s="2649">
        <f>G41</f>
        <v>17517</v>
      </c>
      <c r="J41" s="2427"/>
      <c r="K41" s="2631"/>
      <c r="L41" s="2427"/>
      <c r="M41" s="2631"/>
      <c r="N41" s="2427"/>
      <c r="O41" s="2631"/>
      <c r="P41" s="2427"/>
      <c r="Q41" s="2631"/>
      <c r="R41" s="2427"/>
      <c r="S41" s="2631"/>
    </row>
    <row r="42" spans="1:19" s="91" customFormat="1">
      <c r="A42" s="2651"/>
      <c r="B42" s="2545"/>
      <c r="C42" s="2432"/>
      <c r="D42" s="2433"/>
      <c r="E42" s="2433"/>
      <c r="F42" s="2433"/>
      <c r="G42" s="2432"/>
      <c r="H42" s="2427"/>
      <c r="I42" s="2649"/>
      <c r="J42" s="2427"/>
      <c r="K42" s="2631"/>
      <c r="L42" s="2427"/>
      <c r="M42" s="2631"/>
      <c r="N42" s="2427"/>
      <c r="O42" s="2631"/>
      <c r="P42" s="2427"/>
      <c r="Q42" s="2631"/>
      <c r="R42" s="2427"/>
      <c r="S42" s="2631"/>
    </row>
    <row r="43" spans="1:19" s="91" customFormat="1">
      <c r="A43" s="2651"/>
      <c r="B43" s="2591" t="s">
        <v>703</v>
      </c>
      <c r="C43" s="2593"/>
      <c r="D43" s="2592"/>
      <c r="E43" s="2592"/>
      <c r="F43" s="2592"/>
      <c r="G43" s="2593"/>
      <c r="H43" s="2453"/>
      <c r="I43" s="2726"/>
      <c r="J43" s="2453"/>
      <c r="K43" s="2727"/>
      <c r="L43" s="2453"/>
      <c r="M43" s="2727"/>
      <c r="N43" s="2453"/>
      <c r="O43" s="2727"/>
      <c r="P43" s="2453"/>
      <c r="Q43" s="2727"/>
      <c r="R43" s="2453"/>
      <c r="S43" s="2727"/>
    </row>
    <row r="44" spans="1:19" s="91" customFormat="1">
      <c r="A44" s="2651"/>
      <c r="B44" s="2545"/>
      <c r="C44" s="2432"/>
      <c r="D44" s="2433"/>
      <c r="E44" s="2433"/>
      <c r="F44" s="2433"/>
      <c r="G44" s="2432"/>
      <c r="H44" s="2427"/>
      <c r="I44" s="2649"/>
      <c r="J44" s="2427"/>
      <c r="K44" s="2631"/>
      <c r="L44" s="2427"/>
      <c r="M44" s="2631"/>
      <c r="N44" s="2427"/>
      <c r="O44" s="2631"/>
      <c r="P44" s="2427"/>
      <c r="Q44" s="2631"/>
      <c r="R44" s="2427"/>
      <c r="S44" s="2631"/>
    </row>
    <row r="45" spans="1:19" s="91" customFormat="1">
      <c r="A45" s="2651"/>
      <c r="B45" s="2596" t="s">
        <v>704</v>
      </c>
      <c r="C45" s="2598"/>
      <c r="D45" s="2597"/>
      <c r="E45" s="2597"/>
      <c r="F45" s="2597"/>
      <c r="G45" s="2598"/>
      <c r="H45" s="2459"/>
      <c r="I45" s="2728"/>
      <c r="J45" s="2459"/>
      <c r="K45" s="2729"/>
      <c r="L45" s="2459"/>
      <c r="M45" s="2729"/>
      <c r="N45" s="2459"/>
      <c r="O45" s="2729"/>
      <c r="P45" s="2459"/>
      <c r="Q45" s="2729"/>
      <c r="R45" s="2459"/>
      <c r="S45" s="2729"/>
    </row>
    <row r="46" spans="1:19" s="91" customFormat="1">
      <c r="A46" s="2651"/>
      <c r="B46" s="2545" t="s">
        <v>701</v>
      </c>
      <c r="C46" s="2445" t="s">
        <v>741</v>
      </c>
      <c r="D46" s="2607">
        <f>'Cost Summary'!$R$7</f>
        <v>11225</v>
      </c>
      <c r="E46" s="2433" t="s">
        <v>723</v>
      </c>
      <c r="F46" s="2433">
        <v>1.5</v>
      </c>
      <c r="G46" s="2432">
        <f>D46*F46</f>
        <v>16837.5</v>
      </c>
      <c r="H46" s="2427"/>
      <c r="I46" s="2649">
        <f>G46</f>
        <v>16837.5</v>
      </c>
      <c r="J46" s="2427"/>
      <c r="K46" s="2631"/>
      <c r="L46" s="2427"/>
      <c r="M46" s="2631"/>
      <c r="N46" s="2427"/>
      <c r="O46" s="2631"/>
      <c r="P46" s="2427"/>
      <c r="Q46" s="2631"/>
      <c r="R46" s="2427"/>
      <c r="S46" s="2631"/>
    </row>
    <row r="47" spans="1:19" s="91" customFormat="1">
      <c r="A47" s="2651"/>
      <c r="B47" s="2545"/>
      <c r="C47" s="2432"/>
      <c r="D47" s="2433"/>
      <c r="E47" s="2433"/>
      <c r="F47" s="2433"/>
      <c r="G47" s="2432"/>
      <c r="H47" s="2427"/>
      <c r="I47" s="2649"/>
      <c r="J47" s="2427"/>
      <c r="K47" s="2631"/>
      <c r="L47" s="2427"/>
      <c r="M47" s="2631"/>
      <c r="N47" s="2427"/>
      <c r="O47" s="2631"/>
      <c r="P47" s="2427"/>
      <c r="Q47" s="2631"/>
      <c r="R47" s="2427"/>
      <c r="S47" s="2631"/>
    </row>
    <row r="48" spans="1:19" s="91" customFormat="1">
      <c r="A48" s="2651"/>
      <c r="B48" s="2591" t="s">
        <v>705</v>
      </c>
      <c r="C48" s="2593"/>
      <c r="D48" s="2592"/>
      <c r="E48" s="2592"/>
      <c r="F48" s="2592"/>
      <c r="G48" s="2593"/>
      <c r="H48" s="2453"/>
      <c r="I48" s="2726"/>
      <c r="J48" s="2453"/>
      <c r="K48" s="2727"/>
      <c r="L48" s="2453"/>
      <c r="M48" s="2727"/>
      <c r="N48" s="2453"/>
      <c r="O48" s="2727"/>
      <c r="P48" s="2453"/>
      <c r="Q48" s="2727"/>
      <c r="R48" s="2453"/>
      <c r="S48" s="2727"/>
    </row>
    <row r="49" spans="1:19" s="91" customFormat="1">
      <c r="A49" s="2651"/>
      <c r="B49" s="2545"/>
      <c r="C49" s="2432"/>
      <c r="D49" s="2433"/>
      <c r="E49" s="2433"/>
      <c r="F49" s="2433"/>
      <c r="G49" s="2432"/>
      <c r="H49" s="2427"/>
      <c r="I49" s="2649"/>
      <c r="J49" s="2427"/>
      <c r="K49" s="2631"/>
      <c r="L49" s="2427"/>
      <c r="M49" s="2631"/>
      <c r="N49" s="2427"/>
      <c r="O49" s="2631"/>
      <c r="P49" s="2427"/>
      <c r="Q49" s="2631"/>
      <c r="R49" s="2427"/>
      <c r="S49" s="2631"/>
    </row>
    <row r="50" spans="1:19" s="91" customFormat="1">
      <c r="A50" s="2651"/>
      <c r="B50" s="2601" t="s">
        <v>602</v>
      </c>
      <c r="C50" s="2598"/>
      <c r="D50" s="2597"/>
      <c r="E50" s="2597"/>
      <c r="F50" s="2597"/>
      <c r="G50" s="2598"/>
      <c r="H50" s="2459"/>
      <c r="I50" s="2728"/>
      <c r="J50" s="2459"/>
      <c r="K50" s="2729"/>
      <c r="L50" s="2459"/>
      <c r="M50" s="2729"/>
      <c r="N50" s="2459"/>
      <c r="O50" s="2729"/>
      <c r="P50" s="2459"/>
      <c r="Q50" s="2729"/>
      <c r="R50" s="2459"/>
      <c r="S50" s="2729"/>
    </row>
    <row r="51" spans="1:19" s="91" customFormat="1">
      <c r="A51" s="2651"/>
      <c r="B51" s="2545"/>
      <c r="C51" s="2432"/>
      <c r="D51" s="2433"/>
      <c r="E51" s="2433"/>
      <c r="F51" s="2433"/>
      <c r="G51" s="2432"/>
      <c r="H51" s="2427"/>
      <c r="I51" s="2649"/>
      <c r="J51" s="2427"/>
      <c r="K51" s="2631"/>
      <c r="L51" s="2427"/>
      <c r="M51" s="2631"/>
      <c r="N51" s="2427"/>
      <c r="O51" s="2631"/>
      <c r="P51" s="2427"/>
      <c r="Q51" s="2631"/>
      <c r="R51" s="2427"/>
      <c r="S51" s="2631"/>
    </row>
    <row r="52" spans="1:19" s="91" customFormat="1">
      <c r="A52" s="2651"/>
      <c r="B52" s="2545"/>
      <c r="C52" s="2432"/>
      <c r="D52" s="2433"/>
      <c r="E52" s="2433"/>
      <c r="F52" s="2433"/>
      <c r="G52" s="2432"/>
      <c r="H52" s="2427"/>
      <c r="I52" s="2649"/>
      <c r="J52" s="2427"/>
      <c r="K52" s="2631"/>
      <c r="L52" s="2427"/>
      <c r="M52" s="2631"/>
      <c r="N52" s="2427"/>
      <c r="O52" s="2631"/>
      <c r="P52" s="2427"/>
      <c r="Q52" s="2631"/>
      <c r="R52" s="2427"/>
      <c r="S52" s="2631"/>
    </row>
    <row r="53" spans="1:19" s="91" customFormat="1" ht="15.75" thickBot="1">
      <c r="A53" s="2724"/>
      <c r="B53" s="2545"/>
      <c r="C53" s="2445"/>
      <c r="D53" s="2433"/>
      <c r="E53" s="2546"/>
      <c r="F53" s="2547"/>
      <c r="G53" s="2432"/>
      <c r="H53" s="2427"/>
      <c r="I53" s="2649"/>
      <c r="J53" s="2427"/>
      <c r="K53" s="2631"/>
      <c r="L53" s="2427"/>
      <c r="M53" s="2631"/>
      <c r="N53" s="2427"/>
      <c r="O53" s="2631"/>
      <c r="P53" s="2427"/>
      <c r="Q53" s="2631"/>
      <c r="R53" s="2427"/>
      <c r="S53" s="2631"/>
    </row>
    <row r="54" spans="1:19" ht="15.75" thickTop="1">
      <c r="A54" s="14"/>
      <c r="B54" s="15"/>
      <c r="C54" s="16"/>
      <c r="D54" s="16"/>
      <c r="E54" s="17"/>
      <c r="F54" s="18" t="s">
        <v>567</v>
      </c>
      <c r="G54" s="19"/>
      <c r="H54" s="20"/>
      <c r="I54" s="61">
        <f>SUM(I24:I53)</f>
        <v>34354.5</v>
      </c>
      <c r="J54" s="20"/>
      <c r="K54" s="61">
        <f>SUM(K24:K53)</f>
        <v>0</v>
      </c>
      <c r="L54" s="20"/>
      <c r="M54" s="61">
        <f>SUM(M24:M53)</f>
        <v>0</v>
      </c>
      <c r="N54" s="20"/>
      <c r="O54" s="61">
        <f>SUM(O24:O53)</f>
        <v>0</v>
      </c>
      <c r="P54" s="20"/>
      <c r="Q54" s="61">
        <f>SUM(Q24:Q53)</f>
        <v>0</v>
      </c>
      <c r="R54" s="20"/>
      <c r="S54" s="61">
        <f>SUM(S24:S53)</f>
        <v>0</v>
      </c>
    </row>
    <row r="55" spans="1:19">
      <c r="A55" s="2358"/>
      <c r="B55" s="2359"/>
      <c r="C55" s="2360"/>
      <c r="D55" s="2360"/>
      <c r="E55" s="2361"/>
      <c r="F55" s="2362" t="s">
        <v>568</v>
      </c>
      <c r="G55" s="2363"/>
      <c r="H55" s="2364">
        <v>0</v>
      </c>
      <c r="I55" s="2460"/>
      <c r="J55" s="2364">
        <v>0</v>
      </c>
      <c r="K55" s="2460"/>
      <c r="L55" s="2364">
        <v>0</v>
      </c>
      <c r="M55" s="2460"/>
      <c r="N55" s="2364">
        <v>0</v>
      </c>
      <c r="O55" s="2460"/>
      <c r="P55" s="2364">
        <v>0</v>
      </c>
      <c r="Q55" s="2460"/>
      <c r="R55" s="2364">
        <v>0</v>
      </c>
      <c r="S55" s="2460"/>
    </row>
    <row r="56" spans="1:19">
      <c r="A56" s="2358"/>
      <c r="B56" s="2359"/>
      <c r="C56" s="2360"/>
      <c r="D56" s="2360"/>
      <c r="E56" s="2361"/>
      <c r="F56" s="2362" t="s">
        <v>569</v>
      </c>
      <c r="G56" s="2363"/>
      <c r="H56" s="2366"/>
      <c r="I56" s="2462">
        <f>H55*I54</f>
        <v>0</v>
      </c>
      <c r="J56" s="2366"/>
      <c r="K56" s="2462">
        <f>J55*K54</f>
        <v>0</v>
      </c>
      <c r="L56" s="2366"/>
      <c r="M56" s="2462">
        <f>L55*M54</f>
        <v>0</v>
      </c>
      <c r="N56" s="2366"/>
      <c r="O56" s="2462">
        <f>N55*O54</f>
        <v>0</v>
      </c>
      <c r="P56" s="2366"/>
      <c r="Q56" s="2462">
        <f>P55*Q54</f>
        <v>0</v>
      </c>
      <c r="R56" s="2366"/>
      <c r="S56" s="2462">
        <f>R55*S54</f>
        <v>0</v>
      </c>
    </row>
    <row r="57" spans="1:19">
      <c r="A57" s="2358"/>
      <c r="B57" s="2359"/>
      <c r="C57" s="2360"/>
      <c r="D57" s="2360"/>
      <c r="E57" s="2361"/>
      <c r="F57" s="2362"/>
      <c r="G57" s="2363"/>
      <c r="H57" s="2366"/>
      <c r="I57" s="2464"/>
      <c r="J57" s="2366"/>
      <c r="K57" s="2464"/>
      <c r="L57" s="2366"/>
      <c r="M57" s="2464"/>
      <c r="N57" s="2366"/>
      <c r="O57" s="2464"/>
      <c r="P57" s="2366"/>
      <c r="Q57" s="2464"/>
      <c r="R57" s="2366"/>
      <c r="S57" s="2464"/>
    </row>
    <row r="58" spans="1:19">
      <c r="A58" s="2358"/>
      <c r="B58" s="2359"/>
      <c r="C58" s="2360"/>
      <c r="D58" s="2360"/>
      <c r="E58" s="2361"/>
      <c r="F58" s="2362" t="s">
        <v>570</v>
      </c>
      <c r="G58" s="2363"/>
      <c r="H58" s="2368"/>
      <c r="I58" s="2465">
        <f>SUM(I54:I56)</f>
        <v>34354.5</v>
      </c>
      <c r="J58" s="2368"/>
      <c r="K58" s="2465">
        <f>SUM(K54:K56)</f>
        <v>0</v>
      </c>
      <c r="L58" s="2368"/>
      <c r="M58" s="2465">
        <f>SUM(M54:M56)</f>
        <v>0</v>
      </c>
      <c r="N58" s="2368"/>
      <c r="O58" s="2465">
        <f>SUM(O54:O56)</f>
        <v>0</v>
      </c>
      <c r="P58" s="2368"/>
      <c r="Q58" s="2465">
        <f>SUM(Q54:Q56)</f>
        <v>0</v>
      </c>
      <c r="R58" s="2368"/>
      <c r="S58" s="2465">
        <f>SUM(S54:S56)</f>
        <v>0</v>
      </c>
    </row>
    <row r="59" spans="1:19">
      <c r="A59" s="2358"/>
      <c r="B59" s="2359"/>
      <c r="C59" s="2360"/>
      <c r="D59" s="2360"/>
      <c r="E59" s="2361"/>
      <c r="F59" s="2370" t="s">
        <v>571</v>
      </c>
      <c r="G59" s="2371"/>
      <c r="H59" s="2372"/>
      <c r="I59" s="2373" t="e">
        <f>I58/'Area Calculations'!$J$4</f>
        <v>#DIV/0!</v>
      </c>
      <c r="J59" s="2372"/>
      <c r="K59" s="2373" t="e">
        <f>K58/'Area Calculations'!$J$4</f>
        <v>#DIV/0!</v>
      </c>
      <c r="L59" s="2372"/>
      <c r="M59" s="2373" t="e">
        <f>M58/'Area Calculations'!$J$4</f>
        <v>#DIV/0!</v>
      </c>
      <c r="N59" s="2372"/>
      <c r="O59" s="2373" t="e">
        <f>O58/'Area Calculations'!$J$4</f>
        <v>#DIV/0!</v>
      </c>
      <c r="P59" s="2372"/>
      <c r="Q59" s="2373" t="e">
        <f>Q58/'Area Calculations'!$J$4</f>
        <v>#DIV/0!</v>
      </c>
      <c r="R59" s="2372"/>
      <c r="S59" s="2373" t="e">
        <f>S58/'Area Calculations'!$J$4</f>
        <v>#DIV/0!</v>
      </c>
    </row>
    <row r="60" spans="1:19">
      <c r="A60" s="2358"/>
      <c r="B60" s="2359"/>
      <c r="C60" s="2360"/>
      <c r="D60" s="2360"/>
      <c r="E60" s="2361"/>
      <c r="F60" s="2370" t="s">
        <v>572</v>
      </c>
      <c r="G60" s="2374"/>
      <c r="H60" s="2372"/>
      <c r="I60" s="2373" t="e">
        <f>I58/'Area Calculations'!#REF!</f>
        <v>#REF!</v>
      </c>
      <c r="J60" s="2372"/>
      <c r="K60" s="2373" t="e">
        <f>K58/'Area Calculations'!#REF!</f>
        <v>#REF!</v>
      </c>
      <c r="L60" s="2372"/>
      <c r="M60" s="2373" t="e">
        <f>M58/'Area Calculations'!#REF!</f>
        <v>#REF!</v>
      </c>
      <c r="N60" s="2372"/>
      <c r="O60" s="2373" t="e">
        <f>O58/'Area Calculations'!#REF!</f>
        <v>#REF!</v>
      </c>
      <c r="P60" s="2372"/>
      <c r="Q60" s="2373" t="e">
        <f>Q58/'Area Calculations'!#REF!</f>
        <v>#REF!</v>
      </c>
      <c r="R60" s="2372"/>
      <c r="S60" s="2373" t="e">
        <f>S58/'Area Calculations'!#REF!</f>
        <v>#REF!</v>
      </c>
    </row>
    <row r="61" spans="1:19" ht="15.75" thickBot="1">
      <c r="A61" s="2358"/>
      <c r="B61" s="2359"/>
      <c r="C61" s="2360"/>
      <c r="D61" s="2360"/>
      <c r="E61" s="2361"/>
      <c r="F61" s="2362"/>
      <c r="G61" s="2375"/>
      <c r="H61" s="2376"/>
      <c r="I61" s="2377"/>
      <c r="J61" s="2376"/>
      <c r="K61" s="2377"/>
      <c r="L61" s="2376"/>
      <c r="M61" s="2377"/>
      <c r="N61" s="2376"/>
      <c r="O61" s="2377"/>
      <c r="P61" s="2376"/>
      <c r="Q61" s="2377"/>
      <c r="R61" s="2376"/>
      <c r="S61" s="2377"/>
    </row>
    <row r="62" spans="1:19" ht="16.5" thickTop="1" thickBot="1">
      <c r="A62" s="726" t="s">
        <v>573</v>
      </c>
      <c r="B62" s="727"/>
      <c r="C62" s="12"/>
      <c r="D62" s="12"/>
      <c r="E62" s="12"/>
      <c r="F62" s="12"/>
      <c r="G62" s="13"/>
      <c r="H62" s="21"/>
      <c r="I62" s="21"/>
      <c r="J62" s="21"/>
      <c r="K62" s="21"/>
      <c r="L62" s="21"/>
      <c r="M62" s="21"/>
      <c r="N62" s="21"/>
      <c r="O62" s="21"/>
      <c r="P62" s="21"/>
      <c r="Q62" s="21"/>
      <c r="R62" s="21"/>
      <c r="S62" s="21"/>
    </row>
    <row r="63" spans="1:19" ht="15.75" thickTop="1">
      <c r="A63" s="2639"/>
      <c r="B63" s="2404"/>
      <c r="C63" s="2640"/>
      <c r="D63" s="2640"/>
      <c r="E63" s="2640"/>
      <c r="F63" s="2640"/>
      <c r="G63" s="2641"/>
      <c r="H63" s="2678"/>
      <c r="I63" s="2678"/>
      <c r="J63" s="2678"/>
      <c r="K63" s="2678"/>
      <c r="L63" s="2678"/>
      <c r="M63" s="2678"/>
      <c r="N63" s="2678"/>
      <c r="O63" s="2678"/>
      <c r="P63" s="2678"/>
      <c r="Q63" s="2678"/>
      <c r="R63" s="2678"/>
      <c r="S63" s="2678"/>
    </row>
    <row r="64" spans="1:19" s="2" customFormat="1">
      <c r="A64" s="2639"/>
      <c r="B64" s="2404"/>
      <c r="C64" s="2640"/>
      <c r="D64" s="2640"/>
      <c r="E64" s="2640"/>
      <c r="F64" s="2640"/>
      <c r="G64" s="2641"/>
      <c r="H64" s="2678"/>
      <c r="I64" s="2678"/>
      <c r="J64" s="2678"/>
      <c r="K64" s="2678"/>
      <c r="L64" s="2678"/>
      <c r="M64" s="2678"/>
      <c r="N64" s="2678"/>
      <c r="O64" s="2678"/>
      <c r="P64" s="2678"/>
      <c r="Q64" s="2678"/>
      <c r="R64" s="2678"/>
      <c r="S64" s="2678"/>
    </row>
    <row r="65" spans="1:19" s="2" customFormat="1" ht="15.75" thickBot="1">
      <c r="A65" s="2639"/>
      <c r="B65" s="2404"/>
      <c r="C65" s="2640"/>
      <c r="D65" s="2640"/>
      <c r="E65" s="2640"/>
      <c r="F65" s="2640"/>
      <c r="G65" s="2641"/>
      <c r="H65" s="2678"/>
      <c r="I65" s="2678"/>
      <c r="J65" s="2678"/>
      <c r="K65" s="2678"/>
      <c r="L65" s="2678"/>
      <c r="M65" s="2678"/>
      <c r="N65" s="2678"/>
      <c r="O65" s="2678"/>
      <c r="P65" s="2678"/>
      <c r="Q65" s="2678"/>
      <c r="R65" s="2678"/>
      <c r="S65" s="2678"/>
    </row>
    <row r="66" spans="1:19" ht="16.5" thickTop="1" thickBot="1">
      <c r="A66" s="726" t="s">
        <v>574</v>
      </c>
      <c r="B66" s="727"/>
      <c r="C66" s="12"/>
      <c r="D66" s="12"/>
      <c r="E66" s="12"/>
      <c r="F66" s="12"/>
      <c r="G66" s="13"/>
      <c r="H66" s="21"/>
      <c r="I66" s="21"/>
      <c r="J66" s="21"/>
      <c r="K66" s="21"/>
      <c r="L66" s="21"/>
      <c r="M66" s="21"/>
      <c r="N66" s="21"/>
      <c r="O66" s="21"/>
      <c r="P66" s="21"/>
      <c r="Q66" s="21"/>
      <c r="R66" s="21"/>
      <c r="S66" s="21"/>
    </row>
    <row r="67" spans="1:19" s="2" customFormat="1" ht="15.75" thickTop="1">
      <c r="A67" s="2639"/>
      <c r="B67" s="2404"/>
      <c r="C67" s="2640"/>
      <c r="D67" s="2640"/>
      <c r="E67" s="2640"/>
      <c r="F67" s="2640"/>
      <c r="G67" s="2641"/>
      <c r="H67" s="2678"/>
      <c r="I67" s="2678"/>
      <c r="J67" s="2678"/>
      <c r="K67" s="2678"/>
      <c r="L67" s="2678"/>
      <c r="M67" s="2678"/>
      <c r="N67" s="2678"/>
      <c r="O67" s="2678"/>
      <c r="P67" s="2678"/>
      <c r="Q67" s="2678"/>
      <c r="R67" s="2678"/>
      <c r="S67" s="2678"/>
    </row>
    <row r="68" spans="1:19" s="2" customFormat="1">
      <c r="A68" s="2639"/>
      <c r="B68" s="2404"/>
      <c r="C68" s="2640"/>
      <c r="D68" s="2640"/>
      <c r="E68" s="2640"/>
      <c r="F68" s="2640"/>
      <c r="G68" s="2641"/>
      <c r="H68" s="2678"/>
      <c r="I68" s="2678"/>
      <c r="J68" s="2678"/>
      <c r="K68" s="2678"/>
      <c r="L68" s="2678"/>
      <c r="M68" s="2678"/>
      <c r="N68" s="2678"/>
      <c r="O68" s="2678"/>
      <c r="P68" s="2678"/>
      <c r="Q68" s="2678"/>
      <c r="R68" s="2678"/>
      <c r="S68" s="2678"/>
    </row>
    <row r="69" spans="1:19" ht="15.75" thickBot="1">
      <c r="A69" s="2639"/>
      <c r="B69" s="2404"/>
      <c r="C69" s="2640"/>
      <c r="D69" s="2640"/>
      <c r="E69" s="2640"/>
      <c r="F69" s="2640"/>
      <c r="G69" s="2641"/>
      <c r="H69" s="2678"/>
      <c r="I69" s="2678"/>
      <c r="J69" s="2678"/>
      <c r="K69" s="2678"/>
      <c r="L69" s="2678"/>
      <c r="M69" s="2678"/>
      <c r="N69" s="2678"/>
      <c r="O69" s="2678"/>
      <c r="P69" s="2678"/>
      <c r="Q69" s="2678"/>
      <c r="R69" s="2678"/>
      <c r="S69" s="2678"/>
    </row>
    <row r="70" spans="1:19" ht="16.5" thickTop="1" thickBot="1">
      <c r="A70" s="726" t="s">
        <v>575</v>
      </c>
      <c r="B70" s="727"/>
      <c r="C70" s="12"/>
      <c r="D70" s="12"/>
      <c r="E70" s="12"/>
      <c r="F70" s="12"/>
      <c r="G70" s="13"/>
      <c r="H70" s="21"/>
      <c r="I70" s="21"/>
      <c r="J70" s="21"/>
      <c r="K70" s="21"/>
      <c r="L70" s="21"/>
      <c r="M70" s="21"/>
      <c r="N70" s="21"/>
      <c r="O70" s="21"/>
      <c r="P70" s="21"/>
      <c r="Q70" s="21"/>
      <c r="R70" s="21"/>
      <c r="S70" s="21"/>
    </row>
    <row r="71" spans="1:19" ht="15.75" thickTop="1">
      <c r="A71" s="2639"/>
      <c r="B71" s="2404"/>
      <c r="C71" s="2640"/>
      <c r="D71" s="2640"/>
      <c r="E71" s="2640"/>
      <c r="F71" s="2640"/>
      <c r="G71" s="2641"/>
      <c r="H71" s="2678"/>
      <c r="I71" s="2678"/>
      <c r="J71" s="2678"/>
      <c r="K71" s="2678"/>
      <c r="L71" s="2678"/>
      <c r="M71" s="2678"/>
      <c r="N71" s="2678"/>
      <c r="O71" s="2678"/>
      <c r="P71" s="2678"/>
      <c r="Q71" s="2678"/>
      <c r="R71" s="2678"/>
      <c r="S71" s="2678"/>
    </row>
    <row r="72" spans="1:19">
      <c r="A72" s="2421"/>
      <c r="B72" s="2404"/>
      <c r="C72" s="2405"/>
      <c r="D72" s="2405"/>
      <c r="E72" s="2405"/>
      <c r="F72" s="2405"/>
      <c r="G72" s="2423"/>
      <c r="H72" s="2382"/>
      <c r="I72" s="2382"/>
      <c r="J72" s="2382"/>
      <c r="K72" s="2382"/>
      <c r="L72" s="2382"/>
      <c r="M72" s="2382"/>
      <c r="N72" s="2382"/>
      <c r="O72" s="2382"/>
      <c r="P72" s="2382"/>
      <c r="Q72" s="2382"/>
      <c r="R72" s="2382"/>
      <c r="S72" s="2382"/>
    </row>
    <row r="73" spans="1:19" ht="15.75" thickBot="1">
      <c r="A73" s="2383"/>
      <c r="B73" s="2384"/>
      <c r="C73" s="2405"/>
      <c r="D73" s="2405"/>
      <c r="E73" s="2405"/>
      <c r="F73" s="2405"/>
      <c r="G73" s="2423"/>
      <c r="H73" s="2385"/>
      <c r="I73" s="2385"/>
      <c r="J73" s="2385"/>
      <c r="K73" s="2385"/>
      <c r="L73" s="2385"/>
      <c r="M73" s="2385"/>
      <c r="N73" s="2385"/>
      <c r="O73" s="2385"/>
      <c r="P73" s="2385"/>
      <c r="Q73" s="2385"/>
      <c r="R73" s="2385"/>
      <c r="S73" s="2385"/>
    </row>
    <row r="74" spans="1:19" ht="16.5" thickTop="1" thickBot="1">
      <c r="A74" s="726" t="s">
        <v>576</v>
      </c>
      <c r="B74" s="727"/>
      <c r="C74" s="12"/>
      <c r="D74" s="12"/>
      <c r="E74" s="12"/>
      <c r="F74" s="12"/>
      <c r="G74" s="13"/>
      <c r="H74" s="21"/>
      <c r="I74" s="21"/>
      <c r="J74" s="21"/>
      <c r="K74" s="21"/>
      <c r="L74" s="21"/>
      <c r="M74" s="21"/>
      <c r="N74" s="21"/>
      <c r="O74" s="21"/>
      <c r="P74" s="21"/>
      <c r="Q74" s="21"/>
      <c r="R74" s="21"/>
      <c r="S74" s="21"/>
    </row>
    <row r="75" spans="1:19" ht="15.75" thickTop="1">
      <c r="A75" s="2643"/>
      <c r="B75" s="2644"/>
      <c r="C75" s="2640"/>
      <c r="D75" s="2640"/>
      <c r="E75" s="2640"/>
      <c r="F75" s="2640"/>
      <c r="G75" s="2641"/>
      <c r="H75" s="2678"/>
      <c r="I75" s="2678"/>
      <c r="J75" s="2678"/>
      <c r="K75" s="2678"/>
      <c r="L75" s="2678"/>
      <c r="M75" s="2678"/>
      <c r="N75" s="2678"/>
      <c r="O75" s="2678"/>
      <c r="P75" s="2678"/>
      <c r="Q75" s="2678"/>
      <c r="R75" s="2678"/>
      <c r="S75" s="2678"/>
    </row>
    <row r="76" spans="1:19">
      <c r="A76" s="2383"/>
      <c r="B76" s="2384"/>
      <c r="C76" s="2405"/>
      <c r="D76" s="2405"/>
      <c r="E76" s="2405"/>
      <c r="F76" s="2405"/>
      <c r="G76" s="2423"/>
      <c r="H76" s="2388"/>
      <c r="I76" s="2388"/>
      <c r="J76" s="2388"/>
      <c r="K76" s="2388"/>
      <c r="L76" s="2388"/>
      <c r="M76" s="2388"/>
      <c r="N76" s="2388"/>
      <c r="O76" s="2388"/>
      <c r="P76" s="2388"/>
      <c r="Q76" s="2388"/>
      <c r="R76" s="2388"/>
      <c r="S76" s="2388"/>
    </row>
    <row r="77" spans="1:19" ht="15.75" thickBot="1">
      <c r="A77" s="2383"/>
      <c r="B77" s="2384"/>
      <c r="C77" s="2405"/>
      <c r="D77" s="2405"/>
      <c r="E77" s="2405"/>
      <c r="F77" s="2405"/>
      <c r="G77" s="2423"/>
      <c r="H77" s="2388"/>
      <c r="I77" s="2388"/>
      <c r="J77" s="2388"/>
      <c r="K77" s="2388"/>
      <c r="L77" s="2388"/>
      <c r="M77" s="2388"/>
      <c r="N77" s="2388"/>
      <c r="O77" s="2388"/>
      <c r="P77" s="2388"/>
      <c r="Q77" s="2388"/>
      <c r="R77" s="2388"/>
      <c r="S77" s="2388"/>
    </row>
    <row r="78" spans="1:19" ht="16.5" thickTop="1" thickBot="1">
      <c r="A78" s="726" t="s">
        <v>577</v>
      </c>
      <c r="B78" s="727"/>
      <c r="C78" s="12"/>
      <c r="D78" s="12"/>
      <c r="E78" s="12"/>
      <c r="F78" s="12"/>
      <c r="G78" s="13"/>
      <c r="H78" s="21"/>
      <c r="I78" s="21"/>
      <c r="J78" s="21"/>
      <c r="K78" s="21"/>
      <c r="L78" s="21"/>
      <c r="M78" s="21"/>
      <c r="N78" s="21"/>
      <c r="O78" s="21"/>
      <c r="P78" s="21"/>
      <c r="Q78" s="21"/>
      <c r="R78" s="21"/>
      <c r="S78" s="21"/>
    </row>
    <row r="79" spans="1:19" ht="15.75" thickTop="1">
      <c r="A79" s="2421"/>
      <c r="B79" s="2404" t="s">
        <v>578</v>
      </c>
      <c r="C79" s="2405"/>
      <c r="D79" s="2405"/>
      <c r="E79" s="2405"/>
      <c r="F79" s="2405"/>
      <c r="G79" s="2423"/>
      <c r="H79" s="2388"/>
      <c r="I79" s="2388"/>
      <c r="J79" s="2388"/>
      <c r="K79" s="2388"/>
      <c r="L79" s="2388"/>
      <c r="M79" s="2388"/>
      <c r="N79" s="2388"/>
      <c r="O79" s="2388"/>
      <c r="P79" s="2388"/>
      <c r="Q79" s="2388"/>
      <c r="R79" s="2388"/>
      <c r="S79" s="2388"/>
    </row>
    <row r="80" spans="1:19">
      <c r="A80" s="2421"/>
      <c r="B80" s="2404" t="s">
        <v>579</v>
      </c>
      <c r="C80" s="2405"/>
      <c r="D80" s="2405"/>
      <c r="E80" s="2405"/>
      <c r="F80" s="2405"/>
      <c r="G80" s="2423"/>
      <c r="H80" s="2388"/>
      <c r="I80" s="2388"/>
      <c r="J80" s="2388"/>
      <c r="K80" s="2388"/>
      <c r="L80" s="2388"/>
      <c r="M80" s="2388"/>
      <c r="N80" s="2388"/>
      <c r="O80" s="2388"/>
      <c r="P80" s="2388"/>
      <c r="Q80" s="2388"/>
      <c r="R80" s="2388"/>
      <c r="S80" s="2388"/>
    </row>
    <row r="81" spans="1:19">
      <c r="A81" s="2421"/>
      <c r="B81" s="2404" t="s">
        <v>580</v>
      </c>
      <c r="C81" s="2405"/>
      <c r="D81" s="2405"/>
      <c r="E81" s="2405"/>
      <c r="F81" s="2405"/>
      <c r="G81" s="2423"/>
      <c r="H81" s="2388"/>
      <c r="I81" s="2388"/>
      <c r="J81" s="2388"/>
      <c r="K81" s="2388"/>
      <c r="L81" s="2388"/>
      <c r="M81" s="2388"/>
      <c r="N81" s="2388"/>
      <c r="O81" s="2388"/>
      <c r="P81" s="2388"/>
      <c r="Q81" s="2388"/>
      <c r="R81" s="2388"/>
      <c r="S81" s="2388"/>
    </row>
    <row r="82" spans="1:19">
      <c r="A82" s="2421"/>
      <c r="B82" s="2404" t="s">
        <v>581</v>
      </c>
      <c r="C82" s="2405"/>
      <c r="D82" s="2405"/>
      <c r="E82" s="2405"/>
      <c r="F82" s="2405"/>
      <c r="G82" s="2423"/>
      <c r="H82" s="2388"/>
      <c r="I82" s="2388"/>
      <c r="J82" s="2388"/>
      <c r="K82" s="2388"/>
      <c r="L82" s="2388"/>
      <c r="M82" s="2388"/>
      <c r="N82" s="2388"/>
      <c r="O82" s="2388"/>
      <c r="P82" s="2388"/>
      <c r="Q82" s="2388"/>
      <c r="R82" s="2388"/>
      <c r="S82" s="2388"/>
    </row>
    <row r="83" spans="1:19" ht="15.75" thickBot="1">
      <c r="A83" s="416"/>
      <c r="B83" s="295"/>
      <c r="C83" s="184"/>
      <c r="D83" s="184"/>
      <c r="E83" s="184"/>
      <c r="F83" s="184"/>
      <c r="G83" s="296"/>
      <c r="H83" s="418"/>
      <c r="I83" s="418"/>
      <c r="J83" s="418"/>
      <c r="K83" s="418"/>
      <c r="L83" s="418"/>
      <c r="M83" s="418"/>
      <c r="N83" s="418"/>
      <c r="O83" s="418"/>
      <c r="P83" s="418"/>
      <c r="Q83" s="418"/>
      <c r="R83" s="418"/>
      <c r="S83" s="418"/>
    </row>
    <row r="84" spans="1:19" ht="16.5" thickTop="1" thickBot="1">
      <c r="A84" s="7" t="s">
        <v>582</v>
      </c>
      <c r="B84" s="8"/>
      <c r="C84" s="12"/>
      <c r="D84" s="12"/>
      <c r="E84" s="12"/>
      <c r="F84" s="12"/>
      <c r="G84" s="13"/>
      <c r="H84" s="21"/>
      <c r="I84" s="21"/>
      <c r="J84" s="21"/>
      <c r="K84" s="21"/>
      <c r="L84" s="21"/>
      <c r="M84" s="21"/>
      <c r="N84" s="21"/>
      <c r="O84" s="21"/>
      <c r="P84" s="21"/>
      <c r="Q84" s="21"/>
      <c r="R84" s="21"/>
      <c r="S84" s="21"/>
    </row>
    <row r="85" spans="1:19" ht="15.75" thickTop="1">
      <c r="A85" s="2639"/>
      <c r="B85" s="2645" t="s">
        <v>583</v>
      </c>
      <c r="C85" s="2640"/>
      <c r="D85" s="2640"/>
      <c r="E85" s="2640"/>
      <c r="F85" s="2640"/>
      <c r="G85" s="2641"/>
      <c r="H85" s="2687"/>
      <c r="I85" s="2687"/>
      <c r="J85" s="2687"/>
      <c r="K85" s="2687"/>
      <c r="L85" s="2687"/>
      <c r="M85" s="2687"/>
      <c r="N85" s="2687"/>
      <c r="O85" s="2687"/>
      <c r="P85" s="2687"/>
      <c r="Q85" s="2687"/>
      <c r="R85" s="2687"/>
      <c r="S85" s="2687"/>
    </row>
    <row r="86" spans="1:19">
      <c r="A86" s="2421"/>
      <c r="B86" s="2404" t="s">
        <v>584</v>
      </c>
      <c r="C86" s="2405"/>
      <c r="D86" s="2405"/>
      <c r="E86" s="2405"/>
      <c r="F86" s="2405"/>
      <c r="G86" s="2423"/>
      <c r="H86" s="2390"/>
      <c r="I86" s="2390"/>
      <c r="J86" s="2390"/>
      <c r="K86" s="2390"/>
      <c r="L86" s="2390"/>
      <c r="M86" s="2390"/>
      <c r="N86" s="2390"/>
      <c r="O86" s="2390"/>
      <c r="P86" s="2390"/>
      <c r="Q86" s="2390"/>
      <c r="R86" s="2390"/>
      <c r="S86" s="2390"/>
    </row>
    <row r="87" spans="1:19" ht="15.75" thickBot="1">
      <c r="A87" s="2391"/>
      <c r="B87" s="2392" t="s">
        <v>585</v>
      </c>
      <c r="C87" s="2393"/>
      <c r="D87" s="2393"/>
      <c r="E87" s="2393"/>
      <c r="F87" s="2393"/>
      <c r="G87" s="2394"/>
      <c r="H87" s="2395"/>
      <c r="I87" s="2395"/>
      <c r="J87" s="2395"/>
      <c r="K87" s="2395"/>
      <c r="L87" s="2395"/>
      <c r="M87" s="2395"/>
      <c r="N87" s="2395"/>
      <c r="O87" s="2395"/>
      <c r="P87" s="2395"/>
      <c r="Q87" s="2395"/>
      <c r="R87" s="2395"/>
      <c r="S87" s="2395"/>
    </row>
    <row r="88" spans="1:19" ht="16.5" thickTop="1" thickBot="1"/>
    <row r="89" spans="1:19" ht="16.5" thickTop="1" thickBot="1">
      <c r="A89" s="92" t="s">
        <v>586</v>
      </c>
      <c r="B89" s="94"/>
    </row>
    <row r="90" spans="1:19" ht="15.75" thickTop="1">
      <c r="A90" s="93" t="s">
        <v>487</v>
      </c>
      <c r="B90" s="2396"/>
    </row>
    <row r="91" spans="1:19">
      <c r="A91" s="2397" t="s">
        <v>491</v>
      </c>
      <c r="B91" s="2396"/>
    </row>
    <row r="92" spans="1:19">
      <c r="A92" s="2398" t="s">
        <v>494</v>
      </c>
      <c r="B92" s="2399"/>
    </row>
    <row r="93" spans="1:19">
      <c r="A93" s="2398" t="s">
        <v>497</v>
      </c>
      <c r="B93" s="2400"/>
    </row>
    <row r="94" spans="1:19" ht="15.75" thickBot="1">
      <c r="A94" s="2401" t="s">
        <v>587</v>
      </c>
      <c r="B94" s="2402">
        <f>H8</f>
        <v>34354.5</v>
      </c>
    </row>
    <row r="95" spans="1:19" ht="15.75" thickTop="1"/>
    <row r="96" spans="1:19">
      <c r="A96" s="95"/>
      <c r="B96" s="1" t="s">
        <v>588</v>
      </c>
    </row>
    <row r="97" spans="1:2">
      <c r="A97" s="96"/>
      <c r="B9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2:B62"/>
    <mergeCell ref="A66:B66"/>
    <mergeCell ref="A70:B70"/>
    <mergeCell ref="A74:B74"/>
    <mergeCell ref="A78:B78"/>
  </mergeCells>
  <conditionalFormatting sqref="H21:H31 H33:H53 J33:J53 L33:L53 N33:N53 P33:P53 R33:R53">
    <cfRule type="cellIs" dxfId="581" priority="13" operator="equal">
      <formula>"X"</formula>
    </cfRule>
    <cfRule type="cellIs" dxfId="580" priority="14" operator="equal">
      <formula>"I"</formula>
    </cfRule>
  </conditionalFormatting>
  <conditionalFormatting sqref="J21:J31">
    <cfRule type="cellIs" dxfId="579" priority="15" operator="equal">
      <formula>"X"</formula>
    </cfRule>
    <cfRule type="cellIs" dxfId="578" priority="16" operator="equal">
      <formula>"I"</formula>
    </cfRule>
  </conditionalFormatting>
  <conditionalFormatting sqref="L21:L31">
    <cfRule type="cellIs" dxfId="577" priority="17" operator="equal">
      <formula>"X"</formula>
    </cfRule>
    <cfRule type="cellIs" dxfId="576" priority="18" operator="equal">
      <formula>"I"</formula>
    </cfRule>
  </conditionalFormatting>
  <conditionalFormatting sqref="N21:N31">
    <cfRule type="cellIs" dxfId="575" priority="19" operator="equal">
      <formula>"X"</formula>
    </cfRule>
    <cfRule type="cellIs" dxfId="574" priority="20" operator="equal">
      <formula>"I"</formula>
    </cfRule>
  </conditionalFormatting>
  <conditionalFormatting sqref="P21:P31">
    <cfRule type="cellIs" dxfId="573" priority="21" operator="equal">
      <formula>"X"</formula>
    </cfRule>
    <cfRule type="cellIs" dxfId="572" priority="22" operator="equal">
      <formula>"I"</formula>
    </cfRule>
  </conditionalFormatting>
  <conditionalFormatting sqref="R21:R31">
    <cfRule type="cellIs" dxfId="571" priority="23" operator="equal">
      <formula>"X"</formula>
    </cfRule>
    <cfRule type="cellIs" dxfId="570" priority="24" operator="equal">
      <formula>"I"</formula>
    </cfRule>
  </conditionalFormatting>
  <hyperlinks>
    <hyperlink ref="B3" location="'Cost Summary'!A1" display="BACK TO SUMMARY SHEET" xr:uid="{8135DB78-2858-431C-912B-06707BA9A8AD}"/>
  </hyperlink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8641-9023-4264-AFE0-A1C9D07130DF}">
  <sheetPr>
    <tabColor rgb="FF92D050"/>
  </sheetPr>
  <dimension ref="A1:S91"/>
  <sheetViews>
    <sheetView zoomScale="85" zoomScaleNormal="85" workbookViewId="0">
      <pane xSplit="2" ySplit="19" topLeftCell="C20" activePane="bottomRight" state="frozen"/>
      <selection pane="bottomRight" activeCell="B6" sqref="B6"/>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1173</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1174</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I52</f>
        <v>0</v>
      </c>
      <c r="I8" s="2419"/>
      <c r="J8" s="2418">
        <f>K52</f>
        <v>0</v>
      </c>
      <c r="K8" s="2419"/>
      <c r="L8" s="2418">
        <f>M52</f>
        <v>0</v>
      </c>
      <c r="M8" s="2419"/>
      <c r="N8" s="2418">
        <f>O52</f>
        <v>0</v>
      </c>
      <c r="O8" s="2419"/>
      <c r="P8" s="2418">
        <f>Q52</f>
        <v>0</v>
      </c>
      <c r="Q8" s="2419"/>
      <c r="R8" s="2418">
        <f>S52</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651"/>
      <c r="B20" s="2404"/>
      <c r="C20" s="2426"/>
      <c r="D20" s="2405"/>
      <c r="E20" s="2405"/>
      <c r="F20" s="2405"/>
      <c r="G20" s="2423"/>
      <c r="H20" s="2427"/>
      <c r="I20" s="2424"/>
      <c r="J20" s="2427"/>
      <c r="K20" s="2424"/>
      <c r="L20" s="2427"/>
      <c r="M20" s="2424"/>
      <c r="N20" s="2427"/>
      <c r="O20" s="2424"/>
      <c r="P20" s="2427"/>
      <c r="Q20" s="2424"/>
      <c r="R20" s="2427"/>
      <c r="S20" s="2424"/>
    </row>
    <row r="21" spans="1:19">
      <c r="A21" s="2651"/>
      <c r="B21" s="2428" t="s">
        <v>1173</v>
      </c>
      <c r="C21" s="56"/>
      <c r="D21" s="57"/>
      <c r="E21" s="57"/>
      <c r="F21" s="57"/>
      <c r="G21" s="63"/>
      <c r="H21" s="2427"/>
      <c r="I21" s="2649"/>
      <c r="J21" s="2427"/>
      <c r="K21" s="2650"/>
      <c r="L21" s="2427"/>
      <c r="M21" s="2650"/>
      <c r="N21" s="2427"/>
      <c r="O21" s="2650"/>
      <c r="P21" s="2427"/>
      <c r="Q21" s="2650"/>
      <c r="R21" s="2427"/>
      <c r="S21" s="2650"/>
    </row>
    <row r="22" spans="1:19">
      <c r="A22" s="2651"/>
      <c r="B22" s="2318" t="s">
        <v>512</v>
      </c>
      <c r="C22" s="2426"/>
      <c r="D22" s="2405"/>
      <c r="E22" s="2405"/>
      <c r="F22" s="2405"/>
      <c r="G22" s="2423"/>
      <c r="H22" s="2427"/>
      <c r="I22" s="2649"/>
      <c r="J22" s="2427"/>
      <c r="K22" s="2650"/>
      <c r="L22" s="2427"/>
      <c r="M22" s="2650"/>
      <c r="N22" s="2427"/>
      <c r="O22" s="2650"/>
      <c r="P22" s="2427"/>
      <c r="Q22" s="2650"/>
      <c r="R22" s="2427"/>
      <c r="S22" s="2650"/>
    </row>
    <row r="23" spans="1:19">
      <c r="A23" s="2651"/>
      <c r="B23" s="2716" t="s">
        <v>513</v>
      </c>
      <c r="C23" s="2426"/>
      <c r="D23" s="2405"/>
      <c r="E23" s="2405"/>
      <c r="F23" s="2405"/>
      <c r="G23" s="2423"/>
      <c r="H23" s="2427"/>
      <c r="I23" s="2649"/>
      <c r="J23" s="2427"/>
      <c r="K23" s="2650"/>
      <c r="L23" s="2427"/>
      <c r="M23" s="2650"/>
      <c r="N23" s="2427"/>
      <c r="O23" s="2650"/>
      <c r="P23" s="2427"/>
      <c r="Q23" s="2650"/>
      <c r="R23" s="2427"/>
      <c r="S23" s="2650"/>
    </row>
    <row r="24" spans="1:19">
      <c r="A24" s="2651"/>
      <c r="B24" s="2716" t="s">
        <v>514</v>
      </c>
      <c r="C24" s="2430"/>
      <c r="D24" s="2405"/>
      <c r="E24" s="2405"/>
      <c r="F24" s="2405"/>
      <c r="G24" s="2423"/>
      <c r="H24" s="2427"/>
      <c r="I24" s="2649"/>
      <c r="J24" s="2427"/>
      <c r="K24" s="2650"/>
      <c r="L24" s="2427"/>
      <c r="M24" s="2650"/>
      <c r="N24" s="2427"/>
      <c r="O24" s="2650"/>
      <c r="P24" s="2427"/>
      <c r="Q24" s="2650"/>
      <c r="R24" s="2427"/>
      <c r="S24" s="2650"/>
    </row>
    <row r="25" spans="1:19">
      <c r="A25" s="2636"/>
      <c r="B25" s="2717"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636"/>
      <c r="B26" s="2717" t="s">
        <v>516</v>
      </c>
      <c r="C26" s="2432"/>
      <c r="D26" s="2433"/>
      <c r="E26" s="2433"/>
      <c r="F26" s="2433"/>
      <c r="G26" s="2432"/>
      <c r="H26" s="2427"/>
      <c r="I26" s="2649"/>
      <c r="J26" s="2427"/>
      <c r="K26" s="2718"/>
      <c r="L26" s="2427"/>
      <c r="M26" s="2718"/>
      <c r="N26" s="2427"/>
      <c r="O26" s="2718"/>
      <c r="P26" s="2427"/>
      <c r="Q26" s="2718"/>
      <c r="R26" s="2427"/>
      <c r="S26" s="2718"/>
    </row>
    <row r="27" spans="1:19" s="91" customFormat="1">
      <c r="A27" s="2651"/>
      <c r="B27" s="2717" t="s">
        <v>517</v>
      </c>
      <c r="C27" s="2432"/>
      <c r="D27" s="2433"/>
      <c r="E27" s="2433"/>
      <c r="F27" s="2433"/>
      <c r="G27" s="2432"/>
      <c r="H27" s="2427"/>
      <c r="I27" s="2649"/>
      <c r="J27" s="2427"/>
      <c r="K27" s="2718"/>
      <c r="L27" s="2427"/>
      <c r="M27" s="2718"/>
      <c r="N27" s="2427"/>
      <c r="O27" s="2718"/>
      <c r="P27" s="2427"/>
      <c r="Q27" s="2718"/>
      <c r="R27" s="2427"/>
      <c r="S27" s="2718"/>
    </row>
    <row r="28" spans="1:19" s="91" customFormat="1">
      <c r="A28" s="2651"/>
      <c r="B28" s="2717" t="s">
        <v>518</v>
      </c>
      <c r="C28" s="2432"/>
      <c r="D28" s="2433"/>
      <c r="E28" s="2433"/>
      <c r="F28" s="2433"/>
      <c r="G28" s="2432"/>
      <c r="H28" s="2427"/>
      <c r="I28" s="2649"/>
      <c r="J28" s="2427"/>
      <c r="K28" s="2718"/>
      <c r="L28" s="2427"/>
      <c r="M28" s="2718"/>
      <c r="N28" s="2427"/>
      <c r="O28" s="2718"/>
      <c r="P28" s="2427"/>
      <c r="Q28" s="2718"/>
      <c r="R28" s="2427"/>
      <c r="S28" s="2718"/>
    </row>
    <row r="29" spans="1:19" s="91" customFormat="1">
      <c r="A29" s="2651"/>
      <c r="B29" s="2717" t="s">
        <v>693</v>
      </c>
      <c r="C29" s="2432"/>
      <c r="D29" s="2433"/>
      <c r="E29" s="2433"/>
      <c r="F29" s="2433"/>
      <c r="G29" s="2432"/>
      <c r="H29" s="2427"/>
      <c r="I29" s="2649"/>
      <c r="J29" s="2427"/>
      <c r="K29" s="2718"/>
      <c r="L29" s="2427"/>
      <c r="M29" s="2718"/>
      <c r="N29" s="2427"/>
      <c r="O29" s="2718"/>
      <c r="P29" s="2427"/>
      <c r="Q29" s="2718"/>
      <c r="R29" s="2427"/>
      <c r="S29" s="2718"/>
    </row>
    <row r="30" spans="1:19" s="91" customFormat="1">
      <c r="A30" s="2651"/>
      <c r="B30" s="2719" t="s">
        <v>519</v>
      </c>
      <c r="C30" s="2432"/>
      <c r="D30" s="2433"/>
      <c r="E30" s="2433"/>
      <c r="F30" s="2433"/>
      <c r="G30" s="2432"/>
      <c r="H30" s="2427"/>
      <c r="I30" s="2649"/>
      <c r="J30" s="2427"/>
      <c r="K30" s="2718"/>
      <c r="L30" s="2427"/>
      <c r="M30" s="2718"/>
      <c r="N30" s="2427"/>
      <c r="O30" s="2718"/>
      <c r="P30" s="2427"/>
      <c r="Q30" s="2718"/>
      <c r="R30" s="2427"/>
      <c r="S30" s="2718"/>
    </row>
    <row r="31" spans="1:19" s="91" customFormat="1">
      <c r="A31" s="2651"/>
      <c r="B31" s="2720" t="s">
        <v>520</v>
      </c>
      <c r="C31" s="2435"/>
      <c r="D31" s="2436"/>
      <c r="E31" s="2436"/>
      <c r="F31" s="2436"/>
      <c r="G31" s="2435"/>
      <c r="H31" s="2439"/>
      <c r="I31" s="2721"/>
      <c r="J31" s="2443"/>
      <c r="K31" s="2722"/>
      <c r="L31" s="2443"/>
      <c r="M31" s="2722"/>
      <c r="N31" s="2722"/>
      <c r="O31" s="2722"/>
      <c r="P31" s="2722"/>
      <c r="Q31" s="2722"/>
      <c r="R31" s="2722"/>
      <c r="S31" s="2722"/>
    </row>
    <row r="32" spans="1:19" s="91" customFormat="1">
      <c r="A32" s="2651"/>
      <c r="B32" s="145" t="s">
        <v>748</v>
      </c>
      <c r="C32" s="2432"/>
      <c r="D32" s="2433"/>
      <c r="E32" s="2433"/>
      <c r="F32" s="2433"/>
      <c r="G32" s="2432"/>
      <c r="H32" s="2427"/>
      <c r="I32" s="2649"/>
      <c r="J32" s="2427"/>
      <c r="K32" s="2718"/>
      <c r="L32" s="2427"/>
      <c r="M32" s="2718"/>
      <c r="N32" s="2427"/>
      <c r="O32" s="2718"/>
      <c r="P32" s="2427"/>
      <c r="Q32" s="2718"/>
      <c r="R32" s="2427"/>
      <c r="S32" s="2718"/>
    </row>
    <row r="33" spans="1:19" s="91" customFormat="1">
      <c r="A33" s="2651"/>
      <c r="B33" s="2545"/>
      <c r="C33" s="2432"/>
      <c r="D33" s="2433"/>
      <c r="E33" s="2433"/>
      <c r="F33" s="2433"/>
      <c r="G33" s="2432"/>
      <c r="H33" s="2427"/>
      <c r="I33" s="2649"/>
      <c r="J33" s="2427"/>
      <c r="K33" s="2718"/>
      <c r="L33" s="2427"/>
      <c r="M33" s="2718"/>
      <c r="N33" s="2427"/>
      <c r="O33" s="2718"/>
      <c r="P33" s="2427"/>
      <c r="Q33" s="2718"/>
      <c r="R33" s="2427"/>
      <c r="S33" s="2718"/>
    </row>
    <row r="34" spans="1:19" s="91" customFormat="1">
      <c r="A34" s="2636"/>
      <c r="B34" s="2696"/>
      <c r="C34" s="2445"/>
      <c r="D34" s="2433"/>
      <c r="E34" s="2546"/>
      <c r="F34" s="2547"/>
      <c r="G34" s="2432"/>
      <c r="H34" s="2427"/>
      <c r="I34" s="2649"/>
      <c r="J34" s="2427"/>
      <c r="K34" s="2718"/>
      <c r="L34" s="2427"/>
      <c r="M34" s="2718"/>
      <c r="N34" s="2427"/>
      <c r="O34" s="2718"/>
      <c r="P34" s="2427"/>
      <c r="Q34" s="2718"/>
      <c r="R34" s="2427"/>
      <c r="S34" s="2718"/>
    </row>
    <row r="35" spans="1:19" s="91" customFormat="1">
      <c r="A35" s="2636"/>
      <c r="B35" s="2730"/>
      <c r="C35" s="2445"/>
      <c r="D35" s="2433"/>
      <c r="E35" s="2546"/>
      <c r="F35" s="2547"/>
      <c r="G35" s="2432"/>
      <c r="H35" s="2427"/>
      <c r="I35" s="2649"/>
      <c r="J35" s="2427"/>
      <c r="K35" s="2718"/>
      <c r="L35" s="2427"/>
      <c r="M35" s="2718"/>
      <c r="N35" s="2427"/>
      <c r="O35" s="2718"/>
      <c r="P35" s="2427"/>
      <c r="Q35" s="2718"/>
      <c r="R35" s="2427"/>
      <c r="S35" s="2718"/>
    </row>
    <row r="36" spans="1:19" s="91" customFormat="1">
      <c r="A36" s="2636"/>
      <c r="B36" s="152"/>
      <c r="C36" s="2445"/>
      <c r="D36" s="2433"/>
      <c r="E36" s="2546"/>
      <c r="F36" s="2547"/>
      <c r="G36" s="2432"/>
      <c r="H36" s="2427" t="s">
        <v>710</v>
      </c>
      <c r="I36" s="2649"/>
      <c r="J36" s="2427"/>
      <c r="K36" s="2718"/>
      <c r="L36" s="2427"/>
      <c r="M36" s="2718"/>
      <c r="N36" s="2427"/>
      <c r="O36" s="2718"/>
      <c r="P36" s="2427"/>
      <c r="Q36" s="2718"/>
      <c r="R36" s="2427"/>
      <c r="S36" s="2718"/>
    </row>
    <row r="37" spans="1:19" s="91" customFormat="1">
      <c r="A37" s="2636"/>
      <c r="B37" s="2545"/>
      <c r="C37" s="2445"/>
      <c r="D37" s="2433"/>
      <c r="E37" s="2546"/>
      <c r="F37" s="2547"/>
      <c r="G37" s="2432"/>
      <c r="H37" s="2427"/>
      <c r="I37" s="2649"/>
      <c r="J37" s="2427"/>
      <c r="K37" s="2718"/>
      <c r="L37" s="2427"/>
      <c r="M37" s="2718"/>
      <c r="N37" s="2427"/>
      <c r="O37" s="2718"/>
      <c r="P37" s="2427"/>
      <c r="Q37" s="2718"/>
      <c r="R37" s="2427"/>
      <c r="S37" s="2718"/>
    </row>
    <row r="38" spans="1:19" s="91" customFormat="1">
      <c r="A38" s="2636"/>
      <c r="B38" s="2545"/>
      <c r="C38" s="2445"/>
      <c r="D38" s="2433"/>
      <c r="E38" s="2546"/>
      <c r="F38" s="2547"/>
      <c r="G38" s="2432"/>
      <c r="H38" s="2427"/>
      <c r="I38" s="2649"/>
      <c r="J38" s="2427"/>
      <c r="K38" s="2718"/>
      <c r="L38" s="2427"/>
      <c r="M38" s="2718"/>
      <c r="N38" s="2427"/>
      <c r="O38" s="2718"/>
      <c r="P38" s="2427"/>
      <c r="Q38" s="2718"/>
      <c r="R38" s="2427"/>
      <c r="S38" s="2718"/>
    </row>
    <row r="39" spans="1:19" s="91" customFormat="1">
      <c r="A39" s="2636"/>
      <c r="B39" s="2545"/>
      <c r="C39" s="2445"/>
      <c r="D39" s="2433"/>
      <c r="E39" s="2546"/>
      <c r="F39" s="2547"/>
      <c r="G39" s="2432"/>
      <c r="H39" s="2427"/>
      <c r="I39" s="2649"/>
      <c r="J39" s="2427"/>
      <c r="K39" s="2718"/>
      <c r="L39" s="2427"/>
      <c r="M39" s="2718"/>
      <c r="N39" s="2427"/>
      <c r="O39" s="2718"/>
      <c r="P39" s="2427"/>
      <c r="Q39" s="2718"/>
      <c r="R39" s="2427"/>
      <c r="S39" s="2718"/>
    </row>
    <row r="40" spans="1:19" s="91" customFormat="1">
      <c r="A40" s="2636"/>
      <c r="B40" s="2545"/>
      <c r="C40" s="2445"/>
      <c r="D40" s="2433"/>
      <c r="E40" s="2546"/>
      <c r="F40" s="2547"/>
      <c r="G40" s="2432"/>
      <c r="H40" s="2427"/>
      <c r="I40" s="2649"/>
      <c r="J40" s="2427"/>
      <c r="K40" s="2718"/>
      <c r="L40" s="2427"/>
      <c r="M40" s="2718"/>
      <c r="N40" s="2427"/>
      <c r="O40" s="2718"/>
      <c r="P40" s="2427"/>
      <c r="Q40" s="2718"/>
      <c r="R40" s="2427"/>
      <c r="S40" s="2718"/>
    </row>
    <row r="41" spans="1:19" s="91" customFormat="1">
      <c r="A41" s="2636"/>
      <c r="B41" s="2545"/>
      <c r="C41" s="2445"/>
      <c r="D41" s="2433"/>
      <c r="E41" s="2546"/>
      <c r="F41" s="2547"/>
      <c r="G41" s="2432"/>
      <c r="H41" s="2427"/>
      <c r="I41" s="2649"/>
      <c r="J41" s="2427"/>
      <c r="K41" s="2718"/>
      <c r="L41" s="2427"/>
      <c r="M41" s="2718"/>
      <c r="N41" s="2427"/>
      <c r="O41" s="2718"/>
      <c r="P41" s="2427"/>
      <c r="Q41" s="2718"/>
      <c r="R41" s="2427"/>
      <c r="S41" s="2718"/>
    </row>
    <row r="42" spans="1:19" s="91" customFormat="1">
      <c r="A42" s="2636"/>
      <c r="B42" s="2545"/>
      <c r="C42" s="2445"/>
      <c r="D42" s="2433"/>
      <c r="E42" s="2546"/>
      <c r="F42" s="2547"/>
      <c r="G42" s="2432"/>
      <c r="H42" s="2427"/>
      <c r="I42" s="2649"/>
      <c r="J42" s="2427"/>
      <c r="K42" s="2718"/>
      <c r="L42" s="2427"/>
      <c r="M42" s="2718"/>
      <c r="N42" s="2427"/>
      <c r="O42" s="2718"/>
      <c r="P42" s="2427"/>
      <c r="Q42" s="2718"/>
      <c r="R42" s="2427"/>
      <c r="S42" s="2718"/>
    </row>
    <row r="43" spans="1:19" s="91" customFormat="1">
      <c r="A43" s="2636"/>
      <c r="B43" s="2545"/>
      <c r="C43" s="2445"/>
      <c r="D43" s="2433"/>
      <c r="E43" s="2546"/>
      <c r="F43" s="2547"/>
      <c r="G43" s="2432"/>
      <c r="H43" s="2427"/>
      <c r="I43" s="2649"/>
      <c r="J43" s="2427"/>
      <c r="K43" s="2718"/>
      <c r="L43" s="2427"/>
      <c r="M43" s="2718"/>
      <c r="N43" s="2427"/>
      <c r="O43" s="2718"/>
      <c r="P43" s="2427"/>
      <c r="Q43" s="2718"/>
      <c r="R43" s="2427"/>
      <c r="S43" s="2718"/>
    </row>
    <row r="44" spans="1:19" s="91" customFormat="1">
      <c r="A44" s="2636"/>
      <c r="B44" s="2545"/>
      <c r="C44" s="2445"/>
      <c r="D44" s="2433"/>
      <c r="E44" s="2546"/>
      <c r="F44" s="2547"/>
      <c r="G44" s="2432"/>
      <c r="H44" s="2427"/>
      <c r="I44" s="2649"/>
      <c r="J44" s="2427"/>
      <c r="K44" s="2718"/>
      <c r="L44" s="2427"/>
      <c r="M44" s="2718"/>
      <c r="N44" s="2427"/>
      <c r="O44" s="2718"/>
      <c r="P44" s="2427"/>
      <c r="Q44" s="2718"/>
      <c r="R44" s="2427"/>
      <c r="S44" s="2718"/>
    </row>
    <row r="45" spans="1:19" s="91" customFormat="1">
      <c r="A45" s="2636"/>
      <c r="B45" s="2545"/>
      <c r="C45" s="2445"/>
      <c r="D45" s="2433"/>
      <c r="E45" s="2546"/>
      <c r="F45" s="2547"/>
      <c r="G45" s="2432"/>
      <c r="H45" s="2427"/>
      <c r="I45" s="2649"/>
      <c r="J45" s="2427"/>
      <c r="K45" s="2718"/>
      <c r="L45" s="2427"/>
      <c r="M45" s="2718"/>
      <c r="N45" s="2427"/>
      <c r="O45" s="2718"/>
      <c r="P45" s="2427"/>
      <c r="Q45" s="2718"/>
      <c r="R45" s="2427"/>
      <c r="S45" s="2718"/>
    </row>
    <row r="46" spans="1:19" s="91" customFormat="1">
      <c r="A46" s="2636"/>
      <c r="B46" s="2545"/>
      <c r="C46" s="2445"/>
      <c r="D46" s="2433"/>
      <c r="E46" s="2546"/>
      <c r="F46" s="2547"/>
      <c r="G46" s="2432"/>
      <c r="H46" s="2427"/>
      <c r="I46" s="2649"/>
      <c r="J46" s="2427"/>
      <c r="K46" s="2718"/>
      <c r="L46" s="2427"/>
      <c r="M46" s="2718"/>
      <c r="N46" s="2427"/>
      <c r="O46" s="2718"/>
      <c r="P46" s="2427"/>
      <c r="Q46" s="2718"/>
      <c r="R46" s="2427"/>
      <c r="S46" s="2718"/>
    </row>
    <row r="47" spans="1:19" s="91" customFormat="1">
      <c r="A47" s="2636"/>
      <c r="B47" s="2545"/>
      <c r="C47" s="2445"/>
      <c r="D47" s="2433"/>
      <c r="E47" s="2546"/>
      <c r="F47" s="2547"/>
      <c r="G47" s="2432"/>
      <c r="H47" s="2427"/>
      <c r="I47" s="2649"/>
      <c r="J47" s="2427"/>
      <c r="K47" s="2718"/>
      <c r="L47" s="2427"/>
      <c r="M47" s="2718"/>
      <c r="N47" s="2427"/>
      <c r="O47" s="2718"/>
      <c r="P47" s="2427"/>
      <c r="Q47" s="2718"/>
      <c r="R47" s="2427"/>
      <c r="S47" s="2718"/>
    </row>
    <row r="48" spans="1:19">
      <c r="A48" s="14"/>
      <c r="B48" s="15"/>
      <c r="C48" s="16"/>
      <c r="D48" s="16"/>
      <c r="E48" s="17"/>
      <c r="F48" s="18" t="s">
        <v>567</v>
      </c>
      <c r="G48" s="19"/>
      <c r="H48" s="20"/>
      <c r="I48" s="61">
        <f>SUM(I23:I47)</f>
        <v>0</v>
      </c>
      <c r="J48" s="20"/>
      <c r="K48" s="61">
        <f>SUM(K23:K47)</f>
        <v>0</v>
      </c>
      <c r="L48" s="20"/>
      <c r="M48" s="61">
        <f>SUM(M23:M47)</f>
        <v>0</v>
      </c>
      <c r="N48" s="20"/>
      <c r="O48" s="61">
        <f>SUM(O23:O47)</f>
        <v>0</v>
      </c>
      <c r="P48" s="20"/>
      <c r="Q48" s="61">
        <f>SUM(Q23:Q47)</f>
        <v>0</v>
      </c>
      <c r="R48" s="20"/>
      <c r="S48" s="61">
        <f>SUM(S23:S47)</f>
        <v>0</v>
      </c>
    </row>
    <row r="49" spans="1:19">
      <c r="A49" s="2358"/>
      <c r="B49" s="2359"/>
      <c r="C49" s="2360"/>
      <c r="D49" s="2360"/>
      <c r="E49" s="2361"/>
      <c r="F49" s="2362" t="s">
        <v>568</v>
      </c>
      <c r="G49" s="2363"/>
      <c r="H49" s="2364">
        <v>0</v>
      </c>
      <c r="I49" s="2460"/>
      <c r="J49" s="2364">
        <v>0</v>
      </c>
      <c r="K49" s="2460"/>
      <c r="L49" s="2364">
        <v>0</v>
      </c>
      <c r="M49" s="2460"/>
      <c r="N49" s="2364">
        <v>0</v>
      </c>
      <c r="O49" s="2460"/>
      <c r="P49" s="2364">
        <v>0</v>
      </c>
      <c r="Q49" s="2460"/>
      <c r="R49" s="2364">
        <v>0</v>
      </c>
      <c r="S49" s="2460"/>
    </row>
    <row r="50" spans="1:19">
      <c r="A50" s="2358"/>
      <c r="B50" s="2359"/>
      <c r="C50" s="2360"/>
      <c r="D50" s="2360"/>
      <c r="E50" s="2361"/>
      <c r="F50" s="2362" t="s">
        <v>569</v>
      </c>
      <c r="G50" s="2363"/>
      <c r="H50" s="2366"/>
      <c r="I50" s="2462">
        <f>H49*I48</f>
        <v>0</v>
      </c>
      <c r="J50" s="2366"/>
      <c r="K50" s="2462">
        <f>J49*K48</f>
        <v>0</v>
      </c>
      <c r="L50" s="2366"/>
      <c r="M50" s="2462">
        <f>L49*M48</f>
        <v>0</v>
      </c>
      <c r="N50" s="2366"/>
      <c r="O50" s="2462">
        <f>N49*O48</f>
        <v>0</v>
      </c>
      <c r="P50" s="2366"/>
      <c r="Q50" s="2462">
        <f>P49*Q48</f>
        <v>0</v>
      </c>
      <c r="R50" s="2366"/>
      <c r="S50" s="2462">
        <f>R49*S48</f>
        <v>0</v>
      </c>
    </row>
    <row r="51" spans="1:19">
      <c r="A51" s="2358"/>
      <c r="B51" s="2359"/>
      <c r="C51" s="2360"/>
      <c r="D51" s="2360"/>
      <c r="E51" s="2361"/>
      <c r="F51" s="2362"/>
      <c r="G51" s="2363"/>
      <c r="H51" s="2366"/>
      <c r="I51" s="2464"/>
      <c r="J51" s="2366"/>
      <c r="K51" s="2464"/>
      <c r="L51" s="2366"/>
      <c r="M51" s="2464"/>
      <c r="N51" s="2366"/>
      <c r="O51" s="2464"/>
      <c r="P51" s="2366"/>
      <c r="Q51" s="2464"/>
      <c r="R51" s="2366"/>
      <c r="S51" s="2464"/>
    </row>
    <row r="52" spans="1:19">
      <c r="A52" s="2358"/>
      <c r="B52" s="2359"/>
      <c r="C52" s="2360"/>
      <c r="D52" s="2360"/>
      <c r="E52" s="2361"/>
      <c r="F52" s="2362" t="s">
        <v>570</v>
      </c>
      <c r="G52" s="2363"/>
      <c r="H52" s="2368"/>
      <c r="I52" s="2465">
        <f>SUM(I48:I50)</f>
        <v>0</v>
      </c>
      <c r="J52" s="2368"/>
      <c r="K52" s="2465">
        <f>SUM(K48:K50)</f>
        <v>0</v>
      </c>
      <c r="L52" s="2368"/>
      <c r="M52" s="2465">
        <f>SUM(M48:M50)</f>
        <v>0</v>
      </c>
      <c r="N52" s="2368"/>
      <c r="O52" s="2465">
        <f>SUM(O48:O50)</f>
        <v>0</v>
      </c>
      <c r="P52" s="2368"/>
      <c r="Q52" s="2465">
        <f>SUM(Q48:Q50)</f>
        <v>0</v>
      </c>
      <c r="R52" s="2368"/>
      <c r="S52" s="2465">
        <f>SUM(S48:S50)</f>
        <v>0</v>
      </c>
    </row>
    <row r="53" spans="1:19">
      <c r="A53" s="2358"/>
      <c r="B53" s="2359"/>
      <c r="C53" s="2360"/>
      <c r="D53" s="2360"/>
      <c r="E53" s="2361"/>
      <c r="F53" s="2370" t="s">
        <v>571</v>
      </c>
      <c r="G53" s="2371"/>
      <c r="H53" s="2372"/>
      <c r="I53" s="2373" t="e">
        <f>I52/'Area Calculations'!$J$4</f>
        <v>#DIV/0!</v>
      </c>
      <c r="J53" s="2372"/>
      <c r="K53" s="2373" t="e">
        <f>K52/'Area Calculations'!$J$4</f>
        <v>#DIV/0!</v>
      </c>
      <c r="L53" s="2372"/>
      <c r="M53" s="2373" t="e">
        <f>M52/'Area Calculations'!$J$4</f>
        <v>#DIV/0!</v>
      </c>
      <c r="N53" s="2372"/>
      <c r="O53" s="2373" t="e">
        <f>O52/'Area Calculations'!$J$4</f>
        <v>#DIV/0!</v>
      </c>
      <c r="P53" s="2372"/>
      <c r="Q53" s="2373" t="e">
        <f>Q52/'Area Calculations'!$J$4</f>
        <v>#DIV/0!</v>
      </c>
      <c r="R53" s="2372"/>
      <c r="S53" s="2373" t="e">
        <f>S52/'Area Calculations'!$J$4</f>
        <v>#DIV/0!</v>
      </c>
    </row>
    <row r="54" spans="1:19">
      <c r="A54" s="2358"/>
      <c r="B54" s="2359"/>
      <c r="C54" s="2360"/>
      <c r="D54" s="2360"/>
      <c r="E54" s="2361"/>
      <c r="F54" s="2370" t="s">
        <v>572</v>
      </c>
      <c r="G54" s="2374"/>
      <c r="H54" s="2372"/>
      <c r="I54" s="2373" t="e">
        <f>I52/'Area Calculations'!#REF!</f>
        <v>#REF!</v>
      </c>
      <c r="J54" s="2372"/>
      <c r="K54" s="2373" t="e">
        <f>K52/'Area Calculations'!#REF!</f>
        <v>#REF!</v>
      </c>
      <c r="L54" s="2372"/>
      <c r="M54" s="2373" t="e">
        <f>M52/'Area Calculations'!#REF!</f>
        <v>#REF!</v>
      </c>
      <c r="N54" s="2372"/>
      <c r="O54" s="2373" t="e">
        <f>O52/'Area Calculations'!#REF!</f>
        <v>#REF!</v>
      </c>
      <c r="P54" s="2372"/>
      <c r="Q54" s="2373" t="e">
        <f>Q52/'Area Calculations'!#REF!</f>
        <v>#REF!</v>
      </c>
      <c r="R54" s="2372"/>
      <c r="S54" s="2373" t="e">
        <f>S52/'Area Calculations'!#REF!</f>
        <v>#REF!</v>
      </c>
    </row>
    <row r="55" spans="1:19">
      <c r="A55" s="2358"/>
      <c r="B55" s="2359"/>
      <c r="C55" s="2360"/>
      <c r="D55" s="2360"/>
      <c r="E55" s="2361"/>
      <c r="F55" s="2362"/>
      <c r="G55" s="2375"/>
      <c r="H55" s="2376"/>
      <c r="I55" s="2377"/>
      <c r="J55" s="2376"/>
      <c r="K55" s="2377"/>
      <c r="L55" s="2376"/>
      <c r="M55" s="2377"/>
      <c r="N55" s="2376"/>
      <c r="O55" s="2377"/>
      <c r="P55" s="2376"/>
      <c r="Q55" s="2377"/>
      <c r="R55" s="2376"/>
      <c r="S55" s="2377"/>
    </row>
    <row r="56" spans="1:19">
      <c r="A56" s="726" t="s">
        <v>573</v>
      </c>
      <c r="B56" s="727"/>
      <c r="C56" s="12"/>
      <c r="D56" s="12"/>
      <c r="E56" s="12"/>
      <c r="F56" s="12"/>
      <c r="G56" s="13"/>
      <c r="H56" s="21"/>
      <c r="I56" s="21"/>
      <c r="J56" s="21"/>
      <c r="K56" s="21"/>
      <c r="L56" s="21"/>
      <c r="M56" s="21"/>
      <c r="N56" s="21"/>
      <c r="O56" s="21"/>
      <c r="P56" s="21"/>
      <c r="Q56" s="21"/>
      <c r="R56" s="21"/>
      <c r="S56" s="21"/>
    </row>
    <row r="57" spans="1:19">
      <c r="A57" s="2639"/>
      <c r="B57" s="2404"/>
      <c r="C57" s="2640"/>
      <c r="D57" s="2640"/>
      <c r="E57" s="2640"/>
      <c r="F57" s="2640"/>
      <c r="G57" s="2641"/>
      <c r="H57" s="2678"/>
      <c r="I57" s="2678"/>
      <c r="J57" s="2678"/>
      <c r="K57" s="2678"/>
      <c r="L57" s="2678"/>
      <c r="M57" s="2678"/>
      <c r="N57" s="2678"/>
      <c r="O57" s="2678"/>
      <c r="P57" s="2678"/>
      <c r="Q57" s="2678"/>
      <c r="R57" s="2678"/>
      <c r="S57" s="2678"/>
    </row>
    <row r="58" spans="1:19" s="2" customFormat="1">
      <c r="A58" s="2639"/>
      <c r="B58" s="2404"/>
      <c r="C58" s="2640"/>
      <c r="D58" s="2640"/>
      <c r="E58" s="2640"/>
      <c r="F58" s="2640"/>
      <c r="G58" s="2641"/>
      <c r="H58" s="2678"/>
      <c r="I58" s="2678"/>
      <c r="J58" s="2678"/>
      <c r="K58" s="2678"/>
      <c r="L58" s="2678"/>
      <c r="M58" s="2678"/>
      <c r="N58" s="2678"/>
      <c r="O58" s="2678"/>
      <c r="P58" s="2678"/>
      <c r="Q58" s="2678"/>
      <c r="R58" s="2678"/>
      <c r="S58" s="2678"/>
    </row>
    <row r="59" spans="1:19" s="2" customFormat="1">
      <c r="A59" s="2639"/>
      <c r="B59" s="2404"/>
      <c r="C59" s="2640"/>
      <c r="D59" s="2640"/>
      <c r="E59" s="2640"/>
      <c r="F59" s="2640"/>
      <c r="G59" s="2641"/>
      <c r="H59" s="2678"/>
      <c r="I59" s="2678"/>
      <c r="J59" s="2678"/>
      <c r="K59" s="2678"/>
      <c r="L59" s="2678"/>
      <c r="M59" s="2678"/>
      <c r="N59" s="2678"/>
      <c r="O59" s="2678"/>
      <c r="P59" s="2678"/>
      <c r="Q59" s="2678"/>
      <c r="R59" s="2678"/>
      <c r="S59" s="2678"/>
    </row>
    <row r="60" spans="1:19">
      <c r="A60" s="726" t="s">
        <v>574</v>
      </c>
      <c r="B60" s="727"/>
      <c r="C60" s="12"/>
      <c r="D60" s="12"/>
      <c r="E60" s="12"/>
      <c r="F60" s="12"/>
      <c r="G60" s="13"/>
      <c r="H60" s="21"/>
      <c r="I60" s="21"/>
      <c r="J60" s="21"/>
      <c r="K60" s="21"/>
      <c r="L60" s="21"/>
      <c r="M60" s="21"/>
      <c r="N60" s="21"/>
      <c r="O60" s="21"/>
      <c r="P60" s="21"/>
      <c r="Q60" s="21"/>
      <c r="R60" s="21"/>
      <c r="S60" s="21"/>
    </row>
    <row r="61" spans="1:19" s="2" customFormat="1">
      <c r="A61" s="2639"/>
      <c r="B61" s="2404"/>
      <c r="C61" s="2640"/>
      <c r="D61" s="2640"/>
      <c r="E61" s="2640"/>
      <c r="F61" s="2640"/>
      <c r="G61" s="2641"/>
      <c r="H61" s="2678"/>
      <c r="I61" s="2678"/>
      <c r="J61" s="2678"/>
      <c r="K61" s="2678"/>
      <c r="L61" s="2678"/>
      <c r="M61" s="2678"/>
      <c r="N61" s="2678"/>
      <c r="O61" s="2678"/>
      <c r="P61" s="2678"/>
      <c r="Q61" s="2678"/>
      <c r="R61" s="2678"/>
      <c r="S61" s="2678"/>
    </row>
    <row r="62" spans="1:19" s="2" customFormat="1">
      <c r="A62" s="2639"/>
      <c r="B62" s="2404"/>
      <c r="C62" s="2640"/>
      <c r="D62" s="2640"/>
      <c r="E62" s="2640"/>
      <c r="F62" s="2640"/>
      <c r="G62" s="2641"/>
      <c r="H62" s="2678"/>
      <c r="I62" s="2678"/>
      <c r="J62" s="2678"/>
      <c r="K62" s="2678"/>
      <c r="L62" s="2678"/>
      <c r="M62" s="2678"/>
      <c r="N62" s="2678"/>
      <c r="O62" s="2678"/>
      <c r="P62" s="2678"/>
      <c r="Q62" s="2678"/>
      <c r="R62" s="2678"/>
      <c r="S62" s="2678"/>
    </row>
    <row r="63" spans="1:19">
      <c r="A63" s="2639"/>
      <c r="B63" s="2404"/>
      <c r="C63" s="2640"/>
      <c r="D63" s="2640"/>
      <c r="E63" s="2640"/>
      <c r="F63" s="2640"/>
      <c r="G63" s="2641"/>
      <c r="H63" s="2678"/>
      <c r="I63" s="2678"/>
      <c r="J63" s="2678"/>
      <c r="K63" s="2678"/>
      <c r="L63" s="2678"/>
      <c r="M63" s="2678"/>
      <c r="N63" s="2678"/>
      <c r="O63" s="2678"/>
      <c r="P63" s="2678"/>
      <c r="Q63" s="2678"/>
      <c r="R63" s="2678"/>
      <c r="S63" s="2678"/>
    </row>
    <row r="64" spans="1:19">
      <c r="A64" s="726" t="s">
        <v>575</v>
      </c>
      <c r="B64" s="727"/>
      <c r="C64" s="12"/>
      <c r="D64" s="12"/>
      <c r="E64" s="12"/>
      <c r="F64" s="12"/>
      <c r="G64" s="13"/>
      <c r="H64" s="21"/>
      <c r="I64" s="21"/>
      <c r="J64" s="21"/>
      <c r="K64" s="21"/>
      <c r="L64" s="21"/>
      <c r="M64" s="21"/>
      <c r="N64" s="21"/>
      <c r="O64" s="21"/>
      <c r="P64" s="21"/>
      <c r="Q64" s="21"/>
      <c r="R64" s="21"/>
      <c r="S64" s="21"/>
    </row>
    <row r="65" spans="1:19">
      <c r="A65" s="2639"/>
      <c r="B65" s="2404"/>
      <c r="C65" s="2640"/>
      <c r="D65" s="2640"/>
      <c r="E65" s="2640"/>
      <c r="F65" s="2640"/>
      <c r="G65" s="2641"/>
      <c r="H65" s="2678"/>
      <c r="I65" s="2678"/>
      <c r="J65" s="2678"/>
      <c r="K65" s="2678"/>
      <c r="L65" s="2678"/>
      <c r="M65" s="2678"/>
      <c r="N65" s="2678"/>
      <c r="O65" s="2678"/>
      <c r="P65" s="2678"/>
      <c r="Q65" s="2678"/>
      <c r="R65" s="2678"/>
      <c r="S65" s="2678"/>
    </row>
    <row r="66" spans="1:19">
      <c r="A66" s="2421"/>
      <c r="B66" s="2404"/>
      <c r="C66" s="2405"/>
      <c r="D66" s="2405"/>
      <c r="E66" s="2405"/>
      <c r="F66" s="2405"/>
      <c r="G66" s="2423"/>
      <c r="H66" s="2382"/>
      <c r="I66" s="2382"/>
      <c r="J66" s="2382"/>
      <c r="K66" s="2382"/>
      <c r="L66" s="2382"/>
      <c r="M66" s="2382"/>
      <c r="N66" s="2382"/>
      <c r="O66" s="2382"/>
      <c r="P66" s="2382"/>
      <c r="Q66" s="2382"/>
      <c r="R66" s="2382"/>
      <c r="S66" s="2382"/>
    </row>
    <row r="67" spans="1:19">
      <c r="A67" s="2383"/>
      <c r="B67" s="2384"/>
      <c r="C67" s="2405"/>
      <c r="D67" s="2405"/>
      <c r="E67" s="2405"/>
      <c r="F67" s="2405"/>
      <c r="G67" s="2423"/>
      <c r="H67" s="2385"/>
      <c r="I67" s="2385"/>
      <c r="J67" s="2385"/>
      <c r="K67" s="2385"/>
      <c r="L67" s="2385"/>
      <c r="M67" s="2385"/>
      <c r="N67" s="2385"/>
      <c r="O67" s="2385"/>
      <c r="P67" s="2385"/>
      <c r="Q67" s="2385"/>
      <c r="R67" s="2385"/>
      <c r="S67" s="2385"/>
    </row>
    <row r="68" spans="1:19">
      <c r="A68" s="726" t="s">
        <v>576</v>
      </c>
      <c r="B68" s="727"/>
      <c r="C68" s="12"/>
      <c r="D68" s="12"/>
      <c r="E68" s="12"/>
      <c r="F68" s="12"/>
      <c r="G68" s="13"/>
      <c r="H68" s="21"/>
      <c r="I68" s="21"/>
      <c r="J68" s="21"/>
      <c r="K68" s="21"/>
      <c r="L68" s="21"/>
      <c r="M68" s="21"/>
      <c r="N68" s="21"/>
      <c r="O68" s="21"/>
      <c r="P68" s="21"/>
      <c r="Q68" s="21"/>
      <c r="R68" s="21"/>
      <c r="S68" s="21"/>
    </row>
    <row r="69" spans="1:19">
      <c r="A69" s="2643"/>
      <c r="B69" s="2644"/>
      <c r="C69" s="2640"/>
      <c r="D69" s="2640"/>
      <c r="E69" s="2640"/>
      <c r="F69" s="2640"/>
      <c r="G69" s="2641"/>
      <c r="H69" s="2678"/>
      <c r="I69" s="2678"/>
      <c r="J69" s="2678"/>
      <c r="K69" s="2678"/>
      <c r="L69" s="2678"/>
      <c r="M69" s="2678"/>
      <c r="N69" s="2678"/>
      <c r="O69" s="2678"/>
      <c r="P69" s="2678"/>
      <c r="Q69" s="2678"/>
      <c r="R69" s="2678"/>
      <c r="S69" s="2678"/>
    </row>
    <row r="70" spans="1:19">
      <c r="A70" s="2383"/>
      <c r="B70" s="2384"/>
      <c r="C70" s="2405"/>
      <c r="D70" s="2405"/>
      <c r="E70" s="2405"/>
      <c r="F70" s="2405"/>
      <c r="G70" s="2423"/>
      <c r="H70" s="2388"/>
      <c r="I70" s="2388"/>
      <c r="J70" s="2388"/>
      <c r="K70" s="2388"/>
      <c r="L70" s="2388"/>
      <c r="M70" s="2388"/>
      <c r="N70" s="2388"/>
      <c r="O70" s="2388"/>
      <c r="P70" s="2388"/>
      <c r="Q70" s="2388"/>
      <c r="R70" s="2388"/>
      <c r="S70" s="2388"/>
    </row>
    <row r="71" spans="1:19">
      <c r="A71" s="2383"/>
      <c r="B71" s="2384"/>
      <c r="C71" s="2405"/>
      <c r="D71" s="2405"/>
      <c r="E71" s="2405"/>
      <c r="F71" s="2405"/>
      <c r="G71" s="2423"/>
      <c r="H71" s="2388"/>
      <c r="I71" s="2388"/>
      <c r="J71" s="2388"/>
      <c r="K71" s="2388"/>
      <c r="L71" s="2388"/>
      <c r="M71" s="2388"/>
      <c r="N71" s="2388"/>
      <c r="O71" s="2388"/>
      <c r="P71" s="2388"/>
      <c r="Q71" s="2388"/>
      <c r="R71" s="2388"/>
      <c r="S71" s="2388"/>
    </row>
    <row r="72" spans="1:19">
      <c r="A72" s="726" t="s">
        <v>577</v>
      </c>
      <c r="B72" s="727"/>
      <c r="C72" s="12"/>
      <c r="D72" s="12"/>
      <c r="E72" s="12"/>
      <c r="F72" s="12"/>
      <c r="G72" s="13"/>
      <c r="H72" s="21"/>
      <c r="I72" s="21"/>
      <c r="J72" s="21"/>
      <c r="K72" s="21"/>
      <c r="L72" s="21"/>
      <c r="M72" s="21"/>
      <c r="N72" s="21"/>
      <c r="O72" s="21"/>
      <c r="P72" s="21"/>
      <c r="Q72" s="21"/>
      <c r="R72" s="21"/>
      <c r="S72" s="21"/>
    </row>
    <row r="73" spans="1:19">
      <c r="A73" s="2421"/>
      <c r="B73" s="2404" t="s">
        <v>578</v>
      </c>
      <c r="C73" s="2405"/>
      <c r="D73" s="2405"/>
      <c r="E73" s="2405"/>
      <c r="F73" s="2405"/>
      <c r="G73" s="2423"/>
      <c r="H73" s="2388"/>
      <c r="I73" s="2388"/>
      <c r="J73" s="2388"/>
      <c r="K73" s="2388"/>
      <c r="L73" s="2388"/>
      <c r="M73" s="2388"/>
      <c r="N73" s="2388"/>
      <c r="O73" s="2388"/>
      <c r="P73" s="2388"/>
      <c r="Q73" s="2388"/>
      <c r="R73" s="2388"/>
      <c r="S73" s="2388"/>
    </row>
    <row r="74" spans="1:19">
      <c r="A74" s="2421"/>
      <c r="B74" s="2404" t="s">
        <v>579</v>
      </c>
      <c r="C74" s="2405"/>
      <c r="D74" s="2405"/>
      <c r="E74" s="2405"/>
      <c r="F74" s="2405"/>
      <c r="G74" s="2423"/>
      <c r="H74" s="2388"/>
      <c r="I74" s="2388"/>
      <c r="J74" s="2388"/>
      <c r="K74" s="2388"/>
      <c r="L74" s="2388"/>
      <c r="M74" s="2388"/>
      <c r="N74" s="2388"/>
      <c r="O74" s="2388"/>
      <c r="P74" s="2388"/>
      <c r="Q74" s="2388"/>
      <c r="R74" s="2388"/>
      <c r="S74" s="2388"/>
    </row>
    <row r="75" spans="1:19">
      <c r="A75" s="2421"/>
      <c r="B75" s="2404" t="s">
        <v>580</v>
      </c>
      <c r="C75" s="2405"/>
      <c r="D75" s="2405"/>
      <c r="E75" s="2405"/>
      <c r="F75" s="2405"/>
      <c r="G75" s="2423"/>
      <c r="H75" s="2388"/>
      <c r="I75" s="2388"/>
      <c r="J75" s="2388"/>
      <c r="K75" s="2388"/>
      <c r="L75" s="2388"/>
      <c r="M75" s="2388"/>
      <c r="N75" s="2388"/>
      <c r="O75" s="2388"/>
      <c r="P75" s="2388"/>
      <c r="Q75" s="2388"/>
      <c r="R75" s="2388"/>
      <c r="S75" s="2388"/>
    </row>
    <row r="76" spans="1:19">
      <c r="A76" s="2421"/>
      <c r="B76" s="2404" t="s">
        <v>581</v>
      </c>
      <c r="C76" s="2405"/>
      <c r="D76" s="2405"/>
      <c r="E76" s="2405"/>
      <c r="F76" s="2405"/>
      <c r="G76" s="2423"/>
      <c r="H76" s="2388"/>
      <c r="I76" s="2388"/>
      <c r="J76" s="2388"/>
      <c r="K76" s="2388"/>
      <c r="L76" s="2388"/>
      <c r="M76" s="2388"/>
      <c r="N76" s="2388"/>
      <c r="O76" s="2388"/>
      <c r="P76" s="2388"/>
      <c r="Q76" s="2388"/>
      <c r="R76" s="2388"/>
      <c r="S76" s="2388"/>
    </row>
    <row r="77" spans="1:19">
      <c r="A77" s="416"/>
      <c r="B77" s="295"/>
      <c r="C77" s="184"/>
      <c r="D77" s="184"/>
      <c r="E77" s="184"/>
      <c r="F77" s="184"/>
      <c r="G77" s="296"/>
      <c r="H77" s="418"/>
      <c r="I77" s="418"/>
      <c r="J77" s="418"/>
      <c r="K77" s="418"/>
      <c r="L77" s="418"/>
      <c r="M77" s="418"/>
      <c r="N77" s="418"/>
      <c r="O77" s="418"/>
      <c r="P77" s="418"/>
      <c r="Q77" s="418"/>
      <c r="R77" s="418"/>
      <c r="S77" s="418"/>
    </row>
    <row r="78" spans="1:19">
      <c r="A78" s="7" t="s">
        <v>582</v>
      </c>
      <c r="B78" s="8"/>
      <c r="C78" s="12"/>
      <c r="D78" s="12"/>
      <c r="E78" s="12"/>
      <c r="F78" s="12"/>
      <c r="G78" s="13"/>
      <c r="H78" s="21"/>
      <c r="I78" s="21"/>
      <c r="J78" s="21"/>
      <c r="K78" s="21"/>
      <c r="L78" s="21"/>
      <c r="M78" s="21"/>
      <c r="N78" s="21"/>
      <c r="O78" s="21"/>
      <c r="P78" s="21"/>
      <c r="Q78" s="21"/>
      <c r="R78" s="21"/>
      <c r="S78" s="21"/>
    </row>
    <row r="79" spans="1:19">
      <c r="A79" s="2639"/>
      <c r="B79" s="2645" t="s">
        <v>583</v>
      </c>
      <c r="C79" s="2640"/>
      <c r="D79" s="2640"/>
      <c r="E79" s="2640"/>
      <c r="F79" s="2640"/>
      <c r="G79" s="2641"/>
      <c r="H79" s="2687"/>
      <c r="I79" s="2687"/>
      <c r="J79" s="2687"/>
      <c r="K79" s="2687"/>
      <c r="L79" s="2687"/>
      <c r="M79" s="2687"/>
      <c r="N79" s="2687"/>
      <c r="O79" s="2687"/>
      <c r="P79" s="2687"/>
      <c r="Q79" s="2687"/>
      <c r="R79" s="2687"/>
      <c r="S79" s="2687"/>
    </row>
    <row r="80" spans="1:19">
      <c r="A80" s="2421"/>
      <c r="B80" s="2404" t="s">
        <v>584</v>
      </c>
      <c r="C80" s="2405"/>
      <c r="D80" s="2405"/>
      <c r="E80" s="2405"/>
      <c r="F80" s="2405"/>
      <c r="G80" s="2423"/>
      <c r="H80" s="2390"/>
      <c r="I80" s="2390"/>
      <c r="J80" s="2390"/>
      <c r="K80" s="2390"/>
      <c r="L80" s="2390"/>
      <c r="M80" s="2390"/>
      <c r="N80" s="2390"/>
      <c r="O80" s="2390"/>
      <c r="P80" s="2390"/>
      <c r="Q80" s="2390"/>
      <c r="R80" s="2390"/>
      <c r="S80" s="2390"/>
    </row>
    <row r="81" spans="1:19">
      <c r="A81" s="2391"/>
      <c r="B81" s="2392" t="s">
        <v>585</v>
      </c>
      <c r="C81" s="2393"/>
      <c r="D81" s="2393"/>
      <c r="E81" s="2393"/>
      <c r="F81" s="2393"/>
      <c r="G81" s="2394"/>
      <c r="H81" s="2395"/>
      <c r="I81" s="2395"/>
      <c r="J81" s="2395"/>
      <c r="K81" s="2395"/>
      <c r="L81" s="2395"/>
      <c r="M81" s="2395"/>
      <c r="N81" s="2395"/>
      <c r="O81" s="2395"/>
      <c r="P81" s="2395"/>
      <c r="Q81" s="2395"/>
      <c r="R81" s="2395"/>
      <c r="S81" s="2395"/>
    </row>
    <row r="83" spans="1:19">
      <c r="A83" s="92" t="s">
        <v>586</v>
      </c>
      <c r="B83" s="94"/>
    </row>
    <row r="84" spans="1:19">
      <c r="A84" s="93" t="s">
        <v>487</v>
      </c>
      <c r="B84" s="2396"/>
    </row>
    <row r="85" spans="1:19">
      <c r="A85" s="2397" t="s">
        <v>491</v>
      </c>
      <c r="B85" s="2396"/>
    </row>
    <row r="86" spans="1:19">
      <c r="A86" s="2398" t="s">
        <v>494</v>
      </c>
      <c r="B86" s="2399"/>
    </row>
    <row r="87" spans="1:19">
      <c r="A87" s="2398" t="s">
        <v>497</v>
      </c>
      <c r="B87" s="2400"/>
    </row>
    <row r="88" spans="1:19">
      <c r="A88" s="2401" t="s">
        <v>587</v>
      </c>
      <c r="B88" s="2402"/>
    </row>
    <row r="90" spans="1:19">
      <c r="A90" s="95"/>
      <c r="B90" s="1" t="s">
        <v>588</v>
      </c>
    </row>
    <row r="91" spans="1:19">
      <c r="A91" s="96"/>
      <c r="B91"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6:B56"/>
    <mergeCell ref="A60:B60"/>
    <mergeCell ref="A64:B64"/>
    <mergeCell ref="A68:B68"/>
    <mergeCell ref="A72:B72"/>
  </mergeCells>
  <conditionalFormatting sqref="H20:H30">
    <cfRule type="cellIs" dxfId="569" priority="13" operator="equal">
      <formula>"X"</formula>
    </cfRule>
    <cfRule type="cellIs" dxfId="568" priority="14" operator="equal">
      <formula>"I"</formula>
    </cfRule>
  </conditionalFormatting>
  <conditionalFormatting sqref="H32:H47">
    <cfRule type="cellIs" dxfId="567" priority="1" operator="equal">
      <formula>"X"</formula>
    </cfRule>
    <cfRule type="cellIs" dxfId="566" priority="2" operator="equal">
      <formula>"I"</formula>
    </cfRule>
  </conditionalFormatting>
  <conditionalFormatting sqref="J20:J30">
    <cfRule type="cellIs" dxfId="565" priority="15" operator="equal">
      <formula>"X"</formula>
    </cfRule>
    <cfRule type="cellIs" dxfId="564" priority="16" operator="equal">
      <formula>"I"</formula>
    </cfRule>
  </conditionalFormatting>
  <conditionalFormatting sqref="J32:J47">
    <cfRule type="cellIs" dxfId="563" priority="3" operator="equal">
      <formula>"X"</formula>
    </cfRule>
    <cfRule type="cellIs" dxfId="562" priority="4" operator="equal">
      <formula>"I"</formula>
    </cfRule>
  </conditionalFormatting>
  <conditionalFormatting sqref="L20:L30">
    <cfRule type="cellIs" dxfId="561" priority="17" operator="equal">
      <formula>"X"</formula>
    </cfRule>
    <cfRule type="cellIs" dxfId="560" priority="18" operator="equal">
      <formula>"I"</formula>
    </cfRule>
  </conditionalFormatting>
  <conditionalFormatting sqref="L32:L47">
    <cfRule type="cellIs" dxfId="559" priority="5" operator="equal">
      <formula>"X"</formula>
    </cfRule>
    <cfRule type="cellIs" dxfId="558" priority="6" operator="equal">
      <formula>"I"</formula>
    </cfRule>
  </conditionalFormatting>
  <conditionalFormatting sqref="N20:N30">
    <cfRule type="cellIs" dxfId="557" priority="19" operator="equal">
      <formula>"X"</formula>
    </cfRule>
    <cfRule type="cellIs" dxfId="556" priority="20" operator="equal">
      <formula>"I"</formula>
    </cfRule>
  </conditionalFormatting>
  <conditionalFormatting sqref="N32:N47">
    <cfRule type="cellIs" dxfId="555" priority="7" operator="equal">
      <formula>"X"</formula>
    </cfRule>
    <cfRule type="cellIs" dxfId="554" priority="8" operator="equal">
      <formula>"I"</formula>
    </cfRule>
  </conditionalFormatting>
  <conditionalFormatting sqref="P20:P30">
    <cfRule type="cellIs" dxfId="553" priority="21" operator="equal">
      <formula>"X"</formula>
    </cfRule>
    <cfRule type="cellIs" dxfId="552" priority="22" operator="equal">
      <formula>"I"</formula>
    </cfRule>
  </conditionalFormatting>
  <conditionalFormatting sqref="P32:P47">
    <cfRule type="cellIs" dxfId="551" priority="9" operator="equal">
      <formula>"X"</formula>
    </cfRule>
    <cfRule type="cellIs" dxfId="550" priority="10" operator="equal">
      <formula>"I"</formula>
    </cfRule>
  </conditionalFormatting>
  <conditionalFormatting sqref="R20:R30">
    <cfRule type="cellIs" dxfId="549" priority="23" operator="equal">
      <formula>"X"</formula>
    </cfRule>
    <cfRule type="cellIs" dxfId="548" priority="24" operator="equal">
      <formula>"I"</formula>
    </cfRule>
  </conditionalFormatting>
  <conditionalFormatting sqref="R32:R47">
    <cfRule type="cellIs" dxfId="547" priority="11" operator="equal">
      <formula>"X"</formula>
    </cfRule>
    <cfRule type="cellIs" dxfId="546" priority="12" operator="equal">
      <formula>"I"</formula>
    </cfRule>
  </conditionalFormatting>
  <hyperlinks>
    <hyperlink ref="B3" location="'Cost Summary'!A1" display="BACK TO SUMMARY SHEET" xr:uid="{DB5B6146-4F53-449A-8C92-F2ADBA873C30}"/>
  </hyperlink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2BE7-A9F8-4A8E-B4DF-333AFD6D7EB0}">
  <sheetPr>
    <tabColor rgb="FF92D050"/>
  </sheetPr>
  <dimension ref="A1:S99"/>
  <sheetViews>
    <sheetView zoomScale="85" zoomScaleNormal="85" workbookViewId="0">
      <pane xSplit="2" ySplit="9" topLeftCell="Z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1175</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1176</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I60</f>
        <v>0</v>
      </c>
      <c r="I8" s="2419"/>
      <c r="J8" s="2418">
        <f>K60</f>
        <v>0</v>
      </c>
      <c r="K8" s="2419"/>
      <c r="L8" s="2418">
        <f>M60</f>
        <v>0</v>
      </c>
      <c r="M8" s="2419"/>
      <c r="N8" s="2418">
        <f>O60</f>
        <v>0</v>
      </c>
      <c r="O8" s="2419"/>
      <c r="P8" s="2418">
        <f>Q60</f>
        <v>0</v>
      </c>
      <c r="Q8" s="2419"/>
      <c r="R8" s="2418">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21"/>
      <c r="B21" s="2428" t="s">
        <v>1175</v>
      </c>
      <c r="C21" s="2426"/>
      <c r="D21" s="2405"/>
      <c r="E21" s="2405"/>
      <c r="F21" s="2405"/>
      <c r="G21" s="2423"/>
      <c r="H21" s="2427"/>
      <c r="I21" s="2424"/>
      <c r="J21" s="2427"/>
      <c r="K21" s="2424"/>
      <c r="L21" s="2427"/>
      <c r="M21" s="2424"/>
      <c r="N21" s="2427"/>
      <c r="O21" s="2424"/>
      <c r="P21" s="2427"/>
      <c r="Q21" s="2424"/>
      <c r="R21" s="2427"/>
      <c r="S21" s="2424"/>
    </row>
    <row r="22" spans="1:19">
      <c r="A22" s="2648"/>
      <c r="B22" s="2318" t="s">
        <v>512</v>
      </c>
      <c r="C22" s="2426"/>
      <c r="D22" s="2405"/>
      <c r="E22" s="2405"/>
      <c r="F22" s="2405"/>
      <c r="G22" s="2423"/>
      <c r="H22" s="2427"/>
      <c r="I22" s="2650"/>
      <c r="J22" s="2427"/>
      <c r="K22" s="2650"/>
      <c r="L22" s="2427"/>
      <c r="M22" s="2650"/>
      <c r="N22" s="2427"/>
      <c r="O22" s="2650"/>
      <c r="P22" s="2427"/>
      <c r="Q22" s="2650"/>
      <c r="R22" s="2427"/>
      <c r="S22" s="2650"/>
    </row>
    <row r="23" spans="1:19">
      <c r="A23" s="2648"/>
      <c r="B23" s="2723" t="s">
        <v>513</v>
      </c>
      <c r="C23" s="2426"/>
      <c r="D23" s="2405"/>
      <c r="E23" s="2405"/>
      <c r="F23" s="2405"/>
      <c r="G23" s="2423"/>
      <c r="H23" s="2427"/>
      <c r="I23" s="2649"/>
      <c r="J23" s="2427"/>
      <c r="K23" s="2650"/>
      <c r="L23" s="2427"/>
      <c r="M23" s="2650"/>
      <c r="N23" s="2427"/>
      <c r="O23" s="2650"/>
      <c r="P23" s="2427"/>
      <c r="Q23" s="2650"/>
      <c r="R23" s="2427"/>
      <c r="S23" s="2650"/>
    </row>
    <row r="24" spans="1:19">
      <c r="A24" s="2648"/>
      <c r="B24" s="2723" t="s">
        <v>514</v>
      </c>
      <c r="C24" s="2430"/>
      <c r="D24" s="2405"/>
      <c r="E24" s="2405"/>
      <c r="F24" s="2405"/>
      <c r="G24" s="2423"/>
      <c r="H24" s="2427"/>
      <c r="I24" s="2649"/>
      <c r="J24" s="2427"/>
      <c r="K24" s="2650"/>
      <c r="L24" s="2427"/>
      <c r="M24" s="2650"/>
      <c r="N24" s="2427"/>
      <c r="O24" s="2650"/>
      <c r="P24" s="2427"/>
      <c r="Q24" s="2650"/>
      <c r="R24" s="2427"/>
      <c r="S24" s="2650"/>
    </row>
    <row r="25" spans="1:19">
      <c r="A25" s="2648"/>
      <c r="B25" s="2717"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651"/>
      <c r="B26" s="2717" t="s">
        <v>516</v>
      </c>
      <c r="C26" s="2432"/>
      <c r="D26" s="2433"/>
      <c r="E26" s="2433"/>
      <c r="F26" s="2433"/>
      <c r="G26" s="2432"/>
      <c r="H26" s="2427"/>
      <c r="I26" s="2649"/>
      <c r="J26" s="2427"/>
      <c r="K26" s="2718"/>
      <c r="L26" s="2427"/>
      <c r="M26" s="2718"/>
      <c r="N26" s="2427"/>
      <c r="O26" s="2718"/>
      <c r="P26" s="2427"/>
      <c r="Q26" s="2718"/>
      <c r="R26" s="2427"/>
      <c r="S26" s="2718"/>
    </row>
    <row r="27" spans="1:19" s="91" customFormat="1">
      <c r="A27" s="2651"/>
      <c r="B27" s="2717" t="s">
        <v>517</v>
      </c>
      <c r="C27" s="2432"/>
      <c r="D27" s="2433"/>
      <c r="E27" s="2433"/>
      <c r="F27" s="2433"/>
      <c r="G27" s="2432"/>
      <c r="H27" s="2427"/>
      <c r="I27" s="2649"/>
      <c r="J27" s="2427"/>
      <c r="K27" s="2718"/>
      <c r="L27" s="2427"/>
      <c r="M27" s="2718"/>
      <c r="N27" s="2427"/>
      <c r="O27" s="2718"/>
      <c r="P27" s="2427"/>
      <c r="Q27" s="2718"/>
      <c r="R27" s="2427"/>
      <c r="S27" s="2718"/>
    </row>
    <row r="28" spans="1:19" s="91" customFormat="1">
      <c r="A28" s="2651"/>
      <c r="B28" s="2717" t="s">
        <v>518</v>
      </c>
      <c r="C28" s="2432"/>
      <c r="D28" s="2433"/>
      <c r="E28" s="2433"/>
      <c r="F28" s="2433"/>
      <c r="G28" s="2432"/>
      <c r="H28" s="2427"/>
      <c r="I28" s="2649"/>
      <c r="J28" s="2427"/>
      <c r="K28" s="2718"/>
      <c r="L28" s="2427"/>
      <c r="M28" s="2718"/>
      <c r="N28" s="2427"/>
      <c r="O28" s="2718"/>
      <c r="P28" s="2427"/>
      <c r="Q28" s="2718"/>
      <c r="R28" s="2427"/>
      <c r="S28" s="2718"/>
    </row>
    <row r="29" spans="1:19" s="91" customFormat="1">
      <c r="A29" s="2651"/>
      <c r="B29" s="2717" t="s">
        <v>693</v>
      </c>
      <c r="C29" s="2432"/>
      <c r="D29" s="2433"/>
      <c r="E29" s="2433"/>
      <c r="F29" s="2433"/>
      <c r="G29" s="2432"/>
      <c r="H29" s="2427"/>
      <c r="I29" s="2649"/>
      <c r="J29" s="2427"/>
      <c r="K29" s="2718"/>
      <c r="L29" s="2427"/>
      <c r="M29" s="2718"/>
      <c r="N29" s="2427"/>
      <c r="O29" s="2718"/>
      <c r="P29" s="2427"/>
      <c r="Q29" s="2718"/>
      <c r="R29" s="2427"/>
      <c r="S29" s="2718"/>
    </row>
    <row r="30" spans="1:19" s="91" customFormat="1">
      <c r="A30" s="2651"/>
      <c r="B30" s="2719" t="s">
        <v>519</v>
      </c>
      <c r="C30" s="2432"/>
      <c r="D30" s="2433"/>
      <c r="E30" s="2433"/>
      <c r="F30" s="2433"/>
      <c r="G30" s="2432"/>
      <c r="H30" s="2427"/>
      <c r="I30" s="2649"/>
      <c r="J30" s="2427"/>
      <c r="K30" s="2718"/>
      <c r="L30" s="2427"/>
      <c r="M30" s="2718"/>
      <c r="N30" s="2427"/>
      <c r="O30" s="2718"/>
      <c r="P30" s="2427"/>
      <c r="Q30" s="2718"/>
      <c r="R30" s="2427"/>
      <c r="S30" s="2718"/>
    </row>
    <row r="31" spans="1:19" s="91" customFormat="1">
      <c r="A31" s="2651"/>
      <c r="B31" s="2720" t="s">
        <v>520</v>
      </c>
      <c r="C31" s="2435"/>
      <c r="D31" s="2436"/>
      <c r="E31" s="2436"/>
      <c r="F31" s="2436"/>
      <c r="G31" s="2435"/>
      <c r="H31" s="2439"/>
      <c r="I31" s="2721"/>
      <c r="J31" s="2443"/>
      <c r="K31" s="2722"/>
      <c r="L31" s="2443"/>
      <c r="M31" s="2722"/>
      <c r="N31" s="2722"/>
      <c r="O31" s="2722"/>
      <c r="P31" s="2722"/>
      <c r="Q31" s="2722"/>
      <c r="R31" s="2722"/>
      <c r="S31" s="2722"/>
    </row>
    <row r="32" spans="1:19" s="91" customFormat="1">
      <c r="A32" s="2651"/>
      <c r="B32" s="151"/>
      <c r="C32" s="2432"/>
      <c r="D32" s="2433"/>
      <c r="E32" s="2433"/>
      <c r="F32" s="2433"/>
      <c r="G32" s="2432"/>
      <c r="H32" s="2537"/>
      <c r="I32" s="2649"/>
      <c r="J32" s="2539"/>
      <c r="K32" s="2718"/>
      <c r="L32" s="2427"/>
      <c r="M32" s="2718"/>
      <c r="N32" s="2427"/>
      <c r="O32" s="2718"/>
      <c r="P32" s="2427"/>
      <c r="Q32" s="2718"/>
      <c r="R32" s="2427"/>
      <c r="S32" s="2718"/>
    </row>
    <row r="33" spans="1:19" s="91" customFormat="1">
      <c r="A33" s="2636"/>
      <c r="B33" s="2550"/>
      <c r="C33" s="2445"/>
      <c r="D33" s="2433"/>
      <c r="E33" s="2433"/>
      <c r="F33" s="2433"/>
      <c r="G33" s="2432"/>
      <c r="H33" s="2537"/>
      <c r="I33" s="2649"/>
      <c r="J33" s="2539"/>
      <c r="K33" s="2718"/>
      <c r="L33" s="2427"/>
      <c r="M33" s="2718"/>
      <c r="N33" s="2427"/>
      <c r="O33" s="2718"/>
      <c r="P33" s="2427"/>
      <c r="Q33" s="2718"/>
      <c r="R33" s="2427"/>
      <c r="S33" s="2718"/>
    </row>
    <row r="34" spans="1:19" s="91" customFormat="1">
      <c r="A34" s="2636"/>
      <c r="B34" s="2444"/>
      <c r="C34" s="2445"/>
      <c r="D34" s="2433"/>
      <c r="E34" s="2433"/>
      <c r="F34" s="2433"/>
      <c r="G34" s="2432"/>
      <c r="H34" s="2537"/>
      <c r="I34" s="2649"/>
      <c r="J34" s="2539"/>
      <c r="K34" s="2718"/>
      <c r="L34" s="2427"/>
      <c r="M34" s="2718"/>
      <c r="N34" s="2427"/>
      <c r="O34" s="2718"/>
      <c r="P34" s="2427" t="s">
        <v>710</v>
      </c>
      <c r="Q34" s="2718"/>
      <c r="R34" s="2427"/>
      <c r="S34" s="2718"/>
    </row>
    <row r="35" spans="1:19" s="91" customFormat="1">
      <c r="A35" s="2636"/>
      <c r="B35" s="2444"/>
      <c r="C35" s="2445"/>
      <c r="D35" s="2433"/>
      <c r="E35" s="2433"/>
      <c r="F35" s="2433"/>
      <c r="G35" s="2432"/>
      <c r="H35" s="2537"/>
      <c r="I35" s="2649"/>
      <c r="J35" s="2539"/>
      <c r="K35" s="2718"/>
      <c r="L35" s="2427"/>
      <c r="M35" s="2718"/>
      <c r="N35" s="2427"/>
      <c r="O35" s="2718"/>
      <c r="P35" s="2427"/>
      <c r="Q35" s="2718"/>
      <c r="R35" s="2427"/>
      <c r="S35" s="2718"/>
    </row>
    <row r="36" spans="1:19" s="91" customFormat="1">
      <c r="A36" s="2636"/>
      <c r="B36" s="2506"/>
      <c r="C36" s="2445"/>
      <c r="D36" s="2433"/>
      <c r="E36" s="2433"/>
      <c r="F36" s="2433"/>
      <c r="G36" s="2432"/>
      <c r="H36" s="2537"/>
      <c r="I36" s="2649"/>
      <c r="J36" s="2539"/>
      <c r="K36" s="2718"/>
      <c r="L36" s="2427"/>
      <c r="M36" s="2718"/>
      <c r="N36" s="2427"/>
      <c r="O36" s="2718"/>
      <c r="P36" s="2427"/>
      <c r="Q36" s="2718"/>
      <c r="R36" s="2427"/>
      <c r="S36" s="2718"/>
    </row>
    <row r="37" spans="1:19" s="91" customFormat="1">
      <c r="A37" s="2636"/>
      <c r="B37" s="2444"/>
      <c r="C37" s="2445"/>
      <c r="D37" s="2433"/>
      <c r="E37" s="2433"/>
      <c r="F37" s="2433"/>
      <c r="G37" s="2432"/>
      <c r="H37" s="2537"/>
      <c r="I37" s="2649"/>
      <c r="J37" s="2539"/>
      <c r="K37" s="2718"/>
      <c r="L37" s="2427"/>
      <c r="M37" s="2718"/>
      <c r="N37" s="2427"/>
      <c r="O37" s="2718"/>
      <c r="P37" s="2427"/>
      <c r="Q37" s="2718"/>
      <c r="R37" s="2427"/>
      <c r="S37" s="2718"/>
    </row>
    <row r="38" spans="1:19" s="91" customFormat="1">
      <c r="A38" s="2636"/>
      <c r="B38" s="2444"/>
      <c r="C38" s="2445"/>
      <c r="D38" s="2433"/>
      <c r="E38" s="2546"/>
      <c r="F38" s="2547"/>
      <c r="G38" s="2432"/>
      <c r="H38" s="2537"/>
      <c r="I38" s="2649"/>
      <c r="J38" s="2539"/>
      <c r="K38" s="2718"/>
      <c r="L38" s="2427"/>
      <c r="M38" s="2718"/>
      <c r="N38" s="2427"/>
      <c r="O38" s="2718"/>
      <c r="P38" s="2427"/>
      <c r="Q38" s="2718"/>
      <c r="R38" s="2427"/>
      <c r="S38" s="2718"/>
    </row>
    <row r="39" spans="1:19" s="91" customFormat="1">
      <c r="A39" s="2636"/>
      <c r="B39" s="2444"/>
      <c r="C39" s="2445"/>
      <c r="D39" s="2433"/>
      <c r="E39" s="2546"/>
      <c r="F39" s="2547"/>
      <c r="G39" s="2432"/>
      <c r="H39" s="2537"/>
      <c r="I39" s="2649"/>
      <c r="J39" s="2539"/>
      <c r="K39" s="2718"/>
      <c r="L39" s="2427"/>
      <c r="M39" s="2718"/>
      <c r="N39" s="2427"/>
      <c r="O39" s="2718"/>
      <c r="P39" s="2427"/>
      <c r="Q39" s="2718"/>
      <c r="R39" s="2427"/>
      <c r="S39" s="2718"/>
    </row>
    <row r="40" spans="1:19" s="91" customFormat="1">
      <c r="A40" s="2636"/>
      <c r="B40" s="2444"/>
      <c r="C40" s="2445"/>
      <c r="D40" s="2433"/>
      <c r="E40" s="2546"/>
      <c r="F40" s="2547"/>
      <c r="G40" s="2432"/>
      <c r="H40" s="2537"/>
      <c r="I40" s="2649"/>
      <c r="J40" s="2539"/>
      <c r="K40" s="2718"/>
      <c r="L40" s="2427"/>
      <c r="M40" s="2718"/>
      <c r="N40" s="2427"/>
      <c r="O40" s="2718"/>
      <c r="P40" s="2427"/>
      <c r="Q40" s="2718"/>
      <c r="R40" s="2427"/>
      <c r="S40" s="2718"/>
    </row>
    <row r="41" spans="1:19" s="91" customFormat="1">
      <c r="A41" s="2636"/>
      <c r="B41" s="2696"/>
      <c r="C41" s="2445"/>
      <c r="D41" s="2433"/>
      <c r="E41" s="2546"/>
      <c r="F41" s="2547"/>
      <c r="G41" s="2432"/>
      <c r="H41" s="2537"/>
      <c r="I41" s="2649"/>
      <c r="J41" s="2539"/>
      <c r="K41" s="2718"/>
      <c r="L41" s="2427"/>
      <c r="M41" s="2718"/>
      <c r="N41" s="2427"/>
      <c r="O41" s="2718"/>
      <c r="P41" s="2427"/>
      <c r="Q41" s="2718"/>
      <c r="R41" s="2427"/>
      <c r="S41" s="2718"/>
    </row>
    <row r="42" spans="1:19" s="91" customFormat="1">
      <c r="A42" s="2636"/>
      <c r="B42" s="2697"/>
      <c r="C42" s="2445"/>
      <c r="D42" s="2433"/>
      <c r="E42" s="2546"/>
      <c r="F42" s="2547"/>
      <c r="G42" s="2432"/>
      <c r="H42" s="2537"/>
      <c r="I42" s="2649"/>
      <c r="J42" s="2539"/>
      <c r="K42" s="2718"/>
      <c r="L42" s="2427"/>
      <c r="M42" s="2718"/>
      <c r="N42" s="2427"/>
      <c r="O42" s="2718"/>
      <c r="P42" s="2427"/>
      <c r="Q42" s="2718"/>
      <c r="R42" s="2427"/>
      <c r="S42" s="2718"/>
    </row>
    <row r="43" spans="1:19" s="91" customFormat="1">
      <c r="A43" s="2636"/>
      <c r="B43" s="152"/>
      <c r="C43" s="2445"/>
      <c r="D43" s="2433"/>
      <c r="E43" s="2546"/>
      <c r="F43" s="2547"/>
      <c r="G43" s="2432"/>
      <c r="H43" s="2537"/>
      <c r="I43" s="2649"/>
      <c r="J43" s="2539"/>
      <c r="K43" s="2718"/>
      <c r="L43" s="2427"/>
      <c r="M43" s="2718"/>
      <c r="N43" s="2427"/>
      <c r="O43" s="2718"/>
      <c r="P43" s="2427"/>
      <c r="Q43" s="2718"/>
      <c r="R43" s="2427"/>
      <c r="S43" s="2718"/>
    </row>
    <row r="44" spans="1:19" s="91" customFormat="1">
      <c r="A44" s="2636"/>
      <c r="B44" s="2545"/>
      <c r="C44" s="2445"/>
      <c r="D44" s="2433"/>
      <c r="E44" s="2546"/>
      <c r="F44" s="2547"/>
      <c r="G44" s="2432"/>
      <c r="H44" s="2537"/>
      <c r="I44" s="2649"/>
      <c r="J44" s="2539"/>
      <c r="K44" s="2718"/>
      <c r="L44" s="2427"/>
      <c r="M44" s="2718"/>
      <c r="N44" s="2427"/>
      <c r="O44" s="2718"/>
      <c r="P44" s="2427"/>
      <c r="Q44" s="2718"/>
      <c r="R44" s="2427"/>
      <c r="S44" s="2718"/>
    </row>
    <row r="45" spans="1:19" s="91" customFormat="1">
      <c r="A45" s="2636"/>
      <c r="B45" s="2545"/>
      <c r="C45" s="2445"/>
      <c r="D45" s="2433"/>
      <c r="E45" s="2546"/>
      <c r="F45" s="2547"/>
      <c r="G45" s="2432"/>
      <c r="H45" s="2537"/>
      <c r="I45" s="2649"/>
      <c r="J45" s="2539"/>
      <c r="K45" s="2718"/>
      <c r="L45" s="2427"/>
      <c r="M45" s="2718"/>
      <c r="N45" s="2427"/>
      <c r="O45" s="2718"/>
      <c r="P45" s="2427"/>
      <c r="Q45" s="2718"/>
      <c r="R45" s="2427"/>
      <c r="S45" s="2718"/>
    </row>
    <row r="46" spans="1:19" s="91" customFormat="1">
      <c r="A46" s="2636"/>
      <c r="B46" s="2545"/>
      <c r="C46" s="2445"/>
      <c r="D46" s="2433"/>
      <c r="E46" s="2546"/>
      <c r="F46" s="2547"/>
      <c r="G46" s="2432"/>
      <c r="H46" s="2537"/>
      <c r="I46" s="2649"/>
      <c r="J46" s="2539"/>
      <c r="K46" s="2718"/>
      <c r="L46" s="2427"/>
      <c r="M46" s="2718"/>
      <c r="N46" s="2427"/>
      <c r="O46" s="2718"/>
      <c r="P46" s="2427"/>
      <c r="Q46" s="2718"/>
      <c r="R46" s="2427"/>
      <c r="S46" s="2718"/>
    </row>
    <row r="47" spans="1:19" s="91" customFormat="1">
      <c r="A47" s="2636"/>
      <c r="B47" s="2545"/>
      <c r="C47" s="2445"/>
      <c r="D47" s="2433"/>
      <c r="E47" s="2546"/>
      <c r="F47" s="2547"/>
      <c r="G47" s="2432"/>
      <c r="H47" s="2537"/>
      <c r="I47" s="2649"/>
      <c r="J47" s="2539"/>
      <c r="K47" s="2718"/>
      <c r="L47" s="2427"/>
      <c r="M47" s="2718"/>
      <c r="N47" s="2427"/>
      <c r="O47" s="2718"/>
      <c r="P47" s="2427"/>
      <c r="Q47" s="2718"/>
      <c r="R47" s="2427"/>
      <c r="S47" s="2718"/>
    </row>
    <row r="48" spans="1:19" s="91" customFormat="1">
      <c r="A48" s="2636"/>
      <c r="B48" s="2545"/>
      <c r="C48" s="2445"/>
      <c r="D48" s="2433"/>
      <c r="E48" s="2546"/>
      <c r="F48" s="2547"/>
      <c r="G48" s="2432"/>
      <c r="H48" s="2537"/>
      <c r="I48" s="2649"/>
      <c r="J48" s="2539"/>
      <c r="K48" s="2718"/>
      <c r="L48" s="2427"/>
      <c r="M48" s="2718"/>
      <c r="N48" s="2427"/>
      <c r="O48" s="2718"/>
      <c r="P48" s="2427"/>
      <c r="Q48" s="2718"/>
      <c r="R48" s="2427"/>
      <c r="S48" s="2718"/>
    </row>
    <row r="49" spans="1:19" s="91" customFormat="1">
      <c r="A49" s="2636"/>
      <c r="B49" s="2545"/>
      <c r="C49" s="2445"/>
      <c r="D49" s="2433"/>
      <c r="E49" s="2546"/>
      <c r="F49" s="2547"/>
      <c r="G49" s="2432"/>
      <c r="H49" s="2537"/>
      <c r="I49" s="2649"/>
      <c r="J49" s="2539"/>
      <c r="K49" s="2718"/>
      <c r="L49" s="2427"/>
      <c r="M49" s="2718"/>
      <c r="N49" s="2427"/>
      <c r="O49" s="2718"/>
      <c r="P49" s="2427"/>
      <c r="Q49" s="2718"/>
      <c r="R49" s="2427"/>
      <c r="S49" s="2718"/>
    </row>
    <row r="50" spans="1:19" s="91" customFormat="1">
      <c r="A50" s="2636"/>
      <c r="B50" s="2545"/>
      <c r="C50" s="2445"/>
      <c r="D50" s="2433"/>
      <c r="E50" s="2546"/>
      <c r="F50" s="2547"/>
      <c r="G50" s="2432"/>
      <c r="H50" s="2537"/>
      <c r="I50" s="2649"/>
      <c r="J50" s="2539"/>
      <c r="K50" s="2718"/>
      <c r="L50" s="2427"/>
      <c r="M50" s="2718"/>
      <c r="N50" s="2427"/>
      <c r="O50" s="2718"/>
      <c r="P50" s="2427"/>
      <c r="Q50" s="2718"/>
      <c r="R50" s="2427"/>
      <c r="S50" s="2718"/>
    </row>
    <row r="51" spans="1:19" s="91" customFormat="1">
      <c r="A51" s="2636"/>
      <c r="B51" s="2545"/>
      <c r="C51" s="2445"/>
      <c r="D51" s="2433"/>
      <c r="E51" s="2546"/>
      <c r="F51" s="2547"/>
      <c r="G51" s="2432"/>
      <c r="H51" s="2537"/>
      <c r="I51" s="2649"/>
      <c r="J51" s="2539"/>
      <c r="K51" s="2718"/>
      <c r="L51" s="2427"/>
      <c r="M51" s="2718"/>
      <c r="N51" s="2427"/>
      <c r="O51" s="2718"/>
      <c r="P51" s="2427"/>
      <c r="Q51" s="2718"/>
      <c r="R51" s="2427"/>
      <c r="S51" s="2718"/>
    </row>
    <row r="52" spans="1:19" s="91" customFormat="1">
      <c r="A52" s="2636"/>
      <c r="B52" s="2545"/>
      <c r="C52" s="2445"/>
      <c r="D52" s="2433"/>
      <c r="E52" s="2546"/>
      <c r="F52" s="2547"/>
      <c r="G52" s="2432"/>
      <c r="H52" s="2537"/>
      <c r="I52" s="2649"/>
      <c r="J52" s="2539"/>
      <c r="K52" s="2718"/>
      <c r="L52" s="2427"/>
      <c r="M52" s="2718"/>
      <c r="N52" s="2427"/>
      <c r="O52" s="2718"/>
      <c r="P52" s="2427"/>
      <c r="Q52" s="2718"/>
      <c r="R52" s="2427"/>
      <c r="S52" s="2718"/>
    </row>
    <row r="53" spans="1:19" s="91" customFormat="1">
      <c r="A53" s="2636"/>
      <c r="B53" s="2545"/>
      <c r="C53" s="2445"/>
      <c r="D53" s="2433"/>
      <c r="E53" s="2546"/>
      <c r="F53" s="2547"/>
      <c r="G53" s="2432"/>
      <c r="H53" s="2537"/>
      <c r="I53" s="2649"/>
      <c r="J53" s="2539"/>
      <c r="K53" s="2718"/>
      <c r="L53" s="2427"/>
      <c r="M53" s="2718"/>
      <c r="N53" s="2427"/>
      <c r="O53" s="2718"/>
      <c r="P53" s="2427"/>
      <c r="Q53" s="2718"/>
      <c r="R53" s="2427"/>
      <c r="S53" s="2718"/>
    </row>
    <row r="54" spans="1:19" s="91" customFormat="1" ht="16.5" customHeight="1">
      <c r="A54" s="2636"/>
      <c r="B54" s="2545"/>
      <c r="C54" s="2445"/>
      <c r="D54" s="2433"/>
      <c r="E54" s="2546"/>
      <c r="F54" s="2547"/>
      <c r="G54" s="2432"/>
      <c r="H54" s="2537"/>
      <c r="I54" s="2649"/>
      <c r="J54" s="2539"/>
      <c r="K54" s="2718"/>
      <c r="L54" s="2427"/>
      <c r="M54" s="2718"/>
      <c r="N54" s="2427"/>
      <c r="O54" s="2718"/>
      <c r="P54" s="2427"/>
      <c r="Q54" s="2718"/>
      <c r="R54" s="2427"/>
      <c r="S54" s="2718"/>
    </row>
    <row r="55" spans="1:19">
      <c r="A55" s="2685"/>
      <c r="B55" s="2686"/>
      <c r="C55" s="2426"/>
      <c r="D55" s="2405"/>
      <c r="E55" s="2405"/>
      <c r="F55" s="2405"/>
      <c r="G55" s="2423"/>
      <c r="H55" s="2687"/>
      <c r="I55" s="2650"/>
      <c r="J55" s="2650"/>
      <c r="K55" s="2650"/>
      <c r="L55" s="2427"/>
      <c r="M55" s="2650"/>
      <c r="N55" s="2427"/>
      <c r="O55" s="2650"/>
      <c r="P55" s="2427"/>
      <c r="Q55" s="2650"/>
      <c r="R55" s="2427"/>
      <c r="S55" s="2650"/>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639"/>
      <c r="B65" s="2404"/>
      <c r="C65" s="2640"/>
      <c r="D65" s="2640"/>
      <c r="E65" s="2640"/>
      <c r="F65" s="2640"/>
      <c r="G65" s="2641"/>
      <c r="H65" s="2678"/>
      <c r="I65" s="2678"/>
      <c r="J65" s="2678"/>
      <c r="K65" s="2678"/>
      <c r="L65" s="2678"/>
      <c r="M65" s="2678"/>
      <c r="N65" s="2678"/>
      <c r="O65" s="2678"/>
      <c r="P65" s="2678"/>
      <c r="Q65" s="2678"/>
      <c r="R65" s="2678"/>
      <c r="S65" s="2678"/>
    </row>
    <row r="66" spans="1:19" s="2" customFormat="1">
      <c r="A66" s="2639"/>
      <c r="B66" s="2404"/>
      <c r="C66" s="2640"/>
      <c r="D66" s="2640"/>
      <c r="E66" s="2640"/>
      <c r="F66" s="2640"/>
      <c r="G66" s="2641"/>
      <c r="H66" s="2678"/>
      <c r="I66" s="2678"/>
      <c r="J66" s="2678"/>
      <c r="K66" s="2678"/>
      <c r="L66" s="2678"/>
      <c r="M66" s="2678"/>
      <c r="N66" s="2678"/>
      <c r="O66" s="2678"/>
      <c r="P66" s="2678"/>
      <c r="Q66" s="2678"/>
      <c r="R66" s="2678"/>
      <c r="S66" s="2678"/>
    </row>
    <row r="67" spans="1:19" s="2" customFormat="1">
      <c r="A67" s="2639"/>
      <c r="B67" s="2404"/>
      <c r="C67" s="2640"/>
      <c r="D67" s="2640"/>
      <c r="E67" s="2640"/>
      <c r="F67" s="2640"/>
      <c r="G67" s="2641"/>
      <c r="H67" s="2678"/>
      <c r="I67" s="2678"/>
      <c r="J67" s="2678"/>
      <c r="K67" s="2678"/>
      <c r="L67" s="2678"/>
      <c r="M67" s="2678"/>
      <c r="N67" s="2678"/>
      <c r="O67" s="2678"/>
      <c r="P67" s="2678"/>
      <c r="Q67" s="2678"/>
      <c r="R67" s="2678"/>
      <c r="S67" s="2678"/>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639"/>
      <c r="B69" s="2404"/>
      <c r="C69" s="2640"/>
      <c r="D69" s="2640"/>
      <c r="E69" s="2640"/>
      <c r="F69" s="2640"/>
      <c r="G69" s="2641"/>
      <c r="H69" s="2678"/>
      <c r="I69" s="2678"/>
      <c r="J69" s="2678"/>
      <c r="K69" s="2678"/>
      <c r="L69" s="2678"/>
      <c r="M69" s="2678"/>
      <c r="N69" s="2678"/>
      <c r="O69" s="2678"/>
      <c r="P69" s="2678"/>
      <c r="Q69" s="2678"/>
      <c r="R69" s="2678"/>
      <c r="S69" s="2678"/>
    </row>
    <row r="70" spans="1:19" s="2" customFormat="1">
      <c r="A70" s="2639"/>
      <c r="B70" s="2404"/>
      <c r="C70" s="2640"/>
      <c r="D70" s="2640"/>
      <c r="E70" s="2640"/>
      <c r="F70" s="2640"/>
      <c r="G70" s="2641"/>
      <c r="H70" s="2678"/>
      <c r="I70" s="2678"/>
      <c r="J70" s="2678"/>
      <c r="K70" s="2678"/>
      <c r="L70" s="2678"/>
      <c r="M70" s="2678"/>
      <c r="N70" s="2678"/>
      <c r="O70" s="2678"/>
      <c r="P70" s="2678"/>
      <c r="Q70" s="2678"/>
      <c r="R70" s="2678"/>
      <c r="S70" s="2678"/>
    </row>
    <row r="71" spans="1:19">
      <c r="A71" s="2639"/>
      <c r="B71" s="2404"/>
      <c r="C71" s="2640"/>
      <c r="D71" s="2640"/>
      <c r="E71" s="2640"/>
      <c r="F71" s="2640"/>
      <c r="G71" s="2641"/>
      <c r="H71" s="2678"/>
      <c r="I71" s="2678"/>
      <c r="J71" s="2678"/>
      <c r="K71" s="2678"/>
      <c r="L71" s="2678"/>
      <c r="M71" s="2678"/>
      <c r="N71" s="2678"/>
      <c r="O71" s="2678"/>
      <c r="P71" s="2678"/>
      <c r="Q71" s="2678"/>
      <c r="R71" s="2678"/>
      <c r="S71" s="2678"/>
    </row>
    <row r="72" spans="1:19">
      <c r="A72" s="726" t="s">
        <v>575</v>
      </c>
      <c r="B72" s="727"/>
      <c r="C72" s="12"/>
      <c r="D72" s="12"/>
      <c r="E72" s="12"/>
      <c r="F72" s="12"/>
      <c r="G72" s="13"/>
      <c r="H72" s="21"/>
      <c r="I72" s="21"/>
      <c r="J72" s="21"/>
      <c r="K72" s="21"/>
      <c r="L72" s="21"/>
      <c r="M72" s="21"/>
      <c r="N72" s="21"/>
      <c r="O72" s="21"/>
      <c r="P72" s="21"/>
      <c r="Q72" s="21"/>
      <c r="R72" s="21"/>
      <c r="S72" s="21"/>
    </row>
    <row r="73" spans="1:19">
      <c r="A73" s="2639"/>
      <c r="B73" s="2404"/>
      <c r="C73" s="2640"/>
      <c r="D73" s="2640"/>
      <c r="E73" s="2640"/>
      <c r="F73" s="2640"/>
      <c r="G73" s="2641"/>
      <c r="H73" s="2678"/>
      <c r="I73" s="2678"/>
      <c r="J73" s="2678"/>
      <c r="K73" s="2678"/>
      <c r="L73" s="2678"/>
      <c r="M73" s="2678"/>
      <c r="N73" s="2678"/>
      <c r="O73" s="2678"/>
      <c r="P73" s="2678"/>
      <c r="Q73" s="2678"/>
      <c r="R73" s="2678"/>
      <c r="S73" s="2678"/>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643"/>
      <c r="B77" s="2644"/>
      <c r="C77" s="2640"/>
      <c r="D77" s="2640"/>
      <c r="E77" s="2640"/>
      <c r="F77" s="2640"/>
      <c r="G77" s="2641"/>
      <c r="H77" s="2678"/>
      <c r="I77" s="2678"/>
      <c r="J77" s="2678"/>
      <c r="K77" s="2678"/>
      <c r="L77" s="2678"/>
      <c r="M77" s="2678"/>
      <c r="N77" s="2678"/>
      <c r="O77" s="2678"/>
      <c r="P77" s="2678"/>
      <c r="Q77" s="2678"/>
      <c r="R77" s="2678"/>
      <c r="S77" s="2678"/>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639"/>
      <c r="B87" s="2645" t="s">
        <v>583</v>
      </c>
      <c r="C87" s="2640"/>
      <c r="D87" s="2640"/>
      <c r="E87" s="2640"/>
      <c r="F87" s="2640"/>
      <c r="G87" s="2641"/>
      <c r="H87" s="2687"/>
      <c r="I87" s="2687"/>
      <c r="J87" s="2687"/>
      <c r="K87" s="2687"/>
      <c r="L87" s="2687"/>
      <c r="M87" s="2687"/>
      <c r="N87" s="2687"/>
      <c r="O87" s="2687"/>
      <c r="P87" s="2687"/>
      <c r="Q87" s="2687"/>
      <c r="R87" s="2687"/>
      <c r="S87" s="2687"/>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545" priority="19" operator="equal">
      <formula>"X"</formula>
    </cfRule>
    <cfRule type="cellIs" dxfId="544" priority="20" operator="equal">
      <formula>"I"</formula>
    </cfRule>
  </conditionalFormatting>
  <conditionalFormatting sqref="J20:J30">
    <cfRule type="cellIs" dxfId="543" priority="17" operator="equal">
      <formula>"X"</formula>
    </cfRule>
    <cfRule type="cellIs" dxfId="542" priority="18" operator="equal">
      <formula>"I"</formula>
    </cfRule>
  </conditionalFormatting>
  <conditionalFormatting sqref="L20:L30">
    <cfRule type="cellIs" dxfId="541" priority="15" operator="equal">
      <formula>"X"</formula>
    </cfRule>
    <cfRule type="cellIs" dxfId="540" priority="16" operator="equal">
      <formula>"I"</formula>
    </cfRule>
  </conditionalFormatting>
  <conditionalFormatting sqref="L32:L55">
    <cfRule type="cellIs" dxfId="539" priority="1" operator="equal">
      <formula>"X"</formula>
    </cfRule>
    <cfRule type="cellIs" dxfId="538" priority="2" operator="equal">
      <formula>"I"</formula>
    </cfRule>
  </conditionalFormatting>
  <conditionalFormatting sqref="N20:N30">
    <cfRule type="cellIs" dxfId="537" priority="13" operator="equal">
      <formula>"X"</formula>
    </cfRule>
    <cfRule type="cellIs" dxfId="536" priority="14" operator="equal">
      <formula>"I"</formula>
    </cfRule>
  </conditionalFormatting>
  <conditionalFormatting sqref="N32:N55">
    <cfRule type="cellIs" dxfId="535" priority="3" operator="equal">
      <formula>"X"</formula>
    </cfRule>
    <cfRule type="cellIs" dxfId="534" priority="4" operator="equal">
      <formula>"I"</formula>
    </cfRule>
  </conditionalFormatting>
  <conditionalFormatting sqref="P20:P30">
    <cfRule type="cellIs" dxfId="533" priority="11" operator="equal">
      <formula>"X"</formula>
    </cfRule>
    <cfRule type="cellIs" dxfId="532" priority="12" operator="equal">
      <formula>"I"</formula>
    </cfRule>
  </conditionalFormatting>
  <conditionalFormatting sqref="P32:P55">
    <cfRule type="cellIs" dxfId="531" priority="5" operator="equal">
      <formula>"X"</formula>
    </cfRule>
    <cfRule type="cellIs" dxfId="530" priority="6" operator="equal">
      <formula>"I"</formula>
    </cfRule>
  </conditionalFormatting>
  <conditionalFormatting sqref="R20:R30">
    <cfRule type="cellIs" dxfId="529" priority="9" operator="equal">
      <formula>"X"</formula>
    </cfRule>
    <cfRule type="cellIs" dxfId="528" priority="10" operator="equal">
      <formula>"I"</formula>
    </cfRule>
  </conditionalFormatting>
  <conditionalFormatting sqref="R32:R55">
    <cfRule type="cellIs" dxfId="527" priority="7" operator="equal">
      <formula>"X"</formula>
    </cfRule>
    <cfRule type="cellIs" dxfId="526" priority="8" operator="equal">
      <formula>"I"</formula>
    </cfRule>
  </conditionalFormatting>
  <hyperlinks>
    <hyperlink ref="B3" location="'Cost Summary'!A1" display="BACK TO SUMMARY SHEET" xr:uid="{1B6B95CC-3FA3-46DB-A03E-2BC636C68465}"/>
  </hyperlinks>
  <pageMargins left="0.7" right="0.7" top="0.75" bottom="0.75" header="0.3" footer="0.3"/>
  <pageSetup scale="71" orientation="portrait" horizontalDpi="1200" verticalDpi="12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FC71-CEC9-44C8-AC7A-559180208957}">
  <sheetPr>
    <tabColor rgb="FF92D050"/>
  </sheetPr>
  <dimension ref="A1:S115"/>
  <sheetViews>
    <sheetView zoomScale="85" zoomScaleNormal="85" workbookViewId="0">
      <pane xSplit="2" ySplit="9" topLeftCell="C20" activePane="bottomRight" state="frozen"/>
      <selection pane="bottomRight" activeCell="H48" sqref="H4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2.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79" t="s">
        <v>1177</v>
      </c>
      <c r="I4" s="779"/>
      <c r="J4" s="779"/>
      <c r="K4" s="779"/>
      <c r="L4" s="779"/>
      <c r="M4" s="779"/>
      <c r="N4" s="779"/>
      <c r="O4" s="779"/>
      <c r="P4" s="779"/>
      <c r="Q4" s="779"/>
      <c r="R4" s="760"/>
      <c r="S4" s="729"/>
    </row>
    <row r="5" spans="1:19">
      <c r="A5" s="2403" t="s">
        <v>489</v>
      </c>
      <c r="B5" s="2404" t="s">
        <v>191</v>
      </c>
      <c r="C5" s="2405"/>
      <c r="D5" s="2405"/>
      <c r="E5" s="2405"/>
      <c r="F5" s="2405"/>
      <c r="G5" s="2406" t="s">
        <v>491</v>
      </c>
      <c r="H5" s="2518" t="s">
        <v>1178</v>
      </c>
      <c r="I5" s="2518"/>
      <c r="J5" s="2518"/>
      <c r="K5" s="2518"/>
      <c r="L5" s="2518"/>
      <c r="M5" s="2518"/>
      <c r="N5" s="2518"/>
      <c r="O5" s="2518"/>
      <c r="P5" s="2518"/>
      <c r="Q5" s="2518"/>
      <c r="R5" s="2409"/>
      <c r="S5" s="2408"/>
    </row>
    <row r="6" spans="1:19">
      <c r="A6" s="2403" t="s">
        <v>493</v>
      </c>
      <c r="B6" s="2410" t="s">
        <v>190</v>
      </c>
      <c r="C6" s="2405"/>
      <c r="D6" s="2405"/>
      <c r="E6" s="2405"/>
      <c r="F6" s="2405"/>
      <c r="G6" s="2406" t="s">
        <v>494</v>
      </c>
      <c r="H6" s="2519" t="s">
        <v>1179</v>
      </c>
      <c r="I6" s="2519"/>
      <c r="J6" s="2519"/>
      <c r="K6" s="2519"/>
      <c r="L6" s="2519"/>
      <c r="M6" s="2519"/>
      <c r="N6" s="2519"/>
      <c r="O6" s="2519"/>
      <c r="P6" s="2519"/>
      <c r="Q6" s="2519"/>
      <c r="R6" s="2413"/>
      <c r="S6" s="2412"/>
    </row>
    <row r="7" spans="1:19">
      <c r="A7" s="2403" t="s">
        <v>496</v>
      </c>
      <c r="B7" s="2414"/>
      <c r="C7" s="2405"/>
      <c r="D7" s="2405"/>
      <c r="E7" s="2405"/>
      <c r="F7" s="2405"/>
      <c r="G7" s="2406" t="s">
        <v>497</v>
      </c>
      <c r="H7" s="2520" t="s">
        <v>1180</v>
      </c>
      <c r="I7" s="2520"/>
      <c r="J7" s="2520"/>
      <c r="K7" s="2520"/>
      <c r="L7" s="2520"/>
      <c r="M7" s="2520"/>
      <c r="N7" s="2520"/>
      <c r="O7" s="2520"/>
      <c r="P7" s="2520"/>
      <c r="Q7" s="2520"/>
      <c r="R7" s="2417"/>
      <c r="S7" s="2416"/>
    </row>
    <row r="8" spans="1:19" ht="15.75" thickBot="1">
      <c r="A8" s="414" t="s">
        <v>499</v>
      </c>
      <c r="B8" s="295"/>
      <c r="C8" s="184"/>
      <c r="D8" s="184"/>
      <c r="E8" s="184"/>
      <c r="F8" s="184"/>
      <c r="G8" s="419" t="s">
        <v>499</v>
      </c>
      <c r="H8" s="2418">
        <f>I76</f>
        <v>441150</v>
      </c>
      <c r="I8" s="2419"/>
      <c r="J8" s="2418">
        <f>K76</f>
        <v>0</v>
      </c>
      <c r="K8" s="2419"/>
      <c r="L8" s="2418">
        <f>M76</f>
        <v>0</v>
      </c>
      <c r="M8" s="2419"/>
      <c r="N8" s="2418">
        <f>O76</f>
        <v>0</v>
      </c>
      <c r="O8" s="2419"/>
      <c r="P8" s="2418">
        <f>Q76</f>
        <v>0</v>
      </c>
      <c r="Q8" s="2419"/>
      <c r="R8" s="2418">
        <f>S76</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647"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2421"/>
      <c r="B21" s="2428" t="s">
        <v>191</v>
      </c>
      <c r="C21" s="2426"/>
      <c r="D21" s="2405"/>
      <c r="E21" s="2405"/>
      <c r="F21" s="2405"/>
      <c r="G21" s="2423"/>
      <c r="H21" s="2427"/>
      <c r="I21" s="2424"/>
      <c r="J21" s="2427"/>
      <c r="K21" s="2424"/>
      <c r="L21" s="2427"/>
      <c r="M21" s="2424"/>
      <c r="N21" s="2427"/>
      <c r="O21" s="2424"/>
      <c r="P21" s="2427"/>
      <c r="Q21" s="2424"/>
      <c r="R21" s="2427"/>
      <c r="S21" s="2424"/>
    </row>
    <row r="22" spans="1:19">
      <c r="A22" s="2648"/>
      <c r="B22" s="2318" t="s">
        <v>512</v>
      </c>
      <c r="C22" s="2426"/>
      <c r="D22" s="2405"/>
      <c r="E22" s="2405"/>
      <c r="F22" s="2405"/>
      <c r="G22" s="2423"/>
      <c r="H22" s="2427"/>
      <c r="I22" s="2650"/>
      <c r="J22" s="2427"/>
      <c r="K22" s="2650"/>
      <c r="L22" s="2427"/>
      <c r="M22" s="2650"/>
      <c r="N22" s="2427"/>
      <c r="O22" s="2650"/>
      <c r="P22" s="2427"/>
      <c r="Q22" s="2650"/>
      <c r="R22" s="2427"/>
      <c r="S22" s="2650"/>
    </row>
    <row r="23" spans="1:19">
      <c r="A23" s="2648"/>
      <c r="B23" s="2723" t="s">
        <v>513</v>
      </c>
      <c r="C23" s="2426"/>
      <c r="D23" s="2405"/>
      <c r="E23" s="2405"/>
      <c r="F23" s="2405"/>
      <c r="G23" s="2423"/>
      <c r="H23" s="2427"/>
      <c r="I23" s="2649"/>
      <c r="J23" s="2427"/>
      <c r="K23" s="2650"/>
      <c r="L23" s="2427"/>
      <c r="M23" s="2650"/>
      <c r="N23" s="2427"/>
      <c r="O23" s="2650"/>
      <c r="P23" s="2427"/>
      <c r="Q23" s="2650"/>
      <c r="R23" s="2427"/>
      <c r="S23" s="2650"/>
    </row>
    <row r="24" spans="1:19">
      <c r="A24" s="2648"/>
      <c r="B24" s="2723" t="s">
        <v>514</v>
      </c>
      <c r="C24" s="2430"/>
      <c r="D24" s="2405"/>
      <c r="E24" s="2405"/>
      <c r="F24" s="2405"/>
      <c r="G24" s="2423"/>
      <c r="H24" s="2427"/>
      <c r="I24" s="2649"/>
      <c r="J24" s="2427"/>
      <c r="K24" s="2650"/>
      <c r="L24" s="2427"/>
      <c r="M24" s="2650"/>
      <c r="N24" s="2427"/>
      <c r="O24" s="2650"/>
      <c r="P24" s="2427"/>
      <c r="Q24" s="2650"/>
      <c r="R24" s="2427"/>
      <c r="S24" s="2650"/>
    </row>
    <row r="25" spans="1:19">
      <c r="A25" s="2648"/>
      <c r="B25" s="2725" t="s">
        <v>515</v>
      </c>
      <c r="C25" s="2430"/>
      <c r="D25" s="2405"/>
      <c r="E25" s="2405"/>
      <c r="F25" s="2405"/>
      <c r="G25" s="2423"/>
      <c r="H25" s="2427"/>
      <c r="I25" s="2649"/>
      <c r="J25" s="2427"/>
      <c r="K25" s="2650"/>
      <c r="L25" s="2427"/>
      <c r="M25" s="2650"/>
      <c r="N25" s="2427"/>
      <c r="O25" s="2650"/>
      <c r="P25" s="2427"/>
      <c r="Q25" s="2650"/>
      <c r="R25" s="2427"/>
      <c r="S25" s="2650"/>
    </row>
    <row r="26" spans="1:19" s="91" customFormat="1">
      <c r="A26" s="2731"/>
      <c r="B26" s="2725" t="s">
        <v>516</v>
      </c>
      <c r="C26" s="2432"/>
      <c r="D26" s="2433"/>
      <c r="E26" s="2433"/>
      <c r="F26" s="2433"/>
      <c r="G26" s="2432"/>
      <c r="H26" s="2427"/>
      <c r="I26" s="2649"/>
      <c r="J26" s="2427"/>
      <c r="K26" s="2732"/>
      <c r="L26" s="2427"/>
      <c r="M26" s="2732"/>
      <c r="N26" s="2427"/>
      <c r="O26" s="2732"/>
      <c r="P26" s="2427"/>
      <c r="Q26" s="2732"/>
      <c r="R26" s="2427"/>
      <c r="S26" s="2732"/>
    </row>
    <row r="27" spans="1:19" s="91" customFormat="1">
      <c r="A27" s="2731"/>
      <c r="B27" s="2725" t="s">
        <v>517</v>
      </c>
      <c r="C27" s="2432"/>
      <c r="D27" s="2433"/>
      <c r="E27" s="2433"/>
      <c r="F27" s="2433"/>
      <c r="G27" s="2432"/>
      <c r="H27" s="2427"/>
      <c r="I27" s="2649"/>
      <c r="J27" s="2427"/>
      <c r="K27" s="2732"/>
      <c r="L27" s="2427"/>
      <c r="M27" s="2732"/>
      <c r="N27" s="2427"/>
      <c r="O27" s="2732"/>
      <c r="P27" s="2427"/>
      <c r="Q27" s="2732"/>
      <c r="R27" s="2427"/>
      <c r="S27" s="2732"/>
    </row>
    <row r="28" spans="1:19" s="91" customFormat="1">
      <c r="A28" s="2731"/>
      <c r="B28" s="2725" t="s">
        <v>518</v>
      </c>
      <c r="C28" s="2432"/>
      <c r="D28" s="2433"/>
      <c r="E28" s="2433"/>
      <c r="F28" s="2433"/>
      <c r="G28" s="2432"/>
      <c r="H28" s="2427"/>
      <c r="I28" s="2649"/>
      <c r="J28" s="2427"/>
      <c r="K28" s="2732"/>
      <c r="L28" s="2427"/>
      <c r="M28" s="2732"/>
      <c r="N28" s="2427"/>
      <c r="O28" s="2732"/>
      <c r="P28" s="2427"/>
      <c r="Q28" s="2732"/>
      <c r="R28" s="2427"/>
      <c r="S28" s="2732"/>
    </row>
    <row r="29" spans="1:19" s="91" customFormat="1">
      <c r="A29" s="2731"/>
      <c r="B29" s="2725" t="s">
        <v>693</v>
      </c>
      <c r="C29" s="2432"/>
      <c r="D29" s="2433"/>
      <c r="E29" s="2433"/>
      <c r="F29" s="2433"/>
      <c r="G29" s="2432"/>
      <c r="H29" s="2427"/>
      <c r="I29" s="2649"/>
      <c r="J29" s="2427"/>
      <c r="K29" s="2732"/>
      <c r="L29" s="2427"/>
      <c r="M29" s="2732"/>
      <c r="N29" s="2427"/>
      <c r="O29" s="2732"/>
      <c r="P29" s="2427"/>
      <c r="Q29" s="2732"/>
      <c r="R29" s="2427"/>
      <c r="S29" s="2732"/>
    </row>
    <row r="30" spans="1:19" s="91" customFormat="1">
      <c r="A30" s="2731"/>
      <c r="B30" s="2733" t="s">
        <v>519</v>
      </c>
      <c r="C30" s="2432"/>
      <c r="D30" s="2433"/>
      <c r="E30" s="2433"/>
      <c r="F30" s="2433"/>
      <c r="G30" s="2432"/>
      <c r="H30" s="2427"/>
      <c r="I30" s="2649"/>
      <c r="J30" s="2427"/>
      <c r="K30" s="2732"/>
      <c r="L30" s="2427"/>
      <c r="M30" s="2732"/>
      <c r="N30" s="2427"/>
      <c r="O30" s="2732"/>
      <c r="P30" s="2427"/>
      <c r="Q30" s="2732"/>
      <c r="R30" s="2427"/>
      <c r="S30" s="2732"/>
    </row>
    <row r="31" spans="1:19" s="91" customFormat="1">
      <c r="A31" s="2731"/>
      <c r="B31" s="2734" t="s">
        <v>520</v>
      </c>
      <c r="C31" s="2435"/>
      <c r="D31" s="2436"/>
      <c r="E31" s="2436"/>
      <c r="F31" s="2436"/>
      <c r="G31" s="2435"/>
      <c r="H31" s="2439"/>
      <c r="I31" s="2735"/>
      <c r="J31" s="2443"/>
      <c r="K31" s="2736"/>
      <c r="L31" s="2443"/>
      <c r="M31" s="2736"/>
      <c r="N31" s="2736"/>
      <c r="O31" s="2736"/>
      <c r="P31" s="2736"/>
      <c r="Q31" s="2736"/>
      <c r="R31" s="2736"/>
      <c r="S31" s="2736"/>
    </row>
    <row r="32" spans="1:19" s="91" customFormat="1">
      <c r="A32" s="2731"/>
      <c r="B32" s="151"/>
      <c r="C32" s="2432"/>
      <c r="D32" s="2433"/>
      <c r="E32" s="2433"/>
      <c r="F32" s="2433"/>
      <c r="G32" s="2432"/>
      <c r="H32" s="2537"/>
      <c r="I32" s="2649"/>
      <c r="J32" s="2539"/>
      <c r="K32" s="2732"/>
      <c r="L32" s="2427"/>
      <c r="M32" s="2732"/>
      <c r="N32" s="2427"/>
      <c r="O32" s="2732"/>
      <c r="P32" s="2427"/>
      <c r="Q32" s="2732"/>
      <c r="R32" s="2427"/>
      <c r="S32" s="2732"/>
    </row>
    <row r="33" spans="1:19" s="91" customFormat="1">
      <c r="A33" s="2724"/>
      <c r="B33" s="2596" t="s">
        <v>695</v>
      </c>
      <c r="C33" s="2598"/>
      <c r="D33" s="2597"/>
      <c r="E33" s="2597"/>
      <c r="F33" s="2597"/>
      <c r="G33" s="2598"/>
      <c r="H33" s="2459"/>
      <c r="I33" s="2737"/>
      <c r="J33" s="2459"/>
      <c r="K33" s="2738"/>
      <c r="L33" s="2459"/>
      <c r="M33" s="2738"/>
      <c r="N33" s="2459"/>
      <c r="O33" s="2738"/>
      <c r="P33" s="2459"/>
      <c r="Q33" s="2738"/>
      <c r="R33" s="2459"/>
      <c r="S33" s="2738"/>
    </row>
    <row r="34" spans="1:19" s="91" customFormat="1">
      <c r="A34" s="2724"/>
      <c r="B34" s="2545"/>
      <c r="C34" s="2432"/>
      <c r="D34" s="2433"/>
      <c r="E34" s="2433"/>
      <c r="F34" s="2433"/>
      <c r="G34" s="2432"/>
      <c r="H34" s="2427"/>
      <c r="I34" s="2649"/>
      <c r="J34" s="2427"/>
      <c r="K34" s="2732"/>
      <c r="L34" s="2427"/>
      <c r="M34" s="2732"/>
      <c r="N34" s="2427"/>
      <c r="O34" s="2732"/>
      <c r="P34" s="2427"/>
      <c r="Q34" s="2732"/>
      <c r="R34" s="2427"/>
      <c r="S34" s="2732"/>
    </row>
    <row r="35" spans="1:19" s="91" customFormat="1">
      <c r="A35" s="2724"/>
      <c r="B35" s="2591" t="s">
        <v>649</v>
      </c>
      <c r="C35" s="2593"/>
      <c r="D35" s="2592"/>
      <c r="E35" s="2592"/>
      <c r="F35" s="2592"/>
      <c r="G35" s="2593"/>
      <c r="H35" s="2453"/>
      <c r="I35" s="2739"/>
      <c r="J35" s="2453"/>
      <c r="K35" s="2740"/>
      <c r="L35" s="2453"/>
      <c r="M35" s="2740"/>
      <c r="N35" s="2453"/>
      <c r="O35" s="2740"/>
      <c r="P35" s="2453"/>
      <c r="Q35" s="2740"/>
      <c r="R35" s="2453"/>
      <c r="S35" s="2740"/>
    </row>
    <row r="36" spans="1:19" s="91" customFormat="1">
      <c r="A36" s="2724"/>
      <c r="B36" s="2545"/>
      <c r="C36" s="2432"/>
      <c r="D36" s="2433"/>
      <c r="E36" s="2433"/>
      <c r="F36" s="2433"/>
      <c r="G36" s="2432"/>
      <c r="H36" s="2427"/>
      <c r="I36" s="2649"/>
      <c r="J36" s="2427"/>
      <c r="K36" s="2732"/>
      <c r="L36" s="2427"/>
      <c r="M36" s="2732"/>
      <c r="N36" s="2427"/>
      <c r="O36" s="2732"/>
      <c r="P36" s="2427"/>
      <c r="Q36" s="2732"/>
      <c r="R36" s="2427"/>
      <c r="S36" s="2732"/>
    </row>
    <row r="37" spans="1:19" s="91" customFormat="1">
      <c r="A37" s="2724"/>
      <c r="B37" s="2596" t="s">
        <v>700</v>
      </c>
      <c r="C37" s="2598"/>
      <c r="D37" s="2597"/>
      <c r="E37" s="2597"/>
      <c r="F37" s="2597"/>
      <c r="G37" s="2598"/>
      <c r="H37" s="2459"/>
      <c r="I37" s="2737"/>
      <c r="J37" s="2459"/>
      <c r="K37" s="2738"/>
      <c r="L37" s="2459"/>
      <c r="M37" s="2738"/>
      <c r="N37" s="2459"/>
      <c r="O37" s="2738"/>
      <c r="P37" s="2459"/>
      <c r="Q37" s="2738"/>
      <c r="R37" s="2459"/>
      <c r="S37" s="2738"/>
    </row>
    <row r="38" spans="1:19" s="91" customFormat="1">
      <c r="A38" s="2724"/>
      <c r="B38" s="2545" t="s">
        <v>1181</v>
      </c>
      <c r="C38" s="2432" t="s">
        <v>702</v>
      </c>
      <c r="D38" s="2607">
        <v>80</v>
      </c>
      <c r="E38" s="2433" t="s">
        <v>723</v>
      </c>
      <c r="F38" s="2433">
        <v>1000</v>
      </c>
      <c r="G38" s="2432">
        <f>D38*F38</f>
        <v>80000</v>
      </c>
      <c r="H38" s="2427"/>
      <c r="I38" s="2737">
        <f>G38</f>
        <v>80000</v>
      </c>
      <c r="J38" s="2427"/>
      <c r="K38" s="2732"/>
      <c r="L38" s="2427"/>
      <c r="M38" s="2732"/>
      <c r="N38" s="2427"/>
      <c r="O38" s="2732"/>
      <c r="P38" s="2427"/>
      <c r="Q38" s="2732"/>
      <c r="R38" s="2427"/>
      <c r="S38" s="2732"/>
    </row>
    <row r="39" spans="1:19" s="91" customFormat="1">
      <c r="A39" s="2724"/>
      <c r="B39" s="2545" t="s">
        <v>1182</v>
      </c>
      <c r="C39" s="2432" t="s">
        <v>702</v>
      </c>
      <c r="D39" s="2607">
        <v>80</v>
      </c>
      <c r="E39" s="2433" t="s">
        <v>723</v>
      </c>
      <c r="F39" s="2433">
        <f>F38</f>
        <v>1000</v>
      </c>
      <c r="G39" s="2432">
        <f>D39*F39</f>
        <v>80000</v>
      </c>
      <c r="H39" s="2427"/>
      <c r="I39" s="2737">
        <f>G39</f>
        <v>80000</v>
      </c>
      <c r="J39" s="2427"/>
      <c r="K39" s="2732"/>
      <c r="L39" s="2427"/>
      <c r="M39" s="2732"/>
      <c r="N39" s="2427"/>
      <c r="O39" s="2732"/>
      <c r="P39" s="2427"/>
      <c r="Q39" s="2732"/>
      <c r="R39" s="2427"/>
      <c r="S39" s="2732"/>
    </row>
    <row r="40" spans="1:19" s="91" customFormat="1">
      <c r="A40" s="2724"/>
      <c r="B40" s="2545" t="s">
        <v>1183</v>
      </c>
      <c r="C40" s="2432" t="s">
        <v>702</v>
      </c>
      <c r="D40" s="2607">
        <v>541</v>
      </c>
      <c r="E40" s="2433" t="s">
        <v>723</v>
      </c>
      <c r="F40" s="2433">
        <v>150</v>
      </c>
      <c r="G40" s="2432">
        <f>D40*F40</f>
        <v>81150</v>
      </c>
      <c r="H40" s="2427"/>
      <c r="I40" s="2741">
        <f>G40</f>
        <v>81150</v>
      </c>
      <c r="J40" s="2427"/>
      <c r="K40" s="2732"/>
      <c r="L40" s="2427"/>
      <c r="M40" s="2732"/>
      <c r="N40" s="2427"/>
      <c r="O40" s="2732"/>
      <c r="P40" s="2427"/>
      <c r="Q40" s="2732"/>
      <c r="R40" s="2427"/>
      <c r="S40" s="2732"/>
    </row>
    <row r="41" spans="1:19" s="91" customFormat="1">
      <c r="A41" s="2724"/>
      <c r="B41" s="2545" t="s">
        <v>1184</v>
      </c>
      <c r="C41" s="2432"/>
      <c r="D41" s="2607">
        <v>2</v>
      </c>
      <c r="E41" s="2433" t="s">
        <v>714</v>
      </c>
      <c r="F41" s="2433">
        <v>100000</v>
      </c>
      <c r="G41" s="2432">
        <f>D41*F41</f>
        <v>200000</v>
      </c>
      <c r="H41" s="2427"/>
      <c r="I41" s="2741">
        <f>G41</f>
        <v>200000</v>
      </c>
      <c r="J41" s="2427"/>
      <c r="K41" s="2732"/>
      <c r="L41" s="2427"/>
      <c r="M41" s="2732"/>
      <c r="N41" s="2427"/>
      <c r="O41" s="2732"/>
      <c r="P41" s="2427"/>
      <c r="Q41" s="2732"/>
      <c r="R41" s="2427"/>
      <c r="S41" s="2732"/>
    </row>
    <row r="42" spans="1:19" s="91" customFormat="1">
      <c r="A42" s="2724"/>
      <c r="B42" s="2545"/>
      <c r="C42" s="2432"/>
      <c r="D42" s="2433"/>
      <c r="E42" s="2433"/>
      <c r="F42" s="2433"/>
      <c r="G42" s="2432"/>
      <c r="H42" s="2427"/>
      <c r="I42" s="2649"/>
      <c r="J42" s="2427"/>
      <c r="K42" s="2732"/>
      <c r="L42" s="2427"/>
      <c r="M42" s="2732"/>
      <c r="N42" s="2427"/>
      <c r="O42" s="2732"/>
      <c r="P42" s="2427"/>
      <c r="Q42" s="2732"/>
      <c r="R42" s="2427"/>
      <c r="S42" s="2732"/>
    </row>
    <row r="43" spans="1:19" s="91" customFormat="1">
      <c r="A43" s="2724"/>
      <c r="B43" s="2591" t="s">
        <v>703</v>
      </c>
      <c r="C43" s="2593"/>
      <c r="D43" s="2592"/>
      <c r="E43" s="2592"/>
      <c r="F43" s="2592"/>
      <c r="G43" s="2593"/>
      <c r="H43" s="2453"/>
      <c r="I43" s="2739"/>
      <c r="J43" s="2453"/>
      <c r="K43" s="2740"/>
      <c r="L43" s="2453"/>
      <c r="M43" s="2740"/>
      <c r="N43" s="2453"/>
      <c r="O43" s="2740"/>
      <c r="P43" s="2453"/>
      <c r="Q43" s="2740"/>
      <c r="R43" s="2453"/>
      <c r="S43" s="2740"/>
    </row>
    <row r="44" spans="1:19" s="91" customFormat="1">
      <c r="A44" s="2724"/>
      <c r="B44" s="2545"/>
      <c r="C44" s="2432"/>
      <c r="D44" s="2433"/>
      <c r="E44" s="2433"/>
      <c r="F44" s="2433"/>
      <c r="G44" s="2432"/>
      <c r="H44" s="2427"/>
      <c r="I44" s="2649"/>
      <c r="J44" s="2427"/>
      <c r="K44" s="2732"/>
      <c r="L44" s="2427"/>
      <c r="M44" s="2732"/>
      <c r="N44" s="2427"/>
      <c r="O44" s="2732"/>
      <c r="P44" s="2427"/>
      <c r="Q44" s="2732"/>
      <c r="R44" s="2427"/>
      <c r="S44" s="2732"/>
    </row>
    <row r="45" spans="1:19" s="91" customFormat="1">
      <c r="A45" s="2724"/>
      <c r="B45" s="2596" t="s">
        <v>704</v>
      </c>
      <c r="C45" s="2598"/>
      <c r="D45" s="2597"/>
      <c r="E45" s="2597"/>
      <c r="F45" s="2597"/>
      <c r="G45" s="2598"/>
      <c r="H45" s="2459"/>
      <c r="I45" s="2737"/>
      <c r="J45" s="2459"/>
      <c r="K45" s="2738"/>
      <c r="L45" s="2459"/>
      <c r="M45" s="2738"/>
      <c r="N45" s="2459"/>
      <c r="O45" s="2738"/>
      <c r="P45" s="2459"/>
      <c r="Q45" s="2738"/>
      <c r="R45" s="2459"/>
      <c r="S45" s="2738"/>
    </row>
    <row r="46" spans="1:19" s="91" customFormat="1">
      <c r="A46" s="2724"/>
      <c r="B46" s="2545"/>
      <c r="C46" s="2432"/>
      <c r="D46" s="2433"/>
      <c r="E46" s="2433"/>
      <c r="F46" s="2433"/>
      <c r="G46" s="2432"/>
      <c r="H46" s="2427"/>
      <c r="I46" s="2649"/>
      <c r="J46" s="2427"/>
      <c r="K46" s="2732"/>
      <c r="L46" s="2427"/>
      <c r="M46" s="2732"/>
      <c r="N46" s="2427"/>
      <c r="O46" s="2732"/>
      <c r="P46" s="2427"/>
      <c r="Q46" s="2732"/>
      <c r="R46" s="2427"/>
      <c r="S46" s="2732"/>
    </row>
    <row r="47" spans="1:19" s="91" customFormat="1">
      <c r="A47" s="2724"/>
      <c r="B47" s="2591" t="s">
        <v>705</v>
      </c>
      <c r="C47" s="2593"/>
      <c r="D47" s="2592"/>
      <c r="E47" s="2592"/>
      <c r="F47" s="2592"/>
      <c r="G47" s="2593"/>
      <c r="H47" s="2453"/>
      <c r="I47" s="2739"/>
      <c r="J47" s="2453"/>
      <c r="K47" s="2740"/>
      <c r="L47" s="2453"/>
      <c r="M47" s="2740"/>
      <c r="N47" s="2453"/>
      <c r="O47" s="2740"/>
      <c r="P47" s="2453"/>
      <c r="Q47" s="2740"/>
      <c r="R47" s="2453"/>
      <c r="S47" s="2740"/>
    </row>
    <row r="48" spans="1:19" s="91" customFormat="1">
      <c r="A48" s="2724"/>
      <c r="B48" s="2545"/>
      <c r="C48" s="2432"/>
      <c r="D48" s="2433"/>
      <c r="E48" s="2433"/>
      <c r="F48" s="2433"/>
      <c r="G48" s="2432"/>
      <c r="H48" s="2427"/>
      <c r="I48" s="2649"/>
      <c r="J48" s="2427"/>
      <c r="K48" s="2732"/>
      <c r="L48" s="2427"/>
      <c r="M48" s="2732"/>
      <c r="N48" s="2427"/>
      <c r="O48" s="2732"/>
      <c r="P48" s="2427"/>
      <c r="Q48" s="2732"/>
      <c r="R48" s="2427"/>
      <c r="S48" s="2732"/>
    </row>
    <row r="49" spans="1:19" s="91" customFormat="1">
      <c r="A49" s="2724"/>
      <c r="B49" s="2601" t="s">
        <v>602</v>
      </c>
      <c r="C49" s="2598"/>
      <c r="D49" s="2597"/>
      <c r="E49" s="2597"/>
      <c r="F49" s="2597"/>
      <c r="G49" s="2598"/>
      <c r="H49" s="2459"/>
      <c r="I49" s="2737"/>
      <c r="J49" s="2459"/>
      <c r="K49" s="2738"/>
      <c r="L49" s="2459"/>
      <c r="M49" s="2738"/>
      <c r="N49" s="2459"/>
      <c r="O49" s="2738"/>
      <c r="P49" s="2459"/>
      <c r="Q49" s="2738"/>
      <c r="R49" s="2459"/>
      <c r="S49" s="2738"/>
    </row>
    <row r="50" spans="1:19" s="91" customFormat="1">
      <c r="A50" s="2724"/>
      <c r="B50" s="2444"/>
      <c r="C50" s="2445"/>
      <c r="D50" s="2433"/>
      <c r="E50" s="2433"/>
      <c r="F50" s="2433"/>
      <c r="G50" s="2432"/>
      <c r="H50" s="2537"/>
      <c r="I50" s="2649"/>
      <c r="J50" s="2539"/>
      <c r="K50" s="2732"/>
      <c r="L50" s="2427"/>
      <c r="M50" s="2732"/>
      <c r="N50" s="2427"/>
      <c r="O50" s="2732"/>
      <c r="P50" s="2427"/>
      <c r="Q50" s="2732"/>
      <c r="R50" s="2427"/>
      <c r="S50" s="2732"/>
    </row>
    <row r="51" spans="1:19" s="91" customFormat="1">
      <c r="A51" s="2724"/>
      <c r="B51" s="2444"/>
      <c r="C51" s="2445"/>
      <c r="D51" s="2433"/>
      <c r="E51" s="2433"/>
      <c r="F51" s="2433"/>
      <c r="G51" s="2432"/>
      <c r="H51" s="2537"/>
      <c r="I51" s="2649"/>
      <c r="J51" s="2539"/>
      <c r="K51" s="2732"/>
      <c r="L51" s="2427"/>
      <c r="M51" s="2732"/>
      <c r="N51" s="2427"/>
      <c r="O51" s="2732"/>
      <c r="P51" s="2427"/>
      <c r="Q51" s="2732"/>
      <c r="R51" s="2427"/>
      <c r="S51" s="2732"/>
    </row>
    <row r="52" spans="1:19" s="91" customFormat="1">
      <c r="A52" s="2724"/>
      <c r="B52" s="2506"/>
      <c r="C52" s="2445"/>
      <c r="D52" s="2433"/>
      <c r="E52" s="2433"/>
      <c r="F52" s="2433"/>
      <c r="G52" s="2432"/>
      <c r="H52" s="2537"/>
      <c r="I52" s="2649"/>
      <c r="J52" s="2539"/>
      <c r="K52" s="2732"/>
      <c r="L52" s="2427"/>
      <c r="M52" s="2732"/>
      <c r="N52" s="2427"/>
      <c r="O52" s="2732"/>
      <c r="P52" s="2427"/>
      <c r="Q52" s="2732"/>
      <c r="R52" s="2427"/>
      <c r="S52" s="2732"/>
    </row>
    <row r="53" spans="1:19" s="91" customFormat="1">
      <c r="A53" s="2724"/>
      <c r="B53" s="2444"/>
      <c r="C53" s="2445"/>
      <c r="D53" s="2433"/>
      <c r="E53" s="2433"/>
      <c r="F53" s="2433"/>
      <c r="G53" s="2432"/>
      <c r="H53" s="2537"/>
      <c r="I53" s="2649"/>
      <c r="J53" s="2539"/>
      <c r="K53" s="2732"/>
      <c r="L53" s="2427"/>
      <c r="M53" s="2732"/>
      <c r="N53" s="2427"/>
      <c r="O53" s="2732"/>
      <c r="P53" s="2427"/>
      <c r="Q53" s="2732"/>
      <c r="R53" s="2427"/>
      <c r="S53" s="2732"/>
    </row>
    <row r="54" spans="1:19" s="91" customFormat="1">
      <c r="A54" s="2724"/>
      <c r="B54" s="2444"/>
      <c r="C54" s="2445"/>
      <c r="D54" s="2433"/>
      <c r="E54" s="2546"/>
      <c r="F54" s="2547"/>
      <c r="G54" s="2432"/>
      <c r="H54" s="2537"/>
      <c r="I54" s="2649"/>
      <c r="J54" s="2539"/>
      <c r="K54" s="2732"/>
      <c r="L54" s="2427"/>
      <c r="M54" s="2732"/>
      <c r="N54" s="2427"/>
      <c r="O54" s="2732"/>
      <c r="P54" s="2427"/>
      <c r="Q54" s="2732"/>
      <c r="R54" s="2427"/>
      <c r="S54" s="2732"/>
    </row>
    <row r="55" spans="1:19" s="91" customFormat="1">
      <c r="A55" s="2724"/>
      <c r="B55" s="2444"/>
      <c r="C55" s="2445"/>
      <c r="D55" s="2433"/>
      <c r="E55" s="2546"/>
      <c r="F55" s="2547"/>
      <c r="G55" s="2432"/>
      <c r="H55" s="2537"/>
      <c r="I55" s="2649"/>
      <c r="J55" s="2539"/>
      <c r="K55" s="2732"/>
      <c r="L55" s="2427"/>
      <c r="M55" s="2732"/>
      <c r="N55" s="2427"/>
      <c r="O55" s="2732"/>
      <c r="P55" s="2427"/>
      <c r="Q55" s="2732"/>
      <c r="R55" s="2427"/>
      <c r="S55" s="2732"/>
    </row>
    <row r="56" spans="1:19" s="91" customFormat="1">
      <c r="A56" s="2724"/>
      <c r="B56" s="2444"/>
      <c r="C56" s="2445"/>
      <c r="D56" s="2433"/>
      <c r="E56" s="2546"/>
      <c r="F56" s="2547"/>
      <c r="G56" s="2432"/>
      <c r="H56" s="2537"/>
      <c r="I56" s="2649"/>
      <c r="J56" s="2539"/>
      <c r="K56" s="2732"/>
      <c r="L56" s="2427"/>
      <c r="M56" s="2732"/>
      <c r="N56" s="2427"/>
      <c r="O56" s="2732"/>
      <c r="P56" s="2427"/>
      <c r="Q56" s="2732"/>
      <c r="R56" s="2427"/>
      <c r="S56" s="2732"/>
    </row>
    <row r="57" spans="1:19" s="91" customFormat="1">
      <c r="A57" s="2724"/>
      <c r="B57" s="2742"/>
      <c r="C57" s="2445"/>
      <c r="D57" s="2433"/>
      <c r="E57" s="2546"/>
      <c r="F57" s="2547"/>
      <c r="G57" s="2432"/>
      <c r="H57" s="2537"/>
      <c r="I57" s="2649"/>
      <c r="J57" s="2539"/>
      <c r="K57" s="2732"/>
      <c r="L57" s="2427"/>
      <c r="M57" s="2732"/>
      <c r="N57" s="2427"/>
      <c r="O57" s="2732"/>
      <c r="P57" s="2427"/>
      <c r="Q57" s="2732"/>
      <c r="R57" s="2427"/>
      <c r="S57" s="2732"/>
    </row>
    <row r="58" spans="1:19" s="91" customFormat="1">
      <c r="A58" s="2724"/>
      <c r="B58" s="2743"/>
      <c r="C58" s="2445"/>
      <c r="D58" s="2433"/>
      <c r="E58" s="2546"/>
      <c r="F58" s="2547"/>
      <c r="G58" s="2432"/>
      <c r="H58" s="2537"/>
      <c r="I58" s="2649"/>
      <c r="J58" s="2539"/>
      <c r="K58" s="2732"/>
      <c r="L58" s="2427"/>
      <c r="M58" s="2732"/>
      <c r="N58" s="2427"/>
      <c r="O58" s="2732"/>
      <c r="P58" s="2427"/>
      <c r="Q58" s="2732"/>
      <c r="R58" s="2427"/>
      <c r="S58" s="2732"/>
    </row>
    <row r="59" spans="1:19" s="91" customFormat="1">
      <c r="A59" s="2724"/>
      <c r="B59" s="152"/>
      <c r="C59" s="2445"/>
      <c r="D59" s="2433"/>
      <c r="E59" s="2546"/>
      <c r="F59" s="2547"/>
      <c r="G59" s="2432"/>
      <c r="H59" s="2537"/>
      <c r="I59" s="2649"/>
      <c r="J59" s="2539"/>
      <c r="K59" s="2732"/>
      <c r="L59" s="2427"/>
      <c r="M59" s="2732"/>
      <c r="N59" s="2427"/>
      <c r="O59" s="2732"/>
      <c r="P59" s="2427"/>
      <c r="Q59" s="2732"/>
      <c r="R59" s="2427"/>
      <c r="S59" s="2732"/>
    </row>
    <row r="60" spans="1:19" s="91" customFormat="1">
      <c r="A60" s="2724"/>
      <c r="B60" s="2545"/>
      <c r="C60" s="2445"/>
      <c r="D60" s="2433"/>
      <c r="E60" s="2546"/>
      <c r="F60" s="2547"/>
      <c r="G60" s="2432"/>
      <c r="H60" s="2537"/>
      <c r="I60" s="2649"/>
      <c r="J60" s="2539"/>
      <c r="K60" s="2732"/>
      <c r="L60" s="2427"/>
      <c r="M60" s="2732"/>
      <c r="N60" s="2427"/>
      <c r="O60" s="2732"/>
      <c r="P60" s="2427"/>
      <c r="Q60" s="2732"/>
      <c r="R60" s="2427"/>
      <c r="S60" s="2732"/>
    </row>
    <row r="61" spans="1:19" s="91" customFormat="1">
      <c r="A61" s="2724"/>
      <c r="B61" s="2545"/>
      <c r="C61" s="2445"/>
      <c r="D61" s="2433"/>
      <c r="E61" s="2546"/>
      <c r="F61" s="2547"/>
      <c r="G61" s="2432"/>
      <c r="H61" s="2537"/>
      <c r="I61" s="2649"/>
      <c r="J61" s="2539"/>
      <c r="K61" s="2732"/>
      <c r="L61" s="2427"/>
      <c r="M61" s="2732"/>
      <c r="N61" s="2427"/>
      <c r="O61" s="2732"/>
      <c r="P61" s="2427"/>
      <c r="Q61" s="2732"/>
      <c r="R61" s="2427"/>
      <c r="S61" s="2732"/>
    </row>
    <row r="62" spans="1:19" s="91" customFormat="1">
      <c r="A62" s="2724"/>
      <c r="B62" s="2545"/>
      <c r="C62" s="2445"/>
      <c r="D62" s="2433"/>
      <c r="E62" s="2546"/>
      <c r="F62" s="2547"/>
      <c r="G62" s="2432"/>
      <c r="H62" s="2537"/>
      <c r="I62" s="2649"/>
      <c r="J62" s="2539"/>
      <c r="K62" s="2732"/>
      <c r="L62" s="2427"/>
      <c r="M62" s="2732"/>
      <c r="N62" s="2427"/>
      <c r="O62" s="2732"/>
      <c r="P62" s="2427"/>
      <c r="Q62" s="2732"/>
      <c r="R62" s="2427"/>
      <c r="S62" s="2732"/>
    </row>
    <row r="63" spans="1:19" s="91" customFormat="1">
      <c r="A63" s="2724"/>
      <c r="B63" s="2545"/>
      <c r="C63" s="2445"/>
      <c r="D63" s="2433"/>
      <c r="E63" s="2546"/>
      <c r="F63" s="2547"/>
      <c r="G63" s="2432"/>
      <c r="H63" s="2537"/>
      <c r="I63" s="2649"/>
      <c r="J63" s="2539"/>
      <c r="K63" s="2732"/>
      <c r="L63" s="2427"/>
      <c r="M63" s="2732"/>
      <c r="N63" s="2427"/>
      <c r="O63" s="2732"/>
      <c r="P63" s="2427"/>
      <c r="Q63" s="2732"/>
      <c r="R63" s="2427"/>
      <c r="S63" s="2732"/>
    </row>
    <row r="64" spans="1:19" s="91" customFormat="1">
      <c r="A64" s="2724"/>
      <c r="B64" s="2545"/>
      <c r="C64" s="2445"/>
      <c r="D64" s="2433"/>
      <c r="E64" s="2546"/>
      <c r="F64" s="2547"/>
      <c r="G64" s="2432"/>
      <c r="H64" s="2537"/>
      <c r="I64" s="2649"/>
      <c r="J64" s="2539"/>
      <c r="K64" s="2732"/>
      <c r="L64" s="2427"/>
      <c r="M64" s="2732"/>
      <c r="N64" s="2427"/>
      <c r="O64" s="2732"/>
      <c r="P64" s="2427"/>
      <c r="Q64" s="2732"/>
      <c r="R64" s="2427"/>
      <c r="S64" s="2732"/>
    </row>
    <row r="65" spans="1:19" s="91" customFormat="1">
      <c r="A65" s="2724"/>
      <c r="B65" s="2545"/>
      <c r="C65" s="2445"/>
      <c r="D65" s="2433"/>
      <c r="E65" s="2546"/>
      <c r="F65" s="2547"/>
      <c r="G65" s="2432"/>
      <c r="H65" s="2537"/>
      <c r="I65" s="2649"/>
      <c r="J65" s="2539"/>
      <c r="K65" s="2732"/>
      <c r="L65" s="2427"/>
      <c r="M65" s="2732"/>
      <c r="N65" s="2427"/>
      <c r="O65" s="2732"/>
      <c r="P65" s="2427"/>
      <c r="Q65" s="2732"/>
      <c r="R65" s="2427"/>
      <c r="S65" s="2732"/>
    </row>
    <row r="66" spans="1:19" s="91" customFormat="1">
      <c r="A66" s="2724"/>
      <c r="B66" s="2545"/>
      <c r="C66" s="2445"/>
      <c r="D66" s="2433"/>
      <c r="E66" s="2546"/>
      <c r="F66" s="2547"/>
      <c r="G66" s="2432"/>
      <c r="H66" s="2537"/>
      <c r="I66" s="2649"/>
      <c r="J66" s="2539"/>
      <c r="K66" s="2732"/>
      <c r="L66" s="2427"/>
      <c r="M66" s="2732"/>
      <c r="N66" s="2427"/>
      <c r="O66" s="2732"/>
      <c r="P66" s="2427"/>
      <c r="Q66" s="2732"/>
      <c r="R66" s="2427"/>
      <c r="S66" s="2732"/>
    </row>
    <row r="67" spans="1:19" s="91" customFormat="1">
      <c r="A67" s="2724"/>
      <c r="B67" s="2545"/>
      <c r="C67" s="2445"/>
      <c r="D67" s="2433"/>
      <c r="E67" s="2546"/>
      <c r="F67" s="2547"/>
      <c r="G67" s="2432"/>
      <c r="H67" s="2537"/>
      <c r="I67" s="2649"/>
      <c r="J67" s="2539"/>
      <c r="K67" s="2732"/>
      <c r="L67" s="2427"/>
      <c r="M67" s="2732"/>
      <c r="N67" s="2427"/>
      <c r="O67" s="2732"/>
      <c r="P67" s="2427"/>
      <c r="Q67" s="2732"/>
      <c r="R67" s="2427"/>
      <c r="S67" s="2732"/>
    </row>
    <row r="68" spans="1:19" s="91" customFormat="1">
      <c r="A68" s="2724"/>
      <c r="B68" s="2545"/>
      <c r="C68" s="2445"/>
      <c r="D68" s="2433"/>
      <c r="E68" s="2546"/>
      <c r="F68" s="2547"/>
      <c r="G68" s="2432"/>
      <c r="H68" s="2537"/>
      <c r="I68" s="2649"/>
      <c r="J68" s="2539"/>
      <c r="K68" s="2732"/>
      <c r="L68" s="2427"/>
      <c r="M68" s="2732"/>
      <c r="N68" s="2427"/>
      <c r="O68" s="2732"/>
      <c r="P68" s="2427"/>
      <c r="Q68" s="2732"/>
      <c r="R68" s="2427"/>
      <c r="S68" s="2732"/>
    </row>
    <row r="69" spans="1:19" s="91" customFormat="1">
      <c r="A69" s="2724"/>
      <c r="B69" s="2545"/>
      <c r="C69" s="2445"/>
      <c r="D69" s="2433"/>
      <c r="E69" s="2546"/>
      <c r="F69" s="2547"/>
      <c r="G69" s="2432"/>
      <c r="H69" s="2537"/>
      <c r="I69" s="2649"/>
      <c r="J69" s="2539"/>
      <c r="K69" s="2732"/>
      <c r="L69" s="2427"/>
      <c r="M69" s="2732"/>
      <c r="N69" s="2427"/>
      <c r="O69" s="2732"/>
      <c r="P69" s="2427"/>
      <c r="Q69" s="2732"/>
      <c r="R69" s="2427"/>
      <c r="S69" s="2732"/>
    </row>
    <row r="70" spans="1:19" s="91" customFormat="1" ht="16.5" customHeight="1">
      <c r="A70" s="2724"/>
      <c r="B70" s="2545"/>
      <c r="C70" s="2445"/>
      <c r="D70" s="2433"/>
      <c r="E70" s="2546"/>
      <c r="F70" s="2547"/>
      <c r="G70" s="2432"/>
      <c r="H70" s="2537"/>
      <c r="I70" s="2649"/>
      <c r="J70" s="2539"/>
      <c r="K70" s="2732"/>
      <c r="L70" s="2427"/>
      <c r="M70" s="2732"/>
      <c r="N70" s="2427"/>
      <c r="O70" s="2732"/>
      <c r="P70" s="2427"/>
      <c r="Q70" s="2732"/>
      <c r="R70" s="2427"/>
      <c r="S70" s="2732"/>
    </row>
    <row r="71" spans="1:19" ht="15.75" thickBot="1">
      <c r="A71" s="2685"/>
      <c r="B71" s="2686"/>
      <c r="C71" s="2426"/>
      <c r="D71" s="2405"/>
      <c r="E71" s="2405"/>
      <c r="F71" s="2405"/>
      <c r="G71" s="2423"/>
      <c r="H71" s="2744"/>
      <c r="I71" s="2650"/>
      <c r="J71" s="2650"/>
      <c r="K71" s="2650"/>
      <c r="L71" s="2427"/>
      <c r="M71" s="2650"/>
      <c r="N71" s="2427"/>
      <c r="O71" s="2650"/>
      <c r="P71" s="2427"/>
      <c r="Q71" s="2650"/>
      <c r="R71" s="2427"/>
      <c r="S71" s="2650"/>
    </row>
    <row r="72" spans="1:19" ht="15.75" thickTop="1">
      <c r="A72" s="14"/>
      <c r="B72" s="15"/>
      <c r="C72" s="16"/>
      <c r="D72" s="16"/>
      <c r="E72" s="17"/>
      <c r="F72" s="18" t="s">
        <v>567</v>
      </c>
      <c r="G72" s="19"/>
      <c r="H72" s="20"/>
      <c r="I72" s="61">
        <f>SUM(I23:I71)</f>
        <v>441150</v>
      </c>
      <c r="J72" s="20"/>
      <c r="K72" s="61">
        <f>SUM(K23:K71)</f>
        <v>0</v>
      </c>
      <c r="L72" s="20"/>
      <c r="M72" s="61">
        <f>SUM(M23:M71)</f>
        <v>0</v>
      </c>
      <c r="N72" s="20"/>
      <c r="O72" s="61">
        <f>SUM(O23:O71)</f>
        <v>0</v>
      </c>
      <c r="P72" s="20"/>
      <c r="Q72" s="61">
        <f>SUM(Q23:Q71)</f>
        <v>0</v>
      </c>
      <c r="R72" s="20"/>
      <c r="S72" s="61">
        <f>SUM(S23:S71)</f>
        <v>0</v>
      </c>
    </row>
    <row r="73" spans="1:19">
      <c r="A73" s="2358"/>
      <c r="B73" s="2359"/>
      <c r="C73" s="2360"/>
      <c r="D73" s="2360"/>
      <c r="E73" s="2361"/>
      <c r="F73" s="2362" t="s">
        <v>568</v>
      </c>
      <c r="G73" s="2363"/>
      <c r="H73" s="2364">
        <v>0</v>
      </c>
      <c r="I73" s="2460"/>
      <c r="J73" s="2364">
        <v>0</v>
      </c>
      <c r="K73" s="2460"/>
      <c r="L73" s="2364">
        <v>0</v>
      </c>
      <c r="M73" s="2460"/>
      <c r="N73" s="2364">
        <v>0</v>
      </c>
      <c r="O73" s="2460"/>
      <c r="P73" s="2364">
        <v>0</v>
      </c>
      <c r="Q73" s="2460"/>
      <c r="R73" s="2364">
        <v>0</v>
      </c>
      <c r="S73" s="2460"/>
    </row>
    <row r="74" spans="1:19">
      <c r="A74" s="2358"/>
      <c r="B74" s="2359"/>
      <c r="C74" s="2360"/>
      <c r="D74" s="2360"/>
      <c r="E74" s="2361"/>
      <c r="F74" s="2362" t="s">
        <v>569</v>
      </c>
      <c r="G74" s="2363"/>
      <c r="H74" s="2366"/>
      <c r="I74" s="2462">
        <f>H73*I72</f>
        <v>0</v>
      </c>
      <c r="J74" s="2366"/>
      <c r="K74" s="2462">
        <f>J73*K72</f>
        <v>0</v>
      </c>
      <c r="L74" s="2366"/>
      <c r="M74" s="2462">
        <f>L73*M72</f>
        <v>0</v>
      </c>
      <c r="N74" s="2366"/>
      <c r="O74" s="2462">
        <f>N73*O72</f>
        <v>0</v>
      </c>
      <c r="P74" s="2366"/>
      <c r="Q74" s="2462">
        <f>P73*Q72</f>
        <v>0</v>
      </c>
      <c r="R74" s="2366"/>
      <c r="S74" s="2462">
        <f>R73*S72</f>
        <v>0</v>
      </c>
    </row>
    <row r="75" spans="1:19">
      <c r="A75" s="2358"/>
      <c r="B75" s="2359"/>
      <c r="C75" s="2360"/>
      <c r="D75" s="2360"/>
      <c r="E75" s="2361"/>
      <c r="F75" s="2362"/>
      <c r="G75" s="2363"/>
      <c r="H75" s="2366"/>
      <c r="I75" s="2464"/>
      <c r="J75" s="2366"/>
      <c r="K75" s="2464"/>
      <c r="L75" s="2366"/>
      <c r="M75" s="2464"/>
      <c r="N75" s="2366"/>
      <c r="O75" s="2464"/>
      <c r="P75" s="2366"/>
      <c r="Q75" s="2464"/>
      <c r="R75" s="2366"/>
      <c r="S75" s="2464"/>
    </row>
    <row r="76" spans="1:19">
      <c r="A76" s="2358"/>
      <c r="B76" s="2359"/>
      <c r="C76" s="2360"/>
      <c r="D76" s="2360"/>
      <c r="E76" s="2361"/>
      <c r="F76" s="2362" t="s">
        <v>570</v>
      </c>
      <c r="G76" s="2363"/>
      <c r="H76" s="2368"/>
      <c r="I76" s="2465">
        <f>SUM(I72:I74)</f>
        <v>441150</v>
      </c>
      <c r="J76" s="2368"/>
      <c r="K76" s="2465">
        <f>SUM(K72:K74)</f>
        <v>0</v>
      </c>
      <c r="L76" s="2368"/>
      <c r="M76" s="2465">
        <f>SUM(M72:M74)</f>
        <v>0</v>
      </c>
      <c r="N76" s="2368"/>
      <c r="O76" s="2465">
        <f>SUM(O72:O74)</f>
        <v>0</v>
      </c>
      <c r="P76" s="2368"/>
      <c r="Q76" s="2465">
        <f>SUM(Q72:Q74)</f>
        <v>0</v>
      </c>
      <c r="R76" s="2368"/>
      <c r="S76" s="2465">
        <f>SUM(S72:S74)</f>
        <v>0</v>
      </c>
    </row>
    <row r="77" spans="1:19">
      <c r="A77" s="2358"/>
      <c r="B77" s="2359"/>
      <c r="C77" s="2360"/>
      <c r="D77" s="2360"/>
      <c r="E77" s="2361"/>
      <c r="F77" s="2370" t="s">
        <v>571</v>
      </c>
      <c r="G77" s="2371"/>
      <c r="H77" s="2372"/>
      <c r="I77" s="2373" t="e">
        <f>I76/'Area Calculations'!$J$4</f>
        <v>#DIV/0!</v>
      </c>
      <c r="J77" s="2372"/>
      <c r="K77" s="2373" t="e">
        <f>K76/'Area Calculations'!$J$4</f>
        <v>#DIV/0!</v>
      </c>
      <c r="L77" s="2372"/>
      <c r="M77" s="2373" t="e">
        <f>M76/'Area Calculations'!$J$4</f>
        <v>#DIV/0!</v>
      </c>
      <c r="N77" s="2372"/>
      <c r="O77" s="2373" t="e">
        <f>O76/'Area Calculations'!$J$4</f>
        <v>#DIV/0!</v>
      </c>
      <c r="P77" s="2372"/>
      <c r="Q77" s="2373" t="e">
        <f>Q76/'Area Calculations'!$J$4</f>
        <v>#DIV/0!</v>
      </c>
      <c r="R77" s="2372"/>
      <c r="S77" s="2373" t="e">
        <f>S76/'Area Calculations'!$J$4</f>
        <v>#DIV/0!</v>
      </c>
    </row>
    <row r="78" spans="1:19">
      <c r="A78" s="2358"/>
      <c r="B78" s="2359"/>
      <c r="C78" s="2360"/>
      <c r="D78" s="2360"/>
      <c r="E78" s="2361"/>
      <c r="F78" s="2370" t="s">
        <v>572</v>
      </c>
      <c r="G78" s="2374"/>
      <c r="H78" s="2372"/>
      <c r="I78" s="2373" t="e">
        <f>I76/'Area Calculations'!#REF!</f>
        <v>#REF!</v>
      </c>
      <c r="J78" s="2372"/>
      <c r="K78" s="2373" t="e">
        <f>K76/'Area Calculations'!#REF!</f>
        <v>#REF!</v>
      </c>
      <c r="L78" s="2372"/>
      <c r="M78" s="2373" t="e">
        <f>M76/'Area Calculations'!#REF!</f>
        <v>#REF!</v>
      </c>
      <c r="N78" s="2372"/>
      <c r="O78" s="2373" t="e">
        <f>O76/'Area Calculations'!#REF!</f>
        <v>#REF!</v>
      </c>
      <c r="P78" s="2372"/>
      <c r="Q78" s="2373" t="e">
        <f>Q76/'Area Calculations'!#REF!</f>
        <v>#REF!</v>
      </c>
      <c r="R78" s="2372"/>
      <c r="S78" s="2373" t="e">
        <f>S76/'Area Calculations'!#REF!</f>
        <v>#REF!</v>
      </c>
    </row>
    <row r="79" spans="1:19" ht="15.75" thickBot="1">
      <c r="A79" s="2358"/>
      <c r="B79" s="2359"/>
      <c r="C79" s="2360"/>
      <c r="D79" s="2360"/>
      <c r="E79" s="2361"/>
      <c r="F79" s="2362"/>
      <c r="G79" s="2375"/>
      <c r="H79" s="2376"/>
      <c r="I79" s="2377"/>
      <c r="J79" s="2376"/>
      <c r="K79" s="2377"/>
      <c r="L79" s="2376"/>
      <c r="M79" s="2377"/>
      <c r="N79" s="2376"/>
      <c r="O79" s="2377"/>
      <c r="P79" s="2376"/>
      <c r="Q79" s="2377"/>
      <c r="R79" s="2376"/>
      <c r="S79" s="2377"/>
    </row>
    <row r="80" spans="1:19" ht="16.5" thickTop="1" thickBot="1">
      <c r="A80" s="726" t="s">
        <v>573</v>
      </c>
      <c r="B80" s="727"/>
      <c r="C80" s="12"/>
      <c r="D80" s="12"/>
      <c r="E80" s="12"/>
      <c r="F80" s="12"/>
      <c r="G80" s="13"/>
      <c r="H80" s="21"/>
      <c r="I80" s="21"/>
      <c r="J80" s="21"/>
      <c r="K80" s="21"/>
      <c r="L80" s="21"/>
      <c r="M80" s="21"/>
      <c r="N80" s="21"/>
      <c r="O80" s="21"/>
      <c r="P80" s="21"/>
      <c r="Q80" s="21"/>
      <c r="R80" s="21"/>
      <c r="S80" s="21"/>
    </row>
    <row r="81" spans="1:19" ht="15.75" thickTop="1">
      <c r="A81" s="2745"/>
      <c r="B81" s="2404"/>
      <c r="C81" s="2746"/>
      <c r="D81" s="2746"/>
      <c r="E81" s="2746"/>
      <c r="F81" s="2746"/>
      <c r="G81" s="2747"/>
      <c r="H81" s="2748"/>
      <c r="I81" s="2748"/>
      <c r="J81" s="2748"/>
      <c r="K81" s="2748"/>
      <c r="L81" s="2748"/>
      <c r="M81" s="2748"/>
      <c r="N81" s="2748"/>
      <c r="O81" s="2748"/>
      <c r="P81" s="2748"/>
      <c r="Q81" s="2748"/>
      <c r="R81" s="2748"/>
      <c r="S81" s="2748"/>
    </row>
    <row r="82" spans="1:19" s="2" customFormat="1">
      <c r="A82" s="2745"/>
      <c r="B82" s="2404"/>
      <c r="C82" s="2746"/>
      <c r="D82" s="2746"/>
      <c r="E82" s="2746"/>
      <c r="F82" s="2746"/>
      <c r="G82" s="2747"/>
      <c r="H82" s="2748"/>
      <c r="I82" s="2748"/>
      <c r="J82" s="2748"/>
      <c r="K82" s="2748"/>
      <c r="L82" s="2748"/>
      <c r="M82" s="2748"/>
      <c r="N82" s="2748"/>
      <c r="O82" s="2748"/>
      <c r="P82" s="2748"/>
      <c r="Q82" s="2748"/>
      <c r="R82" s="2748"/>
      <c r="S82" s="2748"/>
    </row>
    <row r="83" spans="1:19" s="2" customFormat="1" ht="15.75" thickBot="1">
      <c r="A83" s="2745"/>
      <c r="B83" s="2404"/>
      <c r="C83" s="2746"/>
      <c r="D83" s="2746"/>
      <c r="E83" s="2746"/>
      <c r="F83" s="2746"/>
      <c r="G83" s="2747"/>
      <c r="H83" s="2748"/>
      <c r="I83" s="2748"/>
      <c r="J83" s="2748"/>
      <c r="K83" s="2748"/>
      <c r="L83" s="2748"/>
      <c r="M83" s="2748"/>
      <c r="N83" s="2748"/>
      <c r="O83" s="2748"/>
      <c r="P83" s="2748"/>
      <c r="Q83" s="2748"/>
      <c r="R83" s="2748"/>
      <c r="S83" s="2748"/>
    </row>
    <row r="84" spans="1:19" ht="16.5" thickTop="1" thickBot="1">
      <c r="A84" s="726" t="s">
        <v>574</v>
      </c>
      <c r="B84" s="727"/>
      <c r="C84" s="12"/>
      <c r="D84" s="12"/>
      <c r="E84" s="12"/>
      <c r="F84" s="12"/>
      <c r="G84" s="13"/>
      <c r="H84" s="21"/>
      <c r="I84" s="21"/>
      <c r="J84" s="21"/>
      <c r="K84" s="21"/>
      <c r="L84" s="21"/>
      <c r="M84" s="21"/>
      <c r="N84" s="21"/>
      <c r="O84" s="21"/>
      <c r="P84" s="21"/>
      <c r="Q84" s="21"/>
      <c r="R84" s="21"/>
      <c r="S84" s="21"/>
    </row>
    <row r="85" spans="1:19" s="2" customFormat="1" ht="15.75" thickTop="1">
      <c r="A85" s="2745"/>
      <c r="B85" s="2404"/>
      <c r="C85" s="2746"/>
      <c r="D85" s="2746"/>
      <c r="E85" s="2746"/>
      <c r="F85" s="2746"/>
      <c r="G85" s="2747"/>
      <c r="H85" s="2748"/>
      <c r="I85" s="2748"/>
      <c r="J85" s="2748"/>
      <c r="K85" s="2748"/>
      <c r="L85" s="2748"/>
      <c r="M85" s="2748"/>
      <c r="N85" s="2748"/>
      <c r="O85" s="2748"/>
      <c r="P85" s="2748"/>
      <c r="Q85" s="2748"/>
      <c r="R85" s="2748"/>
      <c r="S85" s="2748"/>
    </row>
    <row r="86" spans="1:19" s="2" customFormat="1">
      <c r="A86" s="2745"/>
      <c r="B86" s="2404"/>
      <c r="C86" s="2746"/>
      <c r="D86" s="2746"/>
      <c r="E86" s="2746"/>
      <c r="F86" s="2746"/>
      <c r="G86" s="2747"/>
      <c r="H86" s="2748"/>
      <c r="I86" s="2748"/>
      <c r="J86" s="2748"/>
      <c r="K86" s="2748"/>
      <c r="L86" s="2748"/>
      <c r="M86" s="2748"/>
      <c r="N86" s="2748"/>
      <c r="O86" s="2748"/>
      <c r="P86" s="2748"/>
      <c r="Q86" s="2748"/>
      <c r="R86" s="2748"/>
      <c r="S86" s="2748"/>
    </row>
    <row r="87" spans="1:19" ht="15.75" thickBot="1">
      <c r="A87" s="2745"/>
      <c r="B87" s="2404"/>
      <c r="C87" s="2746"/>
      <c r="D87" s="2746"/>
      <c r="E87" s="2746"/>
      <c r="F87" s="2746"/>
      <c r="G87" s="2747"/>
      <c r="H87" s="2748"/>
      <c r="I87" s="2748"/>
      <c r="J87" s="2748"/>
      <c r="K87" s="2748"/>
      <c r="L87" s="2748"/>
      <c r="M87" s="2748"/>
      <c r="N87" s="2748"/>
      <c r="O87" s="2748"/>
      <c r="P87" s="2748"/>
      <c r="Q87" s="2748"/>
      <c r="R87" s="2748"/>
      <c r="S87" s="2748"/>
    </row>
    <row r="88" spans="1:19" ht="16.5" thickTop="1" thickBot="1">
      <c r="A88" s="726" t="s">
        <v>575</v>
      </c>
      <c r="B88" s="727"/>
      <c r="C88" s="12"/>
      <c r="D88" s="12"/>
      <c r="E88" s="12"/>
      <c r="F88" s="12"/>
      <c r="G88" s="13"/>
      <c r="H88" s="21"/>
      <c r="I88" s="21"/>
      <c r="J88" s="21"/>
      <c r="K88" s="21"/>
      <c r="L88" s="21"/>
      <c r="M88" s="21"/>
      <c r="N88" s="21"/>
      <c r="O88" s="21"/>
      <c r="P88" s="21"/>
      <c r="Q88" s="21"/>
      <c r="R88" s="21"/>
      <c r="S88" s="21"/>
    </row>
    <row r="89" spans="1:19" ht="15.75" thickTop="1">
      <c r="A89" s="2745"/>
      <c r="B89" s="2404"/>
      <c r="C89" s="2746"/>
      <c r="D89" s="2746"/>
      <c r="E89" s="2746"/>
      <c r="F89" s="2746"/>
      <c r="G89" s="2747"/>
      <c r="H89" s="2748"/>
      <c r="I89" s="2748"/>
      <c r="J89" s="2748"/>
      <c r="K89" s="2748"/>
      <c r="L89" s="2748"/>
      <c r="M89" s="2748"/>
      <c r="N89" s="2748"/>
      <c r="O89" s="2748"/>
      <c r="P89" s="2748"/>
      <c r="Q89" s="2748"/>
      <c r="R89" s="2748"/>
      <c r="S89" s="2748"/>
    </row>
    <row r="90" spans="1:19">
      <c r="A90" s="2421"/>
      <c r="B90" s="2404"/>
      <c r="C90" s="2405"/>
      <c r="D90" s="2405"/>
      <c r="E90" s="2405"/>
      <c r="F90" s="2405"/>
      <c r="G90" s="2423"/>
      <c r="H90" s="2382"/>
      <c r="I90" s="2382"/>
      <c r="J90" s="2382"/>
      <c r="K90" s="2382"/>
      <c r="L90" s="2382"/>
      <c r="M90" s="2382"/>
      <c r="N90" s="2382"/>
      <c r="O90" s="2382"/>
      <c r="P90" s="2382"/>
      <c r="Q90" s="2382"/>
      <c r="R90" s="2382"/>
      <c r="S90" s="2382"/>
    </row>
    <row r="91" spans="1:19" ht="15.75" thickBot="1">
      <c r="A91" s="2383"/>
      <c r="B91" s="2384"/>
      <c r="C91" s="2405"/>
      <c r="D91" s="2405"/>
      <c r="E91" s="2405"/>
      <c r="F91" s="2405"/>
      <c r="G91" s="2423"/>
      <c r="H91" s="2385"/>
      <c r="I91" s="2385"/>
      <c r="J91" s="2385"/>
      <c r="K91" s="2385"/>
      <c r="L91" s="2385"/>
      <c r="M91" s="2385"/>
      <c r="N91" s="2385"/>
      <c r="O91" s="2385"/>
      <c r="P91" s="2385"/>
      <c r="Q91" s="2385"/>
      <c r="R91" s="2385"/>
      <c r="S91" s="2385"/>
    </row>
    <row r="92" spans="1:19" ht="16.5" thickTop="1" thickBot="1">
      <c r="A92" s="726" t="s">
        <v>576</v>
      </c>
      <c r="B92" s="727"/>
      <c r="C92" s="12"/>
      <c r="D92" s="12"/>
      <c r="E92" s="12"/>
      <c r="F92" s="12"/>
      <c r="G92" s="13"/>
      <c r="H92" s="21"/>
      <c r="I92" s="21"/>
      <c r="J92" s="21"/>
      <c r="K92" s="21"/>
      <c r="L92" s="21"/>
      <c r="M92" s="21"/>
      <c r="N92" s="21"/>
      <c r="O92" s="21"/>
      <c r="P92" s="21"/>
      <c r="Q92" s="21"/>
      <c r="R92" s="21"/>
      <c r="S92" s="21"/>
    </row>
    <row r="93" spans="1:19" ht="15.75" thickTop="1">
      <c r="A93" s="2749"/>
      <c r="B93" s="2750"/>
      <c r="C93" s="2746"/>
      <c r="D93" s="2746"/>
      <c r="E93" s="2746"/>
      <c r="F93" s="2746"/>
      <c r="G93" s="2747"/>
      <c r="H93" s="2748"/>
      <c r="I93" s="2748"/>
      <c r="J93" s="2748"/>
      <c r="K93" s="2748"/>
      <c r="L93" s="2748"/>
      <c r="M93" s="2748"/>
      <c r="N93" s="2748"/>
      <c r="O93" s="2748"/>
      <c r="P93" s="2748"/>
      <c r="Q93" s="2748"/>
      <c r="R93" s="2748"/>
      <c r="S93" s="2748"/>
    </row>
    <row r="94" spans="1:19">
      <c r="A94" s="2383"/>
      <c r="B94" s="2384"/>
      <c r="C94" s="2405"/>
      <c r="D94" s="2405"/>
      <c r="E94" s="2405"/>
      <c r="F94" s="2405"/>
      <c r="G94" s="2423"/>
      <c r="H94" s="2388"/>
      <c r="I94" s="2388"/>
      <c r="J94" s="2388"/>
      <c r="K94" s="2388"/>
      <c r="L94" s="2388"/>
      <c r="M94" s="2388"/>
      <c r="N94" s="2388"/>
      <c r="O94" s="2388"/>
      <c r="P94" s="2388"/>
      <c r="Q94" s="2388"/>
      <c r="R94" s="2388"/>
      <c r="S94" s="2388"/>
    </row>
    <row r="95" spans="1:19" ht="15.75" thickBot="1">
      <c r="A95" s="2383"/>
      <c r="B95" s="2384"/>
      <c r="C95" s="2405"/>
      <c r="D95" s="2405"/>
      <c r="E95" s="2405"/>
      <c r="F95" s="2405"/>
      <c r="G95" s="2423"/>
      <c r="H95" s="2388"/>
      <c r="I95" s="2388"/>
      <c r="J95" s="2388"/>
      <c r="K95" s="2388"/>
      <c r="L95" s="2388"/>
      <c r="M95" s="2388"/>
      <c r="N95" s="2388"/>
      <c r="O95" s="2388"/>
      <c r="P95" s="2388"/>
      <c r="Q95" s="2388"/>
      <c r="R95" s="2388"/>
      <c r="S95" s="2388"/>
    </row>
    <row r="96" spans="1:19" ht="16.5" thickTop="1" thickBot="1">
      <c r="A96" s="726" t="s">
        <v>577</v>
      </c>
      <c r="B96" s="727"/>
      <c r="C96" s="12"/>
      <c r="D96" s="12"/>
      <c r="E96" s="12"/>
      <c r="F96" s="12"/>
      <c r="G96" s="13"/>
      <c r="H96" s="21"/>
      <c r="I96" s="21"/>
      <c r="J96" s="21"/>
      <c r="K96" s="21"/>
      <c r="L96" s="21"/>
      <c r="M96" s="21"/>
      <c r="N96" s="21"/>
      <c r="O96" s="21"/>
      <c r="P96" s="21"/>
      <c r="Q96" s="21"/>
      <c r="R96" s="21"/>
      <c r="S96" s="21"/>
    </row>
    <row r="97" spans="1:19" ht="15.75" thickTop="1">
      <c r="A97" s="2421"/>
      <c r="B97" s="2404" t="s">
        <v>578</v>
      </c>
      <c r="C97" s="2405"/>
      <c r="D97" s="2405"/>
      <c r="E97" s="2405"/>
      <c r="F97" s="2405"/>
      <c r="G97" s="2423"/>
      <c r="H97" s="2388"/>
      <c r="I97" s="2388"/>
      <c r="J97" s="2388"/>
      <c r="K97" s="2388"/>
      <c r="L97" s="2388"/>
      <c r="M97" s="2388"/>
      <c r="N97" s="2388"/>
      <c r="O97" s="2388"/>
      <c r="P97" s="2388"/>
      <c r="Q97" s="2388"/>
      <c r="R97" s="2388"/>
      <c r="S97" s="2388"/>
    </row>
    <row r="98" spans="1:19">
      <c r="A98" s="2421"/>
      <c r="B98" s="2404" t="s">
        <v>579</v>
      </c>
      <c r="C98" s="2405"/>
      <c r="D98" s="2405"/>
      <c r="E98" s="2405"/>
      <c r="F98" s="2405"/>
      <c r="G98" s="2423"/>
      <c r="H98" s="2388"/>
      <c r="I98" s="2388"/>
      <c r="J98" s="2388"/>
      <c r="K98" s="2388"/>
      <c r="L98" s="2388"/>
      <c r="M98" s="2388"/>
      <c r="N98" s="2388"/>
      <c r="O98" s="2388"/>
      <c r="P98" s="2388"/>
      <c r="Q98" s="2388"/>
      <c r="R98" s="2388"/>
      <c r="S98" s="2388"/>
    </row>
    <row r="99" spans="1:19">
      <c r="A99" s="2421"/>
      <c r="B99" s="2404" t="s">
        <v>580</v>
      </c>
      <c r="C99" s="2405"/>
      <c r="D99" s="2405"/>
      <c r="E99" s="2405"/>
      <c r="F99" s="2405"/>
      <c r="G99" s="2423"/>
      <c r="H99" s="2388"/>
      <c r="I99" s="2388"/>
      <c r="J99" s="2388"/>
      <c r="K99" s="2388"/>
      <c r="L99" s="2388"/>
      <c r="M99" s="2388"/>
      <c r="N99" s="2388"/>
      <c r="O99" s="2388"/>
      <c r="P99" s="2388"/>
      <c r="Q99" s="2388"/>
      <c r="R99" s="2388"/>
      <c r="S99" s="2388"/>
    </row>
    <row r="100" spans="1:19">
      <c r="A100" s="2421"/>
      <c r="B100" s="2404" t="s">
        <v>581</v>
      </c>
      <c r="C100" s="2405"/>
      <c r="D100" s="2405"/>
      <c r="E100" s="2405"/>
      <c r="F100" s="2405"/>
      <c r="G100" s="2423"/>
      <c r="H100" s="2388"/>
      <c r="I100" s="2388"/>
      <c r="J100" s="2388"/>
      <c r="K100" s="2388"/>
      <c r="L100" s="2388"/>
      <c r="M100" s="2388"/>
      <c r="N100" s="2388"/>
      <c r="O100" s="2388"/>
      <c r="P100" s="2388"/>
      <c r="Q100" s="2388"/>
      <c r="R100" s="2388"/>
      <c r="S100" s="2388"/>
    </row>
    <row r="101" spans="1:19" ht="15.75" thickBot="1">
      <c r="A101" s="416"/>
      <c r="B101" s="295"/>
      <c r="C101" s="184"/>
      <c r="D101" s="184"/>
      <c r="E101" s="184"/>
      <c r="F101" s="184"/>
      <c r="G101" s="296"/>
      <c r="H101" s="418"/>
      <c r="I101" s="418"/>
      <c r="J101" s="418"/>
      <c r="K101" s="418"/>
      <c r="L101" s="418"/>
      <c r="M101" s="418"/>
      <c r="N101" s="418"/>
      <c r="O101" s="418"/>
      <c r="P101" s="418"/>
      <c r="Q101" s="418"/>
      <c r="R101" s="418"/>
      <c r="S101" s="418"/>
    </row>
    <row r="102" spans="1:19" ht="16.5" thickTop="1" thickBot="1">
      <c r="A102" s="7" t="s">
        <v>582</v>
      </c>
      <c r="B102" s="8"/>
      <c r="C102" s="12"/>
      <c r="D102" s="12"/>
      <c r="E102" s="12"/>
      <c r="F102" s="12"/>
      <c r="G102" s="13"/>
      <c r="H102" s="21"/>
      <c r="I102" s="21"/>
      <c r="J102" s="21"/>
      <c r="K102" s="21"/>
      <c r="L102" s="21"/>
      <c r="M102" s="21"/>
      <c r="N102" s="21"/>
      <c r="O102" s="21"/>
      <c r="P102" s="21"/>
      <c r="Q102" s="21"/>
      <c r="R102" s="21"/>
      <c r="S102" s="21"/>
    </row>
    <row r="103" spans="1:19" ht="15.75" thickTop="1">
      <c r="A103" s="2745"/>
      <c r="B103" s="2751" t="s">
        <v>583</v>
      </c>
      <c r="C103" s="2746"/>
      <c r="D103" s="2746"/>
      <c r="E103" s="2746"/>
      <c r="F103" s="2746"/>
      <c r="G103" s="2747"/>
      <c r="H103" s="2744"/>
      <c r="I103" s="2744"/>
      <c r="J103" s="2744"/>
      <c r="K103" s="2744"/>
      <c r="L103" s="2744"/>
      <c r="M103" s="2744"/>
      <c r="N103" s="2744"/>
      <c r="O103" s="2744"/>
      <c r="P103" s="2744"/>
      <c r="Q103" s="2744"/>
      <c r="R103" s="2744"/>
      <c r="S103" s="2744"/>
    </row>
    <row r="104" spans="1:19">
      <c r="A104" s="2421"/>
      <c r="B104" s="2404" t="s">
        <v>584</v>
      </c>
      <c r="C104" s="2405"/>
      <c r="D104" s="2405"/>
      <c r="E104" s="2405"/>
      <c r="F104" s="2405"/>
      <c r="G104" s="2423"/>
      <c r="H104" s="2390"/>
      <c r="I104" s="2390"/>
      <c r="J104" s="2390"/>
      <c r="K104" s="2390"/>
      <c r="L104" s="2390"/>
      <c r="M104" s="2390"/>
      <c r="N104" s="2390"/>
      <c r="O104" s="2390"/>
      <c r="P104" s="2390"/>
      <c r="Q104" s="2390"/>
      <c r="R104" s="2390"/>
      <c r="S104" s="2390"/>
    </row>
    <row r="105" spans="1:19" ht="15.75" thickBot="1">
      <c r="A105" s="2391"/>
      <c r="B105" s="2392" t="s">
        <v>585</v>
      </c>
      <c r="C105" s="2393"/>
      <c r="D105" s="2393"/>
      <c r="E105" s="2393"/>
      <c r="F105" s="2393"/>
      <c r="G105" s="2394"/>
      <c r="H105" s="2395"/>
      <c r="I105" s="2395"/>
      <c r="J105" s="2395"/>
      <c r="K105" s="2395"/>
      <c r="L105" s="2395"/>
      <c r="M105" s="2395"/>
      <c r="N105" s="2395"/>
      <c r="O105" s="2395"/>
      <c r="P105" s="2395"/>
      <c r="Q105" s="2395"/>
      <c r="R105" s="2395"/>
      <c r="S105" s="2395"/>
    </row>
    <row r="106" spans="1:19" ht="16.5" thickTop="1" thickBot="1"/>
    <row r="107" spans="1:19" ht="16.5" thickTop="1" thickBot="1">
      <c r="A107" s="92" t="s">
        <v>586</v>
      </c>
      <c r="B107" s="94"/>
    </row>
    <row r="108" spans="1:19" ht="15.75" thickTop="1">
      <c r="A108" s="93" t="s">
        <v>487</v>
      </c>
      <c r="B108" s="2396"/>
    </row>
    <row r="109" spans="1:19">
      <c r="A109" s="2397" t="s">
        <v>491</v>
      </c>
      <c r="B109" s="2396"/>
    </row>
    <row r="110" spans="1:19">
      <c r="A110" s="2398" t="s">
        <v>494</v>
      </c>
      <c r="B110" s="2399"/>
    </row>
    <row r="111" spans="1:19">
      <c r="A111" s="2398" t="s">
        <v>497</v>
      </c>
      <c r="B111" s="2400"/>
    </row>
    <row r="112" spans="1:19" ht="15.75" thickBot="1">
      <c r="A112" s="2401" t="s">
        <v>587</v>
      </c>
      <c r="B112" s="2402">
        <f>H8</f>
        <v>441150</v>
      </c>
    </row>
    <row r="113" spans="1:2" ht="15.75" thickTop="1"/>
    <row r="114" spans="1:2">
      <c r="A114" s="95"/>
      <c r="B114" s="1" t="s">
        <v>588</v>
      </c>
    </row>
    <row r="115" spans="1:2">
      <c r="A115" s="96"/>
      <c r="B115" s="1" t="s">
        <v>589</v>
      </c>
    </row>
  </sheetData>
  <mergeCells count="47">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J4:K4"/>
    <mergeCell ref="J5:K5"/>
    <mergeCell ref="J6:K6"/>
    <mergeCell ref="J7:K7"/>
    <mergeCell ref="J8:K8"/>
    <mergeCell ref="L4:M4"/>
    <mergeCell ref="L5:M5"/>
    <mergeCell ref="L6:M6"/>
    <mergeCell ref="L7:M7"/>
    <mergeCell ref="L8:M8"/>
    <mergeCell ref="N4:O4"/>
    <mergeCell ref="N5:O5"/>
    <mergeCell ref="N6:O6"/>
    <mergeCell ref="N7:O7"/>
    <mergeCell ref="N8:O8"/>
    <mergeCell ref="P4:Q4"/>
    <mergeCell ref="P5:Q5"/>
    <mergeCell ref="P6:Q6"/>
    <mergeCell ref="P7:Q7"/>
    <mergeCell ref="P8:Q8"/>
    <mergeCell ref="R4:S4"/>
    <mergeCell ref="R5:S5"/>
    <mergeCell ref="R6:S6"/>
    <mergeCell ref="R7:S7"/>
    <mergeCell ref="R8:S8"/>
    <mergeCell ref="A80:B80"/>
    <mergeCell ref="A84:B84"/>
    <mergeCell ref="A88:B88"/>
    <mergeCell ref="A92:B92"/>
    <mergeCell ref="A96:B96"/>
  </mergeCells>
  <conditionalFormatting sqref="H20:H30 H33:H49 J33:J49">
    <cfRule type="cellIs" dxfId="525" priority="21" operator="equal">
      <formula>"X"</formula>
    </cfRule>
    <cfRule type="cellIs" dxfId="524" priority="22" operator="equal">
      <formula>"I"</formula>
    </cfRule>
  </conditionalFormatting>
  <conditionalFormatting sqref="J20:J30">
    <cfRule type="cellIs" dxfId="523" priority="19" operator="equal">
      <formula>"X"</formula>
    </cfRule>
    <cfRule type="cellIs" dxfId="522" priority="20" operator="equal">
      <formula>"I"</formula>
    </cfRule>
  </conditionalFormatting>
  <conditionalFormatting sqref="L20:L30">
    <cfRule type="cellIs" dxfId="521" priority="17" operator="equal">
      <formula>"X"</formula>
    </cfRule>
    <cfRule type="cellIs" dxfId="520" priority="18" operator="equal">
      <formula>"I"</formula>
    </cfRule>
  </conditionalFormatting>
  <conditionalFormatting sqref="L32:L71">
    <cfRule type="cellIs" dxfId="519" priority="3" operator="equal">
      <formula>"X"</formula>
    </cfRule>
    <cfRule type="cellIs" dxfId="518" priority="4" operator="equal">
      <formula>"I"</formula>
    </cfRule>
  </conditionalFormatting>
  <conditionalFormatting sqref="N20:N30">
    <cfRule type="cellIs" dxfId="517" priority="15" operator="equal">
      <formula>"X"</formula>
    </cfRule>
    <cfRule type="cellIs" dxfId="516" priority="16" operator="equal">
      <formula>"I"</formula>
    </cfRule>
  </conditionalFormatting>
  <conditionalFormatting sqref="N32:N71">
    <cfRule type="cellIs" dxfId="515" priority="5" operator="equal">
      <formula>"X"</formula>
    </cfRule>
    <cfRule type="cellIs" dxfId="514" priority="6" operator="equal">
      <formula>"I"</formula>
    </cfRule>
  </conditionalFormatting>
  <conditionalFormatting sqref="P20:P30">
    <cfRule type="cellIs" dxfId="513" priority="13" operator="equal">
      <formula>"X"</formula>
    </cfRule>
    <cfRule type="cellIs" dxfId="512" priority="14" operator="equal">
      <formula>"I"</formula>
    </cfRule>
  </conditionalFormatting>
  <conditionalFormatting sqref="P32:P71">
    <cfRule type="cellIs" dxfId="511" priority="7" operator="equal">
      <formula>"X"</formula>
    </cfRule>
    <cfRule type="cellIs" dxfId="510" priority="8" operator="equal">
      <formula>"I"</formula>
    </cfRule>
  </conditionalFormatting>
  <conditionalFormatting sqref="R20:R30">
    <cfRule type="cellIs" dxfId="509" priority="11" operator="equal">
      <formula>"X"</formula>
    </cfRule>
    <cfRule type="cellIs" dxfId="508" priority="12" operator="equal">
      <formula>"I"</formula>
    </cfRule>
  </conditionalFormatting>
  <conditionalFormatting sqref="R32:R71">
    <cfRule type="cellIs" dxfId="507" priority="9" operator="equal">
      <formula>"X"</formula>
    </cfRule>
    <cfRule type="cellIs" dxfId="506" priority="10" operator="equal">
      <formula>"I"</formula>
    </cfRule>
  </conditionalFormatting>
  <hyperlinks>
    <hyperlink ref="B3" location="'Cost Summary'!A1" display="BACK TO SUMMARY SHEET" xr:uid="{FA75D889-9E9A-41EE-802B-A14C998433A8}"/>
    <hyperlink ref="H7:I7" r:id="rId1" display="thomasstallone@gmail.com" xr:uid="{6DCDF369-DF45-4A4A-8FEA-2D6705A52128}"/>
  </hyperlinks>
  <pageMargins left="0.7" right="0.7" top="0.75" bottom="0.75" header="0.3" footer="0.3"/>
  <pageSetup scale="71" orientation="portrait" horizontalDpi="1200" verticalDpi="1200"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23BD-2B9D-4967-890C-E60C7A66C8FA}">
  <sheetPr>
    <tabColor rgb="FF92D050"/>
  </sheetPr>
  <dimension ref="A1:S100"/>
  <sheetViews>
    <sheetView zoomScale="85" zoomScaleNormal="85" workbookViewId="0">
      <pane xSplit="2" ySplit="9" topLeftCell="C22" activePane="bottomRight" state="frozen"/>
      <selection pane="bottomRight" activeCell="B3" sqref="B3"/>
      <selection pane="bottomLeft" sqref="A1:B1"/>
      <selection pane="topRight" sqref="A1:B1"/>
    </sheetView>
  </sheetViews>
  <sheetFormatPr defaultRowHeight="15"/>
  <cols>
    <col min="1" max="1" width="11" customWidth="1"/>
    <col min="2" max="2" width="70.7109375" style="1" customWidth="1"/>
    <col min="3" max="4" width="10.85546875" style="2" bestFit="1"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1185</v>
      </c>
      <c r="C5" s="2405"/>
      <c r="D5" s="2405"/>
      <c r="E5" s="2405"/>
      <c r="F5" s="2405"/>
      <c r="G5" s="2406" t="s">
        <v>491</v>
      </c>
      <c r="H5" s="2518"/>
      <c r="I5" s="2518"/>
      <c r="J5" s="2518"/>
      <c r="K5" s="2518"/>
      <c r="L5" s="2518"/>
      <c r="M5" s="2518"/>
      <c r="N5" s="2518"/>
      <c r="O5" s="2518"/>
      <c r="P5" s="2518"/>
      <c r="Q5" s="2518"/>
      <c r="R5" s="2409"/>
      <c r="S5" s="2408"/>
    </row>
    <row r="6" spans="1:19">
      <c r="A6" s="2403" t="s">
        <v>493</v>
      </c>
      <c r="B6" s="2410" t="s">
        <v>195</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I61</f>
        <v>295165</v>
      </c>
      <c r="I8" s="2419"/>
      <c r="J8" s="2418">
        <f>K61</f>
        <v>0</v>
      </c>
      <c r="K8" s="2419"/>
      <c r="L8" s="2418">
        <f>M61</f>
        <v>0</v>
      </c>
      <c r="M8" s="2419"/>
      <c r="N8" s="2418">
        <f>O61</f>
        <v>0</v>
      </c>
      <c r="O8" s="2419"/>
      <c r="P8" s="2418">
        <f>Q61</f>
        <v>0</v>
      </c>
      <c r="Q8" s="2419"/>
      <c r="R8" s="2418">
        <f>S61</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752"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c r="A22" s="2421"/>
      <c r="B22" s="2428" t="s">
        <v>1185</v>
      </c>
      <c r="C22" s="2426"/>
      <c r="D22" s="2405"/>
      <c r="E22" s="2405"/>
      <c r="F22" s="2405"/>
      <c r="G22" s="2423"/>
      <c r="H22" s="2427"/>
      <c r="I22" s="2424"/>
      <c r="J22" s="2427"/>
      <c r="K22" s="2424"/>
      <c r="L22" s="2427"/>
      <c r="M22" s="2424"/>
      <c r="N22" s="2427"/>
      <c r="O22" s="2424"/>
      <c r="P22" s="2427"/>
      <c r="Q22" s="2424"/>
      <c r="R22" s="2427"/>
      <c r="S22" s="2424"/>
    </row>
    <row r="23" spans="1:19">
      <c r="A23" s="2753"/>
      <c r="B23" s="2318" t="s">
        <v>512</v>
      </c>
      <c r="C23" s="2426"/>
      <c r="D23" s="2405"/>
      <c r="E23" s="2405"/>
      <c r="F23" s="2405"/>
      <c r="G23" s="2423"/>
      <c r="H23" s="2427"/>
      <c r="I23" s="2754"/>
      <c r="J23" s="2427"/>
      <c r="K23" s="2754"/>
      <c r="L23" s="2427"/>
      <c r="M23" s="2754"/>
      <c r="N23" s="2427"/>
      <c r="O23" s="2754"/>
      <c r="P23" s="2427"/>
      <c r="Q23" s="2754"/>
      <c r="R23" s="2427"/>
      <c r="S23" s="2754"/>
    </row>
    <row r="24" spans="1:19">
      <c r="A24" s="2753"/>
      <c r="B24" s="2755" t="s">
        <v>513</v>
      </c>
      <c r="C24" s="2426"/>
      <c r="D24" s="2405"/>
      <c r="E24" s="2405"/>
      <c r="F24" s="2405"/>
      <c r="G24" s="2423"/>
      <c r="H24" s="2427"/>
      <c r="I24" s="2756"/>
      <c r="J24" s="2427"/>
      <c r="K24" s="2754"/>
      <c r="L24" s="2427"/>
      <c r="M24" s="2754"/>
      <c r="N24" s="2427"/>
      <c r="O24" s="2754"/>
      <c r="P24" s="2427"/>
      <c r="Q24" s="2754"/>
      <c r="R24" s="2427"/>
      <c r="S24" s="2754"/>
    </row>
    <row r="25" spans="1:19">
      <c r="A25" s="2753"/>
      <c r="B25" s="2755" t="s">
        <v>514</v>
      </c>
      <c r="C25" s="2430"/>
      <c r="D25" s="2405"/>
      <c r="E25" s="2405"/>
      <c r="F25" s="2405"/>
      <c r="G25" s="2423"/>
      <c r="H25" s="2427"/>
      <c r="I25" s="2756"/>
      <c r="J25" s="2427"/>
      <c r="K25" s="2754"/>
      <c r="L25" s="2427"/>
      <c r="M25" s="2754"/>
      <c r="N25" s="2427"/>
      <c r="O25" s="2754"/>
      <c r="P25" s="2427"/>
      <c r="Q25" s="2754"/>
      <c r="R25" s="2427"/>
      <c r="S25" s="2754"/>
    </row>
    <row r="26" spans="1:19">
      <c r="A26" s="2753"/>
      <c r="B26" s="2757" t="s">
        <v>515</v>
      </c>
      <c r="C26" s="2430"/>
      <c r="D26" s="2405"/>
      <c r="E26" s="2405"/>
      <c r="F26" s="2405"/>
      <c r="G26" s="2423"/>
      <c r="H26" s="2427"/>
      <c r="I26" s="2756"/>
      <c r="J26" s="2427"/>
      <c r="K26" s="2754"/>
      <c r="L26" s="2427"/>
      <c r="M26" s="2754"/>
      <c r="N26" s="2427"/>
      <c r="O26" s="2754"/>
      <c r="P26" s="2427"/>
      <c r="Q26" s="2754"/>
      <c r="R26" s="2427"/>
      <c r="S26" s="2754"/>
    </row>
    <row r="27" spans="1:19" s="91" customFormat="1">
      <c r="A27" s="2758"/>
      <c r="B27" s="2757" t="s">
        <v>516</v>
      </c>
      <c r="C27" s="2432"/>
      <c r="D27" s="2433"/>
      <c r="E27" s="2433"/>
      <c r="F27" s="2433"/>
      <c r="G27" s="2432"/>
      <c r="H27" s="2427"/>
      <c r="I27" s="2756"/>
      <c r="J27" s="2427"/>
      <c r="K27" s="2759"/>
      <c r="L27" s="2427"/>
      <c r="M27" s="2759"/>
      <c r="N27" s="2427"/>
      <c r="O27" s="2759"/>
      <c r="P27" s="2427"/>
      <c r="Q27" s="2759"/>
      <c r="R27" s="2427"/>
      <c r="S27" s="2759"/>
    </row>
    <row r="28" spans="1:19" s="91" customFormat="1">
      <c r="A28" s="2758"/>
      <c r="B28" s="2757" t="s">
        <v>517</v>
      </c>
      <c r="C28" s="2432"/>
      <c r="D28" s="2433"/>
      <c r="E28" s="2433"/>
      <c r="F28" s="2433"/>
      <c r="G28" s="2432"/>
      <c r="H28" s="2427"/>
      <c r="I28" s="2756"/>
      <c r="J28" s="2427"/>
      <c r="K28" s="2759"/>
      <c r="L28" s="2427"/>
      <c r="M28" s="2759"/>
      <c r="N28" s="2427"/>
      <c r="O28" s="2759"/>
      <c r="P28" s="2427"/>
      <c r="Q28" s="2759"/>
      <c r="R28" s="2427"/>
      <c r="S28" s="2759"/>
    </row>
    <row r="29" spans="1:19" s="91" customFormat="1">
      <c r="A29" s="2758"/>
      <c r="B29" s="2757" t="s">
        <v>518</v>
      </c>
      <c r="C29" s="2432"/>
      <c r="D29" s="2433"/>
      <c r="E29" s="2433"/>
      <c r="F29" s="2433"/>
      <c r="G29" s="2432"/>
      <c r="H29" s="2427"/>
      <c r="I29" s="2756"/>
      <c r="J29" s="2427"/>
      <c r="K29" s="2759"/>
      <c r="L29" s="2427"/>
      <c r="M29" s="2759"/>
      <c r="N29" s="2427"/>
      <c r="O29" s="2759"/>
      <c r="P29" s="2427"/>
      <c r="Q29" s="2759"/>
      <c r="R29" s="2427"/>
      <c r="S29" s="2759"/>
    </row>
    <row r="30" spans="1:19" s="91" customFormat="1">
      <c r="A30" s="2758"/>
      <c r="B30" s="2757" t="s">
        <v>693</v>
      </c>
      <c r="C30" s="2432"/>
      <c r="D30" s="2433"/>
      <c r="E30" s="2433"/>
      <c r="F30" s="2433"/>
      <c r="G30" s="2432"/>
      <c r="H30" s="2427"/>
      <c r="I30" s="2756"/>
      <c r="J30" s="2427"/>
      <c r="K30" s="2759"/>
      <c r="L30" s="2427"/>
      <c r="M30" s="2759"/>
      <c r="N30" s="2427"/>
      <c r="O30" s="2759"/>
      <c r="P30" s="2427"/>
      <c r="Q30" s="2759"/>
      <c r="R30" s="2427"/>
      <c r="S30" s="2759"/>
    </row>
    <row r="31" spans="1:19" s="91" customFormat="1">
      <c r="A31" s="2758"/>
      <c r="B31" s="2760" t="s">
        <v>519</v>
      </c>
      <c r="C31" s="2432"/>
      <c r="D31" s="2433"/>
      <c r="E31" s="2433"/>
      <c r="F31" s="2433"/>
      <c r="G31" s="2432"/>
      <c r="H31" s="2427"/>
      <c r="I31" s="2756"/>
      <c r="J31" s="2427"/>
      <c r="K31" s="2759"/>
      <c r="L31" s="2427"/>
      <c r="M31" s="2759"/>
      <c r="N31" s="2427"/>
      <c r="O31" s="2759"/>
      <c r="P31" s="2427"/>
      <c r="Q31" s="2759"/>
      <c r="R31" s="2427"/>
      <c r="S31" s="2759"/>
    </row>
    <row r="32" spans="1:19" s="91" customFormat="1">
      <c r="A32" s="2758"/>
      <c r="B32" s="2761" t="s">
        <v>520</v>
      </c>
      <c r="C32" s="2435"/>
      <c r="D32" s="2436"/>
      <c r="E32" s="2436"/>
      <c r="F32" s="2436"/>
      <c r="G32" s="2435"/>
      <c r="H32" s="2439"/>
      <c r="I32" s="2762"/>
      <c r="J32" s="2443"/>
      <c r="K32" s="2763"/>
      <c r="L32" s="2443"/>
      <c r="M32" s="2763"/>
      <c r="N32" s="2763"/>
      <c r="O32" s="2763"/>
      <c r="P32" s="2763"/>
      <c r="Q32" s="2763"/>
      <c r="R32" s="2763"/>
      <c r="S32" s="2763"/>
    </row>
    <row r="33" spans="1:19" s="91" customFormat="1">
      <c r="A33" s="2758"/>
      <c r="B33" s="464"/>
      <c r="C33" s="2432"/>
      <c r="D33" s="2433"/>
      <c r="E33" s="2433"/>
      <c r="F33" s="2433"/>
      <c r="G33" s="2432"/>
      <c r="H33" s="2537"/>
      <c r="I33" s="2756"/>
      <c r="J33" s="2539"/>
      <c r="K33" s="2759"/>
      <c r="L33" s="2427"/>
      <c r="M33" s="2759"/>
      <c r="N33" s="2427"/>
      <c r="O33" s="2759"/>
      <c r="P33" s="2427"/>
      <c r="Q33" s="2759"/>
      <c r="R33" s="2427"/>
      <c r="S33" s="2759"/>
    </row>
    <row r="34" spans="1:19" s="91" customFormat="1">
      <c r="A34" s="2764"/>
      <c r="B34" s="465" t="s">
        <v>694</v>
      </c>
      <c r="C34" s="2449"/>
      <c r="D34" s="2592"/>
      <c r="E34" s="2592"/>
      <c r="F34" s="2592"/>
      <c r="G34" s="2593"/>
      <c r="H34" s="2765"/>
      <c r="I34" s="2766"/>
      <c r="J34" s="2767"/>
      <c r="K34" s="2768"/>
      <c r="L34" s="2453"/>
      <c r="M34" s="2768"/>
      <c r="N34" s="2453"/>
      <c r="O34" s="2768"/>
      <c r="P34" s="2453"/>
      <c r="Q34" s="2768"/>
      <c r="R34" s="2453"/>
      <c r="S34" s="2768"/>
    </row>
    <row r="35" spans="1:19" s="91" customFormat="1">
      <c r="A35" s="2764"/>
      <c r="B35" s="464"/>
      <c r="C35" s="2445"/>
      <c r="D35" s="2433"/>
      <c r="E35" s="2433"/>
      <c r="F35" s="2433"/>
      <c r="G35" s="2432"/>
      <c r="H35" s="2537"/>
      <c r="I35" s="2756"/>
      <c r="J35" s="2539"/>
      <c r="K35" s="2759"/>
      <c r="L35" s="2427"/>
      <c r="M35" s="2759"/>
      <c r="N35" s="2427"/>
      <c r="O35" s="2759"/>
      <c r="P35" s="2427"/>
      <c r="Q35" s="2759"/>
      <c r="R35" s="2427"/>
      <c r="S35" s="2759"/>
    </row>
    <row r="36" spans="1:19" s="91" customFormat="1">
      <c r="A36" s="2764"/>
      <c r="B36" s="466" t="s">
        <v>695</v>
      </c>
      <c r="C36" s="2455"/>
      <c r="D36" s="2597"/>
      <c r="E36" s="2597"/>
      <c r="F36" s="2597"/>
      <c r="G36" s="2598"/>
      <c r="H36" s="2769"/>
      <c r="I36" s="2770"/>
      <c r="J36" s="2771"/>
      <c r="K36" s="2772"/>
      <c r="L36" s="2459"/>
      <c r="M36" s="2772"/>
      <c r="N36" s="2459"/>
      <c r="O36" s="2772"/>
      <c r="P36" s="2459"/>
      <c r="Q36" s="2772"/>
      <c r="R36" s="2459"/>
      <c r="S36" s="2772"/>
    </row>
    <row r="37" spans="1:19" s="91" customFormat="1">
      <c r="A37" s="2764"/>
      <c r="B37" s="528" t="s">
        <v>1186</v>
      </c>
      <c r="C37" s="2445" t="s">
        <v>731</v>
      </c>
      <c r="D37" s="2607"/>
      <c r="E37" s="2433"/>
      <c r="F37" s="2433"/>
      <c r="G37" s="2432"/>
      <c r="H37" s="2427"/>
      <c r="I37" s="2754"/>
      <c r="J37" s="2539"/>
      <c r="K37" s="2759"/>
      <c r="L37" s="2427"/>
      <c r="M37" s="2759"/>
      <c r="N37" s="2427"/>
      <c r="O37" s="2759"/>
      <c r="P37" s="2427"/>
      <c r="Q37" s="2759"/>
      <c r="R37" s="2427"/>
      <c r="S37" s="2759"/>
    </row>
    <row r="38" spans="1:19" s="91" customFormat="1">
      <c r="A38" s="2764"/>
      <c r="B38" s="464" t="s">
        <v>735</v>
      </c>
      <c r="C38" s="2445" t="s">
        <v>736</v>
      </c>
      <c r="D38" s="2607">
        <f>22*78</f>
        <v>1716</v>
      </c>
      <c r="E38" s="2433" t="s">
        <v>723</v>
      </c>
      <c r="F38" s="2433">
        <v>65</v>
      </c>
      <c r="G38" s="2432">
        <f>D38*F38</f>
        <v>111540</v>
      </c>
      <c r="H38" s="2427"/>
      <c r="I38" s="2754">
        <f t="shared" ref="I38:I41" si="0">G38</f>
        <v>111540</v>
      </c>
      <c r="J38" s="2539"/>
      <c r="K38" s="2759"/>
      <c r="L38" s="2427"/>
      <c r="M38" s="2759"/>
      <c r="N38" s="2427"/>
      <c r="O38" s="2759"/>
      <c r="P38" s="2427"/>
      <c r="Q38" s="2759"/>
      <c r="R38" s="2427"/>
      <c r="S38" s="2759"/>
    </row>
    <row r="39" spans="1:19" s="91" customFormat="1">
      <c r="A39" s="2764"/>
      <c r="B39" s="464" t="s">
        <v>737</v>
      </c>
      <c r="C39" s="2445" t="s">
        <v>736</v>
      </c>
      <c r="D39" s="2607">
        <f>15*30</f>
        <v>450</v>
      </c>
      <c r="E39" s="2433" t="s">
        <v>723</v>
      </c>
      <c r="F39" s="2433">
        <f>F38</f>
        <v>65</v>
      </c>
      <c r="G39" s="2432">
        <f>D39*F39</f>
        <v>29250</v>
      </c>
      <c r="H39" s="2427"/>
      <c r="I39" s="2754">
        <f t="shared" si="0"/>
        <v>29250</v>
      </c>
      <c r="J39" s="2539"/>
      <c r="K39" s="2759"/>
      <c r="L39" s="2427"/>
      <c r="M39" s="2759"/>
      <c r="N39" s="2427"/>
      <c r="O39" s="2759"/>
      <c r="P39" s="2427"/>
      <c r="Q39" s="2759"/>
      <c r="R39" s="2427"/>
      <c r="S39" s="2759"/>
    </row>
    <row r="40" spans="1:19" s="91" customFormat="1">
      <c r="A40" s="2764"/>
      <c r="B40" s="464" t="s">
        <v>738</v>
      </c>
      <c r="C40" s="2445" t="s">
        <v>736</v>
      </c>
      <c r="D40" s="2607">
        <f>35*55</f>
        <v>1925</v>
      </c>
      <c r="E40" s="2433" t="s">
        <v>723</v>
      </c>
      <c r="F40" s="2433">
        <f>F39</f>
        <v>65</v>
      </c>
      <c r="G40" s="2432">
        <f>D40*F40</f>
        <v>125125</v>
      </c>
      <c r="H40" s="2427"/>
      <c r="I40" s="2754">
        <f t="shared" si="0"/>
        <v>125125</v>
      </c>
      <c r="J40" s="2539"/>
      <c r="K40" s="2759"/>
      <c r="L40" s="2427"/>
      <c r="M40" s="2759"/>
      <c r="N40" s="2427"/>
      <c r="O40" s="2759"/>
      <c r="P40" s="2427"/>
      <c r="Q40" s="2759"/>
      <c r="R40" s="2427"/>
      <c r="S40" s="2759"/>
    </row>
    <row r="41" spans="1:19" s="91" customFormat="1">
      <c r="A41" s="2764"/>
      <c r="B41" s="464" t="s">
        <v>1187</v>
      </c>
      <c r="C41" s="2445" t="s">
        <v>736</v>
      </c>
      <c r="D41" s="2607">
        <v>450</v>
      </c>
      <c r="E41" s="2433" t="s">
        <v>723</v>
      </c>
      <c r="F41" s="2433">
        <f t="shared" ref="F41" si="1">F40</f>
        <v>65</v>
      </c>
      <c r="G41" s="2432">
        <f t="shared" ref="G41" si="2">D41*F41</f>
        <v>29250</v>
      </c>
      <c r="H41" s="2427"/>
      <c r="I41" s="2754">
        <f t="shared" si="0"/>
        <v>29250</v>
      </c>
      <c r="J41" s="2539"/>
      <c r="K41" s="2759"/>
      <c r="L41" s="2427"/>
      <c r="M41" s="2759"/>
      <c r="N41" s="2427"/>
      <c r="O41" s="2759"/>
      <c r="P41" s="2427"/>
      <c r="Q41" s="2759"/>
      <c r="R41" s="2427"/>
      <c r="S41" s="2759"/>
    </row>
    <row r="42" spans="1:19" s="91" customFormat="1">
      <c r="A42" s="2764"/>
      <c r="B42" s="464"/>
      <c r="C42" s="2445"/>
      <c r="D42" s="2607"/>
      <c r="E42" s="2433"/>
      <c r="F42" s="2433"/>
      <c r="G42" s="2432"/>
      <c r="H42" s="2537"/>
      <c r="I42" s="2756"/>
      <c r="J42" s="2539"/>
      <c r="K42" s="2759"/>
      <c r="L42" s="2427"/>
      <c r="M42" s="2759"/>
      <c r="N42" s="2427"/>
      <c r="O42" s="2759"/>
      <c r="P42" s="2427"/>
      <c r="Q42" s="2759"/>
      <c r="R42" s="2427"/>
      <c r="S42" s="2759"/>
    </row>
    <row r="43" spans="1:19" s="91" customFormat="1">
      <c r="A43" s="2764"/>
      <c r="B43" s="465" t="s">
        <v>649</v>
      </c>
      <c r="C43" s="2449"/>
      <c r="D43" s="2592"/>
      <c r="E43" s="2592"/>
      <c r="F43" s="2592"/>
      <c r="G43" s="2593"/>
      <c r="H43" s="2765"/>
      <c r="I43" s="2766"/>
      <c r="J43" s="2767"/>
      <c r="K43" s="2768"/>
      <c r="L43" s="2453"/>
      <c r="M43" s="2768"/>
      <c r="N43" s="2453"/>
      <c r="O43" s="2768"/>
      <c r="P43" s="2453"/>
      <c r="Q43" s="2768"/>
      <c r="R43" s="2453"/>
      <c r="S43" s="2768"/>
    </row>
    <row r="44" spans="1:19" s="91" customFormat="1">
      <c r="A44" s="2764"/>
      <c r="B44" s="464"/>
      <c r="C44" s="2445"/>
      <c r="D44" s="2433"/>
      <c r="E44" s="2433"/>
      <c r="F44" s="2433"/>
      <c r="G44" s="2432"/>
      <c r="H44" s="2537"/>
      <c r="I44" s="2756"/>
      <c r="J44" s="2539"/>
      <c r="K44" s="2759"/>
      <c r="L44" s="2427"/>
      <c r="M44" s="2759"/>
      <c r="N44" s="2427"/>
      <c r="O44" s="2759"/>
      <c r="P44" s="2427"/>
      <c r="Q44" s="2759"/>
      <c r="R44" s="2427"/>
      <c r="S44" s="2759"/>
    </row>
    <row r="45" spans="1:19" s="91" customFormat="1">
      <c r="A45" s="2764"/>
      <c r="B45" s="466" t="s">
        <v>700</v>
      </c>
      <c r="C45" s="2455"/>
      <c r="D45" s="2597"/>
      <c r="E45" s="2597"/>
      <c r="F45" s="2597"/>
      <c r="G45" s="2598"/>
      <c r="H45" s="2769"/>
      <c r="I45" s="2770"/>
      <c r="J45" s="2771"/>
      <c r="K45" s="2772"/>
      <c r="L45" s="2459"/>
      <c r="M45" s="2772"/>
      <c r="N45" s="2459"/>
      <c r="O45" s="2772"/>
      <c r="P45" s="2459"/>
      <c r="Q45" s="2772"/>
      <c r="R45" s="2459"/>
      <c r="S45" s="2772"/>
    </row>
    <row r="46" spans="1:19" s="91" customFormat="1">
      <c r="A46" s="2764"/>
      <c r="B46" s="464"/>
      <c r="C46" s="2445"/>
      <c r="D46" s="2433"/>
      <c r="E46" s="2433"/>
      <c r="F46" s="2433"/>
      <c r="G46" s="2432"/>
      <c r="H46" s="2537"/>
      <c r="I46" s="2756"/>
      <c r="J46" s="2539"/>
      <c r="K46" s="2759"/>
      <c r="L46" s="2427"/>
      <c r="M46" s="2759"/>
      <c r="N46" s="2427"/>
      <c r="O46" s="2759"/>
      <c r="P46" s="2427"/>
      <c r="Q46" s="2759"/>
      <c r="R46" s="2427"/>
      <c r="S46" s="2759"/>
    </row>
    <row r="47" spans="1:19" s="91" customFormat="1">
      <c r="A47" s="2764"/>
      <c r="B47" s="465" t="s">
        <v>703</v>
      </c>
      <c r="C47" s="2449"/>
      <c r="D47" s="2592"/>
      <c r="E47" s="2592"/>
      <c r="F47" s="2592"/>
      <c r="G47" s="2593"/>
      <c r="H47" s="2765"/>
      <c r="I47" s="2766"/>
      <c r="J47" s="2767"/>
      <c r="K47" s="2768"/>
      <c r="L47" s="2453"/>
      <c r="M47" s="2768"/>
      <c r="N47" s="2453"/>
      <c r="O47" s="2768"/>
      <c r="P47" s="2453"/>
      <c r="Q47" s="2768"/>
      <c r="R47" s="2453"/>
      <c r="S47" s="2768"/>
    </row>
    <row r="48" spans="1:19" s="91" customFormat="1">
      <c r="A48" s="2764"/>
      <c r="B48" s="464"/>
      <c r="C48" s="2445"/>
      <c r="D48" s="2433"/>
      <c r="E48" s="2433"/>
      <c r="F48" s="2433"/>
      <c r="G48" s="2432"/>
      <c r="H48" s="2537"/>
      <c r="I48" s="2756"/>
      <c r="J48" s="2539"/>
      <c r="K48" s="2759"/>
      <c r="L48" s="2427"/>
      <c r="M48" s="2759"/>
      <c r="N48" s="2427"/>
      <c r="O48" s="2759"/>
      <c r="P48" s="2427"/>
      <c r="Q48" s="2759"/>
      <c r="R48" s="2427"/>
      <c r="S48" s="2759"/>
    </row>
    <row r="49" spans="1:19" s="91" customFormat="1">
      <c r="A49" s="2764"/>
      <c r="B49" s="466" t="s">
        <v>704</v>
      </c>
      <c r="C49" s="2455"/>
      <c r="D49" s="2597"/>
      <c r="E49" s="2597"/>
      <c r="F49" s="2597"/>
      <c r="G49" s="2598"/>
      <c r="H49" s="2769"/>
      <c r="I49" s="2770"/>
      <c r="J49" s="2771"/>
      <c r="K49" s="2772"/>
      <c r="L49" s="2459"/>
      <c r="M49" s="2772"/>
      <c r="N49" s="2459"/>
      <c r="O49" s="2772"/>
      <c r="P49" s="2459"/>
      <c r="Q49" s="2772"/>
      <c r="R49" s="2459"/>
      <c r="S49" s="2772"/>
    </row>
    <row r="50" spans="1:19" s="91" customFormat="1">
      <c r="A50" s="2764"/>
      <c r="B50" s="464"/>
      <c r="C50" s="2445"/>
      <c r="D50" s="2433"/>
      <c r="E50" s="2433"/>
      <c r="F50" s="2433"/>
      <c r="G50" s="2432"/>
      <c r="H50" s="2537"/>
      <c r="I50" s="2756"/>
      <c r="J50" s="2539"/>
      <c r="K50" s="2759"/>
      <c r="L50" s="2427"/>
      <c r="M50" s="2759"/>
      <c r="N50" s="2427"/>
      <c r="O50" s="2759"/>
      <c r="P50" s="2427"/>
      <c r="Q50" s="2759"/>
      <c r="R50" s="2427"/>
      <c r="S50" s="2759"/>
    </row>
    <row r="51" spans="1:19" s="91" customFormat="1">
      <c r="A51" s="2764"/>
      <c r="B51" s="465" t="s">
        <v>705</v>
      </c>
      <c r="C51" s="2449"/>
      <c r="D51" s="2592"/>
      <c r="E51" s="2592"/>
      <c r="F51" s="2592"/>
      <c r="G51" s="2593"/>
      <c r="H51" s="2765"/>
      <c r="I51" s="2766"/>
      <c r="J51" s="2767"/>
      <c r="K51" s="2768"/>
      <c r="L51" s="2453"/>
      <c r="M51" s="2768"/>
      <c r="N51" s="2453"/>
      <c r="O51" s="2768"/>
      <c r="P51" s="2453"/>
      <c r="Q51" s="2768"/>
      <c r="R51" s="2453"/>
      <c r="S51" s="2768"/>
    </row>
    <row r="52" spans="1:19" s="91" customFormat="1">
      <c r="A52" s="2764"/>
      <c r="B52" s="464"/>
      <c r="C52" s="2445"/>
      <c r="D52" s="2433"/>
      <c r="E52" s="2433"/>
      <c r="F52" s="2433"/>
      <c r="G52" s="2432"/>
      <c r="H52" s="2537"/>
      <c r="I52" s="2756"/>
      <c r="J52" s="2539"/>
      <c r="K52" s="2759"/>
      <c r="L52" s="2427"/>
      <c r="M52" s="2759"/>
      <c r="N52" s="2427"/>
      <c r="O52" s="2759"/>
      <c r="P52" s="2427"/>
      <c r="Q52" s="2759"/>
      <c r="R52" s="2427"/>
      <c r="S52" s="2759"/>
    </row>
    <row r="53" spans="1:19" s="91" customFormat="1">
      <c r="A53" s="2764"/>
      <c r="B53" s="466" t="s">
        <v>602</v>
      </c>
      <c r="C53" s="2455"/>
      <c r="D53" s="2597"/>
      <c r="E53" s="2597"/>
      <c r="F53" s="2597"/>
      <c r="G53" s="2598"/>
      <c r="H53" s="2769"/>
      <c r="I53" s="2770"/>
      <c r="J53" s="2771"/>
      <c r="K53" s="2772"/>
      <c r="L53" s="2459"/>
      <c r="M53" s="2772"/>
      <c r="N53" s="2459"/>
      <c r="O53" s="2772"/>
      <c r="P53" s="2459"/>
      <c r="Q53" s="2772"/>
      <c r="R53" s="2459"/>
      <c r="S53" s="2772"/>
    </row>
    <row r="54" spans="1:19" s="91" customFormat="1">
      <c r="A54" s="2764"/>
      <c r="B54" s="464"/>
      <c r="C54" s="2445"/>
      <c r="D54" s="2433"/>
      <c r="E54" s="2433"/>
      <c r="F54" s="2433"/>
      <c r="G54" s="2432"/>
      <c r="H54" s="2537"/>
      <c r="I54" s="2756"/>
      <c r="J54" s="2539"/>
      <c r="K54" s="2759"/>
      <c r="L54" s="2427"/>
      <c r="M54" s="2759"/>
      <c r="N54" s="2427"/>
      <c r="O54" s="2759"/>
      <c r="P54" s="2427"/>
      <c r="Q54" s="2759"/>
      <c r="R54" s="2427"/>
      <c r="S54" s="2759"/>
    </row>
    <row r="55" spans="1:19" s="91" customFormat="1">
      <c r="A55" s="2764"/>
      <c r="B55" s="464"/>
      <c r="C55" s="2445"/>
      <c r="D55" s="2433"/>
      <c r="E55" s="2433"/>
      <c r="F55" s="2433"/>
      <c r="G55" s="2432"/>
      <c r="H55" s="2537"/>
      <c r="I55" s="2756"/>
      <c r="J55" s="2539"/>
      <c r="K55" s="2759"/>
      <c r="L55" s="2427"/>
      <c r="M55" s="2759"/>
      <c r="N55" s="2427"/>
      <c r="O55" s="2759"/>
      <c r="P55" s="2427"/>
      <c r="Q55" s="2759"/>
      <c r="R55" s="2427"/>
      <c r="S55" s="2759"/>
    </row>
    <row r="56" spans="1:19">
      <c r="A56" s="2685"/>
      <c r="B56" s="2545"/>
      <c r="C56" s="2426"/>
      <c r="D56" s="2405"/>
      <c r="E56" s="2405"/>
      <c r="F56" s="2405"/>
      <c r="G56" s="2423"/>
      <c r="H56" s="2773"/>
      <c r="I56" s="2754"/>
      <c r="J56" s="2754"/>
      <c r="K56" s="2754"/>
      <c r="L56" s="2427"/>
      <c r="M56" s="2754"/>
      <c r="N56" s="2427"/>
      <c r="O56" s="2754"/>
      <c r="P56" s="2427"/>
      <c r="Q56" s="2754"/>
      <c r="R56" s="2427"/>
      <c r="S56" s="2754"/>
    </row>
    <row r="57" spans="1:19">
      <c r="A57" s="14"/>
      <c r="B57" s="15"/>
      <c r="C57" s="16"/>
      <c r="D57" s="16"/>
      <c r="E57" s="17"/>
      <c r="F57" s="18" t="s">
        <v>567</v>
      </c>
      <c r="G57" s="19"/>
      <c r="H57" s="20"/>
      <c r="I57" s="61">
        <f>SUM(I24:I56)</f>
        <v>295165</v>
      </c>
      <c r="J57" s="20"/>
      <c r="K57" s="61">
        <f>SUM(K24:K56)</f>
        <v>0</v>
      </c>
      <c r="L57" s="20"/>
      <c r="M57" s="61">
        <f>SUM(M24:M56)</f>
        <v>0</v>
      </c>
      <c r="N57" s="20"/>
      <c r="O57" s="61">
        <f>SUM(O24:O56)</f>
        <v>0</v>
      </c>
      <c r="P57" s="20"/>
      <c r="Q57" s="61">
        <f>SUM(Q24:Q56)</f>
        <v>0</v>
      </c>
      <c r="R57" s="20"/>
      <c r="S57" s="61">
        <f>SUM(S24:S56)</f>
        <v>0</v>
      </c>
    </row>
    <row r="58" spans="1:19">
      <c r="A58" s="2358"/>
      <c r="B58" s="2359"/>
      <c r="C58" s="2360"/>
      <c r="D58" s="2360"/>
      <c r="E58" s="2361"/>
      <c r="F58" s="2362" t="s">
        <v>568</v>
      </c>
      <c r="G58" s="2363"/>
      <c r="H58" s="2364">
        <v>0</v>
      </c>
      <c r="I58" s="2460"/>
      <c r="J58" s="2364">
        <v>0</v>
      </c>
      <c r="K58" s="2460"/>
      <c r="L58" s="2364">
        <v>0</v>
      </c>
      <c r="M58" s="2460"/>
      <c r="N58" s="2364">
        <v>0</v>
      </c>
      <c r="O58" s="2460"/>
      <c r="P58" s="2364">
        <v>0</v>
      </c>
      <c r="Q58" s="2460"/>
      <c r="R58" s="2364">
        <v>0</v>
      </c>
      <c r="S58" s="2460"/>
    </row>
    <row r="59" spans="1:19">
      <c r="A59" s="2358"/>
      <c r="B59" s="2359"/>
      <c r="C59" s="2360"/>
      <c r="D59" s="2360"/>
      <c r="E59" s="2361"/>
      <c r="F59" s="2362" t="s">
        <v>569</v>
      </c>
      <c r="G59" s="2363"/>
      <c r="H59" s="2366"/>
      <c r="I59" s="2462">
        <f>H58*I57</f>
        <v>0</v>
      </c>
      <c r="J59" s="2366"/>
      <c r="K59" s="2462">
        <f>J58*K57</f>
        <v>0</v>
      </c>
      <c r="L59" s="2366"/>
      <c r="M59" s="2462">
        <f>L58*M57</f>
        <v>0</v>
      </c>
      <c r="N59" s="2366"/>
      <c r="O59" s="2462">
        <f>N58*O57</f>
        <v>0</v>
      </c>
      <c r="P59" s="2366"/>
      <c r="Q59" s="2462">
        <f>P58*Q57</f>
        <v>0</v>
      </c>
      <c r="R59" s="2366"/>
      <c r="S59" s="2462">
        <f>R58*S57</f>
        <v>0</v>
      </c>
    </row>
    <row r="60" spans="1:19">
      <c r="A60" s="2358"/>
      <c r="B60" s="2359"/>
      <c r="C60" s="2360"/>
      <c r="D60" s="2360"/>
      <c r="E60" s="2361"/>
      <c r="F60" s="2362"/>
      <c r="G60" s="2363"/>
      <c r="H60" s="2366"/>
      <c r="I60" s="2464"/>
      <c r="J60" s="2366"/>
      <c r="K60" s="2464"/>
      <c r="L60" s="2366"/>
      <c r="M60" s="2464"/>
      <c r="N60" s="2366"/>
      <c r="O60" s="2464"/>
      <c r="P60" s="2366"/>
      <c r="Q60" s="2464"/>
      <c r="R60" s="2366"/>
      <c r="S60" s="2464"/>
    </row>
    <row r="61" spans="1:19">
      <c r="A61" s="2358"/>
      <c r="B61" s="2359"/>
      <c r="C61" s="2360"/>
      <c r="D61" s="2360"/>
      <c r="E61" s="2361"/>
      <c r="F61" s="2362" t="s">
        <v>570</v>
      </c>
      <c r="G61" s="2363"/>
      <c r="H61" s="2368"/>
      <c r="I61" s="2465">
        <f>SUM(I57:I59)</f>
        <v>295165</v>
      </c>
      <c r="J61" s="2368"/>
      <c r="K61" s="2465">
        <f>SUM(K57:K59)</f>
        <v>0</v>
      </c>
      <c r="L61" s="2368"/>
      <c r="M61" s="2465">
        <f>SUM(M57:M59)</f>
        <v>0</v>
      </c>
      <c r="N61" s="2368"/>
      <c r="O61" s="2465">
        <f>SUM(O57:O59)</f>
        <v>0</v>
      </c>
      <c r="P61" s="2368"/>
      <c r="Q61" s="2465">
        <f>SUM(Q57:Q59)</f>
        <v>0</v>
      </c>
      <c r="R61" s="2368"/>
      <c r="S61" s="2465">
        <f>SUM(S57:S59)</f>
        <v>0</v>
      </c>
    </row>
    <row r="62" spans="1:19">
      <c r="A62" s="2358"/>
      <c r="B62" s="2359"/>
      <c r="C62" s="2360"/>
      <c r="D62" s="2360"/>
      <c r="E62" s="2361"/>
      <c r="F62" s="2370" t="s">
        <v>571</v>
      </c>
      <c r="G62" s="2371"/>
      <c r="H62" s="2372"/>
      <c r="I62" s="2373" t="e">
        <f>I61/'Area Calculations'!$J$4</f>
        <v>#DIV/0!</v>
      </c>
      <c r="J62" s="2372"/>
      <c r="K62" s="2373" t="e">
        <f>K61/'Area Calculations'!$J$4</f>
        <v>#DIV/0!</v>
      </c>
      <c r="L62" s="2372"/>
      <c r="M62" s="2373" t="e">
        <f>M61/'Area Calculations'!$J$4</f>
        <v>#DIV/0!</v>
      </c>
      <c r="N62" s="2372"/>
      <c r="O62" s="2373" t="e">
        <f>O61/'Area Calculations'!$J$4</f>
        <v>#DIV/0!</v>
      </c>
      <c r="P62" s="2372"/>
      <c r="Q62" s="2373" t="e">
        <f>Q61/'Area Calculations'!$J$4</f>
        <v>#DIV/0!</v>
      </c>
      <c r="R62" s="2372"/>
      <c r="S62" s="2373" t="e">
        <f>S61/'Area Calculations'!$J$4</f>
        <v>#DIV/0!</v>
      </c>
    </row>
    <row r="63" spans="1:19">
      <c r="A63" s="2358"/>
      <c r="B63" s="2359"/>
      <c r="C63" s="2360"/>
      <c r="D63" s="2360"/>
      <c r="E63" s="2361"/>
      <c r="F63" s="2370" t="s">
        <v>572</v>
      </c>
      <c r="G63" s="2374"/>
      <c r="H63" s="2372"/>
      <c r="I63" s="2373" t="e">
        <f>I61/'Area Calculations'!#REF!</f>
        <v>#REF!</v>
      </c>
      <c r="J63" s="2372"/>
      <c r="K63" s="2373" t="e">
        <f>K61/'Area Calculations'!#REF!</f>
        <v>#REF!</v>
      </c>
      <c r="L63" s="2372"/>
      <c r="M63" s="2373" t="e">
        <f>M61/'Area Calculations'!#REF!</f>
        <v>#REF!</v>
      </c>
      <c r="N63" s="2372"/>
      <c r="O63" s="2373" t="e">
        <f>O61/'Area Calculations'!#REF!</f>
        <v>#REF!</v>
      </c>
      <c r="P63" s="2372"/>
      <c r="Q63" s="2373" t="e">
        <f>Q61/'Area Calculations'!#REF!</f>
        <v>#REF!</v>
      </c>
      <c r="R63" s="2372"/>
      <c r="S63" s="2373" t="e">
        <f>S61/'Area Calculations'!#REF!</f>
        <v>#REF!</v>
      </c>
    </row>
    <row r="64" spans="1:19">
      <c r="A64" s="2358"/>
      <c r="B64" s="2359"/>
      <c r="C64" s="2360"/>
      <c r="D64" s="2360"/>
      <c r="E64" s="2361"/>
      <c r="F64" s="2362"/>
      <c r="G64" s="2375"/>
      <c r="H64" s="2376"/>
      <c r="I64" s="2377"/>
      <c r="J64" s="2376"/>
      <c r="K64" s="2377"/>
      <c r="L64" s="2376"/>
      <c r="M64" s="2377"/>
      <c r="N64" s="2376"/>
      <c r="O64" s="2377"/>
      <c r="P64" s="2376"/>
      <c r="Q64" s="2377"/>
      <c r="R64" s="2376"/>
      <c r="S64" s="2377"/>
    </row>
    <row r="65" spans="1:19">
      <c r="A65" s="726" t="s">
        <v>573</v>
      </c>
      <c r="B65" s="727"/>
      <c r="C65" s="12"/>
      <c r="D65" s="12"/>
      <c r="E65" s="12"/>
      <c r="F65" s="12"/>
      <c r="G65" s="13"/>
      <c r="H65" s="21"/>
      <c r="I65" s="21"/>
      <c r="J65" s="21"/>
      <c r="K65" s="21"/>
      <c r="L65" s="21"/>
      <c r="M65" s="21"/>
      <c r="N65" s="21"/>
      <c r="O65" s="21"/>
      <c r="P65" s="21"/>
      <c r="Q65" s="21"/>
      <c r="R65" s="21"/>
      <c r="S65" s="21"/>
    </row>
    <row r="66" spans="1:19">
      <c r="A66" s="2774"/>
      <c r="B66" s="2404"/>
      <c r="C66" s="2775"/>
      <c r="D66" s="2775"/>
      <c r="E66" s="2775"/>
      <c r="F66" s="2775"/>
      <c r="G66" s="2776"/>
      <c r="H66" s="2777"/>
      <c r="I66" s="2777"/>
      <c r="J66" s="2777"/>
      <c r="K66" s="2777"/>
      <c r="L66" s="2777"/>
      <c r="M66" s="2777"/>
      <c r="N66" s="2777"/>
      <c r="O66" s="2777"/>
      <c r="P66" s="2777"/>
      <c r="Q66" s="2777"/>
      <c r="R66" s="2777"/>
      <c r="S66" s="2777"/>
    </row>
    <row r="67" spans="1:19" s="2" customFormat="1">
      <c r="A67" s="2774"/>
      <c r="B67" s="2404"/>
      <c r="C67" s="2775"/>
      <c r="D67" s="2775"/>
      <c r="E67" s="2775"/>
      <c r="F67" s="2775"/>
      <c r="G67" s="2776"/>
      <c r="H67" s="2777"/>
      <c r="I67" s="2777"/>
      <c r="J67" s="2777"/>
      <c r="K67" s="2777"/>
      <c r="L67" s="2777"/>
      <c r="M67" s="2777"/>
      <c r="N67" s="2777"/>
      <c r="O67" s="2777"/>
      <c r="P67" s="2777"/>
      <c r="Q67" s="2777"/>
      <c r="R67" s="2777"/>
      <c r="S67" s="2777"/>
    </row>
    <row r="68" spans="1:19" s="2" customFormat="1">
      <c r="A68" s="2774"/>
      <c r="B68" s="2404"/>
      <c r="C68" s="2775"/>
      <c r="D68" s="2775"/>
      <c r="E68" s="2775"/>
      <c r="F68" s="2775"/>
      <c r="G68" s="2776"/>
      <c r="H68" s="2777"/>
      <c r="I68" s="2777"/>
      <c r="J68" s="2777"/>
      <c r="K68" s="2777"/>
      <c r="L68" s="2777"/>
      <c r="M68" s="2777"/>
      <c r="N68" s="2777"/>
      <c r="O68" s="2777"/>
      <c r="P68" s="2777"/>
      <c r="Q68" s="2777"/>
      <c r="R68" s="2777"/>
      <c r="S68" s="2777"/>
    </row>
    <row r="69" spans="1:19">
      <c r="A69" s="726" t="s">
        <v>574</v>
      </c>
      <c r="B69" s="727"/>
      <c r="C69" s="12"/>
      <c r="D69" s="12"/>
      <c r="E69" s="12"/>
      <c r="F69" s="12"/>
      <c r="G69" s="13"/>
      <c r="H69" s="21"/>
      <c r="I69" s="21"/>
      <c r="J69" s="21"/>
      <c r="K69" s="21"/>
      <c r="L69" s="21"/>
      <c r="M69" s="21"/>
      <c r="N69" s="21"/>
      <c r="O69" s="21"/>
      <c r="P69" s="21"/>
      <c r="Q69" s="21"/>
      <c r="R69" s="21"/>
      <c r="S69" s="21"/>
    </row>
    <row r="70" spans="1:19" s="2" customFormat="1">
      <c r="A70" s="2774"/>
      <c r="B70" s="2404"/>
      <c r="C70" s="2775"/>
      <c r="D70" s="2775"/>
      <c r="E70" s="2775"/>
      <c r="F70" s="2775"/>
      <c r="G70" s="2776"/>
      <c r="H70" s="2777"/>
      <c r="I70" s="2777"/>
      <c r="J70" s="2777"/>
      <c r="K70" s="2777"/>
      <c r="L70" s="2777"/>
      <c r="M70" s="2777"/>
      <c r="N70" s="2777"/>
      <c r="O70" s="2777"/>
      <c r="P70" s="2777"/>
      <c r="Q70" s="2777"/>
      <c r="R70" s="2777"/>
      <c r="S70" s="2777"/>
    </row>
    <row r="71" spans="1:19" s="2" customFormat="1">
      <c r="A71" s="2774"/>
      <c r="B71" s="2404"/>
      <c r="C71" s="2775"/>
      <c r="D71" s="2775"/>
      <c r="E71" s="2775"/>
      <c r="F71" s="2775"/>
      <c r="G71" s="2776"/>
      <c r="H71" s="2777"/>
      <c r="I71" s="2777"/>
      <c r="J71" s="2777"/>
      <c r="K71" s="2777"/>
      <c r="L71" s="2777"/>
      <c r="M71" s="2777"/>
      <c r="N71" s="2777"/>
      <c r="O71" s="2777"/>
      <c r="P71" s="2777"/>
      <c r="Q71" s="2777"/>
      <c r="R71" s="2777"/>
      <c r="S71" s="2777"/>
    </row>
    <row r="72" spans="1:19">
      <c r="A72" s="2774"/>
      <c r="B72" s="2404"/>
      <c r="C72" s="2775"/>
      <c r="D72" s="2775"/>
      <c r="E72" s="2775"/>
      <c r="F72" s="2775"/>
      <c r="G72" s="2776"/>
      <c r="H72" s="2777"/>
      <c r="I72" s="2777"/>
      <c r="J72" s="2777"/>
      <c r="K72" s="2777"/>
      <c r="L72" s="2777"/>
      <c r="M72" s="2777"/>
      <c r="N72" s="2777"/>
      <c r="O72" s="2777"/>
      <c r="P72" s="2777"/>
      <c r="Q72" s="2777"/>
      <c r="R72" s="2777"/>
      <c r="S72" s="2777"/>
    </row>
    <row r="73" spans="1:19">
      <c r="A73" s="726" t="s">
        <v>575</v>
      </c>
      <c r="B73" s="727"/>
      <c r="C73" s="12"/>
      <c r="D73" s="12"/>
      <c r="E73" s="12"/>
      <c r="F73" s="12"/>
      <c r="G73" s="13"/>
      <c r="H73" s="21"/>
      <c r="I73" s="21"/>
      <c r="J73" s="21"/>
      <c r="K73" s="21"/>
      <c r="L73" s="21"/>
      <c r="M73" s="21"/>
      <c r="N73" s="21"/>
      <c r="O73" s="21"/>
      <c r="P73" s="21"/>
      <c r="Q73" s="21"/>
      <c r="R73" s="21"/>
      <c r="S73" s="21"/>
    </row>
    <row r="74" spans="1:19">
      <c r="A74" s="2774"/>
      <c r="B74" s="2404"/>
      <c r="C74" s="2775"/>
      <c r="D74" s="2775"/>
      <c r="E74" s="2775"/>
      <c r="F74" s="2775"/>
      <c r="G74" s="2776"/>
      <c r="H74" s="2777"/>
      <c r="I74" s="2777"/>
      <c r="J74" s="2777"/>
      <c r="K74" s="2777"/>
      <c r="L74" s="2777"/>
      <c r="M74" s="2777"/>
      <c r="N74" s="2777"/>
      <c r="O74" s="2777"/>
      <c r="P74" s="2777"/>
      <c r="Q74" s="2777"/>
      <c r="R74" s="2777"/>
      <c r="S74" s="2777"/>
    </row>
    <row r="75" spans="1:19">
      <c r="A75" s="2421"/>
      <c r="B75" s="2404"/>
      <c r="C75" s="2405"/>
      <c r="D75" s="2405"/>
      <c r="E75" s="2405"/>
      <c r="F75" s="2405"/>
      <c r="G75" s="2423"/>
      <c r="H75" s="2382"/>
      <c r="I75" s="2382"/>
      <c r="J75" s="2382"/>
      <c r="K75" s="2382"/>
      <c r="L75" s="2382"/>
      <c r="M75" s="2382"/>
      <c r="N75" s="2382"/>
      <c r="O75" s="2382"/>
      <c r="P75" s="2382"/>
      <c r="Q75" s="2382"/>
      <c r="R75" s="2382"/>
      <c r="S75" s="2382"/>
    </row>
    <row r="76" spans="1:19">
      <c r="A76" s="2383"/>
      <c r="B76" s="2384"/>
      <c r="C76" s="2405"/>
      <c r="D76" s="2405"/>
      <c r="E76" s="2405"/>
      <c r="F76" s="2405"/>
      <c r="G76" s="2423"/>
      <c r="H76" s="2385"/>
      <c r="I76" s="2385"/>
      <c r="J76" s="2385"/>
      <c r="K76" s="2385"/>
      <c r="L76" s="2385"/>
      <c r="M76" s="2385"/>
      <c r="N76" s="2385"/>
      <c r="O76" s="2385"/>
      <c r="P76" s="2385"/>
      <c r="Q76" s="2385"/>
      <c r="R76" s="2385"/>
      <c r="S76" s="2385"/>
    </row>
    <row r="77" spans="1:19">
      <c r="A77" s="726" t="s">
        <v>576</v>
      </c>
      <c r="B77" s="727"/>
      <c r="C77" s="12"/>
      <c r="D77" s="12"/>
      <c r="E77" s="12"/>
      <c r="F77" s="12"/>
      <c r="G77" s="13"/>
      <c r="H77" s="21"/>
      <c r="I77" s="21"/>
      <c r="J77" s="21"/>
      <c r="K77" s="21"/>
      <c r="L77" s="21"/>
      <c r="M77" s="21"/>
      <c r="N77" s="21"/>
      <c r="O77" s="21"/>
      <c r="P77" s="21"/>
      <c r="Q77" s="21"/>
      <c r="R77" s="21"/>
      <c r="S77" s="21"/>
    </row>
    <row r="78" spans="1:19">
      <c r="A78" s="2778"/>
      <c r="B78" s="2779"/>
      <c r="C78" s="2775"/>
      <c r="D78" s="2775"/>
      <c r="E78" s="2775"/>
      <c r="F78" s="2775"/>
      <c r="G78" s="2776"/>
      <c r="H78" s="2777"/>
      <c r="I78" s="2777"/>
      <c r="J78" s="2777"/>
      <c r="K78" s="2777"/>
      <c r="L78" s="2777"/>
      <c r="M78" s="2777"/>
      <c r="N78" s="2777"/>
      <c r="O78" s="2777"/>
      <c r="P78" s="2777"/>
      <c r="Q78" s="2777"/>
      <c r="R78" s="2777"/>
      <c r="S78" s="2777"/>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2383"/>
      <c r="B80" s="2384"/>
      <c r="C80" s="2405"/>
      <c r="D80" s="2405"/>
      <c r="E80" s="2405"/>
      <c r="F80" s="2405"/>
      <c r="G80" s="2423"/>
      <c r="H80" s="2388"/>
      <c r="I80" s="2388"/>
      <c r="J80" s="2388"/>
      <c r="K80" s="2388"/>
      <c r="L80" s="2388"/>
      <c r="M80" s="2388"/>
      <c r="N80" s="2388"/>
      <c r="O80" s="2388"/>
      <c r="P80" s="2388"/>
      <c r="Q80" s="2388"/>
      <c r="R80" s="2388"/>
      <c r="S80" s="2388"/>
    </row>
    <row r="81" spans="1:19">
      <c r="A81" s="726" t="s">
        <v>577</v>
      </c>
      <c r="B81" s="727"/>
      <c r="C81" s="12"/>
      <c r="D81" s="12"/>
      <c r="E81" s="12"/>
      <c r="F81" s="12"/>
      <c r="G81" s="13"/>
      <c r="H81" s="21"/>
      <c r="I81" s="21"/>
      <c r="J81" s="21"/>
      <c r="K81" s="21"/>
      <c r="L81" s="21"/>
      <c r="M81" s="21"/>
      <c r="N81" s="21"/>
      <c r="O81" s="21"/>
      <c r="P81" s="21"/>
      <c r="Q81" s="21"/>
      <c r="R81" s="21"/>
      <c r="S81" s="21"/>
    </row>
    <row r="82" spans="1:19">
      <c r="A82" s="2421"/>
      <c r="B82" s="2404" t="s">
        <v>578</v>
      </c>
      <c r="C82" s="2405"/>
      <c r="D82" s="2405"/>
      <c r="E82" s="2405"/>
      <c r="F82" s="2405"/>
      <c r="G82" s="2423"/>
      <c r="H82" s="2388"/>
      <c r="I82" s="2388"/>
      <c r="J82" s="2388"/>
      <c r="K82" s="2388"/>
      <c r="L82" s="2388"/>
      <c r="M82" s="2388"/>
      <c r="N82" s="2388"/>
      <c r="O82" s="2388"/>
      <c r="P82" s="2388"/>
      <c r="Q82" s="2388"/>
      <c r="R82" s="2388"/>
      <c r="S82" s="2388"/>
    </row>
    <row r="83" spans="1:19">
      <c r="A83" s="2421"/>
      <c r="B83" s="2404" t="s">
        <v>579</v>
      </c>
      <c r="C83" s="2405"/>
      <c r="D83" s="2405"/>
      <c r="E83" s="2405"/>
      <c r="F83" s="2405"/>
      <c r="G83" s="2423"/>
      <c r="H83" s="2388"/>
      <c r="I83" s="2388"/>
      <c r="J83" s="2388"/>
      <c r="K83" s="2388"/>
      <c r="L83" s="2388"/>
      <c r="M83" s="2388"/>
      <c r="N83" s="2388"/>
      <c r="O83" s="2388"/>
      <c r="P83" s="2388"/>
      <c r="Q83" s="2388"/>
      <c r="R83" s="2388"/>
      <c r="S83" s="2388"/>
    </row>
    <row r="84" spans="1:19">
      <c r="A84" s="2421"/>
      <c r="B84" s="2404" t="s">
        <v>580</v>
      </c>
      <c r="C84" s="2405"/>
      <c r="D84" s="2405"/>
      <c r="E84" s="2405"/>
      <c r="F84" s="2405"/>
      <c r="G84" s="2423"/>
      <c r="H84" s="2388"/>
      <c r="I84" s="2388"/>
      <c r="J84" s="2388"/>
      <c r="K84" s="2388"/>
      <c r="L84" s="2388"/>
      <c r="M84" s="2388"/>
      <c r="N84" s="2388"/>
      <c r="O84" s="2388"/>
      <c r="P84" s="2388"/>
      <c r="Q84" s="2388"/>
      <c r="R84" s="2388"/>
      <c r="S84" s="2388"/>
    </row>
    <row r="85" spans="1:19">
      <c r="A85" s="2421"/>
      <c r="B85" s="2404" t="s">
        <v>581</v>
      </c>
      <c r="C85" s="2405"/>
      <c r="D85" s="2405"/>
      <c r="E85" s="2405"/>
      <c r="F85" s="2405"/>
      <c r="G85" s="2423"/>
      <c r="H85" s="2388"/>
      <c r="I85" s="2388"/>
      <c r="J85" s="2388"/>
      <c r="K85" s="2388"/>
      <c r="L85" s="2388"/>
      <c r="M85" s="2388"/>
      <c r="N85" s="2388"/>
      <c r="O85" s="2388"/>
      <c r="P85" s="2388"/>
      <c r="Q85" s="2388"/>
      <c r="R85" s="2388"/>
      <c r="S85" s="2388"/>
    </row>
    <row r="86" spans="1:19">
      <c r="A86" s="416"/>
      <c r="B86" s="295"/>
      <c r="C86" s="184"/>
      <c r="D86" s="184"/>
      <c r="E86" s="184"/>
      <c r="F86" s="184"/>
      <c r="G86" s="296"/>
      <c r="H86" s="418"/>
      <c r="I86" s="418"/>
      <c r="J86" s="418"/>
      <c r="K86" s="418"/>
      <c r="L86" s="418"/>
      <c r="M86" s="418"/>
      <c r="N86" s="418"/>
      <c r="O86" s="418"/>
      <c r="P86" s="418"/>
      <c r="Q86" s="418"/>
      <c r="R86" s="418"/>
      <c r="S86" s="418"/>
    </row>
    <row r="87" spans="1:19">
      <c r="A87" s="7" t="s">
        <v>582</v>
      </c>
      <c r="B87" s="8"/>
      <c r="C87" s="12"/>
      <c r="D87" s="12"/>
      <c r="E87" s="12"/>
      <c r="F87" s="12"/>
      <c r="G87" s="13"/>
      <c r="H87" s="21"/>
      <c r="I87" s="21"/>
      <c r="J87" s="21"/>
      <c r="K87" s="21"/>
      <c r="L87" s="21"/>
      <c r="M87" s="21"/>
      <c r="N87" s="21"/>
      <c r="O87" s="21"/>
      <c r="P87" s="21"/>
      <c r="Q87" s="21"/>
      <c r="R87" s="21"/>
      <c r="S87" s="21"/>
    </row>
    <row r="88" spans="1:19">
      <c r="A88" s="2774"/>
      <c r="B88" s="2780" t="s">
        <v>583</v>
      </c>
      <c r="C88" s="2775"/>
      <c r="D88" s="2775"/>
      <c r="E88" s="2775"/>
      <c r="F88" s="2775"/>
      <c r="G88" s="2776"/>
      <c r="H88" s="2773"/>
      <c r="I88" s="2773"/>
      <c r="J88" s="2773"/>
      <c r="K88" s="2773"/>
      <c r="L88" s="2773"/>
      <c r="M88" s="2773"/>
      <c r="N88" s="2773"/>
      <c r="O88" s="2773"/>
      <c r="P88" s="2773"/>
      <c r="Q88" s="2773"/>
      <c r="R88" s="2773"/>
      <c r="S88" s="2773"/>
    </row>
    <row r="89" spans="1:19">
      <c r="A89" s="2421"/>
      <c r="B89" s="2404" t="s">
        <v>584</v>
      </c>
      <c r="C89" s="2405"/>
      <c r="D89" s="2405"/>
      <c r="E89" s="2405"/>
      <c r="F89" s="2405"/>
      <c r="G89" s="2423"/>
      <c r="H89" s="2390"/>
      <c r="I89" s="2390"/>
      <c r="J89" s="2390"/>
      <c r="K89" s="2390"/>
      <c r="L89" s="2390"/>
      <c r="M89" s="2390"/>
      <c r="N89" s="2390"/>
      <c r="O89" s="2390"/>
      <c r="P89" s="2390"/>
      <c r="Q89" s="2390"/>
      <c r="R89" s="2390"/>
      <c r="S89" s="2390"/>
    </row>
    <row r="90" spans="1:19">
      <c r="A90" s="2391"/>
      <c r="B90" s="2392" t="s">
        <v>585</v>
      </c>
      <c r="C90" s="2393"/>
      <c r="D90" s="2393"/>
      <c r="E90" s="2393"/>
      <c r="F90" s="2393"/>
      <c r="G90" s="2394"/>
      <c r="H90" s="2395"/>
      <c r="I90" s="2395"/>
      <c r="J90" s="2395"/>
      <c r="K90" s="2395"/>
      <c r="L90" s="2395"/>
      <c r="M90" s="2395"/>
      <c r="N90" s="2395"/>
      <c r="O90" s="2395"/>
      <c r="P90" s="2395"/>
      <c r="Q90" s="2395"/>
      <c r="R90" s="2395"/>
      <c r="S90" s="2395"/>
    </row>
    <row r="92" spans="1:19">
      <c r="A92" s="92" t="s">
        <v>586</v>
      </c>
      <c r="B92" s="94"/>
    </row>
    <row r="93" spans="1:19">
      <c r="A93" s="93" t="s">
        <v>487</v>
      </c>
      <c r="B93" s="2396"/>
    </row>
    <row r="94" spans="1:19">
      <c r="A94" s="2397" t="s">
        <v>491</v>
      </c>
      <c r="B94" s="2396"/>
    </row>
    <row r="95" spans="1:19">
      <c r="A95" s="2398" t="s">
        <v>494</v>
      </c>
      <c r="B95" s="2399"/>
    </row>
    <row r="96" spans="1:19">
      <c r="A96" s="2398" t="s">
        <v>497</v>
      </c>
      <c r="B96" s="2400"/>
    </row>
    <row r="97" spans="1:2">
      <c r="A97" s="2401" t="s">
        <v>587</v>
      </c>
      <c r="B97" s="2402">
        <f>H8</f>
        <v>295165</v>
      </c>
    </row>
    <row r="99" spans="1:2">
      <c r="A99" s="95"/>
      <c r="B99" s="1" t="s">
        <v>588</v>
      </c>
    </row>
    <row r="100" spans="1:2">
      <c r="A100" s="96"/>
      <c r="B10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5:B65"/>
    <mergeCell ref="A69:B69"/>
    <mergeCell ref="A73:B73"/>
    <mergeCell ref="A77:B77"/>
    <mergeCell ref="A81:B81"/>
  </mergeCells>
  <conditionalFormatting sqref="H21:H31 L33:L56 N33:N56 P33:P56 R33:R56">
    <cfRule type="cellIs" dxfId="505" priority="25" operator="equal">
      <formula>"X"</formula>
    </cfRule>
    <cfRule type="cellIs" dxfId="504" priority="26" operator="equal">
      <formula>"I"</formula>
    </cfRule>
  </conditionalFormatting>
  <conditionalFormatting sqref="H37:H41">
    <cfRule type="cellIs" dxfId="503" priority="1" operator="equal">
      <formula>"X"</formula>
    </cfRule>
    <cfRule type="cellIs" dxfId="502" priority="2" operator="equal">
      <formula>"I"</formula>
    </cfRule>
  </conditionalFormatting>
  <conditionalFormatting sqref="J21:J31">
    <cfRule type="cellIs" dxfId="501" priority="23" operator="equal">
      <formula>"X"</formula>
    </cfRule>
    <cfRule type="cellIs" dxfId="500" priority="24" operator="equal">
      <formula>"I"</formula>
    </cfRule>
  </conditionalFormatting>
  <conditionalFormatting sqref="L21:L31">
    <cfRule type="cellIs" dxfId="499" priority="21" operator="equal">
      <formula>"X"</formula>
    </cfRule>
    <cfRule type="cellIs" dxfId="498" priority="22" operator="equal">
      <formula>"I"</formula>
    </cfRule>
  </conditionalFormatting>
  <conditionalFormatting sqref="N21:N31">
    <cfRule type="cellIs" dxfId="497" priority="19" operator="equal">
      <formula>"X"</formula>
    </cfRule>
    <cfRule type="cellIs" dxfId="496" priority="20" operator="equal">
      <formula>"I"</formula>
    </cfRule>
  </conditionalFormatting>
  <conditionalFormatting sqref="P21:P31">
    <cfRule type="cellIs" dxfId="495" priority="17" operator="equal">
      <formula>"X"</formula>
    </cfRule>
    <cfRule type="cellIs" dxfId="494" priority="18" operator="equal">
      <formula>"I"</formula>
    </cfRule>
  </conditionalFormatting>
  <conditionalFormatting sqref="R21:R31">
    <cfRule type="cellIs" dxfId="493" priority="15" operator="equal">
      <formula>"X"</formula>
    </cfRule>
    <cfRule type="cellIs" dxfId="492" priority="16" operator="equal">
      <formula>"I"</formula>
    </cfRule>
  </conditionalFormatting>
  <hyperlinks>
    <hyperlink ref="B3" location="'Cost Summary'!A1" display="BACK TO SUMMARY SHEET" xr:uid="{7335676E-F27E-44AE-95DE-A0E0D29C3A86}"/>
  </hyperlinks>
  <pageMargins left="0.7" right="0.7" top="0.75" bottom="0.75" header="0.3" footer="0.3"/>
  <pageSetup scale="71" orientation="portrait" horizontalDpi="1200" verticalDpi="12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D45-DC80-4EE5-93C3-DC41FFD74E3A}">
  <sheetPr>
    <tabColor rgb="FF92D050"/>
  </sheetPr>
  <dimension ref="A1:S99"/>
  <sheetViews>
    <sheetView zoomScale="85" zoomScaleNormal="85" workbookViewId="0">
      <pane xSplit="2" ySplit="9" topLeftCell="C20" activePane="bottomRight" state="frozen"/>
      <selection pane="bottomRight" activeCell="F29" sqref="F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1188</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1189</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I60</f>
        <v>0</v>
      </c>
      <c r="I8" s="2419"/>
      <c r="J8" s="2418">
        <f>K60</f>
        <v>0</v>
      </c>
      <c r="K8" s="2419"/>
      <c r="L8" s="2418">
        <f>M60</f>
        <v>0</v>
      </c>
      <c r="M8" s="2419"/>
      <c r="N8" s="2418">
        <f>O60</f>
        <v>0</v>
      </c>
      <c r="O8" s="2419"/>
      <c r="P8" s="2418">
        <f>Q60</f>
        <v>0</v>
      </c>
      <c r="Q8" s="2419"/>
      <c r="R8" s="2418">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78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21"/>
      <c r="B21" s="2428" t="s">
        <v>1188</v>
      </c>
      <c r="C21" s="2426"/>
      <c r="D21" s="2405"/>
      <c r="E21" s="2405"/>
      <c r="F21" s="2405"/>
      <c r="G21" s="2423"/>
      <c r="H21" s="2427"/>
      <c r="I21" s="2424"/>
      <c r="J21" s="2427"/>
      <c r="K21" s="2424"/>
      <c r="L21" s="2427"/>
      <c r="M21" s="2424"/>
      <c r="N21" s="2427"/>
      <c r="O21" s="2424"/>
      <c r="P21" s="2427"/>
      <c r="Q21" s="2424"/>
      <c r="R21" s="2427"/>
      <c r="S21" s="2424"/>
    </row>
    <row r="22" spans="1:19">
      <c r="A22" s="2782"/>
      <c r="B22" s="2318" t="s">
        <v>512</v>
      </c>
      <c r="C22" s="2426"/>
      <c r="D22" s="2405"/>
      <c r="E22" s="2405"/>
      <c r="F22" s="2405"/>
      <c r="G22" s="2423"/>
      <c r="H22" s="2427"/>
      <c r="I22" s="2783"/>
      <c r="J22" s="2427"/>
      <c r="K22" s="2783"/>
      <c r="L22" s="2427"/>
      <c r="M22" s="2783"/>
      <c r="N22" s="2427"/>
      <c r="O22" s="2783"/>
      <c r="P22" s="2427"/>
      <c r="Q22" s="2783"/>
      <c r="R22" s="2427"/>
      <c r="S22" s="2783"/>
    </row>
    <row r="23" spans="1:19">
      <c r="A23" s="2782"/>
      <c r="B23" s="2784" t="s">
        <v>513</v>
      </c>
      <c r="C23" s="2426"/>
      <c r="D23" s="2405"/>
      <c r="E23" s="2405"/>
      <c r="F23" s="2405"/>
      <c r="G23" s="2423"/>
      <c r="H23" s="2427"/>
      <c r="I23" s="2785"/>
      <c r="J23" s="2427"/>
      <c r="K23" s="2783"/>
      <c r="L23" s="2427"/>
      <c r="M23" s="2783"/>
      <c r="N23" s="2427"/>
      <c r="O23" s="2783"/>
      <c r="P23" s="2427"/>
      <c r="Q23" s="2783"/>
      <c r="R23" s="2427"/>
      <c r="S23" s="2783"/>
    </row>
    <row r="24" spans="1:19">
      <c r="A24" s="2782"/>
      <c r="B24" s="2784" t="s">
        <v>514</v>
      </c>
      <c r="C24" s="2430"/>
      <c r="D24" s="2405"/>
      <c r="E24" s="2405"/>
      <c r="F24" s="2405"/>
      <c r="G24" s="2423"/>
      <c r="H24" s="2427"/>
      <c r="I24" s="2785"/>
      <c r="J24" s="2427"/>
      <c r="K24" s="2783"/>
      <c r="L24" s="2427"/>
      <c r="M24" s="2783"/>
      <c r="N24" s="2427"/>
      <c r="O24" s="2783"/>
      <c r="P24" s="2427"/>
      <c r="Q24" s="2783"/>
      <c r="R24" s="2427"/>
      <c r="S24" s="2783"/>
    </row>
    <row r="25" spans="1:19">
      <c r="A25" s="2782"/>
      <c r="B25" s="2786" t="s">
        <v>515</v>
      </c>
      <c r="C25" s="2430"/>
      <c r="D25" s="2405"/>
      <c r="E25" s="2405"/>
      <c r="F25" s="2405"/>
      <c r="G25" s="2423"/>
      <c r="H25" s="2427"/>
      <c r="I25" s="2785"/>
      <c r="J25" s="2427"/>
      <c r="K25" s="2783"/>
      <c r="L25" s="2427"/>
      <c r="M25" s="2783"/>
      <c r="N25" s="2427"/>
      <c r="O25" s="2783"/>
      <c r="P25" s="2427"/>
      <c r="Q25" s="2783"/>
      <c r="R25" s="2427"/>
      <c r="S25" s="2783"/>
    </row>
    <row r="26" spans="1:19" s="91" customFormat="1">
      <c r="A26" s="2787"/>
      <c r="B26" s="2786" t="s">
        <v>516</v>
      </c>
      <c r="C26" s="2432"/>
      <c r="D26" s="2433"/>
      <c r="E26" s="2433"/>
      <c r="F26" s="2433"/>
      <c r="G26" s="2432"/>
      <c r="H26" s="2427"/>
      <c r="I26" s="2785"/>
      <c r="J26" s="2427"/>
      <c r="K26" s="2788"/>
      <c r="L26" s="2427"/>
      <c r="M26" s="2788"/>
      <c r="N26" s="2427"/>
      <c r="O26" s="2788"/>
      <c r="P26" s="2427"/>
      <c r="Q26" s="2788"/>
      <c r="R26" s="2427"/>
      <c r="S26" s="2788"/>
    </row>
    <row r="27" spans="1:19" s="91" customFormat="1">
      <c r="A27" s="2787"/>
      <c r="B27" s="2786" t="s">
        <v>517</v>
      </c>
      <c r="C27" s="2432"/>
      <c r="D27" s="2433"/>
      <c r="E27" s="2433"/>
      <c r="F27" s="2433"/>
      <c r="G27" s="2432"/>
      <c r="H27" s="2427"/>
      <c r="I27" s="2785"/>
      <c r="J27" s="2427"/>
      <c r="K27" s="2788"/>
      <c r="L27" s="2427"/>
      <c r="M27" s="2788"/>
      <c r="N27" s="2427"/>
      <c r="O27" s="2788"/>
      <c r="P27" s="2427"/>
      <c r="Q27" s="2788"/>
      <c r="R27" s="2427"/>
      <c r="S27" s="2788"/>
    </row>
    <row r="28" spans="1:19" s="91" customFormat="1">
      <c r="A28" s="2787"/>
      <c r="B28" s="2786" t="s">
        <v>518</v>
      </c>
      <c r="C28" s="2432"/>
      <c r="D28" s="2433"/>
      <c r="E28" s="2433"/>
      <c r="F28" s="2433"/>
      <c r="G28" s="2432"/>
      <c r="H28" s="2427"/>
      <c r="I28" s="2785"/>
      <c r="J28" s="2427"/>
      <c r="K28" s="2788"/>
      <c r="L28" s="2427"/>
      <c r="M28" s="2788"/>
      <c r="N28" s="2427"/>
      <c r="O28" s="2788"/>
      <c r="P28" s="2427"/>
      <c r="Q28" s="2788"/>
      <c r="R28" s="2427"/>
      <c r="S28" s="2788"/>
    </row>
    <row r="29" spans="1:19" s="91" customFormat="1">
      <c r="A29" s="2787"/>
      <c r="B29" s="2786" t="s">
        <v>693</v>
      </c>
      <c r="C29" s="2432"/>
      <c r="D29" s="2433"/>
      <c r="E29" s="2433"/>
      <c r="F29" s="2433"/>
      <c r="G29" s="2432"/>
      <c r="H29" s="2427"/>
      <c r="I29" s="2785"/>
      <c r="J29" s="2427"/>
      <c r="K29" s="2788"/>
      <c r="L29" s="2427"/>
      <c r="M29" s="2788"/>
      <c r="N29" s="2427"/>
      <c r="O29" s="2788"/>
      <c r="P29" s="2427"/>
      <c r="Q29" s="2788"/>
      <c r="R29" s="2427"/>
      <c r="S29" s="2788"/>
    </row>
    <row r="30" spans="1:19" s="91" customFormat="1">
      <c r="A30" s="2787"/>
      <c r="B30" s="2789" t="s">
        <v>519</v>
      </c>
      <c r="C30" s="2432"/>
      <c r="D30" s="2433"/>
      <c r="E30" s="2433"/>
      <c r="F30" s="2433"/>
      <c r="G30" s="2432"/>
      <c r="H30" s="2427"/>
      <c r="I30" s="2785"/>
      <c r="J30" s="2427"/>
      <c r="K30" s="2788"/>
      <c r="L30" s="2427"/>
      <c r="M30" s="2788"/>
      <c r="N30" s="2427"/>
      <c r="O30" s="2788"/>
      <c r="P30" s="2427"/>
      <c r="Q30" s="2788"/>
      <c r="R30" s="2427"/>
      <c r="S30" s="2788"/>
    </row>
    <row r="31" spans="1:19" s="91" customFormat="1">
      <c r="A31" s="2787"/>
      <c r="B31" s="2790" t="s">
        <v>520</v>
      </c>
      <c r="C31" s="2435"/>
      <c r="D31" s="2436"/>
      <c r="E31" s="2436"/>
      <c r="F31" s="2436"/>
      <c r="G31" s="2435"/>
      <c r="H31" s="2439"/>
      <c r="I31" s="2791"/>
      <c r="J31" s="2443"/>
      <c r="K31" s="2792"/>
      <c r="L31" s="2443"/>
      <c r="M31" s="2792"/>
      <c r="N31" s="2792"/>
      <c r="O31" s="2792"/>
      <c r="P31" s="2792"/>
      <c r="Q31" s="2792"/>
      <c r="R31" s="2792"/>
      <c r="S31" s="2792"/>
    </row>
    <row r="32" spans="1:19" s="91" customFormat="1">
      <c r="A32" s="2787"/>
      <c r="B32" s="151"/>
      <c r="C32" s="2432"/>
      <c r="D32" s="2433"/>
      <c r="E32" s="2433"/>
      <c r="F32" s="2433"/>
      <c r="G32" s="2432"/>
      <c r="H32" s="2537"/>
      <c r="I32" s="2785"/>
      <c r="J32" s="2539"/>
      <c r="K32" s="2788"/>
      <c r="L32" s="2427"/>
      <c r="M32" s="2788"/>
      <c r="N32" s="2427"/>
      <c r="O32" s="2788"/>
      <c r="P32" s="2427"/>
      <c r="Q32" s="2788"/>
      <c r="R32" s="2427"/>
      <c r="S32" s="2788"/>
    </row>
    <row r="33" spans="1:19" s="91" customFormat="1">
      <c r="A33" s="2793"/>
      <c r="B33" s="2550"/>
      <c r="C33" s="2445"/>
      <c r="D33" s="2433"/>
      <c r="E33" s="2433"/>
      <c r="F33" s="2433"/>
      <c r="G33" s="2432"/>
      <c r="H33" s="2537"/>
      <c r="I33" s="2785"/>
      <c r="J33" s="2539"/>
      <c r="K33" s="2788"/>
      <c r="L33" s="2427"/>
      <c r="M33" s="2788"/>
      <c r="N33" s="2427"/>
      <c r="O33" s="2788"/>
      <c r="P33" s="2427"/>
      <c r="Q33" s="2788"/>
      <c r="R33" s="2427"/>
      <c r="S33" s="2788"/>
    </row>
    <row r="34" spans="1:19" s="91" customFormat="1">
      <c r="A34" s="2793"/>
      <c r="B34" s="2444"/>
      <c r="C34" s="2445"/>
      <c r="D34" s="2433"/>
      <c r="E34" s="2433"/>
      <c r="F34" s="2433"/>
      <c r="G34" s="2432"/>
      <c r="H34" s="2537"/>
      <c r="I34" s="2785"/>
      <c r="J34" s="2539"/>
      <c r="K34" s="2788"/>
      <c r="L34" s="2427"/>
      <c r="M34" s="2788"/>
      <c r="N34" s="2427"/>
      <c r="O34" s="2788"/>
      <c r="P34" s="2427" t="s">
        <v>710</v>
      </c>
      <c r="Q34" s="2788"/>
      <c r="R34" s="2427"/>
      <c r="S34" s="2788"/>
    </row>
    <row r="35" spans="1:19" s="91" customFormat="1">
      <c r="A35" s="2793"/>
      <c r="B35" s="2444"/>
      <c r="C35" s="2445"/>
      <c r="D35" s="2433"/>
      <c r="E35" s="2433"/>
      <c r="F35" s="2433"/>
      <c r="G35" s="2432"/>
      <c r="H35" s="2537"/>
      <c r="I35" s="2785"/>
      <c r="J35" s="2539"/>
      <c r="K35" s="2788"/>
      <c r="L35" s="2427"/>
      <c r="M35" s="2788"/>
      <c r="N35" s="2427"/>
      <c r="O35" s="2788"/>
      <c r="P35" s="2427"/>
      <c r="Q35" s="2788"/>
      <c r="R35" s="2427"/>
      <c r="S35" s="2788"/>
    </row>
    <row r="36" spans="1:19" s="91" customFormat="1">
      <c r="A36" s="2793"/>
      <c r="B36" s="2506"/>
      <c r="C36" s="2445"/>
      <c r="D36" s="2433"/>
      <c r="E36" s="2433"/>
      <c r="F36" s="2433"/>
      <c r="G36" s="2432"/>
      <c r="H36" s="2537"/>
      <c r="I36" s="2785"/>
      <c r="J36" s="2539"/>
      <c r="K36" s="2788"/>
      <c r="L36" s="2427"/>
      <c r="M36" s="2788"/>
      <c r="N36" s="2427"/>
      <c r="O36" s="2788"/>
      <c r="P36" s="2427"/>
      <c r="Q36" s="2788"/>
      <c r="R36" s="2427"/>
      <c r="S36" s="2788"/>
    </row>
    <row r="37" spans="1:19" s="91" customFormat="1">
      <c r="A37" s="2793"/>
      <c r="B37" s="2444"/>
      <c r="C37" s="2445"/>
      <c r="D37" s="2433"/>
      <c r="E37" s="2433"/>
      <c r="F37" s="2433"/>
      <c r="G37" s="2432"/>
      <c r="H37" s="2537"/>
      <c r="I37" s="2785"/>
      <c r="J37" s="2539"/>
      <c r="K37" s="2788"/>
      <c r="L37" s="2427"/>
      <c r="M37" s="2788"/>
      <c r="N37" s="2427"/>
      <c r="O37" s="2788"/>
      <c r="P37" s="2427"/>
      <c r="Q37" s="2788"/>
      <c r="R37" s="2427"/>
      <c r="S37" s="2788"/>
    </row>
    <row r="38" spans="1:19" s="91" customFormat="1">
      <c r="A38" s="2793"/>
      <c r="B38" s="2444"/>
      <c r="C38" s="2445"/>
      <c r="D38" s="2433"/>
      <c r="E38" s="2546"/>
      <c r="F38" s="2547"/>
      <c r="G38" s="2432"/>
      <c r="H38" s="2537"/>
      <c r="I38" s="2785"/>
      <c r="J38" s="2539"/>
      <c r="K38" s="2788"/>
      <c r="L38" s="2427"/>
      <c r="M38" s="2788"/>
      <c r="N38" s="2427"/>
      <c r="O38" s="2788"/>
      <c r="P38" s="2427"/>
      <c r="Q38" s="2788"/>
      <c r="R38" s="2427"/>
      <c r="S38" s="2788"/>
    </row>
    <row r="39" spans="1:19" s="91" customFormat="1">
      <c r="A39" s="2793"/>
      <c r="B39" s="2444"/>
      <c r="C39" s="2445"/>
      <c r="D39" s="2433"/>
      <c r="E39" s="2546"/>
      <c r="F39" s="2547"/>
      <c r="G39" s="2432"/>
      <c r="H39" s="2537"/>
      <c r="I39" s="2785"/>
      <c r="J39" s="2539"/>
      <c r="K39" s="2788"/>
      <c r="L39" s="2427"/>
      <c r="M39" s="2788"/>
      <c r="N39" s="2427"/>
      <c r="O39" s="2788"/>
      <c r="P39" s="2427"/>
      <c r="Q39" s="2788"/>
      <c r="R39" s="2427"/>
      <c r="S39" s="2788"/>
    </row>
    <row r="40" spans="1:19" s="91" customFormat="1">
      <c r="A40" s="2793"/>
      <c r="B40" s="2444"/>
      <c r="C40" s="2445"/>
      <c r="D40" s="2433"/>
      <c r="E40" s="2546"/>
      <c r="F40" s="2547"/>
      <c r="G40" s="2432"/>
      <c r="H40" s="2537"/>
      <c r="I40" s="2785"/>
      <c r="J40" s="2539"/>
      <c r="K40" s="2788"/>
      <c r="L40" s="2427"/>
      <c r="M40" s="2788"/>
      <c r="N40" s="2427"/>
      <c r="O40" s="2788"/>
      <c r="P40" s="2427"/>
      <c r="Q40" s="2788"/>
      <c r="R40" s="2427"/>
      <c r="S40" s="2788"/>
    </row>
    <row r="41" spans="1:19" s="91" customFormat="1">
      <c r="A41" s="2793"/>
      <c r="B41" s="2794"/>
      <c r="C41" s="2445"/>
      <c r="D41" s="2433"/>
      <c r="E41" s="2546"/>
      <c r="F41" s="2547"/>
      <c r="G41" s="2432"/>
      <c r="H41" s="2537"/>
      <c r="I41" s="2785"/>
      <c r="J41" s="2539"/>
      <c r="K41" s="2788"/>
      <c r="L41" s="2427"/>
      <c r="M41" s="2788"/>
      <c r="N41" s="2427"/>
      <c r="O41" s="2788"/>
      <c r="P41" s="2427"/>
      <c r="Q41" s="2788"/>
      <c r="R41" s="2427"/>
      <c r="S41" s="2788"/>
    </row>
    <row r="42" spans="1:19" s="91" customFormat="1">
      <c r="A42" s="2793"/>
      <c r="B42" s="2795"/>
      <c r="C42" s="2445"/>
      <c r="D42" s="2433"/>
      <c r="E42" s="2546"/>
      <c r="F42" s="2547"/>
      <c r="G42" s="2432"/>
      <c r="H42" s="2537"/>
      <c r="I42" s="2785"/>
      <c r="J42" s="2539"/>
      <c r="K42" s="2788"/>
      <c r="L42" s="2427"/>
      <c r="M42" s="2788"/>
      <c r="N42" s="2427"/>
      <c r="O42" s="2788"/>
      <c r="P42" s="2427"/>
      <c r="Q42" s="2788"/>
      <c r="R42" s="2427"/>
      <c r="S42" s="2788"/>
    </row>
    <row r="43" spans="1:19" s="91" customFormat="1">
      <c r="A43" s="2793"/>
      <c r="B43" s="152"/>
      <c r="C43" s="2445"/>
      <c r="D43" s="2433"/>
      <c r="E43" s="2546"/>
      <c r="F43" s="2547"/>
      <c r="G43" s="2432"/>
      <c r="H43" s="2537"/>
      <c r="I43" s="2785"/>
      <c r="J43" s="2539"/>
      <c r="K43" s="2788"/>
      <c r="L43" s="2427"/>
      <c r="M43" s="2788"/>
      <c r="N43" s="2427"/>
      <c r="O43" s="2788"/>
      <c r="P43" s="2427"/>
      <c r="Q43" s="2788"/>
      <c r="R43" s="2427"/>
      <c r="S43" s="2788"/>
    </row>
    <row r="44" spans="1:19" s="91" customFormat="1">
      <c r="A44" s="2793"/>
      <c r="B44" s="2545"/>
      <c r="C44" s="2445"/>
      <c r="D44" s="2433"/>
      <c r="E44" s="2546"/>
      <c r="F44" s="2547"/>
      <c r="G44" s="2432"/>
      <c r="H44" s="2537"/>
      <c r="I44" s="2785"/>
      <c r="J44" s="2539"/>
      <c r="K44" s="2788"/>
      <c r="L44" s="2427"/>
      <c r="M44" s="2788"/>
      <c r="N44" s="2427"/>
      <c r="O44" s="2788"/>
      <c r="P44" s="2427"/>
      <c r="Q44" s="2788"/>
      <c r="R44" s="2427"/>
      <c r="S44" s="2788"/>
    </row>
    <row r="45" spans="1:19" s="91" customFormat="1">
      <c r="A45" s="2793"/>
      <c r="B45" s="2545"/>
      <c r="C45" s="2445"/>
      <c r="D45" s="2433"/>
      <c r="E45" s="2546"/>
      <c r="F45" s="2547"/>
      <c r="G45" s="2432"/>
      <c r="H45" s="2537"/>
      <c r="I45" s="2785"/>
      <c r="J45" s="2539"/>
      <c r="K45" s="2788"/>
      <c r="L45" s="2427"/>
      <c r="M45" s="2788"/>
      <c r="N45" s="2427"/>
      <c r="O45" s="2788"/>
      <c r="P45" s="2427"/>
      <c r="Q45" s="2788"/>
      <c r="R45" s="2427"/>
      <c r="S45" s="2788"/>
    </row>
    <row r="46" spans="1:19" s="91" customFormat="1">
      <c r="A46" s="2793"/>
      <c r="B46" s="2545"/>
      <c r="C46" s="2445"/>
      <c r="D46" s="2433"/>
      <c r="E46" s="2546"/>
      <c r="F46" s="2547"/>
      <c r="G46" s="2432"/>
      <c r="H46" s="2537"/>
      <c r="I46" s="2785"/>
      <c r="J46" s="2539"/>
      <c r="K46" s="2788"/>
      <c r="L46" s="2427"/>
      <c r="M46" s="2788"/>
      <c r="N46" s="2427"/>
      <c r="O46" s="2788"/>
      <c r="P46" s="2427"/>
      <c r="Q46" s="2788"/>
      <c r="R46" s="2427"/>
      <c r="S46" s="2788"/>
    </row>
    <row r="47" spans="1:19" s="91" customFormat="1">
      <c r="A47" s="2793"/>
      <c r="B47" s="2545"/>
      <c r="C47" s="2445"/>
      <c r="D47" s="2433"/>
      <c r="E47" s="2546"/>
      <c r="F47" s="2547"/>
      <c r="G47" s="2432"/>
      <c r="H47" s="2537"/>
      <c r="I47" s="2785"/>
      <c r="J47" s="2539"/>
      <c r="K47" s="2788"/>
      <c r="L47" s="2427"/>
      <c r="M47" s="2788"/>
      <c r="N47" s="2427"/>
      <c r="O47" s="2788"/>
      <c r="P47" s="2427"/>
      <c r="Q47" s="2788"/>
      <c r="R47" s="2427"/>
      <c r="S47" s="2788"/>
    </row>
    <row r="48" spans="1:19" s="91" customFormat="1">
      <c r="A48" s="2793"/>
      <c r="B48" s="2545"/>
      <c r="C48" s="2445"/>
      <c r="D48" s="2433"/>
      <c r="E48" s="2546"/>
      <c r="F48" s="2547"/>
      <c r="G48" s="2432"/>
      <c r="H48" s="2537"/>
      <c r="I48" s="2785"/>
      <c r="J48" s="2539"/>
      <c r="K48" s="2788"/>
      <c r="L48" s="2427"/>
      <c r="M48" s="2788"/>
      <c r="N48" s="2427"/>
      <c r="O48" s="2788"/>
      <c r="P48" s="2427"/>
      <c r="Q48" s="2788"/>
      <c r="R48" s="2427"/>
      <c r="S48" s="2788"/>
    </row>
    <row r="49" spans="1:19" s="91" customFormat="1">
      <c r="A49" s="2793"/>
      <c r="B49" s="2545"/>
      <c r="C49" s="2445"/>
      <c r="D49" s="2433"/>
      <c r="E49" s="2546"/>
      <c r="F49" s="2547"/>
      <c r="G49" s="2432"/>
      <c r="H49" s="2537"/>
      <c r="I49" s="2785"/>
      <c r="J49" s="2539"/>
      <c r="K49" s="2788"/>
      <c r="L49" s="2427"/>
      <c r="M49" s="2788"/>
      <c r="N49" s="2427"/>
      <c r="O49" s="2788"/>
      <c r="P49" s="2427"/>
      <c r="Q49" s="2788"/>
      <c r="R49" s="2427"/>
      <c r="S49" s="2788"/>
    </row>
    <row r="50" spans="1:19" s="91" customFormat="1">
      <c r="A50" s="2793"/>
      <c r="B50" s="2545"/>
      <c r="C50" s="2445"/>
      <c r="D50" s="2433"/>
      <c r="E50" s="2546"/>
      <c r="F50" s="2547"/>
      <c r="G50" s="2432"/>
      <c r="H50" s="2537"/>
      <c r="I50" s="2785"/>
      <c r="J50" s="2539"/>
      <c r="K50" s="2788"/>
      <c r="L50" s="2427"/>
      <c r="M50" s="2788"/>
      <c r="N50" s="2427"/>
      <c r="O50" s="2788"/>
      <c r="P50" s="2427"/>
      <c r="Q50" s="2788"/>
      <c r="R50" s="2427"/>
      <c r="S50" s="2788"/>
    </row>
    <row r="51" spans="1:19" s="91" customFormat="1">
      <c r="A51" s="2793"/>
      <c r="B51" s="2545"/>
      <c r="C51" s="2445"/>
      <c r="D51" s="2433"/>
      <c r="E51" s="2546"/>
      <c r="F51" s="2547"/>
      <c r="G51" s="2432"/>
      <c r="H51" s="2537"/>
      <c r="I51" s="2785"/>
      <c r="J51" s="2539"/>
      <c r="K51" s="2788"/>
      <c r="L51" s="2427"/>
      <c r="M51" s="2788"/>
      <c r="N51" s="2427"/>
      <c r="O51" s="2788"/>
      <c r="P51" s="2427"/>
      <c r="Q51" s="2788"/>
      <c r="R51" s="2427"/>
      <c r="S51" s="2788"/>
    </row>
    <row r="52" spans="1:19" s="91" customFormat="1">
      <c r="A52" s="2793"/>
      <c r="B52" s="2545"/>
      <c r="C52" s="2445"/>
      <c r="D52" s="2433"/>
      <c r="E52" s="2546"/>
      <c r="F52" s="2547"/>
      <c r="G52" s="2432"/>
      <c r="H52" s="2537"/>
      <c r="I52" s="2785"/>
      <c r="J52" s="2539"/>
      <c r="K52" s="2788"/>
      <c r="L52" s="2427"/>
      <c r="M52" s="2788"/>
      <c r="N52" s="2427"/>
      <c r="O52" s="2788"/>
      <c r="P52" s="2427"/>
      <c r="Q52" s="2788"/>
      <c r="R52" s="2427"/>
      <c r="S52" s="2788"/>
    </row>
    <row r="53" spans="1:19" s="91" customFormat="1">
      <c r="A53" s="2793"/>
      <c r="B53" s="2545"/>
      <c r="C53" s="2445"/>
      <c r="D53" s="2433"/>
      <c r="E53" s="2546"/>
      <c r="F53" s="2547"/>
      <c r="G53" s="2432"/>
      <c r="H53" s="2537"/>
      <c r="I53" s="2785"/>
      <c r="J53" s="2539"/>
      <c r="K53" s="2788"/>
      <c r="L53" s="2427"/>
      <c r="M53" s="2788"/>
      <c r="N53" s="2427"/>
      <c r="O53" s="2788"/>
      <c r="P53" s="2427"/>
      <c r="Q53" s="2788"/>
      <c r="R53" s="2427"/>
      <c r="S53" s="2788"/>
    </row>
    <row r="54" spans="1:19" s="91" customFormat="1" ht="16.5" customHeight="1">
      <c r="A54" s="2793"/>
      <c r="B54" s="2545"/>
      <c r="C54" s="2445"/>
      <c r="D54" s="2433"/>
      <c r="E54" s="2546"/>
      <c r="F54" s="2547"/>
      <c r="G54" s="2432"/>
      <c r="H54" s="2537"/>
      <c r="I54" s="2785"/>
      <c r="J54" s="2539"/>
      <c r="K54" s="2788"/>
      <c r="L54" s="2427"/>
      <c r="M54" s="2788"/>
      <c r="N54" s="2427"/>
      <c r="O54" s="2788"/>
      <c r="P54" s="2427"/>
      <c r="Q54" s="2788"/>
      <c r="R54" s="2427"/>
      <c r="S54" s="2788"/>
    </row>
    <row r="55" spans="1:19">
      <c r="A55" s="2685"/>
      <c r="B55" s="2686"/>
      <c r="C55" s="2426"/>
      <c r="D55" s="2405"/>
      <c r="E55" s="2405"/>
      <c r="F55" s="2405"/>
      <c r="G55" s="2423"/>
      <c r="H55" s="2796"/>
      <c r="I55" s="2783"/>
      <c r="J55" s="2783"/>
      <c r="K55" s="2783"/>
      <c r="L55" s="2427"/>
      <c r="M55" s="2783"/>
      <c r="N55" s="2427"/>
      <c r="O55" s="2783"/>
      <c r="P55" s="2427"/>
      <c r="Q55" s="2783"/>
      <c r="R55" s="2427"/>
      <c r="S55" s="2783"/>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797"/>
      <c r="B65" s="2404"/>
      <c r="C65" s="2798"/>
      <c r="D65" s="2798"/>
      <c r="E65" s="2798"/>
      <c r="F65" s="2798"/>
      <c r="G65" s="2799"/>
      <c r="H65" s="2800"/>
      <c r="I65" s="2800"/>
      <c r="J65" s="2800"/>
      <c r="K65" s="2800"/>
      <c r="L65" s="2800"/>
      <c r="M65" s="2800"/>
      <c r="N65" s="2800"/>
      <c r="O65" s="2800"/>
      <c r="P65" s="2800"/>
      <c r="Q65" s="2800"/>
      <c r="R65" s="2800"/>
      <c r="S65" s="2800"/>
    </row>
    <row r="66" spans="1:19" s="2" customFormat="1">
      <c r="A66" s="2797"/>
      <c r="B66" s="2404"/>
      <c r="C66" s="2798"/>
      <c r="D66" s="2798"/>
      <c r="E66" s="2798"/>
      <c r="F66" s="2798"/>
      <c r="G66" s="2799"/>
      <c r="H66" s="2800"/>
      <c r="I66" s="2800"/>
      <c r="J66" s="2800"/>
      <c r="K66" s="2800"/>
      <c r="L66" s="2800"/>
      <c r="M66" s="2800"/>
      <c r="N66" s="2800"/>
      <c r="O66" s="2800"/>
      <c r="P66" s="2800"/>
      <c r="Q66" s="2800"/>
      <c r="R66" s="2800"/>
      <c r="S66" s="2800"/>
    </row>
    <row r="67" spans="1:19" s="2" customFormat="1">
      <c r="A67" s="2797"/>
      <c r="B67" s="2404"/>
      <c r="C67" s="2798"/>
      <c r="D67" s="2798"/>
      <c r="E67" s="2798"/>
      <c r="F67" s="2798"/>
      <c r="G67" s="2799"/>
      <c r="H67" s="2800"/>
      <c r="I67" s="2800"/>
      <c r="J67" s="2800"/>
      <c r="K67" s="2800"/>
      <c r="L67" s="2800"/>
      <c r="M67" s="2800"/>
      <c r="N67" s="2800"/>
      <c r="O67" s="2800"/>
      <c r="P67" s="2800"/>
      <c r="Q67" s="2800"/>
      <c r="R67" s="2800"/>
      <c r="S67" s="2800"/>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797"/>
      <c r="B69" s="2404"/>
      <c r="C69" s="2798"/>
      <c r="D69" s="2798"/>
      <c r="E69" s="2798"/>
      <c r="F69" s="2798"/>
      <c r="G69" s="2799"/>
      <c r="H69" s="2800"/>
      <c r="I69" s="2800"/>
      <c r="J69" s="2800"/>
      <c r="K69" s="2800"/>
      <c r="L69" s="2800"/>
      <c r="M69" s="2800"/>
      <c r="N69" s="2800"/>
      <c r="O69" s="2800"/>
      <c r="P69" s="2800"/>
      <c r="Q69" s="2800"/>
      <c r="R69" s="2800"/>
      <c r="S69" s="2800"/>
    </row>
    <row r="70" spans="1:19" s="2" customFormat="1">
      <c r="A70" s="2797"/>
      <c r="B70" s="2404"/>
      <c r="C70" s="2798"/>
      <c r="D70" s="2798"/>
      <c r="E70" s="2798"/>
      <c r="F70" s="2798"/>
      <c r="G70" s="2799"/>
      <c r="H70" s="2800"/>
      <c r="I70" s="2800"/>
      <c r="J70" s="2800"/>
      <c r="K70" s="2800"/>
      <c r="L70" s="2800"/>
      <c r="M70" s="2800"/>
      <c r="N70" s="2800"/>
      <c r="O70" s="2800"/>
      <c r="P70" s="2800"/>
      <c r="Q70" s="2800"/>
      <c r="R70" s="2800"/>
      <c r="S70" s="2800"/>
    </row>
    <row r="71" spans="1:19">
      <c r="A71" s="2797"/>
      <c r="B71" s="2404"/>
      <c r="C71" s="2798"/>
      <c r="D71" s="2798"/>
      <c r="E71" s="2798"/>
      <c r="F71" s="2798"/>
      <c r="G71" s="2799"/>
      <c r="H71" s="2800"/>
      <c r="I71" s="2800"/>
      <c r="J71" s="2800"/>
      <c r="K71" s="2800"/>
      <c r="L71" s="2800"/>
      <c r="M71" s="2800"/>
      <c r="N71" s="2800"/>
      <c r="O71" s="2800"/>
      <c r="P71" s="2800"/>
      <c r="Q71" s="2800"/>
      <c r="R71" s="2800"/>
      <c r="S71" s="2800"/>
    </row>
    <row r="72" spans="1:19">
      <c r="A72" s="726" t="s">
        <v>575</v>
      </c>
      <c r="B72" s="727"/>
      <c r="C72" s="12"/>
      <c r="D72" s="12"/>
      <c r="E72" s="12"/>
      <c r="F72" s="12"/>
      <c r="G72" s="13"/>
      <c r="H72" s="21"/>
      <c r="I72" s="21"/>
      <c r="J72" s="21"/>
      <c r="K72" s="21"/>
      <c r="L72" s="21"/>
      <c r="M72" s="21"/>
      <c r="N72" s="21"/>
      <c r="O72" s="21"/>
      <c r="P72" s="21"/>
      <c r="Q72" s="21"/>
      <c r="R72" s="21"/>
      <c r="S72" s="21"/>
    </row>
    <row r="73" spans="1:19">
      <c r="A73" s="2797"/>
      <c r="B73" s="2404"/>
      <c r="C73" s="2798"/>
      <c r="D73" s="2798"/>
      <c r="E73" s="2798"/>
      <c r="F73" s="2798"/>
      <c r="G73" s="2799"/>
      <c r="H73" s="2800"/>
      <c r="I73" s="2800"/>
      <c r="J73" s="2800"/>
      <c r="K73" s="2800"/>
      <c r="L73" s="2800"/>
      <c r="M73" s="2800"/>
      <c r="N73" s="2800"/>
      <c r="O73" s="2800"/>
      <c r="P73" s="2800"/>
      <c r="Q73" s="2800"/>
      <c r="R73" s="2800"/>
      <c r="S73" s="2800"/>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801"/>
      <c r="B77" s="2802"/>
      <c r="C77" s="2798"/>
      <c r="D77" s="2798"/>
      <c r="E77" s="2798"/>
      <c r="F77" s="2798"/>
      <c r="G77" s="2799"/>
      <c r="H77" s="2800"/>
      <c r="I77" s="2800"/>
      <c r="J77" s="2800"/>
      <c r="K77" s="2800"/>
      <c r="L77" s="2800"/>
      <c r="M77" s="2800"/>
      <c r="N77" s="2800"/>
      <c r="O77" s="2800"/>
      <c r="P77" s="2800"/>
      <c r="Q77" s="2800"/>
      <c r="R77" s="2800"/>
      <c r="S77" s="2800"/>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797"/>
      <c r="B87" s="2803" t="s">
        <v>583</v>
      </c>
      <c r="C87" s="2798"/>
      <c r="D87" s="2798"/>
      <c r="E87" s="2798"/>
      <c r="F87" s="2798"/>
      <c r="G87" s="2799"/>
      <c r="H87" s="2796"/>
      <c r="I87" s="2796"/>
      <c r="J87" s="2796"/>
      <c r="K87" s="2796"/>
      <c r="L87" s="2796"/>
      <c r="M87" s="2796"/>
      <c r="N87" s="2796"/>
      <c r="O87" s="2796"/>
      <c r="P87" s="2796"/>
      <c r="Q87" s="2796"/>
      <c r="R87" s="2796"/>
      <c r="S87" s="2796"/>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491" priority="19" operator="equal">
      <formula>"X"</formula>
    </cfRule>
    <cfRule type="cellIs" dxfId="490" priority="20" operator="equal">
      <formula>"I"</formula>
    </cfRule>
  </conditionalFormatting>
  <conditionalFormatting sqref="J20:J30">
    <cfRule type="cellIs" dxfId="489" priority="17" operator="equal">
      <formula>"X"</formula>
    </cfRule>
    <cfRule type="cellIs" dxfId="488" priority="18" operator="equal">
      <formula>"I"</formula>
    </cfRule>
  </conditionalFormatting>
  <conditionalFormatting sqref="L20:L30">
    <cfRule type="cellIs" dxfId="487" priority="15" operator="equal">
      <formula>"X"</formula>
    </cfRule>
    <cfRule type="cellIs" dxfId="486" priority="16" operator="equal">
      <formula>"I"</formula>
    </cfRule>
  </conditionalFormatting>
  <conditionalFormatting sqref="L32:L55">
    <cfRule type="cellIs" dxfId="485" priority="1" operator="equal">
      <formula>"X"</formula>
    </cfRule>
    <cfRule type="cellIs" dxfId="484" priority="2" operator="equal">
      <formula>"I"</formula>
    </cfRule>
  </conditionalFormatting>
  <conditionalFormatting sqref="N20:N30">
    <cfRule type="cellIs" dxfId="483" priority="13" operator="equal">
      <formula>"X"</formula>
    </cfRule>
    <cfRule type="cellIs" dxfId="482" priority="14" operator="equal">
      <formula>"I"</formula>
    </cfRule>
  </conditionalFormatting>
  <conditionalFormatting sqref="N32:N55">
    <cfRule type="cellIs" dxfId="481" priority="3" operator="equal">
      <formula>"X"</formula>
    </cfRule>
    <cfRule type="cellIs" dxfId="480" priority="4" operator="equal">
      <formula>"I"</formula>
    </cfRule>
  </conditionalFormatting>
  <conditionalFormatting sqref="P20:P30">
    <cfRule type="cellIs" dxfId="479" priority="11" operator="equal">
      <formula>"X"</formula>
    </cfRule>
    <cfRule type="cellIs" dxfId="478" priority="12" operator="equal">
      <formula>"I"</formula>
    </cfRule>
  </conditionalFormatting>
  <conditionalFormatting sqref="P32:P55">
    <cfRule type="cellIs" dxfId="477" priority="5" operator="equal">
      <formula>"X"</formula>
    </cfRule>
    <cfRule type="cellIs" dxfId="476" priority="6" operator="equal">
      <formula>"I"</formula>
    </cfRule>
  </conditionalFormatting>
  <conditionalFormatting sqref="R20:R30">
    <cfRule type="cellIs" dxfId="475" priority="9" operator="equal">
      <formula>"X"</formula>
    </cfRule>
    <cfRule type="cellIs" dxfId="474" priority="10" operator="equal">
      <formula>"I"</formula>
    </cfRule>
  </conditionalFormatting>
  <conditionalFormatting sqref="R32:R55">
    <cfRule type="cellIs" dxfId="473" priority="7" operator="equal">
      <formula>"X"</formula>
    </cfRule>
    <cfRule type="cellIs" dxfId="472" priority="8" operator="equal">
      <formula>"I"</formula>
    </cfRule>
  </conditionalFormatting>
  <hyperlinks>
    <hyperlink ref="B3" location="'Cost Summary'!A1" display="BACK TO SUMMARY SHEET" xr:uid="{5E96F35D-4FFD-4B5F-9C0E-1A7B2EFF1283}"/>
  </hyperlinks>
  <pageMargins left="0.7" right="0.7" top="0.75" bottom="0.75" header="0.3" footer="0.3"/>
  <pageSetup scale="71" orientation="portrait" horizontalDpi="1200" verticalDpi="12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675D-FF95-4F39-B36A-4703129CB838}">
  <sheetPr>
    <tabColor rgb="FF92D050"/>
  </sheetPr>
  <dimension ref="A1:S99"/>
  <sheetViews>
    <sheetView zoomScale="85" zoomScaleNormal="85" workbookViewId="0">
      <pane xSplit="2" ySplit="9" topLeftCell="C20" activePane="bottomRight" state="frozen"/>
      <selection pane="bottomRight" activeCell="B35" sqref="B3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1190</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1191</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I60</f>
        <v>0</v>
      </c>
      <c r="I8" s="2419"/>
      <c r="J8" s="2418">
        <f>K60</f>
        <v>0</v>
      </c>
      <c r="K8" s="2419"/>
      <c r="L8" s="2418">
        <f>M60</f>
        <v>0</v>
      </c>
      <c r="M8" s="2419"/>
      <c r="N8" s="2418">
        <f>O60</f>
        <v>0</v>
      </c>
      <c r="O8" s="2419"/>
      <c r="P8" s="2418">
        <f>Q60</f>
        <v>0</v>
      </c>
      <c r="Q8" s="2419"/>
      <c r="R8" s="2418">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804"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21"/>
      <c r="B21" s="2428" t="s">
        <v>1190</v>
      </c>
      <c r="C21" s="2426"/>
      <c r="D21" s="2405"/>
      <c r="E21" s="2405"/>
      <c r="F21" s="2405"/>
      <c r="G21" s="2423"/>
      <c r="H21" s="2427"/>
      <c r="I21" s="2424"/>
      <c r="J21" s="2427"/>
      <c r="K21" s="2424"/>
      <c r="L21" s="2427"/>
      <c r="M21" s="2424"/>
      <c r="N21" s="2427"/>
      <c r="O21" s="2424"/>
      <c r="P21" s="2427"/>
      <c r="Q21" s="2424"/>
      <c r="R21" s="2427"/>
      <c r="S21" s="2424"/>
    </row>
    <row r="22" spans="1:19">
      <c r="A22" s="2805"/>
      <c r="B22" s="2318" t="s">
        <v>512</v>
      </c>
      <c r="C22" s="2426"/>
      <c r="D22" s="2405"/>
      <c r="E22" s="2405"/>
      <c r="F22" s="2405"/>
      <c r="G22" s="2423"/>
      <c r="H22" s="2427"/>
      <c r="I22" s="2806"/>
      <c r="J22" s="2427"/>
      <c r="K22" s="2806"/>
      <c r="L22" s="2427"/>
      <c r="M22" s="2806"/>
      <c r="N22" s="2427"/>
      <c r="O22" s="2806"/>
      <c r="P22" s="2427"/>
      <c r="Q22" s="2806"/>
      <c r="R22" s="2427"/>
      <c r="S22" s="2806"/>
    </row>
    <row r="23" spans="1:19">
      <c r="A23" s="2805"/>
      <c r="B23" s="2807" t="s">
        <v>513</v>
      </c>
      <c r="C23" s="2426"/>
      <c r="D23" s="2405"/>
      <c r="E23" s="2405"/>
      <c r="F23" s="2405"/>
      <c r="G23" s="2423"/>
      <c r="H23" s="2427"/>
      <c r="I23" s="2808"/>
      <c r="J23" s="2427"/>
      <c r="K23" s="2806"/>
      <c r="L23" s="2427"/>
      <c r="M23" s="2806"/>
      <c r="N23" s="2427"/>
      <c r="O23" s="2806"/>
      <c r="P23" s="2427"/>
      <c r="Q23" s="2806"/>
      <c r="R23" s="2427"/>
      <c r="S23" s="2806"/>
    </row>
    <row r="24" spans="1:19">
      <c r="A24" s="2805"/>
      <c r="B24" s="2807" t="s">
        <v>514</v>
      </c>
      <c r="C24" s="2430"/>
      <c r="D24" s="2405"/>
      <c r="E24" s="2405"/>
      <c r="F24" s="2405"/>
      <c r="G24" s="2423"/>
      <c r="H24" s="2427"/>
      <c r="I24" s="2808"/>
      <c r="J24" s="2427"/>
      <c r="K24" s="2806"/>
      <c r="L24" s="2427"/>
      <c r="M24" s="2806"/>
      <c r="N24" s="2427"/>
      <c r="O24" s="2806"/>
      <c r="P24" s="2427"/>
      <c r="Q24" s="2806"/>
      <c r="R24" s="2427"/>
      <c r="S24" s="2806"/>
    </row>
    <row r="25" spans="1:19">
      <c r="A25" s="2805"/>
      <c r="B25" s="2809" t="s">
        <v>515</v>
      </c>
      <c r="C25" s="2430"/>
      <c r="D25" s="2405"/>
      <c r="E25" s="2405"/>
      <c r="F25" s="2405"/>
      <c r="G25" s="2423"/>
      <c r="H25" s="2427"/>
      <c r="I25" s="2808"/>
      <c r="J25" s="2427"/>
      <c r="K25" s="2806"/>
      <c r="L25" s="2427"/>
      <c r="M25" s="2806"/>
      <c r="N25" s="2427"/>
      <c r="O25" s="2806"/>
      <c r="P25" s="2427"/>
      <c r="Q25" s="2806"/>
      <c r="R25" s="2427"/>
      <c r="S25" s="2806"/>
    </row>
    <row r="26" spans="1:19" s="91" customFormat="1">
      <c r="A26" s="2810"/>
      <c r="B26" s="2809" t="s">
        <v>516</v>
      </c>
      <c r="C26" s="2432"/>
      <c r="D26" s="2433"/>
      <c r="E26" s="2433"/>
      <c r="F26" s="2433"/>
      <c r="G26" s="2432"/>
      <c r="H26" s="2427"/>
      <c r="I26" s="2808"/>
      <c r="J26" s="2427"/>
      <c r="K26" s="2811"/>
      <c r="L26" s="2427"/>
      <c r="M26" s="2811"/>
      <c r="N26" s="2427"/>
      <c r="O26" s="2811"/>
      <c r="P26" s="2427"/>
      <c r="Q26" s="2811"/>
      <c r="R26" s="2427"/>
      <c r="S26" s="2811"/>
    </row>
    <row r="27" spans="1:19" s="91" customFormat="1">
      <c r="A27" s="2810"/>
      <c r="B27" s="2809" t="s">
        <v>517</v>
      </c>
      <c r="C27" s="2432"/>
      <c r="D27" s="2433"/>
      <c r="E27" s="2433"/>
      <c r="F27" s="2433"/>
      <c r="G27" s="2432"/>
      <c r="H27" s="2427"/>
      <c r="I27" s="2808"/>
      <c r="J27" s="2427"/>
      <c r="K27" s="2811"/>
      <c r="L27" s="2427"/>
      <c r="M27" s="2811"/>
      <c r="N27" s="2427"/>
      <c r="O27" s="2811"/>
      <c r="P27" s="2427"/>
      <c r="Q27" s="2811"/>
      <c r="R27" s="2427"/>
      <c r="S27" s="2811"/>
    </row>
    <row r="28" spans="1:19" s="91" customFormat="1">
      <c r="A28" s="2810"/>
      <c r="B28" s="2809" t="s">
        <v>518</v>
      </c>
      <c r="C28" s="2432"/>
      <c r="D28" s="2433"/>
      <c r="E28" s="2433"/>
      <c r="F28" s="2433"/>
      <c r="G28" s="2432"/>
      <c r="H28" s="2427"/>
      <c r="I28" s="2808"/>
      <c r="J28" s="2427"/>
      <c r="K28" s="2811"/>
      <c r="L28" s="2427"/>
      <c r="M28" s="2811"/>
      <c r="N28" s="2427"/>
      <c r="O28" s="2811"/>
      <c r="P28" s="2427"/>
      <c r="Q28" s="2811"/>
      <c r="R28" s="2427"/>
      <c r="S28" s="2811"/>
    </row>
    <row r="29" spans="1:19" s="91" customFormat="1">
      <c r="A29" s="2810"/>
      <c r="B29" s="2809" t="s">
        <v>693</v>
      </c>
      <c r="C29" s="2432"/>
      <c r="D29" s="2433"/>
      <c r="E29" s="2433"/>
      <c r="F29" s="2433"/>
      <c r="G29" s="2432"/>
      <c r="H29" s="2427"/>
      <c r="I29" s="2808"/>
      <c r="J29" s="2427"/>
      <c r="K29" s="2811"/>
      <c r="L29" s="2427"/>
      <c r="M29" s="2811"/>
      <c r="N29" s="2427"/>
      <c r="O29" s="2811"/>
      <c r="P29" s="2427"/>
      <c r="Q29" s="2811"/>
      <c r="R29" s="2427"/>
      <c r="S29" s="2811"/>
    </row>
    <row r="30" spans="1:19" s="91" customFormat="1">
      <c r="A30" s="2810"/>
      <c r="B30" s="2812" t="s">
        <v>519</v>
      </c>
      <c r="C30" s="2432"/>
      <c r="D30" s="2433"/>
      <c r="E30" s="2433"/>
      <c r="F30" s="2433"/>
      <c r="G30" s="2432"/>
      <c r="H30" s="2427"/>
      <c r="I30" s="2808"/>
      <c r="J30" s="2427"/>
      <c r="K30" s="2811"/>
      <c r="L30" s="2427"/>
      <c r="M30" s="2811"/>
      <c r="N30" s="2427"/>
      <c r="O30" s="2811"/>
      <c r="P30" s="2427"/>
      <c r="Q30" s="2811"/>
      <c r="R30" s="2427"/>
      <c r="S30" s="2811"/>
    </row>
    <row r="31" spans="1:19" s="91" customFormat="1">
      <c r="A31" s="2810"/>
      <c r="B31" s="2813" t="s">
        <v>520</v>
      </c>
      <c r="C31" s="2435"/>
      <c r="D31" s="2436"/>
      <c r="E31" s="2436"/>
      <c r="F31" s="2436"/>
      <c r="G31" s="2435"/>
      <c r="H31" s="2439"/>
      <c r="I31" s="2814"/>
      <c r="J31" s="2443"/>
      <c r="K31" s="2815"/>
      <c r="L31" s="2443"/>
      <c r="M31" s="2815"/>
      <c r="N31" s="2815"/>
      <c r="O31" s="2815"/>
      <c r="P31" s="2815"/>
      <c r="Q31" s="2815"/>
      <c r="R31" s="2815"/>
      <c r="S31" s="2815"/>
    </row>
    <row r="32" spans="1:19" s="91" customFormat="1">
      <c r="A32" s="2810"/>
      <c r="B32" s="151"/>
      <c r="C32" s="2432"/>
      <c r="D32" s="2433"/>
      <c r="E32" s="2433"/>
      <c r="F32" s="2433"/>
      <c r="G32" s="2432"/>
      <c r="H32" s="2537"/>
      <c r="I32" s="2808"/>
      <c r="J32" s="2539"/>
      <c r="K32" s="2811"/>
      <c r="L32" s="2427"/>
      <c r="M32" s="2811"/>
      <c r="N32" s="2427"/>
      <c r="O32" s="2811"/>
      <c r="P32" s="2427"/>
      <c r="Q32" s="2811"/>
      <c r="R32" s="2427"/>
      <c r="S32" s="2811"/>
    </row>
    <row r="33" spans="1:19" s="91" customFormat="1">
      <c r="A33" s="2816"/>
      <c r="B33" s="2550"/>
      <c r="C33" s="2445"/>
      <c r="D33" s="2433"/>
      <c r="E33" s="2433"/>
      <c r="F33" s="2433"/>
      <c r="G33" s="2432"/>
      <c r="H33" s="2537"/>
      <c r="I33" s="2808"/>
      <c r="J33" s="2539"/>
      <c r="K33" s="2811"/>
      <c r="L33" s="2427"/>
      <c r="M33" s="2811"/>
      <c r="N33" s="2427"/>
      <c r="O33" s="2811"/>
      <c r="P33" s="2427"/>
      <c r="Q33" s="2811"/>
      <c r="R33" s="2427"/>
      <c r="S33" s="2811"/>
    </row>
    <row r="34" spans="1:19" s="91" customFormat="1">
      <c r="A34" s="2816"/>
      <c r="B34" s="2444"/>
      <c r="C34" s="2445"/>
      <c r="D34" s="2433"/>
      <c r="E34" s="2433"/>
      <c r="F34" s="2433"/>
      <c r="G34" s="2432"/>
      <c r="H34" s="2537"/>
      <c r="I34" s="2808"/>
      <c r="J34" s="2539"/>
      <c r="K34" s="2811"/>
      <c r="L34" s="2427"/>
      <c r="M34" s="2811"/>
      <c r="N34" s="2427"/>
      <c r="O34" s="2811"/>
      <c r="P34" s="2427" t="s">
        <v>710</v>
      </c>
      <c r="Q34" s="2811"/>
      <c r="R34" s="2427"/>
      <c r="S34" s="2811"/>
    </row>
    <row r="35" spans="1:19" s="91" customFormat="1">
      <c r="A35" s="2816"/>
      <c r="B35" s="2444"/>
      <c r="C35" s="2445"/>
      <c r="D35" s="2433"/>
      <c r="E35" s="2433"/>
      <c r="F35" s="2433"/>
      <c r="G35" s="2432"/>
      <c r="H35" s="2537"/>
      <c r="I35" s="2808"/>
      <c r="J35" s="2539"/>
      <c r="K35" s="2811"/>
      <c r="L35" s="2427"/>
      <c r="M35" s="2811"/>
      <c r="N35" s="2427"/>
      <c r="O35" s="2811"/>
      <c r="P35" s="2427"/>
      <c r="Q35" s="2811"/>
      <c r="R35" s="2427"/>
      <c r="S35" s="2811"/>
    </row>
    <row r="36" spans="1:19" s="91" customFormat="1">
      <c r="A36" s="2816"/>
      <c r="B36" s="2506"/>
      <c r="C36" s="2445"/>
      <c r="D36" s="2433"/>
      <c r="E36" s="2433"/>
      <c r="F36" s="2433"/>
      <c r="G36" s="2432"/>
      <c r="H36" s="2537"/>
      <c r="I36" s="2808"/>
      <c r="J36" s="2539"/>
      <c r="K36" s="2811"/>
      <c r="L36" s="2427"/>
      <c r="M36" s="2811"/>
      <c r="N36" s="2427"/>
      <c r="O36" s="2811"/>
      <c r="P36" s="2427"/>
      <c r="Q36" s="2811"/>
      <c r="R36" s="2427"/>
      <c r="S36" s="2811"/>
    </row>
    <row r="37" spans="1:19" s="91" customFormat="1">
      <c r="A37" s="2816"/>
      <c r="B37" s="2444"/>
      <c r="C37" s="2445"/>
      <c r="D37" s="2433"/>
      <c r="E37" s="2433"/>
      <c r="F37" s="2433"/>
      <c r="G37" s="2432"/>
      <c r="H37" s="2537"/>
      <c r="I37" s="2808"/>
      <c r="J37" s="2539"/>
      <c r="K37" s="2811"/>
      <c r="L37" s="2427"/>
      <c r="M37" s="2811"/>
      <c r="N37" s="2427"/>
      <c r="O37" s="2811"/>
      <c r="P37" s="2427"/>
      <c r="Q37" s="2811"/>
      <c r="R37" s="2427"/>
      <c r="S37" s="2811"/>
    </row>
    <row r="38" spans="1:19" s="91" customFormat="1">
      <c r="A38" s="2816"/>
      <c r="B38" s="2444"/>
      <c r="C38" s="2445"/>
      <c r="D38" s="2433"/>
      <c r="E38" s="2546"/>
      <c r="F38" s="2547"/>
      <c r="G38" s="2432"/>
      <c r="H38" s="2537"/>
      <c r="I38" s="2808"/>
      <c r="J38" s="2539"/>
      <c r="K38" s="2811"/>
      <c r="L38" s="2427"/>
      <c r="M38" s="2811"/>
      <c r="N38" s="2427"/>
      <c r="O38" s="2811"/>
      <c r="P38" s="2427"/>
      <c r="Q38" s="2811"/>
      <c r="R38" s="2427"/>
      <c r="S38" s="2811"/>
    </row>
    <row r="39" spans="1:19" s="91" customFormat="1">
      <c r="A39" s="2816"/>
      <c r="B39" s="2444"/>
      <c r="C39" s="2445"/>
      <c r="D39" s="2433"/>
      <c r="E39" s="2546"/>
      <c r="F39" s="2547"/>
      <c r="G39" s="2432"/>
      <c r="H39" s="2537"/>
      <c r="I39" s="2808"/>
      <c r="J39" s="2539"/>
      <c r="K39" s="2811"/>
      <c r="L39" s="2427"/>
      <c r="M39" s="2811"/>
      <c r="N39" s="2427"/>
      <c r="O39" s="2811"/>
      <c r="P39" s="2427"/>
      <c r="Q39" s="2811"/>
      <c r="R39" s="2427"/>
      <c r="S39" s="2811"/>
    </row>
    <row r="40" spans="1:19" s="91" customFormat="1">
      <c r="A40" s="2816"/>
      <c r="B40" s="2444"/>
      <c r="C40" s="2445"/>
      <c r="D40" s="2433"/>
      <c r="E40" s="2546"/>
      <c r="F40" s="2547"/>
      <c r="G40" s="2432"/>
      <c r="H40" s="2537"/>
      <c r="I40" s="2808"/>
      <c r="J40" s="2539"/>
      <c r="K40" s="2811"/>
      <c r="L40" s="2427"/>
      <c r="M40" s="2811"/>
      <c r="N40" s="2427"/>
      <c r="O40" s="2811"/>
      <c r="P40" s="2427"/>
      <c r="Q40" s="2811"/>
      <c r="R40" s="2427"/>
      <c r="S40" s="2811"/>
    </row>
    <row r="41" spans="1:19" s="91" customFormat="1">
      <c r="A41" s="2816"/>
      <c r="B41" s="2794"/>
      <c r="C41" s="2445"/>
      <c r="D41" s="2433"/>
      <c r="E41" s="2546"/>
      <c r="F41" s="2547"/>
      <c r="G41" s="2432"/>
      <c r="H41" s="2537"/>
      <c r="I41" s="2808"/>
      <c r="J41" s="2539"/>
      <c r="K41" s="2811"/>
      <c r="L41" s="2427"/>
      <c r="M41" s="2811"/>
      <c r="N41" s="2427"/>
      <c r="O41" s="2811"/>
      <c r="P41" s="2427"/>
      <c r="Q41" s="2811"/>
      <c r="R41" s="2427"/>
      <c r="S41" s="2811"/>
    </row>
    <row r="42" spans="1:19" s="91" customFormat="1">
      <c r="A42" s="2816"/>
      <c r="B42" s="2795"/>
      <c r="C42" s="2445"/>
      <c r="D42" s="2433"/>
      <c r="E42" s="2546"/>
      <c r="F42" s="2547"/>
      <c r="G42" s="2432"/>
      <c r="H42" s="2537"/>
      <c r="I42" s="2808"/>
      <c r="J42" s="2539"/>
      <c r="K42" s="2811"/>
      <c r="L42" s="2427"/>
      <c r="M42" s="2811"/>
      <c r="N42" s="2427"/>
      <c r="O42" s="2811"/>
      <c r="P42" s="2427"/>
      <c r="Q42" s="2811"/>
      <c r="R42" s="2427"/>
      <c r="S42" s="2811"/>
    </row>
    <row r="43" spans="1:19" s="91" customFormat="1">
      <c r="A43" s="2816"/>
      <c r="B43" s="152"/>
      <c r="C43" s="2445"/>
      <c r="D43" s="2433"/>
      <c r="E43" s="2546"/>
      <c r="F43" s="2547"/>
      <c r="G43" s="2432"/>
      <c r="H43" s="2537"/>
      <c r="I43" s="2808"/>
      <c r="J43" s="2539"/>
      <c r="K43" s="2811"/>
      <c r="L43" s="2427"/>
      <c r="M43" s="2811"/>
      <c r="N43" s="2427"/>
      <c r="O43" s="2811"/>
      <c r="P43" s="2427"/>
      <c r="Q43" s="2811"/>
      <c r="R43" s="2427"/>
      <c r="S43" s="2811"/>
    </row>
    <row r="44" spans="1:19" s="91" customFormat="1">
      <c r="A44" s="2816"/>
      <c r="B44" s="2545"/>
      <c r="C44" s="2445"/>
      <c r="D44" s="2433"/>
      <c r="E44" s="2546"/>
      <c r="F44" s="2547"/>
      <c r="G44" s="2432"/>
      <c r="H44" s="2537"/>
      <c r="I44" s="2808"/>
      <c r="J44" s="2539"/>
      <c r="K44" s="2811"/>
      <c r="L44" s="2427"/>
      <c r="M44" s="2811"/>
      <c r="N44" s="2427"/>
      <c r="O44" s="2811"/>
      <c r="P44" s="2427"/>
      <c r="Q44" s="2811"/>
      <c r="R44" s="2427"/>
      <c r="S44" s="2811"/>
    </row>
    <row r="45" spans="1:19" s="91" customFormat="1">
      <c r="A45" s="2816"/>
      <c r="B45" s="2545"/>
      <c r="C45" s="2445"/>
      <c r="D45" s="2433"/>
      <c r="E45" s="2546"/>
      <c r="F45" s="2547"/>
      <c r="G45" s="2432"/>
      <c r="H45" s="2537"/>
      <c r="I45" s="2808"/>
      <c r="J45" s="2539"/>
      <c r="K45" s="2811"/>
      <c r="L45" s="2427"/>
      <c r="M45" s="2811"/>
      <c r="N45" s="2427"/>
      <c r="O45" s="2811"/>
      <c r="P45" s="2427"/>
      <c r="Q45" s="2811"/>
      <c r="R45" s="2427"/>
      <c r="S45" s="2811"/>
    </row>
    <row r="46" spans="1:19" s="91" customFormat="1">
      <c r="A46" s="2816"/>
      <c r="B46" s="2545"/>
      <c r="C46" s="2445"/>
      <c r="D46" s="2433"/>
      <c r="E46" s="2546"/>
      <c r="F46" s="2547"/>
      <c r="G46" s="2432"/>
      <c r="H46" s="2537"/>
      <c r="I46" s="2808"/>
      <c r="J46" s="2539"/>
      <c r="K46" s="2811"/>
      <c r="L46" s="2427"/>
      <c r="M46" s="2811"/>
      <c r="N46" s="2427"/>
      <c r="O46" s="2811"/>
      <c r="P46" s="2427"/>
      <c r="Q46" s="2811"/>
      <c r="R46" s="2427"/>
      <c r="S46" s="2811"/>
    </row>
    <row r="47" spans="1:19" s="91" customFormat="1">
      <c r="A47" s="2816"/>
      <c r="B47" s="2545"/>
      <c r="C47" s="2445"/>
      <c r="D47" s="2433"/>
      <c r="E47" s="2546"/>
      <c r="F47" s="2547"/>
      <c r="G47" s="2432"/>
      <c r="H47" s="2537"/>
      <c r="I47" s="2808"/>
      <c r="J47" s="2539"/>
      <c r="K47" s="2811"/>
      <c r="L47" s="2427"/>
      <c r="M47" s="2811"/>
      <c r="N47" s="2427"/>
      <c r="O47" s="2811"/>
      <c r="P47" s="2427"/>
      <c r="Q47" s="2811"/>
      <c r="R47" s="2427"/>
      <c r="S47" s="2811"/>
    </row>
    <row r="48" spans="1:19" s="91" customFormat="1">
      <c r="A48" s="2816"/>
      <c r="B48" s="2545"/>
      <c r="C48" s="2445"/>
      <c r="D48" s="2433"/>
      <c r="E48" s="2546"/>
      <c r="F48" s="2547"/>
      <c r="G48" s="2432"/>
      <c r="H48" s="2537"/>
      <c r="I48" s="2808"/>
      <c r="J48" s="2539"/>
      <c r="K48" s="2811"/>
      <c r="L48" s="2427"/>
      <c r="M48" s="2811"/>
      <c r="N48" s="2427"/>
      <c r="O48" s="2811"/>
      <c r="P48" s="2427"/>
      <c r="Q48" s="2811"/>
      <c r="R48" s="2427"/>
      <c r="S48" s="2811"/>
    </row>
    <row r="49" spans="1:19" s="91" customFormat="1">
      <c r="A49" s="2816"/>
      <c r="B49" s="2545"/>
      <c r="C49" s="2445"/>
      <c r="D49" s="2433"/>
      <c r="E49" s="2546"/>
      <c r="F49" s="2547"/>
      <c r="G49" s="2432"/>
      <c r="H49" s="2537"/>
      <c r="I49" s="2808"/>
      <c r="J49" s="2539"/>
      <c r="K49" s="2811"/>
      <c r="L49" s="2427"/>
      <c r="M49" s="2811"/>
      <c r="N49" s="2427"/>
      <c r="O49" s="2811"/>
      <c r="P49" s="2427"/>
      <c r="Q49" s="2811"/>
      <c r="R49" s="2427"/>
      <c r="S49" s="2811"/>
    </row>
    <row r="50" spans="1:19" s="91" customFormat="1">
      <c r="A50" s="2816"/>
      <c r="B50" s="2545"/>
      <c r="C50" s="2445"/>
      <c r="D50" s="2433"/>
      <c r="E50" s="2546"/>
      <c r="F50" s="2547"/>
      <c r="G50" s="2432"/>
      <c r="H50" s="2537"/>
      <c r="I50" s="2808"/>
      <c r="J50" s="2539"/>
      <c r="K50" s="2811"/>
      <c r="L50" s="2427"/>
      <c r="M50" s="2811"/>
      <c r="N50" s="2427"/>
      <c r="O50" s="2811"/>
      <c r="P50" s="2427"/>
      <c r="Q50" s="2811"/>
      <c r="R50" s="2427"/>
      <c r="S50" s="2811"/>
    </row>
    <row r="51" spans="1:19" s="91" customFormat="1">
      <c r="A51" s="2816"/>
      <c r="B51" s="2545"/>
      <c r="C51" s="2445"/>
      <c r="D51" s="2433"/>
      <c r="E51" s="2546"/>
      <c r="F51" s="2547"/>
      <c r="G51" s="2432"/>
      <c r="H51" s="2537"/>
      <c r="I51" s="2808"/>
      <c r="J51" s="2539"/>
      <c r="K51" s="2811"/>
      <c r="L51" s="2427"/>
      <c r="M51" s="2811"/>
      <c r="N51" s="2427"/>
      <c r="O51" s="2811"/>
      <c r="P51" s="2427"/>
      <c r="Q51" s="2811"/>
      <c r="R51" s="2427"/>
      <c r="S51" s="2811"/>
    </row>
    <row r="52" spans="1:19" s="91" customFormat="1">
      <c r="A52" s="2816"/>
      <c r="B52" s="2545"/>
      <c r="C52" s="2445"/>
      <c r="D52" s="2433"/>
      <c r="E52" s="2546"/>
      <c r="F52" s="2547"/>
      <c r="G52" s="2432"/>
      <c r="H52" s="2537"/>
      <c r="I52" s="2808"/>
      <c r="J52" s="2539"/>
      <c r="K52" s="2811"/>
      <c r="L52" s="2427"/>
      <c r="M52" s="2811"/>
      <c r="N52" s="2427"/>
      <c r="O52" s="2811"/>
      <c r="P52" s="2427"/>
      <c r="Q52" s="2811"/>
      <c r="R52" s="2427"/>
      <c r="S52" s="2811"/>
    </row>
    <row r="53" spans="1:19" s="91" customFormat="1">
      <c r="A53" s="2816"/>
      <c r="B53" s="2545"/>
      <c r="C53" s="2445"/>
      <c r="D53" s="2433"/>
      <c r="E53" s="2546"/>
      <c r="F53" s="2547"/>
      <c r="G53" s="2432"/>
      <c r="H53" s="2537"/>
      <c r="I53" s="2808"/>
      <c r="J53" s="2539"/>
      <c r="K53" s="2811"/>
      <c r="L53" s="2427"/>
      <c r="M53" s="2811"/>
      <c r="N53" s="2427"/>
      <c r="O53" s="2811"/>
      <c r="P53" s="2427"/>
      <c r="Q53" s="2811"/>
      <c r="R53" s="2427"/>
      <c r="S53" s="2811"/>
    </row>
    <row r="54" spans="1:19" s="91" customFormat="1" ht="16.5" customHeight="1">
      <c r="A54" s="2816"/>
      <c r="B54" s="2545"/>
      <c r="C54" s="2445"/>
      <c r="D54" s="2433"/>
      <c r="E54" s="2546"/>
      <c r="F54" s="2547"/>
      <c r="G54" s="2432"/>
      <c r="H54" s="2537"/>
      <c r="I54" s="2808"/>
      <c r="J54" s="2539"/>
      <c r="K54" s="2811"/>
      <c r="L54" s="2427"/>
      <c r="M54" s="2811"/>
      <c r="N54" s="2427"/>
      <c r="O54" s="2811"/>
      <c r="P54" s="2427"/>
      <c r="Q54" s="2811"/>
      <c r="R54" s="2427"/>
      <c r="S54" s="2811"/>
    </row>
    <row r="55" spans="1:19">
      <c r="A55" s="2685"/>
      <c r="B55" s="2686"/>
      <c r="C55" s="2426"/>
      <c r="D55" s="2405"/>
      <c r="E55" s="2405"/>
      <c r="F55" s="2405"/>
      <c r="G55" s="2423"/>
      <c r="H55" s="2796"/>
      <c r="I55" s="2806"/>
      <c r="J55" s="2806"/>
      <c r="K55" s="2806"/>
      <c r="L55" s="2427"/>
      <c r="M55" s="2806"/>
      <c r="N55" s="2427"/>
      <c r="O55" s="2806"/>
      <c r="P55" s="2427"/>
      <c r="Q55" s="2806"/>
      <c r="R55" s="2427"/>
      <c r="S55" s="2806"/>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797"/>
      <c r="B65" s="2404"/>
      <c r="C65" s="2817"/>
      <c r="D65" s="2817"/>
      <c r="E65" s="2817"/>
      <c r="F65" s="2817"/>
      <c r="G65" s="2818"/>
      <c r="H65" s="2800"/>
      <c r="I65" s="2800"/>
      <c r="J65" s="2800"/>
      <c r="K65" s="2800"/>
      <c r="L65" s="2800"/>
      <c r="M65" s="2800"/>
      <c r="N65" s="2800"/>
      <c r="O65" s="2800"/>
      <c r="P65" s="2800"/>
      <c r="Q65" s="2800"/>
      <c r="R65" s="2800"/>
      <c r="S65" s="2800"/>
    </row>
    <row r="66" spans="1:19" s="2" customFormat="1">
      <c r="A66" s="2797"/>
      <c r="B66" s="2404"/>
      <c r="C66" s="2817"/>
      <c r="D66" s="2817"/>
      <c r="E66" s="2817"/>
      <c r="F66" s="2817"/>
      <c r="G66" s="2818"/>
      <c r="H66" s="2800"/>
      <c r="I66" s="2800"/>
      <c r="J66" s="2800"/>
      <c r="K66" s="2800"/>
      <c r="L66" s="2800"/>
      <c r="M66" s="2800"/>
      <c r="N66" s="2800"/>
      <c r="O66" s="2800"/>
      <c r="P66" s="2800"/>
      <c r="Q66" s="2800"/>
      <c r="R66" s="2800"/>
      <c r="S66" s="2800"/>
    </row>
    <row r="67" spans="1:19" s="2" customFormat="1">
      <c r="A67" s="2797"/>
      <c r="B67" s="2404"/>
      <c r="C67" s="2817"/>
      <c r="D67" s="2817"/>
      <c r="E67" s="2817"/>
      <c r="F67" s="2817"/>
      <c r="G67" s="2818"/>
      <c r="H67" s="2800"/>
      <c r="I67" s="2800"/>
      <c r="J67" s="2800"/>
      <c r="K67" s="2800"/>
      <c r="L67" s="2800"/>
      <c r="M67" s="2800"/>
      <c r="N67" s="2800"/>
      <c r="O67" s="2800"/>
      <c r="P67" s="2800"/>
      <c r="Q67" s="2800"/>
      <c r="R67" s="2800"/>
      <c r="S67" s="2800"/>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797"/>
      <c r="B69" s="2404"/>
      <c r="C69" s="2817"/>
      <c r="D69" s="2817"/>
      <c r="E69" s="2817"/>
      <c r="F69" s="2817"/>
      <c r="G69" s="2818"/>
      <c r="H69" s="2800"/>
      <c r="I69" s="2800"/>
      <c r="J69" s="2800"/>
      <c r="K69" s="2800"/>
      <c r="L69" s="2800"/>
      <c r="M69" s="2800"/>
      <c r="N69" s="2800"/>
      <c r="O69" s="2800"/>
      <c r="P69" s="2800"/>
      <c r="Q69" s="2800"/>
      <c r="R69" s="2800"/>
      <c r="S69" s="2800"/>
    </row>
    <row r="70" spans="1:19" s="2" customFormat="1">
      <c r="A70" s="2797"/>
      <c r="B70" s="2404"/>
      <c r="C70" s="2817"/>
      <c r="D70" s="2817"/>
      <c r="E70" s="2817"/>
      <c r="F70" s="2817"/>
      <c r="G70" s="2818"/>
      <c r="H70" s="2800"/>
      <c r="I70" s="2800"/>
      <c r="J70" s="2800"/>
      <c r="K70" s="2800"/>
      <c r="L70" s="2800"/>
      <c r="M70" s="2800"/>
      <c r="N70" s="2800"/>
      <c r="O70" s="2800"/>
      <c r="P70" s="2800"/>
      <c r="Q70" s="2800"/>
      <c r="R70" s="2800"/>
      <c r="S70" s="2800"/>
    </row>
    <row r="71" spans="1:19">
      <c r="A71" s="2797"/>
      <c r="B71" s="2404"/>
      <c r="C71" s="2817"/>
      <c r="D71" s="2817"/>
      <c r="E71" s="2817"/>
      <c r="F71" s="2817"/>
      <c r="G71" s="2818"/>
      <c r="H71" s="2800"/>
      <c r="I71" s="2800"/>
      <c r="J71" s="2800"/>
      <c r="K71" s="2800"/>
      <c r="L71" s="2800"/>
      <c r="M71" s="2800"/>
      <c r="N71" s="2800"/>
      <c r="O71" s="2800"/>
      <c r="P71" s="2800"/>
      <c r="Q71" s="2800"/>
      <c r="R71" s="2800"/>
      <c r="S71" s="2800"/>
    </row>
    <row r="72" spans="1:19">
      <c r="A72" s="726" t="s">
        <v>575</v>
      </c>
      <c r="B72" s="727"/>
      <c r="C72" s="12"/>
      <c r="D72" s="12"/>
      <c r="E72" s="12"/>
      <c r="F72" s="12"/>
      <c r="G72" s="13"/>
      <c r="H72" s="21"/>
      <c r="I72" s="21"/>
      <c r="J72" s="21"/>
      <c r="K72" s="21"/>
      <c r="L72" s="21"/>
      <c r="M72" s="21"/>
      <c r="N72" s="21"/>
      <c r="O72" s="21"/>
      <c r="P72" s="21"/>
      <c r="Q72" s="21"/>
      <c r="R72" s="21"/>
      <c r="S72" s="21"/>
    </row>
    <row r="73" spans="1:19">
      <c r="A73" s="2797"/>
      <c r="B73" s="2404"/>
      <c r="C73" s="2817"/>
      <c r="D73" s="2817"/>
      <c r="E73" s="2817"/>
      <c r="F73" s="2817"/>
      <c r="G73" s="2818"/>
      <c r="H73" s="2800"/>
      <c r="I73" s="2800"/>
      <c r="J73" s="2800"/>
      <c r="K73" s="2800"/>
      <c r="L73" s="2800"/>
      <c r="M73" s="2800"/>
      <c r="N73" s="2800"/>
      <c r="O73" s="2800"/>
      <c r="P73" s="2800"/>
      <c r="Q73" s="2800"/>
      <c r="R73" s="2800"/>
      <c r="S73" s="2800"/>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801"/>
      <c r="B77" s="2819"/>
      <c r="C77" s="2817"/>
      <c r="D77" s="2817"/>
      <c r="E77" s="2817"/>
      <c r="F77" s="2817"/>
      <c r="G77" s="2818"/>
      <c r="H77" s="2800"/>
      <c r="I77" s="2800"/>
      <c r="J77" s="2800"/>
      <c r="K77" s="2800"/>
      <c r="L77" s="2800"/>
      <c r="M77" s="2800"/>
      <c r="N77" s="2800"/>
      <c r="O77" s="2800"/>
      <c r="P77" s="2800"/>
      <c r="Q77" s="2800"/>
      <c r="R77" s="2800"/>
      <c r="S77" s="2800"/>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797"/>
      <c r="B87" s="2820" t="s">
        <v>583</v>
      </c>
      <c r="C87" s="2817"/>
      <c r="D87" s="2817"/>
      <c r="E87" s="2817"/>
      <c r="F87" s="2817"/>
      <c r="G87" s="2818"/>
      <c r="H87" s="2796"/>
      <c r="I87" s="2796"/>
      <c r="J87" s="2796"/>
      <c r="K87" s="2796"/>
      <c r="L87" s="2796"/>
      <c r="M87" s="2796"/>
      <c r="N87" s="2796"/>
      <c r="O87" s="2796"/>
      <c r="P87" s="2796"/>
      <c r="Q87" s="2796"/>
      <c r="R87" s="2796"/>
      <c r="S87" s="2796"/>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471" priority="19" operator="equal">
      <formula>"X"</formula>
    </cfRule>
    <cfRule type="cellIs" dxfId="470" priority="20" operator="equal">
      <formula>"I"</formula>
    </cfRule>
  </conditionalFormatting>
  <conditionalFormatting sqref="J20:J30">
    <cfRule type="cellIs" dxfId="469" priority="17" operator="equal">
      <formula>"X"</formula>
    </cfRule>
    <cfRule type="cellIs" dxfId="468" priority="18" operator="equal">
      <formula>"I"</formula>
    </cfRule>
  </conditionalFormatting>
  <conditionalFormatting sqref="L20:L30">
    <cfRule type="cellIs" dxfId="467" priority="15" operator="equal">
      <formula>"X"</formula>
    </cfRule>
    <cfRule type="cellIs" dxfId="466" priority="16" operator="equal">
      <formula>"I"</formula>
    </cfRule>
  </conditionalFormatting>
  <conditionalFormatting sqref="L32:L55">
    <cfRule type="cellIs" dxfId="465" priority="1" operator="equal">
      <formula>"X"</formula>
    </cfRule>
    <cfRule type="cellIs" dxfId="464" priority="2" operator="equal">
      <formula>"I"</formula>
    </cfRule>
  </conditionalFormatting>
  <conditionalFormatting sqref="N20:N30">
    <cfRule type="cellIs" dxfId="463" priority="13" operator="equal">
      <formula>"X"</formula>
    </cfRule>
    <cfRule type="cellIs" dxfId="462" priority="14" operator="equal">
      <formula>"I"</formula>
    </cfRule>
  </conditionalFormatting>
  <conditionalFormatting sqref="N32:N55">
    <cfRule type="cellIs" dxfId="461" priority="3" operator="equal">
      <formula>"X"</formula>
    </cfRule>
    <cfRule type="cellIs" dxfId="460" priority="4" operator="equal">
      <formula>"I"</formula>
    </cfRule>
  </conditionalFormatting>
  <conditionalFormatting sqref="P20:P30">
    <cfRule type="cellIs" dxfId="459" priority="11" operator="equal">
      <formula>"X"</formula>
    </cfRule>
    <cfRule type="cellIs" dxfId="458" priority="12" operator="equal">
      <formula>"I"</formula>
    </cfRule>
  </conditionalFormatting>
  <conditionalFormatting sqref="P32:P55">
    <cfRule type="cellIs" dxfId="457" priority="5" operator="equal">
      <formula>"X"</formula>
    </cfRule>
    <cfRule type="cellIs" dxfId="456" priority="6" operator="equal">
      <formula>"I"</formula>
    </cfRule>
  </conditionalFormatting>
  <conditionalFormatting sqref="R20:R30">
    <cfRule type="cellIs" dxfId="455" priority="9" operator="equal">
      <formula>"X"</formula>
    </cfRule>
    <cfRule type="cellIs" dxfId="454" priority="10" operator="equal">
      <formula>"I"</formula>
    </cfRule>
  </conditionalFormatting>
  <conditionalFormatting sqref="R32:R55">
    <cfRule type="cellIs" dxfId="453" priority="7" operator="equal">
      <formula>"X"</formula>
    </cfRule>
    <cfRule type="cellIs" dxfId="452" priority="8" operator="equal">
      <formula>"I"</formula>
    </cfRule>
  </conditionalFormatting>
  <hyperlinks>
    <hyperlink ref="B3" location="'Cost Summary'!A1" display="BACK TO SUMMARY SHEET" xr:uid="{A69B2A35-2F06-40E8-9354-5C8A416668AA}"/>
  </hyperlinks>
  <pageMargins left="0.7" right="0.7" top="0.75" bottom="0.75" header="0.3" footer="0.3"/>
  <pageSetup scale="71" orientation="portrait" horizontalDpi="1200" verticalDpi="120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84B4-0FF2-4BA8-8A92-4E8F7B7B61B8}">
  <sheetPr>
    <tabColor rgb="FF92D050"/>
  </sheetPr>
  <dimension ref="A1:S117"/>
  <sheetViews>
    <sheetView zoomScale="85" zoomScaleNormal="85" workbookViewId="0">
      <pane xSplit="2" ySplit="9" topLeftCell="C115" activePane="bottomRight" state="frozen"/>
      <selection pane="bottomRight" activeCell="B115" sqref="B115"/>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1192</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1193</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I78</f>
        <v>0</v>
      </c>
      <c r="I8" s="2419"/>
      <c r="J8" s="2418">
        <f>K78</f>
        <v>0</v>
      </c>
      <c r="K8" s="2419"/>
      <c r="L8" s="2418">
        <f>M78</f>
        <v>0</v>
      </c>
      <c r="M8" s="2419"/>
      <c r="N8" s="2418">
        <f>O78</f>
        <v>0</v>
      </c>
      <c r="O8" s="2419"/>
      <c r="P8" s="2418">
        <f>Q78</f>
        <v>0</v>
      </c>
      <c r="Q8" s="2419"/>
      <c r="R8" s="2418">
        <f>S78</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82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c r="A22" s="2421"/>
      <c r="B22" s="2428" t="s">
        <v>1192</v>
      </c>
      <c r="C22" s="2426"/>
      <c r="D22" s="2405"/>
      <c r="E22" s="2405"/>
      <c r="F22" s="2405"/>
      <c r="G22" s="2423"/>
      <c r="H22" s="2427"/>
      <c r="I22" s="2424"/>
      <c r="J22" s="2427"/>
      <c r="K22" s="2424"/>
      <c r="L22" s="2427"/>
      <c r="M22" s="2424"/>
      <c r="N22" s="2427"/>
      <c r="O22" s="2424"/>
      <c r="P22" s="2427"/>
      <c r="Q22" s="2424"/>
      <c r="R22" s="2427"/>
      <c r="S22" s="2424"/>
    </row>
    <row r="23" spans="1:19">
      <c r="A23" s="2805"/>
      <c r="B23" s="2318" t="s">
        <v>512</v>
      </c>
      <c r="C23" s="2426"/>
      <c r="D23" s="2405"/>
      <c r="E23" s="2405"/>
      <c r="F23" s="2405"/>
      <c r="G23" s="2423"/>
      <c r="H23" s="2427"/>
      <c r="I23" s="2822"/>
      <c r="J23" s="2427"/>
      <c r="K23" s="2822"/>
      <c r="L23" s="2427"/>
      <c r="M23" s="2822"/>
      <c r="N23" s="2427"/>
      <c r="O23" s="2822"/>
      <c r="P23" s="2427"/>
      <c r="Q23" s="2822"/>
      <c r="R23" s="2427"/>
      <c r="S23" s="2822"/>
    </row>
    <row r="24" spans="1:19">
      <c r="A24" s="2805"/>
      <c r="B24" s="2823" t="s">
        <v>513</v>
      </c>
      <c r="C24" s="2426"/>
      <c r="D24" s="2405"/>
      <c r="E24" s="2405"/>
      <c r="F24" s="2405"/>
      <c r="G24" s="2423"/>
      <c r="H24" s="2427"/>
      <c r="I24" s="2824"/>
      <c r="J24" s="2427"/>
      <c r="K24" s="2822"/>
      <c r="L24" s="2427"/>
      <c r="M24" s="2822"/>
      <c r="N24" s="2427"/>
      <c r="O24" s="2822"/>
      <c r="P24" s="2427"/>
      <c r="Q24" s="2822"/>
      <c r="R24" s="2427"/>
      <c r="S24" s="2822"/>
    </row>
    <row r="25" spans="1:19">
      <c r="A25" s="2805"/>
      <c r="B25" s="2823" t="s">
        <v>514</v>
      </c>
      <c r="C25" s="2430"/>
      <c r="D25" s="2405"/>
      <c r="E25" s="2405"/>
      <c r="F25" s="2405"/>
      <c r="G25" s="2423"/>
      <c r="H25" s="2427"/>
      <c r="I25" s="2824"/>
      <c r="J25" s="2427"/>
      <c r="K25" s="2822"/>
      <c r="L25" s="2427"/>
      <c r="M25" s="2822"/>
      <c r="N25" s="2427"/>
      <c r="O25" s="2822"/>
      <c r="P25" s="2427"/>
      <c r="Q25" s="2822"/>
      <c r="R25" s="2427"/>
      <c r="S25" s="2822"/>
    </row>
    <row r="26" spans="1:19">
      <c r="A26" s="2805"/>
      <c r="B26" s="2825" t="s">
        <v>515</v>
      </c>
      <c r="C26" s="2430"/>
      <c r="D26" s="2405"/>
      <c r="E26" s="2405"/>
      <c r="F26" s="2405"/>
      <c r="G26" s="2423"/>
      <c r="H26" s="2427"/>
      <c r="I26" s="2824"/>
      <c r="J26" s="2427"/>
      <c r="K26" s="2822"/>
      <c r="L26" s="2427"/>
      <c r="M26" s="2822"/>
      <c r="N26" s="2427"/>
      <c r="O26" s="2822"/>
      <c r="P26" s="2427"/>
      <c r="Q26" s="2822"/>
      <c r="R26" s="2427"/>
      <c r="S26" s="2822"/>
    </row>
    <row r="27" spans="1:19" s="91" customFormat="1">
      <c r="A27" s="2826"/>
      <c r="B27" s="2825" t="s">
        <v>516</v>
      </c>
      <c r="C27" s="2432"/>
      <c r="D27" s="2433"/>
      <c r="E27" s="2433"/>
      <c r="F27" s="2433"/>
      <c r="G27" s="2432"/>
      <c r="H27" s="2427"/>
      <c r="I27" s="2824"/>
      <c r="J27" s="2427"/>
      <c r="K27" s="2827"/>
      <c r="L27" s="2427"/>
      <c r="M27" s="2827"/>
      <c r="N27" s="2427"/>
      <c r="O27" s="2827"/>
      <c r="P27" s="2427"/>
      <c r="Q27" s="2827"/>
      <c r="R27" s="2427"/>
      <c r="S27" s="2827"/>
    </row>
    <row r="28" spans="1:19" s="91" customFormat="1">
      <c r="A28" s="2826"/>
      <c r="B28" s="2825" t="s">
        <v>517</v>
      </c>
      <c r="C28" s="2432"/>
      <c r="D28" s="2433"/>
      <c r="E28" s="2433"/>
      <c r="F28" s="2433"/>
      <c r="G28" s="2432"/>
      <c r="H28" s="2427"/>
      <c r="I28" s="2824"/>
      <c r="J28" s="2427"/>
      <c r="K28" s="2827"/>
      <c r="L28" s="2427"/>
      <c r="M28" s="2827"/>
      <c r="N28" s="2427"/>
      <c r="O28" s="2827"/>
      <c r="P28" s="2427"/>
      <c r="Q28" s="2827"/>
      <c r="R28" s="2427"/>
      <c r="S28" s="2827"/>
    </row>
    <row r="29" spans="1:19" s="91" customFormat="1">
      <c r="A29" s="2826"/>
      <c r="B29" s="2825" t="s">
        <v>518</v>
      </c>
      <c r="C29" s="2432"/>
      <c r="D29" s="2433"/>
      <c r="E29" s="2433"/>
      <c r="F29" s="2433"/>
      <c r="G29" s="2432"/>
      <c r="H29" s="2427"/>
      <c r="I29" s="2824"/>
      <c r="J29" s="2427"/>
      <c r="K29" s="2827"/>
      <c r="L29" s="2427"/>
      <c r="M29" s="2827"/>
      <c r="N29" s="2427"/>
      <c r="O29" s="2827"/>
      <c r="P29" s="2427"/>
      <c r="Q29" s="2827"/>
      <c r="R29" s="2427"/>
      <c r="S29" s="2827"/>
    </row>
    <row r="30" spans="1:19" s="91" customFormat="1">
      <c r="A30" s="2826"/>
      <c r="B30" s="2825" t="s">
        <v>693</v>
      </c>
      <c r="C30" s="2432"/>
      <c r="D30" s="2433"/>
      <c r="E30" s="2433"/>
      <c r="F30" s="2433"/>
      <c r="G30" s="2432"/>
      <c r="H30" s="2427"/>
      <c r="I30" s="2824"/>
      <c r="J30" s="2427"/>
      <c r="K30" s="2827"/>
      <c r="L30" s="2427"/>
      <c r="M30" s="2827"/>
      <c r="N30" s="2427"/>
      <c r="O30" s="2827"/>
      <c r="P30" s="2427"/>
      <c r="Q30" s="2827"/>
      <c r="R30" s="2427"/>
      <c r="S30" s="2827"/>
    </row>
    <row r="31" spans="1:19" s="91" customFormat="1">
      <c r="A31" s="2826"/>
      <c r="B31" s="2828" t="s">
        <v>519</v>
      </c>
      <c r="C31" s="2432"/>
      <c r="D31" s="2433"/>
      <c r="E31" s="2433"/>
      <c r="F31" s="2433"/>
      <c r="G31" s="2432"/>
      <c r="H31" s="2427"/>
      <c r="I31" s="2824"/>
      <c r="J31" s="2427"/>
      <c r="K31" s="2827"/>
      <c r="L31" s="2427"/>
      <c r="M31" s="2827"/>
      <c r="N31" s="2427"/>
      <c r="O31" s="2827"/>
      <c r="P31" s="2427"/>
      <c r="Q31" s="2827"/>
      <c r="R31" s="2427"/>
      <c r="S31" s="2827"/>
    </row>
    <row r="32" spans="1:19" s="91" customFormat="1">
      <c r="A32" s="2826"/>
      <c r="B32" s="2829" t="s">
        <v>520</v>
      </c>
      <c r="C32" s="2435"/>
      <c r="D32" s="2436"/>
      <c r="E32" s="2436"/>
      <c r="F32" s="2436"/>
      <c r="G32" s="2435"/>
      <c r="H32" s="2439"/>
      <c r="I32" s="2830"/>
      <c r="J32" s="2443"/>
      <c r="K32" s="2831"/>
      <c r="L32" s="2443"/>
      <c r="M32" s="2831"/>
      <c r="N32" s="2831"/>
      <c r="O32" s="2831"/>
      <c r="P32" s="2831"/>
      <c r="Q32" s="2831"/>
      <c r="R32" s="2831"/>
      <c r="S32" s="2831"/>
    </row>
    <row r="33" spans="1:19" s="91" customFormat="1">
      <c r="A33" s="2826"/>
      <c r="B33" s="464"/>
      <c r="C33" s="2432"/>
      <c r="D33" s="2433"/>
      <c r="E33" s="2433"/>
      <c r="F33" s="2433"/>
      <c r="G33" s="2432"/>
      <c r="H33" s="2537"/>
      <c r="I33" s="2824"/>
      <c r="J33" s="2539"/>
      <c r="K33" s="2827"/>
      <c r="L33" s="2427"/>
      <c r="M33" s="2827"/>
      <c r="N33" s="2427"/>
      <c r="O33" s="2827"/>
      <c r="P33" s="2427"/>
      <c r="Q33" s="2827"/>
      <c r="R33" s="2427"/>
      <c r="S33" s="2827"/>
    </row>
    <row r="34" spans="1:19" s="91" customFormat="1">
      <c r="A34" s="2816"/>
      <c r="B34" s="465" t="s">
        <v>694</v>
      </c>
      <c r="C34" s="2449"/>
      <c r="D34" s="2592"/>
      <c r="E34" s="2592"/>
      <c r="F34" s="2592"/>
      <c r="G34" s="2593"/>
      <c r="H34" s="2765"/>
      <c r="I34" s="2832"/>
      <c r="J34" s="2767"/>
      <c r="K34" s="2833"/>
      <c r="L34" s="2453"/>
      <c r="M34" s="2833"/>
      <c r="N34" s="2453"/>
      <c r="O34" s="2833"/>
      <c r="P34" s="2453"/>
      <c r="Q34" s="2833"/>
      <c r="R34" s="2453"/>
      <c r="S34" s="2833"/>
    </row>
    <row r="35" spans="1:19" s="91" customFormat="1">
      <c r="A35" s="2816"/>
      <c r="B35" s="464"/>
      <c r="C35" s="2445"/>
      <c r="D35" s="2433"/>
      <c r="E35" s="2433"/>
      <c r="F35" s="2433"/>
      <c r="G35" s="2432"/>
      <c r="H35" s="2537"/>
      <c r="I35" s="2824"/>
      <c r="J35" s="2539"/>
      <c r="K35" s="2827"/>
      <c r="L35" s="2427"/>
      <c r="M35" s="2827"/>
      <c r="N35" s="2427"/>
      <c r="O35" s="2827"/>
      <c r="P35" s="2427"/>
      <c r="Q35" s="2827"/>
      <c r="R35" s="2427"/>
      <c r="S35" s="2827"/>
    </row>
    <row r="36" spans="1:19" s="91" customFormat="1">
      <c r="A36" s="2816"/>
      <c r="B36" s="466" t="s">
        <v>695</v>
      </c>
      <c r="C36" s="2455"/>
      <c r="D36" s="2597"/>
      <c r="E36" s="2597"/>
      <c r="F36" s="2597"/>
      <c r="G36" s="2598"/>
      <c r="H36" s="2769"/>
      <c r="I36" s="2834"/>
      <c r="J36" s="2771"/>
      <c r="K36" s="2835"/>
      <c r="L36" s="2459"/>
      <c r="M36" s="2835"/>
      <c r="N36" s="2459"/>
      <c r="O36" s="2835"/>
      <c r="P36" s="2459"/>
      <c r="Q36" s="2835"/>
      <c r="R36" s="2459"/>
      <c r="S36" s="2835"/>
    </row>
    <row r="37" spans="1:19" s="91" customFormat="1">
      <c r="A37" s="2816"/>
      <c r="B37" s="464"/>
      <c r="C37" s="2445"/>
      <c r="D37" s="2433"/>
      <c r="E37" s="2433"/>
      <c r="F37" s="2433"/>
      <c r="G37" s="2432"/>
      <c r="H37" s="2537"/>
      <c r="I37" s="2824"/>
      <c r="J37" s="2539"/>
      <c r="K37" s="2827"/>
      <c r="L37" s="2427"/>
      <c r="M37" s="2827"/>
      <c r="N37" s="2427"/>
      <c r="O37" s="2827"/>
      <c r="P37" s="2427"/>
      <c r="Q37" s="2827"/>
      <c r="R37" s="2427"/>
      <c r="S37" s="2827"/>
    </row>
    <row r="38" spans="1:19" s="91" customFormat="1">
      <c r="A38" s="2816"/>
      <c r="B38" s="465" t="s">
        <v>649</v>
      </c>
      <c r="C38" s="2449"/>
      <c r="D38" s="2592"/>
      <c r="E38" s="2592"/>
      <c r="F38" s="2592"/>
      <c r="G38" s="2593"/>
      <c r="H38" s="2765"/>
      <c r="I38" s="2832"/>
      <c r="J38" s="2767"/>
      <c r="K38" s="2833"/>
      <c r="L38" s="2453"/>
      <c r="M38" s="2833"/>
      <c r="N38" s="2453"/>
      <c r="O38" s="2833"/>
      <c r="P38" s="2453"/>
      <c r="Q38" s="2833"/>
      <c r="R38" s="2453"/>
      <c r="S38" s="2833"/>
    </row>
    <row r="39" spans="1:19" s="91" customFormat="1">
      <c r="A39" s="2816"/>
      <c r="B39" s="464"/>
      <c r="C39" s="2445"/>
      <c r="D39" s="2433"/>
      <c r="E39" s="2433"/>
      <c r="F39" s="2433"/>
      <c r="G39" s="2432"/>
      <c r="H39" s="2537"/>
      <c r="I39" s="2824"/>
      <c r="J39" s="2539"/>
      <c r="K39" s="2827"/>
      <c r="L39" s="2427"/>
      <c r="M39" s="2827"/>
      <c r="N39" s="2427"/>
      <c r="O39" s="2827"/>
      <c r="P39" s="2427"/>
      <c r="Q39" s="2827"/>
      <c r="R39" s="2427"/>
      <c r="S39" s="2827"/>
    </row>
    <row r="40" spans="1:19" s="91" customFormat="1">
      <c r="A40" s="2816"/>
      <c r="B40" s="466" t="s">
        <v>700</v>
      </c>
      <c r="C40" s="2455"/>
      <c r="D40" s="2597"/>
      <c r="E40" s="2597"/>
      <c r="F40" s="2597"/>
      <c r="G40" s="2598"/>
      <c r="H40" s="2769"/>
      <c r="I40" s="2834"/>
      <c r="J40" s="2771"/>
      <c r="K40" s="2835"/>
      <c r="L40" s="2459"/>
      <c r="M40" s="2835"/>
      <c r="N40" s="2459"/>
      <c r="O40" s="2835"/>
      <c r="P40" s="2459"/>
      <c r="Q40" s="2835"/>
      <c r="R40" s="2459"/>
      <c r="S40" s="2835"/>
    </row>
    <row r="41" spans="1:19" s="91" customFormat="1">
      <c r="A41" s="2816"/>
      <c r="B41" s="464"/>
      <c r="C41" s="2445"/>
      <c r="D41" s="2433"/>
      <c r="E41" s="2433"/>
      <c r="F41" s="2433"/>
      <c r="G41" s="2432"/>
      <c r="H41" s="2537"/>
      <c r="I41" s="2824"/>
      <c r="J41" s="2539"/>
      <c r="K41" s="2827"/>
      <c r="L41" s="2427"/>
      <c r="M41" s="2827"/>
      <c r="N41" s="2427"/>
      <c r="O41" s="2827"/>
      <c r="P41" s="2427"/>
      <c r="Q41" s="2827"/>
      <c r="R41" s="2427"/>
      <c r="S41" s="2827"/>
    </row>
    <row r="42" spans="1:19" s="91" customFormat="1">
      <c r="A42" s="2816"/>
      <c r="B42" s="465" t="s">
        <v>703</v>
      </c>
      <c r="C42" s="2449"/>
      <c r="D42" s="2592"/>
      <c r="E42" s="2592"/>
      <c r="F42" s="2592"/>
      <c r="G42" s="2593"/>
      <c r="H42" s="2765"/>
      <c r="I42" s="2832"/>
      <c r="J42" s="2767"/>
      <c r="K42" s="2833"/>
      <c r="L42" s="2453"/>
      <c r="M42" s="2833"/>
      <c r="N42" s="2453"/>
      <c r="O42" s="2833"/>
      <c r="P42" s="2453"/>
      <c r="Q42" s="2833"/>
      <c r="R42" s="2453"/>
      <c r="S42" s="2833"/>
    </row>
    <row r="43" spans="1:19" s="91" customFormat="1">
      <c r="A43" s="2816"/>
      <c r="B43" s="464"/>
      <c r="C43" s="2445"/>
      <c r="D43" s="2433"/>
      <c r="E43" s="2433"/>
      <c r="F43" s="2433"/>
      <c r="G43" s="2432"/>
      <c r="H43" s="2537"/>
      <c r="I43" s="2824"/>
      <c r="J43" s="2539"/>
      <c r="K43" s="2827"/>
      <c r="L43" s="2427"/>
      <c r="M43" s="2827"/>
      <c r="N43" s="2427"/>
      <c r="O43" s="2827"/>
      <c r="P43" s="2427"/>
      <c r="Q43" s="2827"/>
      <c r="R43" s="2427"/>
      <c r="S43" s="2827"/>
    </row>
    <row r="44" spans="1:19" s="91" customFormat="1">
      <c r="A44" s="2816"/>
      <c r="B44" s="466" t="s">
        <v>704</v>
      </c>
      <c r="C44" s="2455"/>
      <c r="D44" s="2597"/>
      <c r="E44" s="2597"/>
      <c r="F44" s="2597"/>
      <c r="G44" s="2598"/>
      <c r="H44" s="2769"/>
      <c r="I44" s="2834"/>
      <c r="J44" s="2771"/>
      <c r="K44" s="2835"/>
      <c r="L44" s="2459"/>
      <c r="M44" s="2835"/>
      <c r="N44" s="2459"/>
      <c r="O44" s="2835"/>
      <c r="P44" s="2459"/>
      <c r="Q44" s="2835"/>
      <c r="R44" s="2459"/>
      <c r="S44" s="2835"/>
    </row>
    <row r="45" spans="1:19" s="91" customFormat="1">
      <c r="A45" s="2816"/>
      <c r="B45" s="464"/>
      <c r="C45" s="2445"/>
      <c r="D45" s="2433"/>
      <c r="E45" s="2433"/>
      <c r="F45" s="2433"/>
      <c r="G45" s="2432"/>
      <c r="H45" s="2537"/>
      <c r="I45" s="2824"/>
      <c r="J45" s="2539"/>
      <c r="K45" s="2827"/>
      <c r="L45" s="2427"/>
      <c r="M45" s="2827"/>
      <c r="N45" s="2427"/>
      <c r="O45" s="2827"/>
      <c r="P45" s="2427"/>
      <c r="Q45" s="2827"/>
      <c r="R45" s="2427"/>
      <c r="S45" s="2827"/>
    </row>
    <row r="46" spans="1:19" s="91" customFormat="1">
      <c r="A46" s="2816"/>
      <c r="B46" s="465" t="s">
        <v>705</v>
      </c>
      <c r="C46" s="2449"/>
      <c r="D46" s="2592"/>
      <c r="E46" s="2592"/>
      <c r="F46" s="2592"/>
      <c r="G46" s="2593"/>
      <c r="H46" s="2765"/>
      <c r="I46" s="2832"/>
      <c r="J46" s="2767"/>
      <c r="K46" s="2833"/>
      <c r="L46" s="2453"/>
      <c r="M46" s="2833"/>
      <c r="N46" s="2453"/>
      <c r="O46" s="2833"/>
      <c r="P46" s="2453"/>
      <c r="Q46" s="2833"/>
      <c r="R46" s="2453"/>
      <c r="S46" s="2833"/>
    </row>
    <row r="47" spans="1:19" s="91" customFormat="1">
      <c r="A47" s="2816"/>
      <c r="B47" s="464"/>
      <c r="C47" s="2445"/>
      <c r="D47" s="2433"/>
      <c r="E47" s="2433"/>
      <c r="F47" s="2433"/>
      <c r="G47" s="2432"/>
      <c r="H47" s="2537"/>
      <c r="I47" s="2824"/>
      <c r="J47" s="2539"/>
      <c r="K47" s="2827"/>
      <c r="L47" s="2427"/>
      <c r="M47" s="2827"/>
      <c r="N47" s="2427"/>
      <c r="O47" s="2827"/>
      <c r="P47" s="2427"/>
      <c r="Q47" s="2827"/>
      <c r="R47" s="2427"/>
      <c r="S47" s="2827"/>
    </row>
    <row r="48" spans="1:19" s="91" customFormat="1">
      <c r="A48" s="2816"/>
      <c r="B48" s="466" t="s">
        <v>602</v>
      </c>
      <c r="C48" s="2455"/>
      <c r="D48" s="2597"/>
      <c r="E48" s="2597"/>
      <c r="F48" s="2597"/>
      <c r="G48" s="2598"/>
      <c r="H48" s="2769"/>
      <c r="I48" s="2834"/>
      <c r="J48" s="2771"/>
      <c r="K48" s="2835"/>
      <c r="L48" s="2459"/>
      <c r="M48" s="2835"/>
      <c r="N48" s="2459"/>
      <c r="O48" s="2835"/>
      <c r="P48" s="2459"/>
      <c r="Q48" s="2835"/>
      <c r="R48" s="2459"/>
      <c r="S48" s="2835"/>
    </row>
    <row r="49" spans="1:19" s="91" customFormat="1">
      <c r="A49" s="2816"/>
      <c r="B49" s="464"/>
      <c r="C49" s="2445"/>
      <c r="D49" s="2433"/>
      <c r="E49" s="2433"/>
      <c r="F49" s="2433"/>
      <c r="G49" s="2432"/>
      <c r="H49" s="2537"/>
      <c r="I49" s="2824"/>
      <c r="J49" s="2539"/>
      <c r="K49" s="2827"/>
      <c r="L49" s="2427"/>
      <c r="M49" s="2827"/>
      <c r="N49" s="2427"/>
      <c r="O49" s="2827"/>
      <c r="P49" s="2427"/>
      <c r="Q49" s="2827"/>
      <c r="R49" s="2427"/>
      <c r="S49" s="2827"/>
    </row>
    <row r="50" spans="1:19" s="91" customFormat="1">
      <c r="A50" s="2816"/>
      <c r="B50" s="464"/>
      <c r="C50" s="2445"/>
      <c r="D50" s="2433"/>
      <c r="E50" s="2433"/>
      <c r="F50" s="2433"/>
      <c r="G50" s="2432"/>
      <c r="H50" s="2537"/>
      <c r="I50" s="2824"/>
      <c r="J50" s="2539"/>
      <c r="K50" s="2827"/>
      <c r="L50" s="2427"/>
      <c r="M50" s="2827"/>
      <c r="N50" s="2427"/>
      <c r="O50" s="2827"/>
      <c r="P50" s="2427"/>
      <c r="Q50" s="2827"/>
      <c r="R50" s="2427"/>
      <c r="S50" s="2827"/>
    </row>
    <row r="51" spans="1:19" s="91" customFormat="1">
      <c r="A51" s="2816"/>
      <c r="B51" s="2836"/>
      <c r="C51" s="2445"/>
      <c r="D51" s="2433"/>
      <c r="E51" s="2433"/>
      <c r="F51" s="2433"/>
      <c r="G51" s="2432"/>
      <c r="H51" s="2537"/>
      <c r="I51" s="2824"/>
      <c r="J51" s="2539"/>
      <c r="K51" s="2827"/>
      <c r="L51" s="2427"/>
      <c r="M51" s="2827"/>
      <c r="N51" s="2427"/>
      <c r="O51" s="2827"/>
      <c r="P51" s="2427"/>
      <c r="Q51" s="2827"/>
      <c r="R51" s="2427"/>
      <c r="S51" s="2827"/>
    </row>
    <row r="52" spans="1:19" s="91" customFormat="1">
      <c r="A52" s="2816"/>
      <c r="B52" s="2444"/>
      <c r="C52" s="2445"/>
      <c r="D52" s="2433"/>
      <c r="E52" s="2433"/>
      <c r="F52" s="2433"/>
      <c r="G52" s="2432"/>
      <c r="H52" s="2537"/>
      <c r="I52" s="2824"/>
      <c r="J52" s="2539"/>
      <c r="K52" s="2827"/>
      <c r="L52" s="2427"/>
      <c r="M52" s="2827"/>
      <c r="N52" s="2427"/>
      <c r="O52" s="2827"/>
      <c r="P52" s="2427"/>
      <c r="Q52" s="2827"/>
      <c r="R52" s="2427"/>
      <c r="S52" s="2827"/>
    </row>
    <row r="53" spans="1:19" s="91" customFormat="1">
      <c r="A53" s="2816"/>
      <c r="B53" s="2444"/>
      <c r="C53" s="2445"/>
      <c r="D53" s="2433"/>
      <c r="E53" s="2433"/>
      <c r="F53" s="2433"/>
      <c r="G53" s="2432"/>
      <c r="H53" s="2537"/>
      <c r="I53" s="2824"/>
      <c r="J53" s="2539"/>
      <c r="K53" s="2827"/>
      <c r="L53" s="2427"/>
      <c r="M53" s="2827"/>
      <c r="N53" s="2427"/>
      <c r="O53" s="2827"/>
      <c r="P53" s="2427"/>
      <c r="Q53" s="2827"/>
      <c r="R53" s="2427"/>
      <c r="S53" s="2827"/>
    </row>
    <row r="54" spans="1:19" s="91" customFormat="1">
      <c r="A54" s="2816"/>
      <c r="B54" s="2506"/>
      <c r="C54" s="2445"/>
      <c r="D54" s="2433"/>
      <c r="E54" s="2433"/>
      <c r="F54" s="2433"/>
      <c r="G54" s="2432"/>
      <c r="H54" s="2537"/>
      <c r="I54" s="2824"/>
      <c r="J54" s="2539"/>
      <c r="K54" s="2827"/>
      <c r="L54" s="2427"/>
      <c r="M54" s="2827"/>
      <c r="N54" s="2427"/>
      <c r="O54" s="2827"/>
      <c r="P54" s="2427"/>
      <c r="Q54" s="2827"/>
      <c r="R54" s="2427"/>
      <c r="S54" s="2827"/>
    </row>
    <row r="55" spans="1:19" s="91" customFormat="1">
      <c r="A55" s="2816"/>
      <c r="B55" s="2444"/>
      <c r="C55" s="2445"/>
      <c r="D55" s="2433"/>
      <c r="E55" s="2433"/>
      <c r="F55" s="2433"/>
      <c r="G55" s="2432"/>
      <c r="H55" s="2537"/>
      <c r="I55" s="2824"/>
      <c r="J55" s="2539"/>
      <c r="K55" s="2827"/>
      <c r="L55" s="2427"/>
      <c r="M55" s="2827"/>
      <c r="N55" s="2427"/>
      <c r="O55" s="2827"/>
      <c r="P55" s="2427"/>
      <c r="Q55" s="2827"/>
      <c r="R55" s="2427"/>
      <c r="S55" s="2827"/>
    </row>
    <row r="56" spans="1:19" s="91" customFormat="1">
      <c r="A56" s="2816"/>
      <c r="B56" s="2444"/>
      <c r="C56" s="2445"/>
      <c r="D56" s="2433"/>
      <c r="E56" s="2546"/>
      <c r="F56" s="2547"/>
      <c r="G56" s="2432"/>
      <c r="H56" s="2537"/>
      <c r="I56" s="2824"/>
      <c r="J56" s="2539"/>
      <c r="K56" s="2827"/>
      <c r="L56" s="2427"/>
      <c r="M56" s="2827"/>
      <c r="N56" s="2427"/>
      <c r="O56" s="2827"/>
      <c r="P56" s="2427"/>
      <c r="Q56" s="2827"/>
      <c r="R56" s="2427"/>
      <c r="S56" s="2827"/>
    </row>
    <row r="57" spans="1:19" s="91" customFormat="1">
      <c r="A57" s="2816"/>
      <c r="B57" s="2444"/>
      <c r="C57" s="2445"/>
      <c r="D57" s="2433"/>
      <c r="E57" s="2546"/>
      <c r="F57" s="2547"/>
      <c r="G57" s="2432"/>
      <c r="H57" s="2537"/>
      <c r="I57" s="2824"/>
      <c r="J57" s="2539"/>
      <c r="K57" s="2827"/>
      <c r="L57" s="2427"/>
      <c r="M57" s="2827"/>
      <c r="N57" s="2427"/>
      <c r="O57" s="2827"/>
      <c r="P57" s="2427"/>
      <c r="Q57" s="2827"/>
      <c r="R57" s="2427"/>
      <c r="S57" s="2827"/>
    </row>
    <row r="58" spans="1:19" s="91" customFormat="1">
      <c r="A58" s="2816"/>
      <c r="B58" s="2444"/>
      <c r="C58" s="2445"/>
      <c r="D58" s="2433"/>
      <c r="E58" s="2546"/>
      <c r="F58" s="2547"/>
      <c r="G58" s="2432"/>
      <c r="H58" s="2537"/>
      <c r="I58" s="2824"/>
      <c r="J58" s="2539"/>
      <c r="K58" s="2827"/>
      <c r="L58" s="2427"/>
      <c r="M58" s="2827"/>
      <c r="N58" s="2427"/>
      <c r="O58" s="2827"/>
      <c r="P58" s="2427"/>
      <c r="Q58" s="2827"/>
      <c r="R58" s="2427"/>
      <c r="S58" s="2827"/>
    </row>
    <row r="59" spans="1:19" s="91" customFormat="1">
      <c r="A59" s="2816"/>
      <c r="B59" s="2837"/>
      <c r="C59" s="2445"/>
      <c r="D59" s="2433"/>
      <c r="E59" s="2546"/>
      <c r="F59" s="2547"/>
      <c r="G59" s="2432"/>
      <c r="H59" s="2537"/>
      <c r="I59" s="2824"/>
      <c r="J59" s="2539"/>
      <c r="K59" s="2827"/>
      <c r="L59" s="2427"/>
      <c r="M59" s="2827"/>
      <c r="N59" s="2427"/>
      <c r="O59" s="2827"/>
      <c r="P59" s="2427"/>
      <c r="Q59" s="2827"/>
      <c r="R59" s="2427"/>
      <c r="S59" s="2827"/>
    </row>
    <row r="60" spans="1:19" s="91" customFormat="1">
      <c r="A60" s="2816"/>
      <c r="B60" s="2838"/>
      <c r="C60" s="2445"/>
      <c r="D60" s="2433"/>
      <c r="E60" s="2546"/>
      <c r="F60" s="2547"/>
      <c r="G60" s="2432"/>
      <c r="H60" s="2537"/>
      <c r="I60" s="2824"/>
      <c r="J60" s="2539"/>
      <c r="K60" s="2827"/>
      <c r="L60" s="2427"/>
      <c r="M60" s="2827"/>
      <c r="N60" s="2427"/>
      <c r="O60" s="2827"/>
      <c r="P60" s="2427"/>
      <c r="Q60" s="2827"/>
      <c r="R60" s="2427"/>
      <c r="S60" s="2827"/>
    </row>
    <row r="61" spans="1:19" s="91" customFormat="1">
      <c r="A61" s="2816"/>
      <c r="B61" s="152"/>
      <c r="C61" s="2445"/>
      <c r="D61" s="2433"/>
      <c r="E61" s="2546"/>
      <c r="F61" s="2547"/>
      <c r="G61" s="2432"/>
      <c r="H61" s="2537"/>
      <c r="I61" s="2824"/>
      <c r="J61" s="2539"/>
      <c r="K61" s="2827"/>
      <c r="L61" s="2427"/>
      <c r="M61" s="2827"/>
      <c r="N61" s="2427"/>
      <c r="O61" s="2827"/>
      <c r="P61" s="2427"/>
      <c r="Q61" s="2827"/>
      <c r="R61" s="2427"/>
      <c r="S61" s="2827"/>
    </row>
    <row r="62" spans="1:19" s="91" customFormat="1">
      <c r="A62" s="2816"/>
      <c r="B62" s="2545"/>
      <c r="C62" s="2445"/>
      <c r="D62" s="2433"/>
      <c r="E62" s="2546"/>
      <c r="F62" s="2547"/>
      <c r="G62" s="2432"/>
      <c r="H62" s="2537"/>
      <c r="I62" s="2824"/>
      <c r="J62" s="2539"/>
      <c r="K62" s="2827"/>
      <c r="L62" s="2427"/>
      <c r="M62" s="2827"/>
      <c r="N62" s="2427"/>
      <c r="O62" s="2827"/>
      <c r="P62" s="2427"/>
      <c r="Q62" s="2827"/>
      <c r="R62" s="2427"/>
      <c r="S62" s="2827"/>
    </row>
    <row r="63" spans="1:19" s="91" customFormat="1">
      <c r="A63" s="2816"/>
      <c r="B63" s="2545"/>
      <c r="C63" s="2445"/>
      <c r="D63" s="2433"/>
      <c r="E63" s="2546"/>
      <c r="F63" s="2547"/>
      <c r="G63" s="2432"/>
      <c r="H63" s="2537"/>
      <c r="I63" s="2824"/>
      <c r="J63" s="2539"/>
      <c r="K63" s="2827"/>
      <c r="L63" s="2427"/>
      <c r="M63" s="2827"/>
      <c r="N63" s="2427"/>
      <c r="O63" s="2827"/>
      <c r="P63" s="2427"/>
      <c r="Q63" s="2827"/>
      <c r="R63" s="2427"/>
      <c r="S63" s="2827"/>
    </row>
    <row r="64" spans="1:19" s="91" customFormat="1">
      <c r="A64" s="2816"/>
      <c r="B64" s="2545"/>
      <c r="C64" s="2445"/>
      <c r="D64" s="2433"/>
      <c r="E64" s="2546"/>
      <c r="F64" s="2547"/>
      <c r="G64" s="2432"/>
      <c r="H64" s="2537"/>
      <c r="I64" s="2824"/>
      <c r="J64" s="2539"/>
      <c r="K64" s="2827"/>
      <c r="L64" s="2427"/>
      <c r="M64" s="2827"/>
      <c r="N64" s="2427"/>
      <c r="O64" s="2827"/>
      <c r="P64" s="2427"/>
      <c r="Q64" s="2827"/>
      <c r="R64" s="2427"/>
      <c r="S64" s="2827"/>
    </row>
    <row r="65" spans="1:19" s="91" customFormat="1">
      <c r="A65" s="2816"/>
      <c r="B65" s="2545"/>
      <c r="C65" s="2445"/>
      <c r="D65" s="2433"/>
      <c r="E65" s="2546"/>
      <c r="F65" s="2547"/>
      <c r="G65" s="2432"/>
      <c r="H65" s="2537"/>
      <c r="I65" s="2824"/>
      <c r="J65" s="2539"/>
      <c r="K65" s="2827"/>
      <c r="L65" s="2427"/>
      <c r="M65" s="2827"/>
      <c r="N65" s="2427"/>
      <c r="O65" s="2827"/>
      <c r="P65" s="2427"/>
      <c r="Q65" s="2827"/>
      <c r="R65" s="2427"/>
      <c r="S65" s="2827"/>
    </row>
    <row r="66" spans="1:19" s="91" customFormat="1">
      <c r="A66" s="2816"/>
      <c r="B66" s="2545"/>
      <c r="C66" s="2445"/>
      <c r="D66" s="2433"/>
      <c r="E66" s="2546"/>
      <c r="F66" s="2547"/>
      <c r="G66" s="2432"/>
      <c r="H66" s="2537"/>
      <c r="I66" s="2824"/>
      <c r="J66" s="2539"/>
      <c r="K66" s="2827"/>
      <c r="L66" s="2427"/>
      <c r="M66" s="2827"/>
      <c r="N66" s="2427"/>
      <c r="O66" s="2827"/>
      <c r="P66" s="2427"/>
      <c r="Q66" s="2827"/>
      <c r="R66" s="2427"/>
      <c r="S66" s="2827"/>
    </row>
    <row r="67" spans="1:19" s="91" customFormat="1">
      <c r="A67" s="2816"/>
      <c r="B67" s="2545"/>
      <c r="C67" s="2445"/>
      <c r="D67" s="2433"/>
      <c r="E67" s="2546"/>
      <c r="F67" s="2547"/>
      <c r="G67" s="2432"/>
      <c r="H67" s="2537"/>
      <c r="I67" s="2824"/>
      <c r="J67" s="2539"/>
      <c r="K67" s="2827"/>
      <c r="L67" s="2427"/>
      <c r="M67" s="2827"/>
      <c r="N67" s="2427"/>
      <c r="O67" s="2827"/>
      <c r="P67" s="2427"/>
      <c r="Q67" s="2827"/>
      <c r="R67" s="2427"/>
      <c r="S67" s="2827"/>
    </row>
    <row r="68" spans="1:19" s="91" customFormat="1">
      <c r="A68" s="2816"/>
      <c r="B68" s="2545"/>
      <c r="C68" s="2445"/>
      <c r="D68" s="2433"/>
      <c r="E68" s="2546"/>
      <c r="F68" s="2547"/>
      <c r="G68" s="2432"/>
      <c r="H68" s="2537"/>
      <c r="I68" s="2824"/>
      <c r="J68" s="2539"/>
      <c r="K68" s="2827"/>
      <c r="L68" s="2427"/>
      <c r="M68" s="2827"/>
      <c r="N68" s="2427"/>
      <c r="O68" s="2827"/>
      <c r="P68" s="2427"/>
      <c r="Q68" s="2827"/>
      <c r="R68" s="2427"/>
      <c r="S68" s="2827"/>
    </row>
    <row r="69" spans="1:19" s="91" customFormat="1">
      <c r="A69" s="2816"/>
      <c r="B69" s="2545"/>
      <c r="C69" s="2445"/>
      <c r="D69" s="2433"/>
      <c r="E69" s="2546"/>
      <c r="F69" s="2547"/>
      <c r="G69" s="2432"/>
      <c r="H69" s="2537"/>
      <c r="I69" s="2824"/>
      <c r="J69" s="2539"/>
      <c r="K69" s="2827"/>
      <c r="L69" s="2427"/>
      <c r="M69" s="2827"/>
      <c r="N69" s="2427"/>
      <c r="O69" s="2827"/>
      <c r="P69" s="2427"/>
      <c r="Q69" s="2827"/>
      <c r="R69" s="2427"/>
      <c r="S69" s="2827"/>
    </row>
    <row r="70" spans="1:19" s="91" customFormat="1">
      <c r="A70" s="2816"/>
      <c r="B70" s="2545"/>
      <c r="C70" s="2445"/>
      <c r="D70" s="2433"/>
      <c r="E70" s="2546"/>
      <c r="F70" s="2547"/>
      <c r="G70" s="2432"/>
      <c r="H70" s="2537"/>
      <c r="I70" s="2824"/>
      <c r="J70" s="2539"/>
      <c r="K70" s="2827"/>
      <c r="L70" s="2427"/>
      <c r="M70" s="2827"/>
      <c r="N70" s="2427"/>
      <c r="O70" s="2827"/>
      <c r="P70" s="2427"/>
      <c r="Q70" s="2827"/>
      <c r="R70" s="2427"/>
      <c r="S70" s="2827"/>
    </row>
    <row r="71" spans="1:19" s="91" customFormat="1">
      <c r="A71" s="2816"/>
      <c r="B71" s="2545"/>
      <c r="C71" s="2445"/>
      <c r="D71" s="2433"/>
      <c r="E71" s="2546"/>
      <c r="F71" s="2547"/>
      <c r="G71" s="2432"/>
      <c r="H71" s="2537"/>
      <c r="I71" s="2824"/>
      <c r="J71" s="2539"/>
      <c r="K71" s="2827"/>
      <c r="L71" s="2427"/>
      <c r="M71" s="2827"/>
      <c r="N71" s="2427"/>
      <c r="O71" s="2827"/>
      <c r="P71" s="2427"/>
      <c r="Q71" s="2827"/>
      <c r="R71" s="2427"/>
      <c r="S71" s="2827"/>
    </row>
    <row r="72" spans="1:19" s="91" customFormat="1" ht="16.5" customHeight="1">
      <c r="A72" s="2816"/>
      <c r="B72" s="2545"/>
      <c r="C72" s="2445"/>
      <c r="D72" s="2433"/>
      <c r="E72" s="2546"/>
      <c r="F72" s="2547"/>
      <c r="G72" s="2432"/>
      <c r="H72" s="2537"/>
      <c r="I72" s="2824"/>
      <c r="J72" s="2539"/>
      <c r="K72" s="2827"/>
      <c r="L72" s="2427"/>
      <c r="M72" s="2827"/>
      <c r="N72" s="2427"/>
      <c r="O72" s="2827"/>
      <c r="P72" s="2427"/>
      <c r="Q72" s="2827"/>
      <c r="R72" s="2427"/>
      <c r="S72" s="2827"/>
    </row>
    <row r="73" spans="1:19">
      <c r="A73" s="2685"/>
      <c r="B73" s="2686"/>
      <c r="C73" s="2426"/>
      <c r="D73" s="2405"/>
      <c r="E73" s="2405"/>
      <c r="F73" s="2405"/>
      <c r="G73" s="2423"/>
      <c r="H73" s="2839"/>
      <c r="I73" s="2822"/>
      <c r="J73" s="2822"/>
      <c r="K73" s="2822"/>
      <c r="L73" s="2427"/>
      <c r="M73" s="2822"/>
      <c r="N73" s="2427"/>
      <c r="O73" s="2822"/>
      <c r="P73" s="2427"/>
      <c r="Q73" s="2822"/>
      <c r="R73" s="2427"/>
      <c r="S73" s="2822"/>
    </row>
    <row r="74" spans="1:19">
      <c r="A74" s="14"/>
      <c r="B74" s="15"/>
      <c r="C74" s="16"/>
      <c r="D74" s="16"/>
      <c r="E74" s="17"/>
      <c r="F74" s="18" t="s">
        <v>567</v>
      </c>
      <c r="G74" s="19"/>
      <c r="H74" s="20"/>
      <c r="I74" s="61">
        <f>SUM(I24:I73)</f>
        <v>0</v>
      </c>
      <c r="J74" s="20"/>
      <c r="K74" s="61">
        <f>SUM(K24:K73)</f>
        <v>0</v>
      </c>
      <c r="L74" s="20"/>
      <c r="M74" s="61">
        <f>SUM(M24:M73)</f>
        <v>0</v>
      </c>
      <c r="N74" s="20"/>
      <c r="O74" s="61">
        <f>SUM(O24:O73)</f>
        <v>0</v>
      </c>
      <c r="P74" s="20"/>
      <c r="Q74" s="61">
        <f>SUM(Q24:Q73)</f>
        <v>0</v>
      </c>
      <c r="R74" s="20"/>
      <c r="S74" s="61">
        <f>SUM(S24:S73)</f>
        <v>0</v>
      </c>
    </row>
    <row r="75" spans="1:19">
      <c r="A75" s="2358"/>
      <c r="B75" s="2359"/>
      <c r="C75" s="2360"/>
      <c r="D75" s="2360"/>
      <c r="E75" s="2361"/>
      <c r="F75" s="2362" t="s">
        <v>568</v>
      </c>
      <c r="G75" s="2363"/>
      <c r="H75" s="2364">
        <v>0</v>
      </c>
      <c r="I75" s="2460"/>
      <c r="J75" s="2364">
        <v>0</v>
      </c>
      <c r="K75" s="2460"/>
      <c r="L75" s="2364">
        <v>0</v>
      </c>
      <c r="M75" s="2460"/>
      <c r="N75" s="2364">
        <v>0</v>
      </c>
      <c r="O75" s="2460"/>
      <c r="P75" s="2364">
        <v>0</v>
      </c>
      <c r="Q75" s="2460"/>
      <c r="R75" s="2364">
        <v>0</v>
      </c>
      <c r="S75" s="2460"/>
    </row>
    <row r="76" spans="1:19">
      <c r="A76" s="2358"/>
      <c r="B76" s="2359"/>
      <c r="C76" s="2360"/>
      <c r="D76" s="2360"/>
      <c r="E76" s="2361"/>
      <c r="F76" s="2362" t="s">
        <v>569</v>
      </c>
      <c r="G76" s="2363"/>
      <c r="H76" s="2366"/>
      <c r="I76" s="2462">
        <f>H75*I74</f>
        <v>0</v>
      </c>
      <c r="J76" s="2366"/>
      <c r="K76" s="2462">
        <f>J75*K74</f>
        <v>0</v>
      </c>
      <c r="L76" s="2366"/>
      <c r="M76" s="2462">
        <f>L75*M74</f>
        <v>0</v>
      </c>
      <c r="N76" s="2366"/>
      <c r="O76" s="2462">
        <f>N75*O74</f>
        <v>0</v>
      </c>
      <c r="P76" s="2366"/>
      <c r="Q76" s="2462">
        <f>P75*Q74</f>
        <v>0</v>
      </c>
      <c r="R76" s="2366"/>
      <c r="S76" s="2462">
        <f>R75*S74</f>
        <v>0</v>
      </c>
    </row>
    <row r="77" spans="1:19">
      <c r="A77" s="2358"/>
      <c r="B77" s="2359"/>
      <c r="C77" s="2360"/>
      <c r="D77" s="2360"/>
      <c r="E77" s="2361"/>
      <c r="F77" s="2362"/>
      <c r="G77" s="2363"/>
      <c r="H77" s="2366"/>
      <c r="I77" s="2464"/>
      <c r="J77" s="2366"/>
      <c r="K77" s="2464"/>
      <c r="L77" s="2366"/>
      <c r="M77" s="2464"/>
      <c r="N77" s="2366"/>
      <c r="O77" s="2464"/>
      <c r="P77" s="2366"/>
      <c r="Q77" s="2464"/>
      <c r="R77" s="2366"/>
      <c r="S77" s="2464"/>
    </row>
    <row r="78" spans="1:19">
      <c r="A78" s="2358"/>
      <c r="B78" s="2359"/>
      <c r="C78" s="2360"/>
      <c r="D78" s="2360"/>
      <c r="E78" s="2361"/>
      <c r="F78" s="2362" t="s">
        <v>570</v>
      </c>
      <c r="G78" s="2363"/>
      <c r="H78" s="2368"/>
      <c r="I78" s="2465">
        <f>SUM(I74:I76)</f>
        <v>0</v>
      </c>
      <c r="J78" s="2368"/>
      <c r="K78" s="2465">
        <f>SUM(K74:K76)</f>
        <v>0</v>
      </c>
      <c r="L78" s="2368"/>
      <c r="M78" s="2465">
        <f>SUM(M74:M76)</f>
        <v>0</v>
      </c>
      <c r="N78" s="2368"/>
      <c r="O78" s="2465">
        <f>SUM(O74:O76)</f>
        <v>0</v>
      </c>
      <c r="P78" s="2368"/>
      <c r="Q78" s="2465">
        <f>SUM(Q74:Q76)</f>
        <v>0</v>
      </c>
      <c r="R78" s="2368"/>
      <c r="S78" s="2465">
        <f>SUM(S74:S76)</f>
        <v>0</v>
      </c>
    </row>
    <row r="79" spans="1:19">
      <c r="A79" s="2358"/>
      <c r="B79" s="2359"/>
      <c r="C79" s="2360"/>
      <c r="D79" s="2360"/>
      <c r="E79" s="2361"/>
      <c r="F79" s="2370" t="s">
        <v>571</v>
      </c>
      <c r="G79" s="2371"/>
      <c r="H79" s="2372"/>
      <c r="I79" s="2373" t="e">
        <f>I78/'Area Calculations'!$J$4</f>
        <v>#DIV/0!</v>
      </c>
      <c r="J79" s="2372"/>
      <c r="K79" s="2373" t="e">
        <f>K78/'Area Calculations'!$J$4</f>
        <v>#DIV/0!</v>
      </c>
      <c r="L79" s="2372"/>
      <c r="M79" s="2373" t="e">
        <f>M78/'Area Calculations'!$J$4</f>
        <v>#DIV/0!</v>
      </c>
      <c r="N79" s="2372"/>
      <c r="O79" s="2373" t="e">
        <f>O78/'Area Calculations'!$J$4</f>
        <v>#DIV/0!</v>
      </c>
      <c r="P79" s="2372"/>
      <c r="Q79" s="2373" t="e">
        <f>Q78/'Area Calculations'!$J$4</f>
        <v>#DIV/0!</v>
      </c>
      <c r="R79" s="2372"/>
      <c r="S79" s="2373" t="e">
        <f>S78/'Area Calculations'!$J$4</f>
        <v>#DIV/0!</v>
      </c>
    </row>
    <row r="80" spans="1:19">
      <c r="A80" s="2358"/>
      <c r="B80" s="2359"/>
      <c r="C80" s="2360"/>
      <c r="D80" s="2360"/>
      <c r="E80" s="2361"/>
      <c r="F80" s="2370" t="s">
        <v>572</v>
      </c>
      <c r="G80" s="2374"/>
      <c r="H80" s="2372"/>
      <c r="I80" s="2373" t="e">
        <f>I78/'Area Calculations'!#REF!</f>
        <v>#REF!</v>
      </c>
      <c r="J80" s="2372"/>
      <c r="K80" s="2373" t="e">
        <f>K78/'Area Calculations'!#REF!</f>
        <v>#REF!</v>
      </c>
      <c r="L80" s="2372"/>
      <c r="M80" s="2373" t="e">
        <f>M78/'Area Calculations'!#REF!</f>
        <v>#REF!</v>
      </c>
      <c r="N80" s="2372"/>
      <c r="O80" s="2373" t="e">
        <f>O78/'Area Calculations'!#REF!</f>
        <v>#REF!</v>
      </c>
      <c r="P80" s="2372"/>
      <c r="Q80" s="2373" t="e">
        <f>Q78/'Area Calculations'!#REF!</f>
        <v>#REF!</v>
      </c>
      <c r="R80" s="2372"/>
      <c r="S80" s="2373" t="e">
        <f>S78/'Area Calculations'!#REF!</f>
        <v>#REF!</v>
      </c>
    </row>
    <row r="81" spans="1:19">
      <c r="A81" s="2358"/>
      <c r="B81" s="2359"/>
      <c r="C81" s="2360"/>
      <c r="D81" s="2360"/>
      <c r="E81" s="2361"/>
      <c r="F81" s="2362"/>
      <c r="G81" s="2375"/>
      <c r="H81" s="2376"/>
      <c r="I81" s="2377"/>
      <c r="J81" s="2376"/>
      <c r="K81" s="2377"/>
      <c r="L81" s="2376"/>
      <c r="M81" s="2377"/>
      <c r="N81" s="2376"/>
      <c r="O81" s="2377"/>
      <c r="P81" s="2376"/>
      <c r="Q81" s="2377"/>
      <c r="R81" s="2376"/>
      <c r="S81" s="2377"/>
    </row>
    <row r="82" spans="1:19">
      <c r="A82" s="726" t="s">
        <v>573</v>
      </c>
      <c r="B82" s="727"/>
      <c r="C82" s="12"/>
      <c r="D82" s="12"/>
      <c r="E82" s="12"/>
      <c r="F82" s="12"/>
      <c r="G82" s="13"/>
      <c r="H82" s="21"/>
      <c r="I82" s="21"/>
      <c r="J82" s="21"/>
      <c r="K82" s="21"/>
      <c r="L82" s="21"/>
      <c r="M82" s="21"/>
      <c r="N82" s="21"/>
      <c r="O82" s="21"/>
      <c r="P82" s="21"/>
      <c r="Q82" s="21"/>
      <c r="R82" s="21"/>
      <c r="S82" s="21"/>
    </row>
    <row r="83" spans="1:19">
      <c r="A83" s="2797"/>
      <c r="B83" s="2404"/>
      <c r="C83" s="2817"/>
      <c r="D83" s="2817"/>
      <c r="E83" s="2817"/>
      <c r="F83" s="2817"/>
      <c r="G83" s="2818"/>
      <c r="H83" s="2777"/>
      <c r="I83" s="2777"/>
      <c r="J83" s="2777"/>
      <c r="K83" s="2777"/>
      <c r="L83" s="2777"/>
      <c r="M83" s="2777"/>
      <c r="N83" s="2777"/>
      <c r="O83" s="2777"/>
      <c r="P83" s="2777"/>
      <c r="Q83" s="2777"/>
      <c r="R83" s="2777"/>
      <c r="S83" s="2777"/>
    </row>
    <row r="84" spans="1:19" s="2" customFormat="1">
      <c r="A84" s="2797"/>
      <c r="B84" s="2404"/>
      <c r="C84" s="2817"/>
      <c r="D84" s="2817"/>
      <c r="E84" s="2817"/>
      <c r="F84" s="2817"/>
      <c r="G84" s="2818"/>
      <c r="H84" s="2777"/>
      <c r="I84" s="2777"/>
      <c r="J84" s="2777"/>
      <c r="K84" s="2777"/>
      <c r="L84" s="2777"/>
      <c r="M84" s="2777"/>
      <c r="N84" s="2777"/>
      <c r="O84" s="2777"/>
      <c r="P84" s="2777"/>
      <c r="Q84" s="2777"/>
      <c r="R84" s="2777"/>
      <c r="S84" s="2777"/>
    </row>
    <row r="85" spans="1:19" s="2" customFormat="1">
      <c r="A85" s="2797"/>
      <c r="B85" s="2404"/>
      <c r="C85" s="2817"/>
      <c r="D85" s="2817"/>
      <c r="E85" s="2817"/>
      <c r="F85" s="2817"/>
      <c r="G85" s="2818"/>
      <c r="H85" s="2777"/>
      <c r="I85" s="2777"/>
      <c r="J85" s="2777"/>
      <c r="K85" s="2777"/>
      <c r="L85" s="2777"/>
      <c r="M85" s="2777"/>
      <c r="N85" s="2777"/>
      <c r="O85" s="2777"/>
      <c r="P85" s="2777"/>
      <c r="Q85" s="2777"/>
      <c r="R85" s="2777"/>
      <c r="S85" s="2777"/>
    </row>
    <row r="86" spans="1:19">
      <c r="A86" s="726" t="s">
        <v>574</v>
      </c>
      <c r="B86" s="727"/>
      <c r="C86" s="12"/>
      <c r="D86" s="12"/>
      <c r="E86" s="12"/>
      <c r="F86" s="12"/>
      <c r="G86" s="13"/>
      <c r="H86" s="21"/>
      <c r="I86" s="21"/>
      <c r="J86" s="21"/>
      <c r="K86" s="21"/>
      <c r="L86" s="21"/>
      <c r="M86" s="21"/>
      <c r="N86" s="21"/>
      <c r="O86" s="21"/>
      <c r="P86" s="21"/>
      <c r="Q86" s="21"/>
      <c r="R86" s="21"/>
      <c r="S86" s="21"/>
    </row>
    <row r="87" spans="1:19" s="2" customFormat="1">
      <c r="A87" s="2797"/>
      <c r="B87" s="2404"/>
      <c r="C87" s="2817"/>
      <c r="D87" s="2817"/>
      <c r="E87" s="2817"/>
      <c r="F87" s="2817"/>
      <c r="G87" s="2818"/>
      <c r="H87" s="2777"/>
      <c r="I87" s="2777"/>
      <c r="J87" s="2777"/>
      <c r="K87" s="2777"/>
      <c r="L87" s="2777"/>
      <c r="M87" s="2777"/>
      <c r="N87" s="2777"/>
      <c r="O87" s="2777"/>
      <c r="P87" s="2777"/>
      <c r="Q87" s="2777"/>
      <c r="R87" s="2777"/>
      <c r="S87" s="2777"/>
    </row>
    <row r="88" spans="1:19" s="2" customFormat="1">
      <c r="A88" s="2797"/>
      <c r="B88" s="2404"/>
      <c r="C88" s="2817"/>
      <c r="D88" s="2817"/>
      <c r="E88" s="2817"/>
      <c r="F88" s="2817"/>
      <c r="G88" s="2818"/>
      <c r="H88" s="2777"/>
      <c r="I88" s="2777"/>
      <c r="J88" s="2777"/>
      <c r="K88" s="2777"/>
      <c r="L88" s="2777"/>
      <c r="M88" s="2777"/>
      <c r="N88" s="2777"/>
      <c r="O88" s="2777"/>
      <c r="P88" s="2777"/>
      <c r="Q88" s="2777"/>
      <c r="R88" s="2777"/>
      <c r="S88" s="2777"/>
    </row>
    <row r="89" spans="1:19">
      <c r="A89" s="2797"/>
      <c r="B89" s="2404"/>
      <c r="C89" s="2817"/>
      <c r="D89" s="2817"/>
      <c r="E89" s="2817"/>
      <c r="F89" s="2817"/>
      <c r="G89" s="2818"/>
      <c r="H89" s="2777"/>
      <c r="I89" s="2777"/>
      <c r="J89" s="2777"/>
      <c r="K89" s="2777"/>
      <c r="L89" s="2777"/>
      <c r="M89" s="2777"/>
      <c r="N89" s="2777"/>
      <c r="O89" s="2777"/>
      <c r="P89" s="2777"/>
      <c r="Q89" s="2777"/>
      <c r="R89" s="2777"/>
      <c r="S89" s="2777"/>
    </row>
    <row r="90" spans="1:19">
      <c r="A90" s="726" t="s">
        <v>575</v>
      </c>
      <c r="B90" s="727"/>
      <c r="C90" s="12"/>
      <c r="D90" s="12"/>
      <c r="E90" s="12"/>
      <c r="F90" s="12"/>
      <c r="G90" s="13"/>
      <c r="H90" s="21"/>
      <c r="I90" s="21"/>
      <c r="J90" s="21"/>
      <c r="K90" s="21"/>
      <c r="L90" s="21"/>
      <c r="M90" s="21"/>
      <c r="N90" s="21"/>
      <c r="O90" s="21"/>
      <c r="P90" s="21"/>
      <c r="Q90" s="21"/>
      <c r="R90" s="21"/>
      <c r="S90" s="21"/>
    </row>
    <row r="91" spans="1:19">
      <c r="A91" s="2797"/>
      <c r="B91" s="2404"/>
      <c r="C91" s="2817"/>
      <c r="D91" s="2817"/>
      <c r="E91" s="2817"/>
      <c r="F91" s="2817"/>
      <c r="G91" s="2818"/>
      <c r="H91" s="2777"/>
      <c r="I91" s="2777"/>
      <c r="J91" s="2777"/>
      <c r="K91" s="2777"/>
      <c r="L91" s="2777"/>
      <c r="M91" s="2777"/>
      <c r="N91" s="2777"/>
      <c r="O91" s="2777"/>
      <c r="P91" s="2777"/>
      <c r="Q91" s="2777"/>
      <c r="R91" s="2777"/>
      <c r="S91" s="2777"/>
    </row>
    <row r="92" spans="1:19">
      <c r="A92" s="2421"/>
      <c r="B92" s="2404"/>
      <c r="C92" s="2405"/>
      <c r="D92" s="2405"/>
      <c r="E92" s="2405"/>
      <c r="F92" s="2405"/>
      <c r="G92" s="2423"/>
      <c r="H92" s="2382"/>
      <c r="I92" s="2382"/>
      <c r="J92" s="2382"/>
      <c r="K92" s="2382"/>
      <c r="L92" s="2382"/>
      <c r="M92" s="2382"/>
      <c r="N92" s="2382"/>
      <c r="O92" s="2382"/>
      <c r="P92" s="2382"/>
      <c r="Q92" s="2382"/>
      <c r="R92" s="2382"/>
      <c r="S92" s="2382"/>
    </row>
    <row r="93" spans="1:19">
      <c r="A93" s="2383"/>
      <c r="B93" s="2384"/>
      <c r="C93" s="2405"/>
      <c r="D93" s="2405"/>
      <c r="E93" s="2405"/>
      <c r="F93" s="2405"/>
      <c r="G93" s="2423"/>
      <c r="H93" s="2385"/>
      <c r="I93" s="2385"/>
      <c r="J93" s="2385"/>
      <c r="K93" s="2385"/>
      <c r="L93" s="2385"/>
      <c r="M93" s="2385"/>
      <c r="N93" s="2385"/>
      <c r="O93" s="2385"/>
      <c r="P93" s="2385"/>
      <c r="Q93" s="2385"/>
      <c r="R93" s="2385"/>
      <c r="S93" s="2385"/>
    </row>
    <row r="94" spans="1:19">
      <c r="A94" s="726" t="s">
        <v>576</v>
      </c>
      <c r="B94" s="727"/>
      <c r="C94" s="12"/>
      <c r="D94" s="12"/>
      <c r="E94" s="12"/>
      <c r="F94" s="12"/>
      <c r="G94" s="13"/>
      <c r="H94" s="21"/>
      <c r="I94" s="21"/>
      <c r="J94" s="21"/>
      <c r="K94" s="21"/>
      <c r="L94" s="21"/>
      <c r="M94" s="21"/>
      <c r="N94" s="21"/>
      <c r="O94" s="21"/>
      <c r="P94" s="21"/>
      <c r="Q94" s="21"/>
      <c r="R94" s="21"/>
      <c r="S94" s="21"/>
    </row>
    <row r="95" spans="1:19">
      <c r="A95" s="2801"/>
      <c r="B95" s="2819"/>
      <c r="C95" s="2817"/>
      <c r="D95" s="2817"/>
      <c r="E95" s="2817"/>
      <c r="F95" s="2817"/>
      <c r="G95" s="2818"/>
      <c r="H95" s="2777"/>
      <c r="I95" s="2777"/>
      <c r="J95" s="2777"/>
      <c r="K95" s="2777"/>
      <c r="L95" s="2777"/>
      <c r="M95" s="2777"/>
      <c r="N95" s="2777"/>
      <c r="O95" s="2777"/>
      <c r="P95" s="2777"/>
      <c r="Q95" s="2777"/>
      <c r="R95" s="2777"/>
      <c r="S95" s="2777"/>
    </row>
    <row r="96" spans="1:19">
      <c r="A96" s="2383"/>
      <c r="B96" s="2384"/>
      <c r="C96" s="2405"/>
      <c r="D96" s="2405"/>
      <c r="E96" s="2405"/>
      <c r="F96" s="2405"/>
      <c r="G96" s="2423"/>
      <c r="H96" s="2388"/>
      <c r="I96" s="2388"/>
      <c r="J96" s="2388"/>
      <c r="K96" s="2388"/>
      <c r="L96" s="2388"/>
      <c r="M96" s="2388"/>
      <c r="N96" s="2388"/>
      <c r="O96" s="2388"/>
      <c r="P96" s="2388"/>
      <c r="Q96" s="2388"/>
      <c r="R96" s="2388"/>
      <c r="S96" s="2388"/>
    </row>
    <row r="97" spans="1:19">
      <c r="A97" s="2383"/>
      <c r="B97" s="2384"/>
      <c r="C97" s="2405"/>
      <c r="D97" s="2405"/>
      <c r="E97" s="2405"/>
      <c r="F97" s="2405"/>
      <c r="G97" s="2423"/>
      <c r="H97" s="2388"/>
      <c r="I97" s="2388"/>
      <c r="J97" s="2388"/>
      <c r="K97" s="2388"/>
      <c r="L97" s="2388"/>
      <c r="M97" s="2388"/>
      <c r="N97" s="2388"/>
      <c r="O97" s="2388"/>
      <c r="P97" s="2388"/>
      <c r="Q97" s="2388"/>
      <c r="R97" s="2388"/>
      <c r="S97" s="2388"/>
    </row>
    <row r="98" spans="1:19">
      <c r="A98" s="726" t="s">
        <v>577</v>
      </c>
      <c r="B98" s="727"/>
      <c r="C98" s="12"/>
      <c r="D98" s="12"/>
      <c r="E98" s="12"/>
      <c r="F98" s="12"/>
      <c r="G98" s="13"/>
      <c r="H98" s="21"/>
      <c r="I98" s="21"/>
      <c r="J98" s="21"/>
      <c r="K98" s="21"/>
      <c r="L98" s="21"/>
      <c r="M98" s="21"/>
      <c r="N98" s="21"/>
      <c r="O98" s="21"/>
      <c r="P98" s="21"/>
      <c r="Q98" s="21"/>
      <c r="R98" s="21"/>
      <c r="S98" s="21"/>
    </row>
    <row r="99" spans="1:19">
      <c r="A99" s="2421"/>
      <c r="B99" s="2404" t="s">
        <v>578</v>
      </c>
      <c r="C99" s="2405"/>
      <c r="D99" s="2405"/>
      <c r="E99" s="2405"/>
      <c r="F99" s="2405"/>
      <c r="G99" s="2423"/>
      <c r="H99" s="2388"/>
      <c r="I99" s="2388"/>
      <c r="J99" s="2388"/>
      <c r="K99" s="2388"/>
      <c r="L99" s="2388"/>
      <c r="M99" s="2388"/>
      <c r="N99" s="2388"/>
      <c r="O99" s="2388"/>
      <c r="P99" s="2388"/>
      <c r="Q99" s="2388"/>
      <c r="R99" s="2388"/>
      <c r="S99" s="2388"/>
    </row>
    <row r="100" spans="1:19">
      <c r="A100" s="2421"/>
      <c r="B100" s="2404" t="s">
        <v>579</v>
      </c>
      <c r="C100" s="2405"/>
      <c r="D100" s="2405"/>
      <c r="E100" s="2405"/>
      <c r="F100" s="2405"/>
      <c r="G100" s="2423"/>
      <c r="H100" s="2388"/>
      <c r="I100" s="2388"/>
      <c r="J100" s="2388"/>
      <c r="K100" s="2388"/>
      <c r="L100" s="2388"/>
      <c r="M100" s="2388"/>
      <c r="N100" s="2388"/>
      <c r="O100" s="2388"/>
      <c r="P100" s="2388"/>
      <c r="Q100" s="2388"/>
      <c r="R100" s="2388"/>
      <c r="S100" s="2388"/>
    </row>
    <row r="101" spans="1:19">
      <c r="A101" s="2421"/>
      <c r="B101" s="2404" t="s">
        <v>580</v>
      </c>
      <c r="C101" s="2405"/>
      <c r="D101" s="2405"/>
      <c r="E101" s="2405"/>
      <c r="F101" s="2405"/>
      <c r="G101" s="2423"/>
      <c r="H101" s="2388"/>
      <c r="I101" s="2388"/>
      <c r="J101" s="2388"/>
      <c r="K101" s="2388"/>
      <c r="L101" s="2388"/>
      <c r="M101" s="2388"/>
      <c r="N101" s="2388"/>
      <c r="O101" s="2388"/>
      <c r="P101" s="2388"/>
      <c r="Q101" s="2388"/>
      <c r="R101" s="2388"/>
      <c r="S101" s="2388"/>
    </row>
    <row r="102" spans="1:19">
      <c r="A102" s="2421"/>
      <c r="B102" s="2404" t="s">
        <v>581</v>
      </c>
      <c r="C102" s="2405"/>
      <c r="D102" s="2405"/>
      <c r="E102" s="2405"/>
      <c r="F102" s="2405"/>
      <c r="G102" s="2423"/>
      <c r="H102" s="2388"/>
      <c r="I102" s="2388"/>
      <c r="J102" s="2388"/>
      <c r="K102" s="2388"/>
      <c r="L102" s="2388"/>
      <c r="M102" s="2388"/>
      <c r="N102" s="2388"/>
      <c r="O102" s="2388"/>
      <c r="P102" s="2388"/>
      <c r="Q102" s="2388"/>
      <c r="R102" s="2388"/>
      <c r="S102" s="2388"/>
    </row>
    <row r="103" spans="1:19">
      <c r="A103" s="416"/>
      <c r="B103" s="295"/>
      <c r="C103" s="184"/>
      <c r="D103" s="184"/>
      <c r="E103" s="184"/>
      <c r="F103" s="184"/>
      <c r="G103" s="296"/>
      <c r="H103" s="418"/>
      <c r="I103" s="418"/>
      <c r="J103" s="418"/>
      <c r="K103" s="418"/>
      <c r="L103" s="418"/>
      <c r="M103" s="418"/>
      <c r="N103" s="418"/>
      <c r="O103" s="418"/>
      <c r="P103" s="418"/>
      <c r="Q103" s="418"/>
      <c r="R103" s="418"/>
      <c r="S103" s="418"/>
    </row>
    <row r="104" spans="1:19">
      <c r="A104" s="7" t="s">
        <v>582</v>
      </c>
      <c r="B104" s="8"/>
      <c r="C104" s="12"/>
      <c r="D104" s="12"/>
      <c r="E104" s="12"/>
      <c r="F104" s="12"/>
      <c r="G104" s="13"/>
      <c r="H104" s="21"/>
      <c r="I104" s="21"/>
      <c r="J104" s="21"/>
      <c r="K104" s="21"/>
      <c r="L104" s="21"/>
      <c r="M104" s="21"/>
      <c r="N104" s="21"/>
      <c r="O104" s="21"/>
      <c r="P104" s="21"/>
      <c r="Q104" s="21"/>
      <c r="R104" s="21"/>
      <c r="S104" s="21"/>
    </row>
    <row r="105" spans="1:19">
      <c r="A105" s="2797"/>
      <c r="B105" s="2820" t="s">
        <v>583</v>
      </c>
      <c r="C105" s="2817"/>
      <c r="D105" s="2817"/>
      <c r="E105" s="2817"/>
      <c r="F105" s="2817"/>
      <c r="G105" s="2818"/>
      <c r="H105" s="2839"/>
      <c r="I105" s="2839"/>
      <c r="J105" s="2839"/>
      <c r="K105" s="2839"/>
      <c r="L105" s="2839"/>
      <c r="M105" s="2839"/>
      <c r="N105" s="2839"/>
      <c r="O105" s="2839"/>
      <c r="P105" s="2839"/>
      <c r="Q105" s="2839"/>
      <c r="R105" s="2839"/>
      <c r="S105" s="2839"/>
    </row>
    <row r="106" spans="1:19">
      <c r="A106" s="2421"/>
      <c r="B106" s="2404" t="s">
        <v>584</v>
      </c>
      <c r="C106" s="2405"/>
      <c r="D106" s="2405"/>
      <c r="E106" s="2405"/>
      <c r="F106" s="2405"/>
      <c r="G106" s="2423"/>
      <c r="H106" s="2390"/>
      <c r="I106" s="2390"/>
      <c r="J106" s="2390"/>
      <c r="K106" s="2390"/>
      <c r="L106" s="2390"/>
      <c r="M106" s="2390"/>
      <c r="N106" s="2390"/>
      <c r="O106" s="2390"/>
      <c r="P106" s="2390"/>
      <c r="Q106" s="2390"/>
      <c r="R106" s="2390"/>
      <c r="S106" s="2390"/>
    </row>
    <row r="107" spans="1:19">
      <c r="A107" s="2391"/>
      <c r="B107" s="2392" t="s">
        <v>585</v>
      </c>
      <c r="C107" s="2393"/>
      <c r="D107" s="2393"/>
      <c r="E107" s="2393"/>
      <c r="F107" s="2393"/>
      <c r="G107" s="2394"/>
      <c r="H107" s="2395"/>
      <c r="I107" s="2395"/>
      <c r="J107" s="2395"/>
      <c r="K107" s="2395"/>
      <c r="L107" s="2395"/>
      <c r="M107" s="2395"/>
      <c r="N107" s="2395"/>
      <c r="O107" s="2395"/>
      <c r="P107" s="2395"/>
      <c r="Q107" s="2395"/>
      <c r="R107" s="2395"/>
      <c r="S107" s="2395"/>
    </row>
    <row r="109" spans="1:19">
      <c r="A109" s="92" t="s">
        <v>586</v>
      </c>
      <c r="B109" s="94"/>
    </row>
    <row r="110" spans="1:19">
      <c r="A110" s="93" t="s">
        <v>487</v>
      </c>
      <c r="B110" s="2396"/>
    </row>
    <row r="111" spans="1:19">
      <c r="A111" s="2397" t="s">
        <v>491</v>
      </c>
      <c r="B111" s="2396"/>
    </row>
    <row r="112" spans="1:19">
      <c r="A112" s="2398" t="s">
        <v>494</v>
      </c>
      <c r="B112" s="2399"/>
    </row>
    <row r="113" spans="1:2">
      <c r="A113" s="2398" t="s">
        <v>497</v>
      </c>
      <c r="B113" s="2400"/>
    </row>
    <row r="114" spans="1:2">
      <c r="A114" s="2401" t="s">
        <v>587</v>
      </c>
      <c r="B114" s="2402">
        <f>H8</f>
        <v>0</v>
      </c>
    </row>
    <row r="116" spans="1:2">
      <c r="A116" s="95"/>
      <c r="B116" s="1" t="s">
        <v>588</v>
      </c>
    </row>
    <row r="117" spans="1:2">
      <c r="A117" s="96"/>
      <c r="B11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82:B82"/>
    <mergeCell ref="A86:B86"/>
    <mergeCell ref="A90:B90"/>
    <mergeCell ref="A94:B94"/>
    <mergeCell ref="A98:B98"/>
  </mergeCells>
  <conditionalFormatting sqref="H21:H31">
    <cfRule type="cellIs" dxfId="451" priority="19" operator="equal">
      <formula>"X"</formula>
    </cfRule>
    <cfRule type="cellIs" dxfId="450" priority="20" operator="equal">
      <formula>"I"</formula>
    </cfRule>
  </conditionalFormatting>
  <conditionalFormatting sqref="J21:J31">
    <cfRule type="cellIs" dxfId="449" priority="17" operator="equal">
      <formula>"X"</formula>
    </cfRule>
    <cfRule type="cellIs" dxfId="448" priority="18" operator="equal">
      <formula>"I"</formula>
    </cfRule>
  </conditionalFormatting>
  <conditionalFormatting sqref="L21:L31">
    <cfRule type="cellIs" dxfId="447" priority="15" operator="equal">
      <formula>"X"</formula>
    </cfRule>
    <cfRule type="cellIs" dxfId="446" priority="16" operator="equal">
      <formula>"I"</formula>
    </cfRule>
  </conditionalFormatting>
  <conditionalFormatting sqref="L33:L73">
    <cfRule type="cellIs" dxfId="445" priority="1" operator="equal">
      <formula>"X"</formula>
    </cfRule>
    <cfRule type="cellIs" dxfId="444" priority="2" operator="equal">
      <formula>"I"</formula>
    </cfRule>
  </conditionalFormatting>
  <conditionalFormatting sqref="N21:N31">
    <cfRule type="cellIs" dxfId="443" priority="13" operator="equal">
      <formula>"X"</formula>
    </cfRule>
    <cfRule type="cellIs" dxfId="442" priority="14" operator="equal">
      <formula>"I"</formula>
    </cfRule>
  </conditionalFormatting>
  <conditionalFormatting sqref="N33:N73">
    <cfRule type="cellIs" dxfId="441" priority="3" operator="equal">
      <formula>"X"</formula>
    </cfRule>
    <cfRule type="cellIs" dxfId="440" priority="4" operator="equal">
      <formula>"I"</formula>
    </cfRule>
  </conditionalFormatting>
  <conditionalFormatting sqref="P21:P31">
    <cfRule type="cellIs" dxfId="439" priority="11" operator="equal">
      <formula>"X"</formula>
    </cfRule>
    <cfRule type="cellIs" dxfId="438" priority="12" operator="equal">
      <formula>"I"</formula>
    </cfRule>
  </conditionalFormatting>
  <conditionalFormatting sqref="P33:P73">
    <cfRule type="cellIs" dxfId="437" priority="5" operator="equal">
      <formula>"X"</formula>
    </cfRule>
    <cfRule type="cellIs" dxfId="436" priority="6" operator="equal">
      <formula>"I"</formula>
    </cfRule>
  </conditionalFormatting>
  <conditionalFormatting sqref="R21:R31">
    <cfRule type="cellIs" dxfId="435" priority="9" operator="equal">
      <formula>"X"</formula>
    </cfRule>
    <cfRule type="cellIs" dxfId="434" priority="10" operator="equal">
      <formula>"I"</formula>
    </cfRule>
  </conditionalFormatting>
  <conditionalFormatting sqref="R33:R73">
    <cfRule type="cellIs" dxfId="433" priority="7" operator="equal">
      <formula>"X"</formula>
    </cfRule>
    <cfRule type="cellIs" dxfId="432" priority="8" operator="equal">
      <formula>"I"</formula>
    </cfRule>
  </conditionalFormatting>
  <hyperlinks>
    <hyperlink ref="B3" location="'Cost Summary'!A1" display="BACK TO SUMMARY SHEET" xr:uid="{2D057D92-5257-4D5A-A1A9-168B42AE436E}"/>
  </hyperlinks>
  <pageMargins left="0.7" right="0.7" top="0.75" bottom="0.75" header="0.3" footer="0.3"/>
  <pageSetup scale="71" orientation="portrait" horizontalDpi="1200" verticalDpi="120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CADF-49D4-4270-8D81-1E65C2F61EFC}">
  <sheetPr>
    <tabColor rgb="FF92D050"/>
  </sheetPr>
  <dimension ref="A1:S99"/>
  <sheetViews>
    <sheetView zoomScale="85" zoomScaleNormal="85" workbookViewId="0">
      <pane xSplit="2" ySplit="9" topLeftCell="C20" activePane="bottomRight" state="frozen"/>
      <selection pane="bottomRight" activeCell="B33" sqref="B33"/>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79"/>
      <c r="I4" s="779"/>
      <c r="J4" s="779"/>
      <c r="K4" s="779"/>
      <c r="L4" s="779"/>
      <c r="M4" s="779"/>
      <c r="N4" s="779"/>
      <c r="O4" s="779"/>
      <c r="P4" s="779"/>
      <c r="Q4" s="779"/>
      <c r="R4" s="760"/>
      <c r="S4" s="729"/>
    </row>
    <row r="5" spans="1:19">
      <c r="A5" s="2403" t="s">
        <v>489</v>
      </c>
      <c r="B5" s="2404" t="s">
        <v>1194</v>
      </c>
      <c r="C5" s="2405"/>
      <c r="D5" s="2405"/>
      <c r="E5" s="2405"/>
      <c r="F5" s="2405"/>
      <c r="G5" s="2406" t="s">
        <v>491</v>
      </c>
      <c r="H5" s="2518"/>
      <c r="I5" s="2518"/>
      <c r="J5" s="2518"/>
      <c r="K5" s="2518"/>
      <c r="L5" s="2518"/>
      <c r="M5" s="2518"/>
      <c r="N5" s="2518"/>
      <c r="O5" s="2518"/>
      <c r="P5" s="2518"/>
      <c r="Q5" s="2518"/>
      <c r="R5" s="2409"/>
      <c r="S5" s="2408"/>
    </row>
    <row r="6" spans="1:19">
      <c r="A6" s="2403" t="s">
        <v>493</v>
      </c>
      <c r="B6" s="2410" t="s">
        <v>1195</v>
      </c>
      <c r="C6" s="2405"/>
      <c r="D6" s="2405"/>
      <c r="E6" s="2405"/>
      <c r="F6" s="2405"/>
      <c r="G6" s="2406" t="s">
        <v>494</v>
      </c>
      <c r="H6" s="2519"/>
      <c r="I6" s="2519"/>
      <c r="J6" s="2519"/>
      <c r="K6" s="2519"/>
      <c r="L6" s="2519"/>
      <c r="M6" s="2519"/>
      <c r="N6" s="2519"/>
      <c r="O6" s="2519"/>
      <c r="P6" s="2519"/>
      <c r="Q6" s="2519"/>
      <c r="R6" s="2413"/>
      <c r="S6" s="2412"/>
    </row>
    <row r="7" spans="1:19">
      <c r="A7" s="2403" t="s">
        <v>496</v>
      </c>
      <c r="B7" s="2414"/>
      <c r="C7" s="2405"/>
      <c r="D7" s="2405"/>
      <c r="E7" s="2405"/>
      <c r="F7" s="2405"/>
      <c r="G7" s="2406" t="s">
        <v>497</v>
      </c>
      <c r="H7" s="2520"/>
      <c r="I7" s="2520"/>
      <c r="J7" s="2520"/>
      <c r="K7" s="2520"/>
      <c r="L7" s="2520"/>
      <c r="M7" s="2520"/>
      <c r="N7" s="2520"/>
      <c r="O7" s="2520"/>
      <c r="P7" s="2520"/>
      <c r="Q7" s="2520"/>
      <c r="R7" s="2417"/>
      <c r="S7" s="2416"/>
    </row>
    <row r="8" spans="1:19">
      <c r="A8" s="414" t="s">
        <v>499</v>
      </c>
      <c r="B8" s="295"/>
      <c r="C8" s="184"/>
      <c r="D8" s="184"/>
      <c r="E8" s="184"/>
      <c r="F8" s="184"/>
      <c r="G8" s="419" t="s">
        <v>499</v>
      </c>
      <c r="H8" s="2418">
        <f>I60</f>
        <v>0</v>
      </c>
      <c r="I8" s="2419"/>
      <c r="J8" s="2418">
        <f>K60</f>
        <v>0</v>
      </c>
      <c r="K8" s="2419"/>
      <c r="L8" s="2418">
        <f>M60</f>
        <v>0</v>
      </c>
      <c r="M8" s="2419"/>
      <c r="N8" s="2418">
        <f>O60</f>
        <v>0</v>
      </c>
      <c r="O8" s="2419"/>
      <c r="P8" s="2418">
        <f>Q60</f>
        <v>0</v>
      </c>
      <c r="Q8" s="2419"/>
      <c r="R8" s="2418">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82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21"/>
      <c r="B21" s="2428" t="s">
        <v>1194</v>
      </c>
      <c r="C21" s="2426"/>
      <c r="D21" s="2405"/>
      <c r="E21" s="2405"/>
      <c r="F21" s="2405"/>
      <c r="G21" s="2423"/>
      <c r="H21" s="2427"/>
      <c r="I21" s="2424"/>
      <c r="J21" s="2427"/>
      <c r="K21" s="2424"/>
      <c r="L21" s="2427"/>
      <c r="M21" s="2424"/>
      <c r="N21" s="2427"/>
      <c r="O21" s="2424"/>
      <c r="P21" s="2427"/>
      <c r="Q21" s="2424"/>
      <c r="R21" s="2427"/>
      <c r="S21" s="2424"/>
    </row>
    <row r="22" spans="1:19">
      <c r="A22" s="2805"/>
      <c r="B22" s="2318" t="s">
        <v>512</v>
      </c>
      <c r="C22" s="2426"/>
      <c r="D22" s="2405"/>
      <c r="E22" s="2405"/>
      <c r="F22" s="2405"/>
      <c r="G22" s="2423"/>
      <c r="H22" s="2427"/>
      <c r="I22" s="2822"/>
      <c r="J22" s="2427"/>
      <c r="K22" s="2822"/>
      <c r="L22" s="2427"/>
      <c r="M22" s="2822"/>
      <c r="N22" s="2427"/>
      <c r="O22" s="2822"/>
      <c r="P22" s="2427"/>
      <c r="Q22" s="2822"/>
      <c r="R22" s="2427"/>
      <c r="S22" s="2822"/>
    </row>
    <row r="23" spans="1:19">
      <c r="A23" s="2805"/>
      <c r="B23" s="2840" t="s">
        <v>513</v>
      </c>
      <c r="C23" s="2426"/>
      <c r="D23" s="2405"/>
      <c r="E23" s="2405"/>
      <c r="F23" s="2405"/>
      <c r="G23" s="2423"/>
      <c r="H23" s="2427"/>
      <c r="I23" s="2841"/>
      <c r="J23" s="2427"/>
      <c r="K23" s="2822"/>
      <c r="L23" s="2427"/>
      <c r="M23" s="2822"/>
      <c r="N23" s="2427"/>
      <c r="O23" s="2822"/>
      <c r="P23" s="2427"/>
      <c r="Q23" s="2822"/>
      <c r="R23" s="2427"/>
      <c r="S23" s="2822"/>
    </row>
    <row r="24" spans="1:19">
      <c r="A24" s="2805"/>
      <c r="B24" s="2840" t="s">
        <v>514</v>
      </c>
      <c r="C24" s="2430"/>
      <c r="D24" s="2405"/>
      <c r="E24" s="2405"/>
      <c r="F24" s="2405"/>
      <c r="G24" s="2423"/>
      <c r="H24" s="2427"/>
      <c r="I24" s="2841"/>
      <c r="J24" s="2427"/>
      <c r="K24" s="2822"/>
      <c r="L24" s="2427"/>
      <c r="M24" s="2822"/>
      <c r="N24" s="2427"/>
      <c r="O24" s="2822"/>
      <c r="P24" s="2427"/>
      <c r="Q24" s="2822"/>
      <c r="R24" s="2427"/>
      <c r="S24" s="2822"/>
    </row>
    <row r="25" spans="1:19">
      <c r="A25" s="2805"/>
      <c r="B25" s="2842" t="s">
        <v>515</v>
      </c>
      <c r="C25" s="2430"/>
      <c r="D25" s="2405"/>
      <c r="E25" s="2405"/>
      <c r="F25" s="2405"/>
      <c r="G25" s="2423"/>
      <c r="H25" s="2427"/>
      <c r="I25" s="2841"/>
      <c r="J25" s="2427"/>
      <c r="K25" s="2822"/>
      <c r="L25" s="2427"/>
      <c r="M25" s="2822"/>
      <c r="N25" s="2427"/>
      <c r="O25" s="2822"/>
      <c r="P25" s="2427"/>
      <c r="Q25" s="2822"/>
      <c r="R25" s="2427"/>
      <c r="S25" s="2822"/>
    </row>
    <row r="26" spans="1:19" s="91" customFormat="1">
      <c r="A26" s="2843"/>
      <c r="B26" s="2842" t="s">
        <v>516</v>
      </c>
      <c r="C26" s="2432"/>
      <c r="D26" s="2433"/>
      <c r="E26" s="2433"/>
      <c r="F26" s="2433"/>
      <c r="G26" s="2432"/>
      <c r="H26" s="2427"/>
      <c r="I26" s="2841"/>
      <c r="J26" s="2427"/>
      <c r="K26" s="2827"/>
      <c r="L26" s="2427"/>
      <c r="M26" s="2827"/>
      <c r="N26" s="2427"/>
      <c r="O26" s="2827"/>
      <c r="P26" s="2427"/>
      <c r="Q26" s="2827"/>
      <c r="R26" s="2427"/>
      <c r="S26" s="2827"/>
    </row>
    <row r="27" spans="1:19" s="91" customFormat="1">
      <c r="A27" s="2843"/>
      <c r="B27" s="2842" t="s">
        <v>517</v>
      </c>
      <c r="C27" s="2432"/>
      <c r="D27" s="2433"/>
      <c r="E27" s="2433"/>
      <c r="F27" s="2433"/>
      <c r="G27" s="2432"/>
      <c r="H27" s="2427"/>
      <c r="I27" s="2841"/>
      <c r="J27" s="2427"/>
      <c r="K27" s="2827"/>
      <c r="L27" s="2427"/>
      <c r="M27" s="2827"/>
      <c r="N27" s="2427"/>
      <c r="O27" s="2827"/>
      <c r="P27" s="2427"/>
      <c r="Q27" s="2827"/>
      <c r="R27" s="2427"/>
      <c r="S27" s="2827"/>
    </row>
    <row r="28" spans="1:19" s="91" customFormat="1">
      <c r="A28" s="2843"/>
      <c r="B28" s="2842" t="s">
        <v>518</v>
      </c>
      <c r="C28" s="2432"/>
      <c r="D28" s="2433"/>
      <c r="E28" s="2433"/>
      <c r="F28" s="2433"/>
      <c r="G28" s="2432"/>
      <c r="H28" s="2427"/>
      <c r="I28" s="2841"/>
      <c r="J28" s="2427"/>
      <c r="K28" s="2827"/>
      <c r="L28" s="2427"/>
      <c r="M28" s="2827"/>
      <c r="N28" s="2427"/>
      <c r="O28" s="2827"/>
      <c r="P28" s="2427"/>
      <c r="Q28" s="2827"/>
      <c r="R28" s="2427"/>
      <c r="S28" s="2827"/>
    </row>
    <row r="29" spans="1:19" s="91" customFormat="1">
      <c r="A29" s="2843"/>
      <c r="B29" s="2842" t="s">
        <v>693</v>
      </c>
      <c r="C29" s="2432"/>
      <c r="D29" s="2433"/>
      <c r="E29" s="2433"/>
      <c r="F29" s="2433"/>
      <c r="G29" s="2432"/>
      <c r="H29" s="2427"/>
      <c r="I29" s="2841"/>
      <c r="J29" s="2427"/>
      <c r="K29" s="2827"/>
      <c r="L29" s="2427"/>
      <c r="M29" s="2827"/>
      <c r="N29" s="2427"/>
      <c r="O29" s="2827"/>
      <c r="P29" s="2427"/>
      <c r="Q29" s="2827"/>
      <c r="R29" s="2427"/>
      <c r="S29" s="2827"/>
    </row>
    <row r="30" spans="1:19" s="91" customFormat="1">
      <c r="A30" s="2843"/>
      <c r="B30" s="2828" t="s">
        <v>519</v>
      </c>
      <c r="C30" s="2432"/>
      <c r="D30" s="2433"/>
      <c r="E30" s="2433"/>
      <c r="F30" s="2433"/>
      <c r="G30" s="2432"/>
      <c r="H30" s="2427"/>
      <c r="I30" s="2841"/>
      <c r="J30" s="2427"/>
      <c r="K30" s="2827"/>
      <c r="L30" s="2427"/>
      <c r="M30" s="2827"/>
      <c r="N30" s="2427"/>
      <c r="O30" s="2827"/>
      <c r="P30" s="2427"/>
      <c r="Q30" s="2827"/>
      <c r="R30" s="2427"/>
      <c r="S30" s="2827"/>
    </row>
    <row r="31" spans="1:19" s="91" customFormat="1">
      <c r="A31" s="2843"/>
      <c r="B31" s="2829" t="s">
        <v>520</v>
      </c>
      <c r="C31" s="2435"/>
      <c r="D31" s="2436"/>
      <c r="E31" s="2436"/>
      <c r="F31" s="2436"/>
      <c r="G31" s="2435"/>
      <c r="H31" s="2439"/>
      <c r="I31" s="2830"/>
      <c r="J31" s="2443"/>
      <c r="K31" s="2831"/>
      <c r="L31" s="2443"/>
      <c r="M31" s="2831"/>
      <c r="N31" s="2831"/>
      <c r="O31" s="2831"/>
      <c r="P31" s="2831"/>
      <c r="Q31" s="2831"/>
      <c r="R31" s="2831"/>
      <c r="S31" s="2831"/>
    </row>
    <row r="32" spans="1:19" s="91" customFormat="1">
      <c r="A32" s="2843"/>
      <c r="B32" s="151"/>
      <c r="C32" s="2432"/>
      <c r="D32" s="2433"/>
      <c r="E32" s="2433"/>
      <c r="F32" s="2433"/>
      <c r="G32" s="2432"/>
      <c r="H32" s="2537"/>
      <c r="I32" s="2841"/>
      <c r="J32" s="2539"/>
      <c r="K32" s="2827"/>
      <c r="L32" s="2427"/>
      <c r="M32" s="2827"/>
      <c r="N32" s="2427"/>
      <c r="O32" s="2827"/>
      <c r="P32" s="2427"/>
      <c r="Q32" s="2827"/>
      <c r="R32" s="2427"/>
      <c r="S32" s="2827"/>
    </row>
    <row r="33" spans="1:19" s="91" customFormat="1">
      <c r="A33" s="2844"/>
      <c r="B33" s="2550"/>
      <c r="C33" s="2445"/>
      <c r="D33" s="2433"/>
      <c r="E33" s="2433"/>
      <c r="F33" s="2433"/>
      <c r="G33" s="2432"/>
      <c r="H33" s="2537"/>
      <c r="I33" s="2841"/>
      <c r="J33" s="2539"/>
      <c r="K33" s="2827"/>
      <c r="L33" s="2427"/>
      <c r="M33" s="2827"/>
      <c r="N33" s="2427"/>
      <c r="O33" s="2827"/>
      <c r="P33" s="2427"/>
      <c r="Q33" s="2827"/>
      <c r="R33" s="2427"/>
      <c r="S33" s="2827"/>
    </row>
    <row r="34" spans="1:19" s="91" customFormat="1">
      <c r="A34" s="2844"/>
      <c r="B34" s="2444"/>
      <c r="C34" s="2445"/>
      <c r="D34" s="2433"/>
      <c r="E34" s="2433"/>
      <c r="F34" s="2433"/>
      <c r="G34" s="2432"/>
      <c r="H34" s="2537"/>
      <c r="I34" s="2841"/>
      <c r="J34" s="2539"/>
      <c r="K34" s="2827"/>
      <c r="L34" s="2427"/>
      <c r="M34" s="2827"/>
      <c r="N34" s="2427"/>
      <c r="O34" s="2827"/>
      <c r="P34" s="2427" t="s">
        <v>710</v>
      </c>
      <c r="Q34" s="2827"/>
      <c r="R34" s="2427"/>
      <c r="S34" s="2827"/>
    </row>
    <row r="35" spans="1:19" s="91" customFormat="1">
      <c r="A35" s="2844"/>
      <c r="B35" s="2444"/>
      <c r="C35" s="2445"/>
      <c r="D35" s="2433"/>
      <c r="E35" s="2433"/>
      <c r="F35" s="2433"/>
      <c r="G35" s="2432"/>
      <c r="H35" s="2537"/>
      <c r="I35" s="2841"/>
      <c r="J35" s="2539"/>
      <c r="K35" s="2827"/>
      <c r="L35" s="2427"/>
      <c r="M35" s="2827"/>
      <c r="N35" s="2427"/>
      <c r="O35" s="2827"/>
      <c r="P35" s="2427"/>
      <c r="Q35" s="2827"/>
      <c r="R35" s="2427"/>
      <c r="S35" s="2827"/>
    </row>
    <row r="36" spans="1:19" s="91" customFormat="1">
      <c r="A36" s="2844"/>
      <c r="B36" s="2506"/>
      <c r="C36" s="2445"/>
      <c r="D36" s="2433"/>
      <c r="E36" s="2433"/>
      <c r="F36" s="2433"/>
      <c r="G36" s="2432"/>
      <c r="H36" s="2537"/>
      <c r="I36" s="2841"/>
      <c r="J36" s="2539"/>
      <c r="K36" s="2827"/>
      <c r="L36" s="2427"/>
      <c r="M36" s="2827"/>
      <c r="N36" s="2427"/>
      <c r="O36" s="2827"/>
      <c r="P36" s="2427"/>
      <c r="Q36" s="2827"/>
      <c r="R36" s="2427"/>
      <c r="S36" s="2827"/>
    </row>
    <row r="37" spans="1:19" s="91" customFormat="1">
      <c r="A37" s="2844"/>
      <c r="B37" s="2444"/>
      <c r="C37" s="2445"/>
      <c r="D37" s="2433"/>
      <c r="E37" s="2433"/>
      <c r="F37" s="2433"/>
      <c r="G37" s="2432"/>
      <c r="H37" s="2537"/>
      <c r="I37" s="2841"/>
      <c r="J37" s="2539"/>
      <c r="K37" s="2827"/>
      <c r="L37" s="2427"/>
      <c r="M37" s="2827"/>
      <c r="N37" s="2427"/>
      <c r="O37" s="2827"/>
      <c r="P37" s="2427"/>
      <c r="Q37" s="2827"/>
      <c r="R37" s="2427"/>
      <c r="S37" s="2827"/>
    </row>
    <row r="38" spans="1:19" s="91" customFormat="1">
      <c r="A38" s="2844"/>
      <c r="B38" s="2444"/>
      <c r="C38" s="2445"/>
      <c r="D38" s="2433"/>
      <c r="E38" s="2546"/>
      <c r="F38" s="2547"/>
      <c r="G38" s="2432"/>
      <c r="H38" s="2537"/>
      <c r="I38" s="2841"/>
      <c r="J38" s="2539"/>
      <c r="K38" s="2827"/>
      <c r="L38" s="2427"/>
      <c r="M38" s="2827"/>
      <c r="N38" s="2427"/>
      <c r="O38" s="2827"/>
      <c r="P38" s="2427"/>
      <c r="Q38" s="2827"/>
      <c r="R38" s="2427"/>
      <c r="S38" s="2827"/>
    </row>
    <row r="39" spans="1:19" s="91" customFormat="1">
      <c r="A39" s="2844"/>
      <c r="B39" s="2444"/>
      <c r="C39" s="2445"/>
      <c r="D39" s="2433"/>
      <c r="E39" s="2546"/>
      <c r="F39" s="2547"/>
      <c r="G39" s="2432"/>
      <c r="H39" s="2537"/>
      <c r="I39" s="2841"/>
      <c r="J39" s="2539"/>
      <c r="K39" s="2827"/>
      <c r="L39" s="2427"/>
      <c r="M39" s="2827"/>
      <c r="N39" s="2427"/>
      <c r="O39" s="2827"/>
      <c r="P39" s="2427"/>
      <c r="Q39" s="2827"/>
      <c r="R39" s="2427"/>
      <c r="S39" s="2827"/>
    </row>
    <row r="40" spans="1:19" s="91" customFormat="1">
      <c r="A40" s="2844"/>
      <c r="B40" s="2444"/>
      <c r="C40" s="2445"/>
      <c r="D40" s="2433"/>
      <c r="E40" s="2546"/>
      <c r="F40" s="2547"/>
      <c r="G40" s="2432"/>
      <c r="H40" s="2537"/>
      <c r="I40" s="2841"/>
      <c r="J40" s="2539"/>
      <c r="K40" s="2827"/>
      <c r="L40" s="2427"/>
      <c r="M40" s="2827"/>
      <c r="N40" s="2427"/>
      <c r="O40" s="2827"/>
      <c r="P40" s="2427"/>
      <c r="Q40" s="2827"/>
      <c r="R40" s="2427"/>
      <c r="S40" s="2827"/>
    </row>
    <row r="41" spans="1:19" s="91" customFormat="1">
      <c r="A41" s="2844"/>
      <c r="B41" s="2845"/>
      <c r="C41" s="2445"/>
      <c r="D41" s="2433"/>
      <c r="E41" s="2546"/>
      <c r="F41" s="2547"/>
      <c r="G41" s="2432"/>
      <c r="H41" s="2537"/>
      <c r="I41" s="2841"/>
      <c r="J41" s="2539"/>
      <c r="K41" s="2827"/>
      <c r="L41" s="2427"/>
      <c r="M41" s="2827"/>
      <c r="N41" s="2427"/>
      <c r="O41" s="2827"/>
      <c r="P41" s="2427"/>
      <c r="Q41" s="2827"/>
      <c r="R41" s="2427"/>
      <c r="S41" s="2827"/>
    </row>
    <row r="42" spans="1:19" s="91" customFormat="1">
      <c r="A42" s="2844"/>
      <c r="B42" s="2846"/>
      <c r="C42" s="2445"/>
      <c r="D42" s="2433"/>
      <c r="E42" s="2546"/>
      <c r="F42" s="2547"/>
      <c r="G42" s="2432"/>
      <c r="H42" s="2537"/>
      <c r="I42" s="2841"/>
      <c r="J42" s="2539"/>
      <c r="K42" s="2827"/>
      <c r="L42" s="2427"/>
      <c r="M42" s="2827"/>
      <c r="N42" s="2427"/>
      <c r="O42" s="2827"/>
      <c r="P42" s="2427"/>
      <c r="Q42" s="2827"/>
      <c r="R42" s="2427"/>
      <c r="S42" s="2827"/>
    </row>
    <row r="43" spans="1:19" s="91" customFormat="1">
      <c r="A43" s="2844"/>
      <c r="B43" s="152"/>
      <c r="C43" s="2445"/>
      <c r="D43" s="2433"/>
      <c r="E43" s="2546"/>
      <c r="F43" s="2547"/>
      <c r="G43" s="2432"/>
      <c r="H43" s="2537"/>
      <c r="I43" s="2841"/>
      <c r="J43" s="2539"/>
      <c r="K43" s="2827"/>
      <c r="L43" s="2427"/>
      <c r="M43" s="2827"/>
      <c r="N43" s="2427"/>
      <c r="O43" s="2827"/>
      <c r="P43" s="2427"/>
      <c r="Q43" s="2827"/>
      <c r="R43" s="2427"/>
      <c r="S43" s="2827"/>
    </row>
    <row r="44" spans="1:19" s="91" customFormat="1">
      <c r="A44" s="2844"/>
      <c r="B44" s="2545"/>
      <c r="C44" s="2445"/>
      <c r="D44" s="2433"/>
      <c r="E44" s="2546"/>
      <c r="F44" s="2547"/>
      <c r="G44" s="2432"/>
      <c r="H44" s="2537"/>
      <c r="I44" s="2841"/>
      <c r="J44" s="2539"/>
      <c r="K44" s="2827"/>
      <c r="L44" s="2427"/>
      <c r="M44" s="2827"/>
      <c r="N44" s="2427"/>
      <c r="O44" s="2827"/>
      <c r="P44" s="2427"/>
      <c r="Q44" s="2827"/>
      <c r="R44" s="2427"/>
      <c r="S44" s="2827"/>
    </row>
    <row r="45" spans="1:19" s="91" customFormat="1">
      <c r="A45" s="2844"/>
      <c r="B45" s="2545"/>
      <c r="C45" s="2445"/>
      <c r="D45" s="2433"/>
      <c r="E45" s="2546"/>
      <c r="F45" s="2547"/>
      <c r="G45" s="2432"/>
      <c r="H45" s="2537"/>
      <c r="I45" s="2841"/>
      <c r="J45" s="2539"/>
      <c r="K45" s="2827"/>
      <c r="L45" s="2427"/>
      <c r="M45" s="2827"/>
      <c r="N45" s="2427"/>
      <c r="O45" s="2827"/>
      <c r="P45" s="2427"/>
      <c r="Q45" s="2827"/>
      <c r="R45" s="2427"/>
      <c r="S45" s="2827"/>
    </row>
    <row r="46" spans="1:19" s="91" customFormat="1">
      <c r="A46" s="2844"/>
      <c r="B46" s="2545"/>
      <c r="C46" s="2445"/>
      <c r="D46" s="2433"/>
      <c r="E46" s="2546"/>
      <c r="F46" s="2547"/>
      <c r="G46" s="2432"/>
      <c r="H46" s="2537"/>
      <c r="I46" s="2841"/>
      <c r="J46" s="2539"/>
      <c r="K46" s="2827"/>
      <c r="L46" s="2427"/>
      <c r="M46" s="2827"/>
      <c r="N46" s="2427"/>
      <c r="O46" s="2827"/>
      <c r="P46" s="2427"/>
      <c r="Q46" s="2827"/>
      <c r="R46" s="2427"/>
      <c r="S46" s="2827"/>
    </row>
    <row r="47" spans="1:19" s="91" customFormat="1">
      <c r="A47" s="2844"/>
      <c r="B47" s="2545"/>
      <c r="C47" s="2445"/>
      <c r="D47" s="2433"/>
      <c r="E47" s="2546"/>
      <c r="F47" s="2547"/>
      <c r="G47" s="2432"/>
      <c r="H47" s="2537"/>
      <c r="I47" s="2841"/>
      <c r="J47" s="2539"/>
      <c r="K47" s="2827"/>
      <c r="L47" s="2427"/>
      <c r="M47" s="2827"/>
      <c r="N47" s="2427"/>
      <c r="O47" s="2827"/>
      <c r="P47" s="2427"/>
      <c r="Q47" s="2827"/>
      <c r="R47" s="2427"/>
      <c r="S47" s="2827"/>
    </row>
    <row r="48" spans="1:19" s="91" customFormat="1">
      <c r="A48" s="2844"/>
      <c r="B48" s="2545"/>
      <c r="C48" s="2445"/>
      <c r="D48" s="2433"/>
      <c r="E48" s="2546"/>
      <c r="F48" s="2547"/>
      <c r="G48" s="2432"/>
      <c r="H48" s="2537"/>
      <c r="I48" s="2841"/>
      <c r="J48" s="2539"/>
      <c r="K48" s="2827"/>
      <c r="L48" s="2427"/>
      <c r="M48" s="2827"/>
      <c r="N48" s="2427"/>
      <c r="O48" s="2827"/>
      <c r="P48" s="2427"/>
      <c r="Q48" s="2827"/>
      <c r="R48" s="2427"/>
      <c r="S48" s="2827"/>
    </row>
    <row r="49" spans="1:19" s="91" customFormat="1">
      <c r="A49" s="2844"/>
      <c r="B49" s="2545"/>
      <c r="C49" s="2445"/>
      <c r="D49" s="2433"/>
      <c r="E49" s="2546"/>
      <c r="F49" s="2547"/>
      <c r="G49" s="2432"/>
      <c r="H49" s="2537"/>
      <c r="I49" s="2841"/>
      <c r="J49" s="2539"/>
      <c r="K49" s="2827"/>
      <c r="L49" s="2427"/>
      <c r="M49" s="2827"/>
      <c r="N49" s="2427"/>
      <c r="O49" s="2827"/>
      <c r="P49" s="2427"/>
      <c r="Q49" s="2827"/>
      <c r="R49" s="2427"/>
      <c r="S49" s="2827"/>
    </row>
    <row r="50" spans="1:19" s="91" customFormat="1">
      <c r="A50" s="2844"/>
      <c r="B50" s="2545"/>
      <c r="C50" s="2445"/>
      <c r="D50" s="2433"/>
      <c r="E50" s="2546"/>
      <c r="F50" s="2547"/>
      <c r="G50" s="2432"/>
      <c r="H50" s="2537"/>
      <c r="I50" s="2841"/>
      <c r="J50" s="2539"/>
      <c r="K50" s="2827"/>
      <c r="L50" s="2427"/>
      <c r="M50" s="2827"/>
      <c r="N50" s="2427"/>
      <c r="O50" s="2827"/>
      <c r="P50" s="2427"/>
      <c r="Q50" s="2827"/>
      <c r="R50" s="2427"/>
      <c r="S50" s="2827"/>
    </row>
    <row r="51" spans="1:19" s="91" customFormat="1">
      <c r="A51" s="2844"/>
      <c r="B51" s="2545"/>
      <c r="C51" s="2445"/>
      <c r="D51" s="2433"/>
      <c r="E51" s="2546"/>
      <c r="F51" s="2547"/>
      <c r="G51" s="2432"/>
      <c r="H51" s="2537"/>
      <c r="I51" s="2841"/>
      <c r="J51" s="2539"/>
      <c r="K51" s="2827"/>
      <c r="L51" s="2427"/>
      <c r="M51" s="2827"/>
      <c r="N51" s="2427"/>
      <c r="O51" s="2827"/>
      <c r="P51" s="2427"/>
      <c r="Q51" s="2827"/>
      <c r="R51" s="2427"/>
      <c r="S51" s="2827"/>
    </row>
    <row r="52" spans="1:19" s="91" customFormat="1">
      <c r="A52" s="2844"/>
      <c r="B52" s="2545"/>
      <c r="C52" s="2445"/>
      <c r="D52" s="2433"/>
      <c r="E52" s="2546"/>
      <c r="F52" s="2547"/>
      <c r="G52" s="2432"/>
      <c r="H52" s="2537"/>
      <c r="I52" s="2841"/>
      <c r="J52" s="2539"/>
      <c r="K52" s="2827"/>
      <c r="L52" s="2427"/>
      <c r="M52" s="2827"/>
      <c r="N52" s="2427"/>
      <c r="O52" s="2827"/>
      <c r="P52" s="2427"/>
      <c r="Q52" s="2827"/>
      <c r="R52" s="2427"/>
      <c r="S52" s="2827"/>
    </row>
    <row r="53" spans="1:19" s="91" customFormat="1">
      <c r="A53" s="2844"/>
      <c r="B53" s="2545"/>
      <c r="C53" s="2445"/>
      <c r="D53" s="2433"/>
      <c r="E53" s="2546"/>
      <c r="F53" s="2547"/>
      <c r="G53" s="2432"/>
      <c r="H53" s="2537"/>
      <c r="I53" s="2841"/>
      <c r="J53" s="2539"/>
      <c r="K53" s="2827"/>
      <c r="L53" s="2427"/>
      <c r="M53" s="2827"/>
      <c r="N53" s="2427"/>
      <c r="O53" s="2827"/>
      <c r="P53" s="2427"/>
      <c r="Q53" s="2827"/>
      <c r="R53" s="2427"/>
      <c r="S53" s="2827"/>
    </row>
    <row r="54" spans="1:19" s="91" customFormat="1" ht="16.5" customHeight="1">
      <c r="A54" s="2844"/>
      <c r="B54" s="2545"/>
      <c r="C54" s="2445"/>
      <c r="D54" s="2433"/>
      <c r="E54" s="2546"/>
      <c r="F54" s="2547"/>
      <c r="G54" s="2432"/>
      <c r="H54" s="2537"/>
      <c r="I54" s="2841"/>
      <c r="J54" s="2539"/>
      <c r="K54" s="2827"/>
      <c r="L54" s="2427"/>
      <c r="M54" s="2827"/>
      <c r="N54" s="2427"/>
      <c r="O54" s="2827"/>
      <c r="P54" s="2427"/>
      <c r="Q54" s="2827"/>
      <c r="R54" s="2427"/>
      <c r="S54" s="2827"/>
    </row>
    <row r="55" spans="1:19">
      <c r="A55" s="2685"/>
      <c r="B55" s="2686"/>
      <c r="C55" s="2426"/>
      <c r="D55" s="2405"/>
      <c r="E55" s="2405"/>
      <c r="F55" s="2405"/>
      <c r="G55" s="2423"/>
      <c r="H55" s="2847"/>
      <c r="I55" s="2822"/>
      <c r="J55" s="2822"/>
      <c r="K55" s="2822"/>
      <c r="L55" s="2427"/>
      <c r="M55" s="2822"/>
      <c r="N55" s="2427"/>
      <c r="O55" s="2822"/>
      <c r="P55" s="2427"/>
      <c r="Q55" s="2822"/>
      <c r="R55" s="2427"/>
      <c r="S55" s="2822"/>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848"/>
      <c r="B65" s="2404"/>
      <c r="C65" s="2849"/>
      <c r="D65" s="2849"/>
      <c r="E65" s="2849"/>
      <c r="F65" s="2849"/>
      <c r="G65" s="2850"/>
      <c r="H65" s="2851"/>
      <c r="I65" s="2851"/>
      <c r="J65" s="2851"/>
      <c r="K65" s="2851"/>
      <c r="L65" s="2851"/>
      <c r="M65" s="2851"/>
      <c r="N65" s="2851"/>
      <c r="O65" s="2851"/>
      <c r="P65" s="2851"/>
      <c r="Q65" s="2851"/>
      <c r="R65" s="2851"/>
      <c r="S65" s="2851"/>
    </row>
    <row r="66" spans="1:19" s="2" customFormat="1">
      <c r="A66" s="2848"/>
      <c r="B66" s="2404"/>
      <c r="C66" s="2849"/>
      <c r="D66" s="2849"/>
      <c r="E66" s="2849"/>
      <c r="F66" s="2849"/>
      <c r="G66" s="2850"/>
      <c r="H66" s="2851"/>
      <c r="I66" s="2851"/>
      <c r="J66" s="2851"/>
      <c r="K66" s="2851"/>
      <c r="L66" s="2851"/>
      <c r="M66" s="2851"/>
      <c r="N66" s="2851"/>
      <c r="O66" s="2851"/>
      <c r="P66" s="2851"/>
      <c r="Q66" s="2851"/>
      <c r="R66" s="2851"/>
      <c r="S66" s="2851"/>
    </row>
    <row r="67" spans="1:19" s="2" customFormat="1">
      <c r="A67" s="2848"/>
      <c r="B67" s="2404"/>
      <c r="C67" s="2849"/>
      <c r="D67" s="2849"/>
      <c r="E67" s="2849"/>
      <c r="F67" s="2849"/>
      <c r="G67" s="2850"/>
      <c r="H67" s="2851"/>
      <c r="I67" s="2851"/>
      <c r="J67" s="2851"/>
      <c r="K67" s="2851"/>
      <c r="L67" s="2851"/>
      <c r="M67" s="2851"/>
      <c r="N67" s="2851"/>
      <c r="O67" s="2851"/>
      <c r="P67" s="2851"/>
      <c r="Q67" s="2851"/>
      <c r="R67" s="2851"/>
      <c r="S67" s="2851"/>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848"/>
      <c r="B69" s="2404"/>
      <c r="C69" s="2849"/>
      <c r="D69" s="2849"/>
      <c r="E69" s="2849"/>
      <c r="F69" s="2849"/>
      <c r="G69" s="2850"/>
      <c r="H69" s="2851"/>
      <c r="I69" s="2851"/>
      <c r="J69" s="2851"/>
      <c r="K69" s="2851"/>
      <c r="L69" s="2851"/>
      <c r="M69" s="2851"/>
      <c r="N69" s="2851"/>
      <c r="O69" s="2851"/>
      <c r="P69" s="2851"/>
      <c r="Q69" s="2851"/>
      <c r="R69" s="2851"/>
      <c r="S69" s="2851"/>
    </row>
    <row r="70" spans="1:19" s="2" customFormat="1">
      <c r="A70" s="2848"/>
      <c r="B70" s="2404"/>
      <c r="C70" s="2849"/>
      <c r="D70" s="2849"/>
      <c r="E70" s="2849"/>
      <c r="F70" s="2849"/>
      <c r="G70" s="2850"/>
      <c r="H70" s="2851"/>
      <c r="I70" s="2851"/>
      <c r="J70" s="2851"/>
      <c r="K70" s="2851"/>
      <c r="L70" s="2851"/>
      <c r="M70" s="2851"/>
      <c r="N70" s="2851"/>
      <c r="O70" s="2851"/>
      <c r="P70" s="2851"/>
      <c r="Q70" s="2851"/>
      <c r="R70" s="2851"/>
      <c r="S70" s="2851"/>
    </row>
    <row r="71" spans="1:19">
      <c r="A71" s="2848"/>
      <c r="B71" s="2404"/>
      <c r="C71" s="2849"/>
      <c r="D71" s="2849"/>
      <c r="E71" s="2849"/>
      <c r="F71" s="2849"/>
      <c r="G71" s="2850"/>
      <c r="H71" s="2851"/>
      <c r="I71" s="2851"/>
      <c r="J71" s="2851"/>
      <c r="K71" s="2851"/>
      <c r="L71" s="2851"/>
      <c r="M71" s="2851"/>
      <c r="N71" s="2851"/>
      <c r="O71" s="2851"/>
      <c r="P71" s="2851"/>
      <c r="Q71" s="2851"/>
      <c r="R71" s="2851"/>
      <c r="S71" s="2851"/>
    </row>
    <row r="72" spans="1:19">
      <c r="A72" s="726" t="s">
        <v>575</v>
      </c>
      <c r="B72" s="727"/>
      <c r="C72" s="12"/>
      <c r="D72" s="12"/>
      <c r="E72" s="12"/>
      <c r="F72" s="12"/>
      <c r="G72" s="13"/>
      <c r="H72" s="21"/>
      <c r="I72" s="21"/>
      <c r="J72" s="21"/>
      <c r="K72" s="21"/>
      <c r="L72" s="21"/>
      <c r="M72" s="21"/>
      <c r="N72" s="21"/>
      <c r="O72" s="21"/>
      <c r="P72" s="21"/>
      <c r="Q72" s="21"/>
      <c r="R72" s="21"/>
      <c r="S72" s="21"/>
    </row>
    <row r="73" spans="1:19">
      <c r="A73" s="2848"/>
      <c r="B73" s="2404"/>
      <c r="C73" s="2849"/>
      <c r="D73" s="2849"/>
      <c r="E73" s="2849"/>
      <c r="F73" s="2849"/>
      <c r="G73" s="2850"/>
      <c r="H73" s="2851"/>
      <c r="I73" s="2851"/>
      <c r="J73" s="2851"/>
      <c r="K73" s="2851"/>
      <c r="L73" s="2851"/>
      <c r="M73" s="2851"/>
      <c r="N73" s="2851"/>
      <c r="O73" s="2851"/>
      <c r="P73" s="2851"/>
      <c r="Q73" s="2851"/>
      <c r="R73" s="2851"/>
      <c r="S73" s="2851"/>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852"/>
      <c r="B77" s="2853"/>
      <c r="C77" s="2849"/>
      <c r="D77" s="2849"/>
      <c r="E77" s="2849"/>
      <c r="F77" s="2849"/>
      <c r="G77" s="2850"/>
      <c r="H77" s="2851"/>
      <c r="I77" s="2851"/>
      <c r="J77" s="2851"/>
      <c r="K77" s="2851"/>
      <c r="L77" s="2851"/>
      <c r="M77" s="2851"/>
      <c r="N77" s="2851"/>
      <c r="O77" s="2851"/>
      <c r="P77" s="2851"/>
      <c r="Q77" s="2851"/>
      <c r="R77" s="2851"/>
      <c r="S77" s="2851"/>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848"/>
      <c r="B87" s="2854" t="s">
        <v>583</v>
      </c>
      <c r="C87" s="2849"/>
      <c r="D87" s="2849"/>
      <c r="E87" s="2849"/>
      <c r="F87" s="2849"/>
      <c r="G87" s="2850"/>
      <c r="H87" s="2847"/>
      <c r="I87" s="2847"/>
      <c r="J87" s="2847"/>
      <c r="K87" s="2847"/>
      <c r="L87" s="2847"/>
      <c r="M87" s="2847"/>
      <c r="N87" s="2847"/>
      <c r="O87" s="2847"/>
      <c r="P87" s="2847"/>
      <c r="Q87" s="2847"/>
      <c r="R87" s="2847"/>
      <c r="S87" s="2847"/>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431" priority="19" operator="equal">
      <formula>"X"</formula>
    </cfRule>
    <cfRule type="cellIs" dxfId="430" priority="20" operator="equal">
      <formula>"I"</formula>
    </cfRule>
  </conditionalFormatting>
  <conditionalFormatting sqref="J20:J30">
    <cfRule type="cellIs" dxfId="429" priority="17" operator="equal">
      <formula>"X"</formula>
    </cfRule>
    <cfRule type="cellIs" dxfId="428" priority="18" operator="equal">
      <formula>"I"</formula>
    </cfRule>
  </conditionalFormatting>
  <conditionalFormatting sqref="L20:L30">
    <cfRule type="cellIs" dxfId="427" priority="15" operator="equal">
      <formula>"X"</formula>
    </cfRule>
    <cfRule type="cellIs" dxfId="426" priority="16" operator="equal">
      <formula>"I"</formula>
    </cfRule>
  </conditionalFormatting>
  <conditionalFormatting sqref="L32:L55">
    <cfRule type="cellIs" dxfId="425" priority="1" operator="equal">
      <formula>"X"</formula>
    </cfRule>
    <cfRule type="cellIs" dxfId="424" priority="2" operator="equal">
      <formula>"I"</formula>
    </cfRule>
  </conditionalFormatting>
  <conditionalFormatting sqref="N20:N30">
    <cfRule type="cellIs" dxfId="423" priority="13" operator="equal">
      <formula>"X"</formula>
    </cfRule>
    <cfRule type="cellIs" dxfId="422" priority="14" operator="equal">
      <formula>"I"</formula>
    </cfRule>
  </conditionalFormatting>
  <conditionalFormatting sqref="N32:N55">
    <cfRule type="cellIs" dxfId="421" priority="3" operator="equal">
      <formula>"X"</formula>
    </cfRule>
    <cfRule type="cellIs" dxfId="420" priority="4" operator="equal">
      <formula>"I"</formula>
    </cfRule>
  </conditionalFormatting>
  <conditionalFormatting sqref="P20:P30">
    <cfRule type="cellIs" dxfId="419" priority="11" operator="equal">
      <formula>"X"</formula>
    </cfRule>
    <cfRule type="cellIs" dxfId="418" priority="12" operator="equal">
      <formula>"I"</formula>
    </cfRule>
  </conditionalFormatting>
  <conditionalFormatting sqref="P32:P55">
    <cfRule type="cellIs" dxfId="417" priority="5" operator="equal">
      <formula>"X"</formula>
    </cfRule>
    <cfRule type="cellIs" dxfId="416" priority="6" operator="equal">
      <formula>"I"</formula>
    </cfRule>
  </conditionalFormatting>
  <conditionalFormatting sqref="R20:R30">
    <cfRule type="cellIs" dxfId="415" priority="9" operator="equal">
      <formula>"X"</formula>
    </cfRule>
    <cfRule type="cellIs" dxfId="414" priority="10" operator="equal">
      <formula>"I"</formula>
    </cfRule>
  </conditionalFormatting>
  <conditionalFormatting sqref="R32:R55">
    <cfRule type="cellIs" dxfId="413" priority="7" operator="equal">
      <formula>"X"</formula>
    </cfRule>
    <cfRule type="cellIs" dxfId="412" priority="8" operator="equal">
      <formula>"I"</formula>
    </cfRule>
  </conditionalFormatting>
  <hyperlinks>
    <hyperlink ref="B3" location="'Cost Summary'!A1" display="BACK TO SUMMARY SHEET" xr:uid="{C7294189-D7DB-4446-8896-B3D6C620582A}"/>
  </hyperlinks>
  <pageMargins left="0.7" right="0.7" top="0.75" bottom="0.75" header="0.3" footer="0.3"/>
  <pageSetup scale="71" orientation="portrait" horizontalDpi="1200" verticalDpi="120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C26A-5DC3-42E3-B675-FEB8894DF7E9}">
  <sheetPr>
    <tabColor rgb="FF92D050"/>
  </sheetPr>
  <dimension ref="A1:S95"/>
  <sheetViews>
    <sheetView workbookViewId="0">
      <pane xSplit="2" ySplit="9" topLeftCell="C33" activePane="bottomRight" state="frozen"/>
      <selection pane="bottomRight" activeCell="F45" sqref="F45"/>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66"/>
      <c r="I2" s="766"/>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81"/>
      <c r="S4" s="729"/>
    </row>
    <row r="5" spans="1:19">
      <c r="A5" s="2403" t="s">
        <v>489</v>
      </c>
      <c r="B5" s="2404" t="s">
        <v>201</v>
      </c>
      <c r="C5" s="2405"/>
      <c r="D5" s="2405"/>
      <c r="E5" s="2405"/>
      <c r="F5" s="2405"/>
      <c r="G5" s="2406" t="s">
        <v>491</v>
      </c>
      <c r="H5" s="2407"/>
      <c r="I5" s="2408"/>
      <c r="J5" s="2407"/>
      <c r="K5" s="2408"/>
      <c r="L5" s="2407"/>
      <c r="M5" s="2408"/>
      <c r="N5" s="2407"/>
      <c r="O5" s="2408"/>
      <c r="P5" s="2407"/>
      <c r="Q5" s="2408"/>
      <c r="R5" s="2533"/>
      <c r="S5" s="2408"/>
    </row>
    <row r="6" spans="1:19">
      <c r="A6" s="2403" t="s">
        <v>493</v>
      </c>
      <c r="B6" s="2410" t="s">
        <v>200</v>
      </c>
      <c r="C6" s="2405"/>
      <c r="D6" s="2405"/>
      <c r="E6" s="2405"/>
      <c r="F6" s="2405"/>
      <c r="G6" s="2406" t="s">
        <v>494</v>
      </c>
      <c r="H6" s="2411"/>
      <c r="I6" s="2412"/>
      <c r="J6" s="2411"/>
      <c r="K6" s="2412"/>
      <c r="L6" s="2411"/>
      <c r="M6" s="2412"/>
      <c r="N6" s="2411"/>
      <c r="O6" s="2412"/>
      <c r="P6" s="2411"/>
      <c r="Q6" s="2412"/>
      <c r="R6" s="2534"/>
      <c r="S6" s="2412"/>
    </row>
    <row r="7" spans="1:19">
      <c r="A7" s="2403" t="s">
        <v>496</v>
      </c>
      <c r="B7" s="2414"/>
      <c r="C7" s="2405"/>
      <c r="D7" s="2405"/>
      <c r="E7" s="2405"/>
      <c r="F7" s="2405"/>
      <c r="G7" s="2406" t="s">
        <v>497</v>
      </c>
      <c r="H7" s="2415"/>
      <c r="I7" s="2416"/>
      <c r="J7" s="2415"/>
      <c r="K7" s="2416"/>
      <c r="L7" s="2415"/>
      <c r="M7" s="2416"/>
      <c r="N7" s="2415"/>
      <c r="O7" s="2416"/>
      <c r="P7" s="2415"/>
      <c r="Q7" s="2416"/>
      <c r="R7" s="2535"/>
      <c r="S7" s="2416"/>
    </row>
    <row r="8" spans="1:19" ht="15.75" thickBot="1">
      <c r="A8" s="414" t="s">
        <v>499</v>
      </c>
      <c r="B8" s="295"/>
      <c r="C8" s="184"/>
      <c r="D8" s="184"/>
      <c r="E8" s="184"/>
      <c r="F8" s="184"/>
      <c r="G8" s="419" t="s">
        <v>499</v>
      </c>
      <c r="H8" s="2418">
        <f>I56</f>
        <v>130000</v>
      </c>
      <c r="I8" s="2419"/>
      <c r="J8" s="2418">
        <f>K56</f>
        <v>0</v>
      </c>
      <c r="K8" s="2419"/>
      <c r="L8" s="2418">
        <f>M56</f>
        <v>0</v>
      </c>
      <c r="M8" s="2419"/>
      <c r="N8" s="2418">
        <f>O56</f>
        <v>0</v>
      </c>
      <c r="O8" s="2419"/>
      <c r="P8" s="2418">
        <f>Q56</f>
        <v>0</v>
      </c>
      <c r="Q8" s="2419"/>
      <c r="R8" s="2418">
        <f>S56</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855"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2421"/>
      <c r="B21" s="2428" t="s">
        <v>201</v>
      </c>
      <c r="C21" s="2426"/>
      <c r="D21" s="2405"/>
      <c r="E21" s="2405"/>
      <c r="F21" s="2405"/>
      <c r="G21" s="2423"/>
      <c r="H21" s="2427"/>
      <c r="I21" s="2424"/>
      <c r="J21" s="2427"/>
      <c r="K21" s="2424"/>
      <c r="L21" s="2427"/>
      <c r="M21" s="2424"/>
      <c r="N21" s="2427"/>
      <c r="O21" s="2424"/>
      <c r="P21" s="2427"/>
      <c r="Q21" s="2424"/>
      <c r="R21" s="2427"/>
      <c r="S21" s="2424"/>
    </row>
    <row r="22" spans="1:19">
      <c r="A22" s="2856"/>
      <c r="B22" s="2318" t="s">
        <v>512</v>
      </c>
      <c r="C22" s="2426"/>
      <c r="D22" s="2405"/>
      <c r="E22" s="2405"/>
      <c r="F22" s="2405"/>
      <c r="G22" s="2423"/>
      <c r="H22" s="2427"/>
      <c r="I22" s="2857"/>
      <c r="J22" s="2427"/>
      <c r="K22" s="2857"/>
      <c r="L22" s="2427"/>
      <c r="M22" s="2857"/>
      <c r="N22" s="2427"/>
      <c r="O22" s="2857"/>
      <c r="P22" s="2427"/>
      <c r="Q22" s="2857"/>
      <c r="R22" s="2427"/>
      <c r="S22" s="2857"/>
    </row>
    <row r="23" spans="1:19">
      <c r="A23" s="2856"/>
      <c r="B23" s="2858" t="s">
        <v>513</v>
      </c>
      <c r="C23" s="2426"/>
      <c r="D23" s="2405"/>
      <c r="E23" s="2405"/>
      <c r="F23" s="2405"/>
      <c r="G23" s="2423"/>
      <c r="H23" s="2427"/>
      <c r="I23" s="2859"/>
      <c r="J23" s="2427"/>
      <c r="K23" s="2857"/>
      <c r="L23" s="2427"/>
      <c r="M23" s="2857"/>
      <c r="N23" s="2427"/>
      <c r="O23" s="2857"/>
      <c r="P23" s="2427"/>
      <c r="Q23" s="2857"/>
      <c r="R23" s="2427"/>
      <c r="S23" s="2857"/>
    </row>
    <row r="24" spans="1:19">
      <c r="A24" s="2856"/>
      <c r="B24" s="2858" t="s">
        <v>514</v>
      </c>
      <c r="C24" s="2430"/>
      <c r="D24" s="2405"/>
      <c r="E24" s="2405"/>
      <c r="F24" s="2405"/>
      <c r="G24" s="2423"/>
      <c r="H24" s="2427"/>
      <c r="I24" s="2859"/>
      <c r="J24" s="2427"/>
      <c r="K24" s="2857"/>
      <c r="L24" s="2427"/>
      <c r="M24" s="2857"/>
      <c r="N24" s="2427"/>
      <c r="O24" s="2857"/>
      <c r="P24" s="2427"/>
      <c r="Q24" s="2857"/>
      <c r="R24" s="2427"/>
      <c r="S24" s="2857"/>
    </row>
    <row r="25" spans="1:19">
      <c r="A25" s="2856"/>
      <c r="B25" s="2860" t="s">
        <v>515</v>
      </c>
      <c r="C25" s="2430"/>
      <c r="D25" s="2405"/>
      <c r="E25" s="2405"/>
      <c r="F25" s="2405"/>
      <c r="G25" s="2423"/>
      <c r="H25" s="2427"/>
      <c r="I25" s="2859"/>
      <c r="J25" s="2427"/>
      <c r="K25" s="2857"/>
      <c r="L25" s="2427"/>
      <c r="M25" s="2857"/>
      <c r="N25" s="2427"/>
      <c r="O25" s="2857"/>
      <c r="P25" s="2427"/>
      <c r="Q25" s="2857"/>
      <c r="R25" s="2427"/>
      <c r="S25" s="2857"/>
    </row>
    <row r="26" spans="1:19" s="91" customFormat="1">
      <c r="A26" s="2861"/>
      <c r="B26" s="2860" t="s">
        <v>516</v>
      </c>
      <c r="C26" s="2432"/>
      <c r="D26" s="2433"/>
      <c r="E26" s="2433"/>
      <c r="F26" s="2433"/>
      <c r="G26" s="2432"/>
      <c r="H26" s="2427"/>
      <c r="I26" s="2859"/>
      <c r="J26" s="2427"/>
      <c r="K26" s="2862"/>
      <c r="L26" s="2427"/>
      <c r="M26" s="2862"/>
      <c r="N26" s="2427"/>
      <c r="O26" s="2862"/>
      <c r="P26" s="2427"/>
      <c r="Q26" s="2862"/>
      <c r="R26" s="2427"/>
      <c r="S26" s="2862"/>
    </row>
    <row r="27" spans="1:19" s="91" customFormat="1">
      <c r="A27" s="2861"/>
      <c r="B27" s="2860" t="s">
        <v>517</v>
      </c>
      <c r="C27" s="2432"/>
      <c r="D27" s="2433"/>
      <c r="E27" s="2433"/>
      <c r="F27" s="2433"/>
      <c r="G27" s="2432"/>
      <c r="H27" s="2427"/>
      <c r="I27" s="2859"/>
      <c r="J27" s="2427"/>
      <c r="K27" s="2862"/>
      <c r="L27" s="2427"/>
      <c r="M27" s="2862"/>
      <c r="N27" s="2427"/>
      <c r="O27" s="2862"/>
      <c r="P27" s="2427"/>
      <c r="Q27" s="2862"/>
      <c r="R27" s="2427"/>
      <c r="S27" s="2862"/>
    </row>
    <row r="28" spans="1:19" s="91" customFormat="1">
      <c r="A28" s="2861"/>
      <c r="B28" s="2860" t="s">
        <v>518</v>
      </c>
      <c r="C28" s="2432"/>
      <c r="D28" s="2433"/>
      <c r="E28" s="2433"/>
      <c r="F28" s="2433"/>
      <c r="G28" s="2432"/>
      <c r="H28" s="2427"/>
      <c r="I28" s="2859"/>
      <c r="J28" s="2427"/>
      <c r="K28" s="2862"/>
      <c r="L28" s="2427"/>
      <c r="M28" s="2862"/>
      <c r="N28" s="2427"/>
      <c r="O28" s="2862"/>
      <c r="P28" s="2427"/>
      <c r="Q28" s="2862"/>
      <c r="R28" s="2427"/>
      <c r="S28" s="2862"/>
    </row>
    <row r="29" spans="1:19" s="91" customFormat="1">
      <c r="A29" s="2861"/>
      <c r="B29" s="2860" t="s">
        <v>693</v>
      </c>
      <c r="C29" s="2432"/>
      <c r="D29" s="2433"/>
      <c r="E29" s="2433"/>
      <c r="F29" s="2433"/>
      <c r="G29" s="2432"/>
      <c r="H29" s="2427"/>
      <c r="I29" s="2859"/>
      <c r="J29" s="2427"/>
      <c r="K29" s="2862"/>
      <c r="L29" s="2427"/>
      <c r="M29" s="2862"/>
      <c r="N29" s="2427"/>
      <c r="O29" s="2862"/>
      <c r="P29" s="2427"/>
      <c r="Q29" s="2862"/>
      <c r="R29" s="2427"/>
      <c r="S29" s="2862"/>
    </row>
    <row r="30" spans="1:19" s="91" customFormat="1">
      <c r="A30" s="2861"/>
      <c r="B30" s="2863" t="s">
        <v>519</v>
      </c>
      <c r="C30" s="2432"/>
      <c r="D30" s="2433"/>
      <c r="E30" s="2433"/>
      <c r="F30" s="2433"/>
      <c r="G30" s="2432"/>
      <c r="H30" s="2427"/>
      <c r="I30" s="2859"/>
      <c r="J30" s="2427"/>
      <c r="K30" s="2862"/>
      <c r="L30" s="2427"/>
      <c r="M30" s="2862"/>
      <c r="N30" s="2427"/>
      <c r="O30" s="2862"/>
      <c r="P30" s="2427"/>
      <c r="Q30" s="2862"/>
      <c r="R30" s="2427"/>
      <c r="S30" s="2862"/>
    </row>
    <row r="31" spans="1:19" s="91" customFormat="1">
      <c r="A31" s="2861"/>
      <c r="B31" s="2864" t="s">
        <v>520</v>
      </c>
      <c r="C31" s="2435"/>
      <c r="D31" s="2865"/>
      <c r="E31" s="2436"/>
      <c r="F31" s="2866"/>
      <c r="G31" s="2867"/>
      <c r="H31" s="2439"/>
      <c r="I31" s="2868"/>
      <c r="J31" s="2443"/>
      <c r="K31" s="2869"/>
      <c r="L31" s="2443"/>
      <c r="M31" s="2869"/>
      <c r="N31" s="2869"/>
      <c r="O31" s="2869"/>
      <c r="P31" s="2869"/>
      <c r="Q31" s="2869"/>
      <c r="R31" s="2869"/>
      <c r="S31" s="2869"/>
    </row>
    <row r="32" spans="1:19" s="91" customFormat="1">
      <c r="A32" s="2861"/>
      <c r="B32" s="151"/>
      <c r="C32" s="2432"/>
      <c r="D32" s="2567"/>
      <c r="E32" s="2433"/>
      <c r="F32" s="2870"/>
      <c r="G32" s="2871"/>
      <c r="H32" s="2427"/>
      <c r="I32" s="2859"/>
      <c r="J32" s="2427"/>
      <c r="K32" s="2862"/>
      <c r="L32" s="2427"/>
      <c r="M32" s="2862"/>
      <c r="N32" s="2427"/>
      <c r="O32" s="2862"/>
      <c r="P32" s="2427"/>
      <c r="Q32" s="2862"/>
      <c r="R32" s="2427"/>
      <c r="S32" s="2862"/>
    </row>
    <row r="33" spans="1:19" s="91" customFormat="1">
      <c r="A33" s="2872"/>
      <c r="B33" s="2873" t="s">
        <v>694</v>
      </c>
      <c r="C33" s="2450"/>
      <c r="D33" s="2450"/>
      <c r="E33" s="2450"/>
      <c r="F33" s="2450"/>
      <c r="G33" s="2452"/>
      <c r="H33" s="2453"/>
      <c r="I33" s="2874"/>
      <c r="J33" s="2453"/>
      <c r="K33" s="2874"/>
      <c r="L33" s="2453"/>
      <c r="M33" s="2874"/>
      <c r="N33" s="2453"/>
      <c r="O33" s="2875"/>
      <c r="P33" s="2453"/>
      <c r="Q33" s="2875"/>
      <c r="R33" s="2453"/>
      <c r="S33" s="2875"/>
    </row>
    <row r="34" spans="1:19" s="91" customFormat="1">
      <c r="A34" s="2872"/>
      <c r="B34" s="2876"/>
      <c r="C34" s="2405"/>
      <c r="D34" s="2405"/>
      <c r="E34" s="2405"/>
      <c r="F34" s="2405"/>
      <c r="G34" s="2447"/>
      <c r="H34" s="2427"/>
      <c r="I34" s="2859"/>
      <c r="J34" s="2427"/>
      <c r="K34" s="2859"/>
      <c r="L34" s="2427"/>
      <c r="M34" s="2859"/>
      <c r="N34" s="2427"/>
      <c r="O34" s="2857"/>
      <c r="P34" s="2427"/>
      <c r="Q34" s="2857"/>
      <c r="R34" s="2427"/>
      <c r="S34" s="2857"/>
    </row>
    <row r="35" spans="1:19" s="91" customFormat="1">
      <c r="A35" s="2872"/>
      <c r="B35" s="2877" t="s">
        <v>695</v>
      </c>
      <c r="C35" s="2456"/>
      <c r="D35" s="2456"/>
      <c r="E35" s="2456"/>
      <c r="F35" s="2456"/>
      <c r="G35" s="2458"/>
      <c r="H35" s="2459"/>
      <c r="I35" s="2878"/>
      <c r="J35" s="2459"/>
      <c r="K35" s="2878"/>
      <c r="L35" s="2459"/>
      <c r="M35" s="2878"/>
      <c r="N35" s="2459"/>
      <c r="O35" s="2879"/>
      <c r="P35" s="2459"/>
      <c r="Q35" s="2879"/>
      <c r="R35" s="2459"/>
      <c r="S35" s="2879"/>
    </row>
    <row r="36" spans="1:19" s="91" customFormat="1">
      <c r="A36" s="2872"/>
      <c r="B36" s="2876"/>
      <c r="C36" s="2405"/>
      <c r="D36" s="2405"/>
      <c r="E36" s="2405"/>
      <c r="F36" s="2405"/>
      <c r="G36" s="2447"/>
      <c r="H36" s="2427"/>
      <c r="I36" s="2859"/>
      <c r="J36" s="2427"/>
      <c r="K36" s="2859"/>
      <c r="L36" s="2427"/>
      <c r="M36" s="2859"/>
      <c r="N36" s="2427"/>
      <c r="O36" s="2857"/>
      <c r="P36" s="2427"/>
      <c r="Q36" s="2857"/>
      <c r="R36" s="2427"/>
      <c r="S36" s="2857"/>
    </row>
    <row r="37" spans="1:19" s="91" customFormat="1">
      <c r="A37" s="2872"/>
      <c r="B37" s="2873" t="s">
        <v>649</v>
      </c>
      <c r="C37" s="2450"/>
      <c r="D37" s="2450"/>
      <c r="E37" s="2450"/>
      <c r="F37" s="2450"/>
      <c r="G37" s="2452"/>
      <c r="H37" s="2453"/>
      <c r="I37" s="2874"/>
      <c r="J37" s="2453"/>
      <c r="K37" s="2874"/>
      <c r="L37" s="2453"/>
      <c r="M37" s="2874"/>
      <c r="N37" s="2453"/>
      <c r="O37" s="2875"/>
      <c r="P37" s="2453"/>
      <c r="Q37" s="2875"/>
      <c r="R37" s="2453"/>
      <c r="S37" s="2875"/>
    </row>
    <row r="38" spans="1:19" s="91" customFormat="1">
      <c r="A38" s="2872"/>
      <c r="B38" s="2876"/>
      <c r="C38" s="2405"/>
      <c r="D38" s="2405"/>
      <c r="E38" s="2405"/>
      <c r="F38" s="2405"/>
      <c r="G38" s="2447"/>
      <c r="H38" s="2427"/>
      <c r="I38" s="2859"/>
      <c r="J38" s="2427"/>
      <c r="K38" s="2859"/>
      <c r="L38" s="2427"/>
      <c r="M38" s="2859"/>
      <c r="N38" s="2427"/>
      <c r="O38" s="2857"/>
      <c r="P38" s="2427"/>
      <c r="Q38" s="2857"/>
      <c r="R38" s="2427"/>
      <c r="S38" s="2857"/>
    </row>
    <row r="39" spans="1:19" s="91" customFormat="1">
      <c r="A39" s="2872"/>
      <c r="B39" s="2877" t="s">
        <v>700</v>
      </c>
      <c r="C39" s="2456"/>
      <c r="D39" s="2456"/>
      <c r="E39" s="2456"/>
      <c r="F39" s="2456"/>
      <c r="G39" s="2458"/>
      <c r="H39" s="2459"/>
      <c r="I39" s="2878"/>
      <c r="J39" s="2459"/>
      <c r="K39" s="2878"/>
      <c r="L39" s="2459"/>
      <c r="M39" s="2878"/>
      <c r="N39" s="2459"/>
      <c r="O39" s="2879"/>
      <c r="P39" s="2459"/>
      <c r="Q39" s="2879"/>
      <c r="R39" s="2459"/>
      <c r="S39" s="2879"/>
    </row>
    <row r="40" spans="1:19" s="91" customFormat="1">
      <c r="A40" s="2872"/>
      <c r="B40" s="2876"/>
      <c r="C40" s="2405"/>
      <c r="D40" s="2405"/>
      <c r="E40" s="2405"/>
      <c r="F40" s="2405"/>
      <c r="G40" s="2447"/>
      <c r="H40" s="2427"/>
      <c r="I40" s="2859"/>
      <c r="J40" s="2427"/>
      <c r="K40" s="2859"/>
      <c r="L40" s="2427"/>
      <c r="M40" s="2859"/>
      <c r="N40" s="2427"/>
      <c r="O40" s="2857"/>
      <c r="P40" s="2427"/>
      <c r="Q40" s="2857"/>
      <c r="R40" s="2427"/>
      <c r="S40" s="2857"/>
    </row>
    <row r="41" spans="1:19" s="91" customFormat="1">
      <c r="A41" s="2872"/>
      <c r="B41" s="2873" t="s">
        <v>703</v>
      </c>
      <c r="C41" s="2450"/>
      <c r="D41" s="2450"/>
      <c r="E41" s="2450"/>
      <c r="F41" s="2450"/>
      <c r="G41" s="2452"/>
      <c r="H41" s="2453"/>
      <c r="I41" s="2874"/>
      <c r="J41" s="2453"/>
      <c r="K41" s="2874"/>
      <c r="L41" s="2453"/>
      <c r="M41" s="2874"/>
      <c r="N41" s="2453"/>
      <c r="O41" s="2875"/>
      <c r="P41" s="2453"/>
      <c r="Q41" s="2875"/>
      <c r="R41" s="2453"/>
      <c r="S41" s="2875"/>
    </row>
    <row r="42" spans="1:19" s="91" customFormat="1">
      <c r="A42" s="2872"/>
      <c r="B42" s="2876"/>
      <c r="C42" s="2405"/>
      <c r="D42" s="2405"/>
      <c r="E42" s="2405"/>
      <c r="F42" s="2405"/>
      <c r="G42" s="2447"/>
      <c r="H42" s="2427"/>
      <c r="I42" s="2859"/>
      <c r="J42" s="2427"/>
      <c r="K42" s="2859"/>
      <c r="L42" s="2427"/>
      <c r="M42" s="2859"/>
      <c r="N42" s="2427"/>
      <c r="O42" s="2857"/>
      <c r="P42" s="2427"/>
      <c r="Q42" s="2857"/>
      <c r="R42" s="2427"/>
      <c r="S42" s="2857"/>
    </row>
    <row r="43" spans="1:19" s="91" customFormat="1">
      <c r="A43" s="2872"/>
      <c r="B43" s="2877" t="s">
        <v>704</v>
      </c>
      <c r="C43" s="2456"/>
      <c r="D43" s="2456"/>
      <c r="E43" s="2456"/>
      <c r="F43" s="2456"/>
      <c r="G43" s="2458"/>
      <c r="H43" s="2459"/>
      <c r="I43" s="2878"/>
      <c r="J43" s="2459"/>
      <c r="K43" s="2878"/>
      <c r="L43" s="2459"/>
      <c r="M43" s="2878"/>
      <c r="N43" s="2459"/>
      <c r="O43" s="2879"/>
      <c r="P43" s="2459"/>
      <c r="Q43" s="2879"/>
      <c r="R43" s="2459"/>
      <c r="S43" s="2879"/>
    </row>
    <row r="44" spans="1:19" s="91" customFormat="1">
      <c r="A44" s="2872"/>
      <c r="B44" s="2880" t="s">
        <v>1196</v>
      </c>
      <c r="C44" s="2405" t="s">
        <v>702</v>
      </c>
      <c r="D44" s="2405">
        <v>2</v>
      </c>
      <c r="E44" s="2405" t="s">
        <v>1197</v>
      </c>
      <c r="F44" s="2405">
        <v>65000</v>
      </c>
      <c r="G44" s="2447">
        <f>D44*F44</f>
        <v>130000</v>
      </c>
      <c r="H44" s="2427"/>
      <c r="I44" s="2859">
        <f>G44</f>
        <v>130000</v>
      </c>
      <c r="J44" s="2427"/>
      <c r="K44" s="2859"/>
      <c r="L44" s="2427"/>
      <c r="M44" s="2859"/>
      <c r="N44" s="2427"/>
      <c r="O44" s="2857"/>
      <c r="P44" s="2427"/>
      <c r="Q44" s="2857"/>
      <c r="R44" s="2427"/>
      <c r="S44" s="2857"/>
    </row>
    <row r="45" spans="1:19" s="91" customFormat="1">
      <c r="A45" s="2872"/>
      <c r="B45" s="2876"/>
      <c r="C45" s="2405"/>
      <c r="D45" s="2405"/>
      <c r="E45" s="2405"/>
      <c r="F45" s="2405"/>
      <c r="G45" s="2447"/>
      <c r="H45" s="2427"/>
      <c r="I45" s="2859"/>
      <c r="J45" s="2427"/>
      <c r="K45" s="2859"/>
      <c r="L45" s="2427"/>
      <c r="M45" s="2859"/>
      <c r="N45" s="2427"/>
      <c r="O45" s="2857"/>
      <c r="P45" s="2427"/>
      <c r="Q45" s="2857"/>
      <c r="R45" s="2427"/>
      <c r="S45" s="2857"/>
    </row>
    <row r="46" spans="1:19" s="91" customFormat="1">
      <c r="A46" s="2872"/>
      <c r="B46" s="2873" t="s">
        <v>705</v>
      </c>
      <c r="C46" s="2450"/>
      <c r="D46" s="2450"/>
      <c r="E46" s="2450"/>
      <c r="F46" s="2450"/>
      <c r="G46" s="2452"/>
      <c r="H46" s="2453"/>
      <c r="I46" s="2874"/>
      <c r="J46" s="2453"/>
      <c r="K46" s="2874"/>
      <c r="L46" s="2453"/>
      <c r="M46" s="2874"/>
      <c r="N46" s="2453"/>
      <c r="O46" s="2875"/>
      <c r="P46" s="2453"/>
      <c r="Q46" s="2875"/>
      <c r="R46" s="2453"/>
      <c r="S46" s="2875"/>
    </row>
    <row r="47" spans="1:19" s="91" customFormat="1">
      <c r="A47" s="2872"/>
      <c r="B47" s="2876"/>
      <c r="C47" s="2405"/>
      <c r="D47" s="2405"/>
      <c r="E47" s="2405"/>
      <c r="F47" s="2405"/>
      <c r="G47" s="2447"/>
      <c r="H47" s="2427"/>
      <c r="I47" s="2859"/>
      <c r="J47" s="2427"/>
      <c r="K47" s="2859"/>
      <c r="L47" s="2427"/>
      <c r="M47" s="2859"/>
      <c r="N47" s="2427"/>
      <c r="O47" s="2857"/>
      <c r="P47" s="2427"/>
      <c r="Q47" s="2857"/>
      <c r="R47" s="2427"/>
      <c r="S47" s="2857"/>
    </row>
    <row r="48" spans="1:19" s="91" customFormat="1">
      <c r="A48" s="2872"/>
      <c r="B48" s="2877" t="s">
        <v>602</v>
      </c>
      <c r="C48" s="2456"/>
      <c r="D48" s="2456"/>
      <c r="E48" s="2456"/>
      <c r="F48" s="2456"/>
      <c r="G48" s="2458"/>
      <c r="H48" s="2459"/>
      <c r="I48" s="2878"/>
      <c r="J48" s="2459"/>
      <c r="K48" s="2878"/>
      <c r="L48" s="2459"/>
      <c r="M48" s="2878"/>
      <c r="N48" s="2459"/>
      <c r="O48" s="2879"/>
      <c r="P48" s="2459"/>
      <c r="Q48" s="2879"/>
      <c r="R48" s="2459"/>
      <c r="S48" s="2879"/>
    </row>
    <row r="49" spans="1:19" s="91" customFormat="1">
      <c r="A49" s="2872"/>
      <c r="B49" s="2545"/>
      <c r="C49" s="2445"/>
      <c r="D49" s="2567"/>
      <c r="E49" s="2546"/>
      <c r="F49" s="2881"/>
      <c r="G49" s="2871"/>
      <c r="H49" s="2427"/>
      <c r="I49" s="2859"/>
      <c r="J49" s="2427"/>
      <c r="K49" s="2862"/>
      <c r="L49" s="2427"/>
      <c r="M49" s="2862"/>
      <c r="N49" s="2427"/>
      <c r="O49" s="2862"/>
      <c r="P49" s="2427"/>
      <c r="Q49" s="2862"/>
      <c r="R49" s="2427"/>
      <c r="S49" s="2862"/>
    </row>
    <row r="50" spans="1:19" s="91" customFormat="1">
      <c r="A50" s="2872"/>
      <c r="B50" s="2545"/>
      <c r="C50" s="2445"/>
      <c r="D50" s="2567"/>
      <c r="E50" s="2546"/>
      <c r="F50" s="2881"/>
      <c r="G50" s="2871"/>
      <c r="H50" s="2427"/>
      <c r="I50" s="2859"/>
      <c r="J50" s="2427"/>
      <c r="K50" s="2862"/>
      <c r="L50" s="2427"/>
      <c r="M50" s="2862"/>
      <c r="N50" s="2427"/>
      <c r="O50" s="2862"/>
      <c r="P50" s="2427"/>
      <c r="Q50" s="2862"/>
      <c r="R50" s="2427"/>
      <c r="S50" s="2862"/>
    </row>
    <row r="51" spans="1:19" s="91" customFormat="1" ht="15.75" thickBot="1">
      <c r="A51" s="2872"/>
      <c r="B51" s="2545"/>
      <c r="C51" s="2445"/>
      <c r="D51" s="2567"/>
      <c r="E51" s="2546"/>
      <c r="F51" s="2881"/>
      <c r="G51" s="2871"/>
      <c r="H51" s="2427"/>
      <c r="I51" s="2859"/>
      <c r="J51" s="2427"/>
      <c r="K51" s="2862"/>
      <c r="L51" s="2427"/>
      <c r="M51" s="2862"/>
      <c r="N51" s="2427"/>
      <c r="O51" s="2862"/>
      <c r="P51" s="2427"/>
      <c r="Q51" s="2862"/>
      <c r="R51" s="2427"/>
      <c r="S51" s="2862"/>
    </row>
    <row r="52" spans="1:19" ht="15.75" thickTop="1">
      <c r="A52" s="14"/>
      <c r="B52" s="15"/>
      <c r="C52" s="16"/>
      <c r="D52" s="16"/>
      <c r="E52" s="17"/>
      <c r="F52" s="18" t="s">
        <v>567</v>
      </c>
      <c r="G52" s="19"/>
      <c r="H52" s="20"/>
      <c r="I52" s="61">
        <f>SUM(I23:I51)</f>
        <v>130000</v>
      </c>
      <c r="J52" s="20"/>
      <c r="K52" s="61">
        <f>SUM(K23:K51)</f>
        <v>0</v>
      </c>
      <c r="L52" s="20"/>
      <c r="M52" s="61">
        <f>SUM(M23:M51)</f>
        <v>0</v>
      </c>
      <c r="N52" s="20"/>
      <c r="O52" s="61">
        <f>SUM(O23:O51)</f>
        <v>0</v>
      </c>
      <c r="P52" s="20"/>
      <c r="Q52" s="61">
        <f>SUM(Q23:Q51)</f>
        <v>0</v>
      </c>
      <c r="R52" s="20"/>
      <c r="S52" s="61">
        <f>SUM(S23:S51)</f>
        <v>0</v>
      </c>
    </row>
    <row r="53" spans="1:19">
      <c r="A53" s="2358"/>
      <c r="B53" s="2359"/>
      <c r="C53" s="2360"/>
      <c r="D53" s="2360"/>
      <c r="E53" s="2361"/>
      <c r="F53" s="2362" t="s">
        <v>568</v>
      </c>
      <c r="G53" s="2363"/>
      <c r="H53" s="2364">
        <v>0</v>
      </c>
      <c r="I53" s="2460"/>
      <c r="J53" s="2364">
        <v>0</v>
      </c>
      <c r="K53" s="2460"/>
      <c r="L53" s="2364">
        <v>0</v>
      </c>
      <c r="M53" s="2460"/>
      <c r="N53" s="2364">
        <v>0</v>
      </c>
      <c r="O53" s="2460"/>
      <c r="P53" s="2364">
        <v>0</v>
      </c>
      <c r="Q53" s="2460"/>
      <c r="R53" s="2364">
        <v>0</v>
      </c>
      <c r="S53" s="2460"/>
    </row>
    <row r="54" spans="1:19">
      <c r="A54" s="2358"/>
      <c r="B54" s="2359"/>
      <c r="C54" s="2360"/>
      <c r="D54" s="2360"/>
      <c r="E54" s="2361"/>
      <c r="F54" s="2362" t="s">
        <v>569</v>
      </c>
      <c r="G54" s="2363"/>
      <c r="H54" s="2366"/>
      <c r="I54" s="2462">
        <f>H53*I52</f>
        <v>0</v>
      </c>
      <c r="J54" s="2366"/>
      <c r="K54" s="2462">
        <f>J53*K52</f>
        <v>0</v>
      </c>
      <c r="L54" s="2366"/>
      <c r="M54" s="2462">
        <f>L53*M52</f>
        <v>0</v>
      </c>
      <c r="N54" s="2366"/>
      <c r="O54" s="2462">
        <f>N53*O52</f>
        <v>0</v>
      </c>
      <c r="P54" s="2366"/>
      <c r="Q54" s="2462">
        <f>P53*Q52</f>
        <v>0</v>
      </c>
      <c r="R54" s="2366"/>
      <c r="S54" s="2462">
        <f>R53*S52</f>
        <v>0</v>
      </c>
    </row>
    <row r="55" spans="1:19">
      <c r="A55" s="2358"/>
      <c r="B55" s="2359"/>
      <c r="C55" s="2360"/>
      <c r="D55" s="2360"/>
      <c r="E55" s="2361"/>
      <c r="F55" s="2362"/>
      <c r="G55" s="2363"/>
      <c r="H55" s="2366"/>
      <c r="I55" s="2464"/>
      <c r="J55" s="2366"/>
      <c r="K55" s="2464"/>
      <c r="L55" s="2366"/>
      <c r="M55" s="2464"/>
      <c r="N55" s="2366"/>
      <c r="O55" s="2464"/>
      <c r="P55" s="2366"/>
      <c r="Q55" s="2464"/>
      <c r="R55" s="2366"/>
      <c r="S55" s="2464"/>
    </row>
    <row r="56" spans="1:19">
      <c r="A56" s="2358"/>
      <c r="B56" s="2359"/>
      <c r="C56" s="2360"/>
      <c r="D56" s="2360"/>
      <c r="E56" s="2361"/>
      <c r="F56" s="2362" t="s">
        <v>570</v>
      </c>
      <c r="G56" s="2363"/>
      <c r="H56" s="2368"/>
      <c r="I56" s="2465">
        <f>SUM(I52:I54)</f>
        <v>130000</v>
      </c>
      <c r="J56" s="2368"/>
      <c r="K56" s="2465">
        <f>SUM(K52:K54)</f>
        <v>0</v>
      </c>
      <c r="L56" s="2368"/>
      <c r="M56" s="2465">
        <f>SUM(M52:M54)</f>
        <v>0</v>
      </c>
      <c r="N56" s="2368"/>
      <c r="O56" s="2465">
        <f>SUM(O52:O54)</f>
        <v>0</v>
      </c>
      <c r="P56" s="2368"/>
      <c r="Q56" s="2465">
        <f>SUM(Q52:Q54)</f>
        <v>0</v>
      </c>
      <c r="R56" s="2368"/>
      <c r="S56" s="2465">
        <f>SUM(S52:S54)</f>
        <v>0</v>
      </c>
    </row>
    <row r="57" spans="1:19">
      <c r="A57" s="2358"/>
      <c r="B57" s="2359"/>
      <c r="C57" s="2360"/>
      <c r="D57" s="2360"/>
      <c r="E57" s="2361"/>
      <c r="F57" s="2370" t="s">
        <v>571</v>
      </c>
      <c r="G57" s="2371"/>
      <c r="H57" s="2372"/>
      <c r="I57" s="2373" t="e">
        <f>I56/'Area Calculations'!$J$4</f>
        <v>#DIV/0!</v>
      </c>
      <c r="J57" s="2372"/>
      <c r="K57" s="2373" t="e">
        <f>K56/'Area Calculations'!$J$4</f>
        <v>#DIV/0!</v>
      </c>
      <c r="L57" s="2372"/>
      <c r="M57" s="2373" t="e">
        <f>M56/'Area Calculations'!$J$4</f>
        <v>#DIV/0!</v>
      </c>
      <c r="N57" s="2372"/>
      <c r="O57" s="2373" t="e">
        <f>O56/'Area Calculations'!$J$4</f>
        <v>#DIV/0!</v>
      </c>
      <c r="P57" s="2372"/>
      <c r="Q57" s="2373" t="e">
        <f>Q56/'Area Calculations'!$J$4</f>
        <v>#DIV/0!</v>
      </c>
      <c r="R57" s="2372"/>
      <c r="S57" s="2373" t="e">
        <f>S56/'Area Calculations'!$J$4</f>
        <v>#DIV/0!</v>
      </c>
    </row>
    <row r="58" spans="1:19">
      <c r="A58" s="2358"/>
      <c r="B58" s="2359"/>
      <c r="C58" s="2360"/>
      <c r="D58" s="2360"/>
      <c r="E58" s="2361"/>
      <c r="F58" s="2370" t="s">
        <v>572</v>
      </c>
      <c r="G58" s="2374"/>
      <c r="H58" s="2372"/>
      <c r="I58" s="2373" t="e">
        <f>I56/'Area Calculations'!#REF!</f>
        <v>#REF!</v>
      </c>
      <c r="J58" s="2372"/>
      <c r="K58" s="2373" t="e">
        <f>K56/'Area Calculations'!#REF!</f>
        <v>#REF!</v>
      </c>
      <c r="L58" s="2372"/>
      <c r="M58" s="2373" t="e">
        <f>M56/'Area Calculations'!#REF!</f>
        <v>#REF!</v>
      </c>
      <c r="N58" s="2372"/>
      <c r="O58" s="2373" t="e">
        <f>O56/'Area Calculations'!#REF!</f>
        <v>#REF!</v>
      </c>
      <c r="P58" s="2372"/>
      <c r="Q58" s="2373" t="e">
        <f>Q56/'Area Calculations'!#REF!</f>
        <v>#REF!</v>
      </c>
      <c r="R58" s="2372"/>
      <c r="S58" s="2373" t="e">
        <f>S56/'Area Calculations'!#REF!</f>
        <v>#REF!</v>
      </c>
    </row>
    <row r="59" spans="1:19" ht="15.75" thickBot="1">
      <c r="A59" s="2358"/>
      <c r="B59" s="2359"/>
      <c r="C59" s="2360"/>
      <c r="D59" s="2360"/>
      <c r="E59" s="2361"/>
      <c r="F59" s="2362"/>
      <c r="G59" s="2375"/>
      <c r="H59" s="2376"/>
      <c r="I59" s="2377"/>
      <c r="J59" s="2376"/>
      <c r="K59" s="2377"/>
      <c r="L59" s="2376"/>
      <c r="M59" s="2377"/>
      <c r="N59" s="2376"/>
      <c r="O59" s="2377"/>
      <c r="P59" s="2376"/>
      <c r="Q59" s="2377"/>
      <c r="R59" s="2376"/>
      <c r="S59" s="2377"/>
    </row>
    <row r="60" spans="1:19" ht="16.5" thickTop="1" thickBot="1">
      <c r="A60" s="726" t="s">
        <v>573</v>
      </c>
      <c r="B60" s="727"/>
      <c r="C60" s="12"/>
      <c r="D60" s="12"/>
      <c r="E60" s="12"/>
      <c r="F60" s="12"/>
      <c r="G60" s="13"/>
      <c r="H60" s="21"/>
      <c r="I60" s="21"/>
      <c r="J60" s="21"/>
      <c r="K60" s="21"/>
      <c r="L60" s="21"/>
      <c r="M60" s="21"/>
      <c r="N60" s="21"/>
      <c r="O60" s="21"/>
      <c r="P60" s="21"/>
      <c r="Q60" s="21"/>
      <c r="R60" s="21"/>
      <c r="S60" s="21"/>
    </row>
    <row r="61" spans="1:19" ht="15.75" thickTop="1">
      <c r="A61" s="2882"/>
      <c r="B61" s="2404"/>
      <c r="C61" s="2883"/>
      <c r="D61" s="2883"/>
      <c r="E61" s="2883"/>
      <c r="F61" s="2883"/>
      <c r="G61" s="2884"/>
      <c r="H61" s="2885"/>
      <c r="I61" s="2885"/>
      <c r="J61" s="2885"/>
      <c r="K61" s="2885"/>
      <c r="L61" s="2885"/>
      <c r="M61" s="2885"/>
      <c r="N61" s="2885"/>
      <c r="O61" s="2885"/>
      <c r="P61" s="2885"/>
      <c r="Q61" s="2885"/>
      <c r="R61" s="2885"/>
      <c r="S61" s="2885"/>
    </row>
    <row r="62" spans="1:19" s="2" customFormat="1">
      <c r="A62" s="2882"/>
      <c r="B62" s="2404"/>
      <c r="C62" s="2883"/>
      <c r="D62" s="2883"/>
      <c r="E62" s="2883"/>
      <c r="F62" s="2883"/>
      <c r="G62" s="2884"/>
      <c r="H62" s="2885"/>
      <c r="I62" s="2885"/>
      <c r="J62" s="2885"/>
      <c r="K62" s="2885"/>
      <c r="L62" s="2885"/>
      <c r="M62" s="2885"/>
      <c r="N62" s="2885"/>
      <c r="O62" s="2885"/>
      <c r="P62" s="2885"/>
      <c r="Q62" s="2885"/>
      <c r="R62" s="2885"/>
      <c r="S62" s="2885"/>
    </row>
    <row r="63" spans="1:19" s="2" customFormat="1" ht="15.75" thickBot="1">
      <c r="A63" s="2882"/>
      <c r="B63" s="2404"/>
      <c r="C63" s="2883"/>
      <c r="D63" s="2883"/>
      <c r="E63" s="2883"/>
      <c r="F63" s="2883"/>
      <c r="G63" s="2884"/>
      <c r="H63" s="2885"/>
      <c r="I63" s="2885"/>
      <c r="J63" s="2885"/>
      <c r="K63" s="2885"/>
      <c r="L63" s="2885"/>
      <c r="M63" s="2885"/>
      <c r="N63" s="2885"/>
      <c r="O63" s="2885"/>
      <c r="P63" s="2885"/>
      <c r="Q63" s="2885"/>
      <c r="R63" s="2885"/>
      <c r="S63" s="2885"/>
    </row>
    <row r="64" spans="1:19" ht="16.5" thickTop="1" thickBot="1">
      <c r="A64" s="726" t="s">
        <v>574</v>
      </c>
      <c r="B64" s="727"/>
      <c r="C64" s="12"/>
      <c r="D64" s="12"/>
      <c r="E64" s="12"/>
      <c r="F64" s="12"/>
      <c r="G64" s="13"/>
      <c r="H64" s="21"/>
      <c r="I64" s="21"/>
      <c r="J64" s="21"/>
      <c r="K64" s="21"/>
      <c r="L64" s="21"/>
      <c r="M64" s="21"/>
      <c r="N64" s="21"/>
      <c r="O64" s="21"/>
      <c r="P64" s="21"/>
      <c r="Q64" s="21"/>
      <c r="R64" s="21"/>
      <c r="S64" s="21"/>
    </row>
    <row r="65" spans="1:19" s="2" customFormat="1" ht="15.75" thickTop="1">
      <c r="A65" s="2882"/>
      <c r="B65" s="2404"/>
      <c r="C65" s="2883"/>
      <c r="D65" s="2883"/>
      <c r="E65" s="2883"/>
      <c r="F65" s="2883"/>
      <c r="G65" s="2884"/>
      <c r="H65" s="2885"/>
      <c r="I65" s="2885"/>
      <c r="J65" s="2885"/>
      <c r="K65" s="2885"/>
      <c r="L65" s="2885"/>
      <c r="M65" s="2885"/>
      <c r="N65" s="2885"/>
      <c r="O65" s="2885"/>
      <c r="P65" s="2885"/>
      <c r="Q65" s="2885"/>
      <c r="R65" s="2885"/>
      <c r="S65" s="2885"/>
    </row>
    <row r="66" spans="1:19" s="2" customFormat="1">
      <c r="A66" s="2882"/>
      <c r="B66" s="2404"/>
      <c r="C66" s="2883"/>
      <c r="D66" s="2883"/>
      <c r="E66" s="2883"/>
      <c r="F66" s="2883"/>
      <c r="G66" s="2884"/>
      <c r="H66" s="2885"/>
      <c r="I66" s="2885"/>
      <c r="J66" s="2885"/>
      <c r="K66" s="2885"/>
      <c r="L66" s="2885"/>
      <c r="M66" s="2885"/>
      <c r="N66" s="2885"/>
      <c r="O66" s="2885"/>
      <c r="P66" s="2885"/>
      <c r="Q66" s="2885"/>
      <c r="R66" s="2885"/>
      <c r="S66" s="2885"/>
    </row>
    <row r="67" spans="1:19" ht="15.75" thickBot="1">
      <c r="A67" s="2882"/>
      <c r="B67" s="2404"/>
      <c r="C67" s="2883"/>
      <c r="D67" s="2883"/>
      <c r="E67" s="2883"/>
      <c r="F67" s="2883"/>
      <c r="G67" s="2884"/>
      <c r="H67" s="2885"/>
      <c r="I67" s="2885"/>
      <c r="J67" s="2885"/>
      <c r="K67" s="2885"/>
      <c r="L67" s="2885"/>
      <c r="M67" s="2885"/>
      <c r="N67" s="2885"/>
      <c r="O67" s="2885"/>
      <c r="P67" s="2885"/>
      <c r="Q67" s="2885"/>
      <c r="R67" s="2885"/>
      <c r="S67" s="2885"/>
    </row>
    <row r="68" spans="1:19" ht="16.5" thickTop="1" thickBot="1">
      <c r="A68" s="726" t="s">
        <v>575</v>
      </c>
      <c r="B68" s="727"/>
      <c r="C68" s="12"/>
      <c r="D68" s="12"/>
      <c r="E68" s="12"/>
      <c r="F68" s="12"/>
      <c r="G68" s="13"/>
      <c r="H68" s="21"/>
      <c r="I68" s="21"/>
      <c r="J68" s="21"/>
      <c r="K68" s="21"/>
      <c r="L68" s="21"/>
      <c r="M68" s="21"/>
      <c r="N68" s="21"/>
      <c r="O68" s="21"/>
      <c r="P68" s="21"/>
      <c r="Q68" s="21"/>
      <c r="R68" s="21"/>
      <c r="S68" s="21"/>
    </row>
    <row r="69" spans="1:19" ht="15.75" thickTop="1">
      <c r="A69" s="2882"/>
      <c r="B69" s="2404"/>
      <c r="C69" s="2883"/>
      <c r="D69" s="2883"/>
      <c r="E69" s="2883"/>
      <c r="F69" s="2883"/>
      <c r="G69" s="2884"/>
      <c r="H69" s="2885"/>
      <c r="I69" s="2885"/>
      <c r="J69" s="2885"/>
      <c r="K69" s="2885"/>
      <c r="L69" s="2885"/>
      <c r="M69" s="2885"/>
      <c r="N69" s="2885"/>
      <c r="O69" s="2885"/>
      <c r="P69" s="2885"/>
      <c r="Q69" s="2885"/>
      <c r="R69" s="2885"/>
      <c r="S69" s="2885"/>
    </row>
    <row r="70" spans="1:19">
      <c r="A70" s="2421"/>
      <c r="B70" s="2404"/>
      <c r="C70" s="2405"/>
      <c r="D70" s="2405"/>
      <c r="E70" s="2405"/>
      <c r="F70" s="2405"/>
      <c r="G70" s="2423"/>
      <c r="H70" s="2382"/>
      <c r="I70" s="2382"/>
      <c r="J70" s="2382"/>
      <c r="K70" s="2382"/>
      <c r="L70" s="2382"/>
      <c r="M70" s="2382"/>
      <c r="N70" s="2382"/>
      <c r="O70" s="2382"/>
      <c r="P70" s="2382"/>
      <c r="Q70" s="2382"/>
      <c r="R70" s="2382"/>
      <c r="S70" s="2382"/>
    </row>
    <row r="71" spans="1:19" ht="15.75" thickBot="1">
      <c r="A71" s="2383"/>
      <c r="B71" s="2384"/>
      <c r="C71" s="2405"/>
      <c r="D71" s="2405"/>
      <c r="E71" s="2405"/>
      <c r="F71" s="2405"/>
      <c r="G71" s="2423"/>
      <c r="H71" s="2385"/>
      <c r="I71" s="2385"/>
      <c r="J71" s="2385"/>
      <c r="K71" s="2385"/>
      <c r="L71" s="2385"/>
      <c r="M71" s="2385"/>
      <c r="N71" s="2385"/>
      <c r="O71" s="2385"/>
      <c r="P71" s="2385"/>
      <c r="Q71" s="2385"/>
      <c r="R71" s="2385"/>
      <c r="S71" s="2385"/>
    </row>
    <row r="72" spans="1:19" ht="16.5" thickTop="1" thickBot="1">
      <c r="A72" s="726" t="s">
        <v>576</v>
      </c>
      <c r="B72" s="727"/>
      <c r="C72" s="12"/>
      <c r="D72" s="12"/>
      <c r="E72" s="12"/>
      <c r="F72" s="12"/>
      <c r="G72" s="13"/>
      <c r="H72" s="21"/>
      <c r="I72" s="21"/>
      <c r="J72" s="21"/>
      <c r="K72" s="21"/>
      <c r="L72" s="21"/>
      <c r="M72" s="21"/>
      <c r="N72" s="21"/>
      <c r="O72" s="21"/>
      <c r="P72" s="21"/>
      <c r="Q72" s="21"/>
      <c r="R72" s="21"/>
      <c r="S72" s="21"/>
    </row>
    <row r="73" spans="1:19" ht="15.75" thickTop="1">
      <c r="A73" s="2886"/>
      <c r="B73" s="2887"/>
      <c r="C73" s="2883"/>
      <c r="D73" s="2883"/>
      <c r="E73" s="2883"/>
      <c r="F73" s="2883"/>
      <c r="G73" s="2884"/>
      <c r="H73" s="2885"/>
      <c r="I73" s="2885"/>
      <c r="J73" s="2885"/>
      <c r="K73" s="2885"/>
      <c r="L73" s="2885"/>
      <c r="M73" s="2885"/>
      <c r="N73" s="2885"/>
      <c r="O73" s="2885"/>
      <c r="P73" s="2885"/>
      <c r="Q73" s="2885"/>
      <c r="R73" s="2885"/>
      <c r="S73" s="2885"/>
    </row>
    <row r="74" spans="1:19">
      <c r="A74" s="2383"/>
      <c r="B74" s="2384"/>
      <c r="C74" s="2405"/>
      <c r="D74" s="2405"/>
      <c r="E74" s="2405"/>
      <c r="F74" s="2405"/>
      <c r="G74" s="2423"/>
      <c r="H74" s="2388"/>
      <c r="I74" s="2388"/>
      <c r="J74" s="2388"/>
      <c r="K74" s="2388"/>
      <c r="L74" s="2388"/>
      <c r="M74" s="2388"/>
      <c r="N74" s="2388"/>
      <c r="O74" s="2388"/>
      <c r="P74" s="2388"/>
      <c r="Q74" s="2388"/>
      <c r="R74" s="2388"/>
      <c r="S74" s="2388"/>
    </row>
    <row r="75" spans="1:19" ht="15.75" thickBot="1">
      <c r="A75" s="2383"/>
      <c r="B75" s="2384"/>
      <c r="C75" s="2405"/>
      <c r="D75" s="2405"/>
      <c r="E75" s="2405"/>
      <c r="F75" s="2405"/>
      <c r="G75" s="2423"/>
      <c r="H75" s="2388"/>
      <c r="I75" s="2388"/>
      <c r="J75" s="2388"/>
      <c r="K75" s="2388"/>
      <c r="L75" s="2388"/>
      <c r="M75" s="2388"/>
      <c r="N75" s="2388"/>
      <c r="O75" s="2388"/>
      <c r="P75" s="2388"/>
      <c r="Q75" s="2388"/>
      <c r="R75" s="2388"/>
      <c r="S75" s="2388"/>
    </row>
    <row r="76" spans="1:19" ht="16.5" thickTop="1" thickBot="1">
      <c r="A76" s="726" t="s">
        <v>577</v>
      </c>
      <c r="B76" s="727"/>
      <c r="C76" s="12"/>
      <c r="D76" s="12"/>
      <c r="E76" s="12"/>
      <c r="F76" s="12"/>
      <c r="G76" s="13"/>
      <c r="H76" s="21"/>
      <c r="I76" s="21"/>
      <c r="J76" s="21"/>
      <c r="K76" s="21"/>
      <c r="L76" s="21"/>
      <c r="M76" s="21"/>
      <c r="N76" s="21"/>
      <c r="O76" s="21"/>
      <c r="P76" s="21"/>
      <c r="Q76" s="21"/>
      <c r="R76" s="21"/>
      <c r="S76" s="21"/>
    </row>
    <row r="77" spans="1:19" ht="15.75" thickTop="1">
      <c r="A77" s="2421"/>
      <c r="B77" s="2404" t="s">
        <v>578</v>
      </c>
      <c r="C77" s="2405"/>
      <c r="D77" s="2405"/>
      <c r="E77" s="2405"/>
      <c r="F77" s="2405"/>
      <c r="G77" s="2423"/>
      <c r="H77" s="2388"/>
      <c r="I77" s="2388"/>
      <c r="J77" s="2388"/>
      <c r="K77" s="2388"/>
      <c r="L77" s="2388"/>
      <c r="M77" s="2388"/>
      <c r="N77" s="2388"/>
      <c r="O77" s="2388"/>
      <c r="P77" s="2388"/>
      <c r="Q77" s="2388"/>
      <c r="R77" s="2388"/>
      <c r="S77" s="2388"/>
    </row>
    <row r="78" spans="1:19">
      <c r="A78" s="2421"/>
      <c r="B78" s="2404" t="s">
        <v>579</v>
      </c>
      <c r="C78" s="2405"/>
      <c r="D78" s="2405"/>
      <c r="E78" s="2405"/>
      <c r="F78" s="2405"/>
      <c r="G78" s="2423"/>
      <c r="H78" s="2388"/>
      <c r="I78" s="2388"/>
      <c r="J78" s="2388"/>
      <c r="K78" s="2388"/>
      <c r="L78" s="2388"/>
      <c r="M78" s="2388"/>
      <c r="N78" s="2388"/>
      <c r="O78" s="2388"/>
      <c r="P78" s="2388"/>
      <c r="Q78" s="2388"/>
      <c r="R78" s="2388"/>
      <c r="S78" s="2388"/>
    </row>
    <row r="79" spans="1:19">
      <c r="A79" s="2421"/>
      <c r="B79" s="2404" t="s">
        <v>580</v>
      </c>
      <c r="C79" s="2405"/>
      <c r="D79" s="2405"/>
      <c r="E79" s="2405"/>
      <c r="F79" s="2405"/>
      <c r="G79" s="2423"/>
      <c r="H79" s="2388"/>
      <c r="I79" s="2388"/>
      <c r="J79" s="2388"/>
      <c r="K79" s="2388"/>
      <c r="L79" s="2388"/>
      <c r="M79" s="2388"/>
      <c r="N79" s="2388"/>
      <c r="O79" s="2388"/>
      <c r="P79" s="2388"/>
      <c r="Q79" s="2388"/>
      <c r="R79" s="2388"/>
      <c r="S79" s="2388"/>
    </row>
    <row r="80" spans="1:19">
      <c r="A80" s="2421"/>
      <c r="B80" s="2404" t="s">
        <v>581</v>
      </c>
      <c r="C80" s="2405"/>
      <c r="D80" s="2405"/>
      <c r="E80" s="2405"/>
      <c r="F80" s="2405"/>
      <c r="G80" s="2423"/>
      <c r="H80" s="2388"/>
      <c r="I80" s="2388"/>
      <c r="J80" s="2388"/>
      <c r="K80" s="2388"/>
      <c r="L80" s="2388"/>
      <c r="M80" s="2388"/>
      <c r="N80" s="2388"/>
      <c r="O80" s="2388"/>
      <c r="P80" s="2388"/>
      <c r="Q80" s="2388"/>
      <c r="R80" s="2388"/>
      <c r="S80" s="2388"/>
    </row>
    <row r="81" spans="1:19" ht="15.75" thickBot="1">
      <c r="A81" s="416"/>
      <c r="B81" s="295"/>
      <c r="C81" s="184"/>
      <c r="D81" s="184"/>
      <c r="E81" s="184"/>
      <c r="F81" s="184"/>
      <c r="G81" s="296"/>
      <c r="H81" s="418"/>
      <c r="I81" s="418"/>
      <c r="J81" s="418"/>
      <c r="K81" s="418"/>
      <c r="L81" s="418"/>
      <c r="M81" s="418"/>
      <c r="N81" s="418"/>
      <c r="O81" s="418"/>
      <c r="P81" s="418"/>
      <c r="Q81" s="418"/>
      <c r="R81" s="418"/>
      <c r="S81" s="418"/>
    </row>
    <row r="82" spans="1:19" ht="16.5" thickTop="1" thickBot="1">
      <c r="A82" s="7" t="s">
        <v>582</v>
      </c>
      <c r="B82" s="8"/>
      <c r="C82" s="12"/>
      <c r="D82" s="12"/>
      <c r="E82" s="12"/>
      <c r="F82" s="12"/>
      <c r="G82" s="13"/>
      <c r="H82" s="21"/>
      <c r="I82" s="21"/>
      <c r="J82" s="21"/>
      <c r="K82" s="21"/>
      <c r="L82" s="21"/>
      <c r="M82" s="21"/>
      <c r="N82" s="21"/>
      <c r="O82" s="21"/>
      <c r="P82" s="21"/>
      <c r="Q82" s="21"/>
      <c r="R82" s="21"/>
      <c r="S82" s="21"/>
    </row>
    <row r="83" spans="1:19" ht="15.75" thickTop="1">
      <c r="A83" s="2882"/>
      <c r="B83" s="2888" t="s">
        <v>583</v>
      </c>
      <c r="C83" s="2883"/>
      <c r="D83" s="2883"/>
      <c r="E83" s="2883"/>
      <c r="F83" s="2883"/>
      <c r="G83" s="2884"/>
      <c r="H83" s="2889"/>
      <c r="I83" s="2889"/>
      <c r="J83" s="2889"/>
      <c r="K83" s="2889"/>
      <c r="L83" s="2889"/>
      <c r="M83" s="2889"/>
      <c r="N83" s="2889"/>
      <c r="O83" s="2889"/>
      <c r="P83" s="2889"/>
      <c r="Q83" s="2889"/>
      <c r="R83" s="2889"/>
      <c r="S83" s="2889"/>
    </row>
    <row r="84" spans="1:19">
      <c r="A84" s="2421"/>
      <c r="B84" s="2404" t="s">
        <v>584</v>
      </c>
      <c r="C84" s="2405"/>
      <c r="D84" s="2405"/>
      <c r="E84" s="2405"/>
      <c r="F84" s="2405"/>
      <c r="G84" s="2423"/>
      <c r="H84" s="2390"/>
      <c r="I84" s="2390"/>
      <c r="J84" s="2390"/>
      <c r="K84" s="2390"/>
      <c r="L84" s="2390"/>
      <c r="M84" s="2390"/>
      <c r="N84" s="2390"/>
      <c r="O84" s="2390"/>
      <c r="P84" s="2390"/>
      <c r="Q84" s="2390"/>
      <c r="R84" s="2390"/>
      <c r="S84" s="2390"/>
    </row>
    <row r="85" spans="1:19" ht="15.75" thickBot="1">
      <c r="A85" s="2391"/>
      <c r="B85" s="2392" t="s">
        <v>585</v>
      </c>
      <c r="C85" s="2393"/>
      <c r="D85" s="2393"/>
      <c r="E85" s="2393"/>
      <c r="F85" s="2393"/>
      <c r="G85" s="2394"/>
      <c r="H85" s="2395"/>
      <c r="I85" s="2395"/>
      <c r="J85" s="2395"/>
      <c r="K85" s="2395"/>
      <c r="L85" s="2395"/>
      <c r="M85" s="2395"/>
      <c r="N85" s="2395"/>
      <c r="O85" s="2395"/>
      <c r="P85" s="2395"/>
      <c r="Q85" s="2395"/>
      <c r="R85" s="2395"/>
      <c r="S85" s="2395"/>
    </row>
    <row r="86" spans="1:19" ht="16.5" thickTop="1" thickBot="1"/>
    <row r="87" spans="1:19" ht="16.5" thickTop="1" thickBot="1">
      <c r="A87" s="92" t="s">
        <v>586</v>
      </c>
      <c r="B87" s="94"/>
    </row>
    <row r="88" spans="1:19" ht="15.75" thickTop="1">
      <c r="A88" s="93" t="s">
        <v>487</v>
      </c>
      <c r="B88" s="2396"/>
    </row>
    <row r="89" spans="1:19">
      <c r="A89" s="2397" t="s">
        <v>491</v>
      </c>
      <c r="B89" s="2396"/>
    </row>
    <row r="90" spans="1:19">
      <c r="A90" s="2398" t="s">
        <v>494</v>
      </c>
      <c r="B90" s="2399"/>
    </row>
    <row r="91" spans="1:19">
      <c r="A91" s="2398" t="s">
        <v>497</v>
      </c>
      <c r="B91" s="2400"/>
    </row>
    <row r="92" spans="1:19" ht="15.75" thickBot="1">
      <c r="A92" s="2401" t="s">
        <v>587</v>
      </c>
      <c r="B92" s="2402">
        <f>H8</f>
        <v>130000</v>
      </c>
    </row>
    <row r="93" spans="1:19" ht="15.75" thickTop="1"/>
    <row r="94" spans="1:19">
      <c r="A94" s="95"/>
      <c r="B94" s="1" t="s">
        <v>588</v>
      </c>
    </row>
    <row r="95" spans="1:19">
      <c r="A95" s="96"/>
      <c r="B95"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0:B60"/>
    <mergeCell ref="A64:B64"/>
    <mergeCell ref="A68:B68"/>
    <mergeCell ref="A72:B72"/>
    <mergeCell ref="A76:B76"/>
  </mergeCells>
  <conditionalFormatting sqref="H20:H30">
    <cfRule type="cellIs" dxfId="411" priority="25" operator="equal">
      <formula>"X"</formula>
    </cfRule>
    <cfRule type="cellIs" dxfId="410" priority="26" operator="equal">
      <formula>"I"</formula>
    </cfRule>
  </conditionalFormatting>
  <conditionalFormatting sqref="H32:H51">
    <cfRule type="cellIs" dxfId="409" priority="3" operator="equal">
      <formula>"X"</formula>
    </cfRule>
    <cfRule type="cellIs" dxfId="408" priority="4" operator="equal">
      <formula>"I"</formula>
    </cfRule>
  </conditionalFormatting>
  <conditionalFormatting sqref="J20:J30">
    <cfRule type="cellIs" dxfId="407" priority="23" operator="equal">
      <formula>"X"</formula>
    </cfRule>
    <cfRule type="cellIs" dxfId="406" priority="24" operator="equal">
      <formula>"I"</formula>
    </cfRule>
  </conditionalFormatting>
  <conditionalFormatting sqref="J32:J51">
    <cfRule type="cellIs" dxfId="405" priority="5" operator="equal">
      <formula>"X"</formula>
    </cfRule>
    <cfRule type="cellIs" dxfId="404" priority="6" operator="equal">
      <formula>"I"</formula>
    </cfRule>
  </conditionalFormatting>
  <conditionalFormatting sqref="L20:L30">
    <cfRule type="cellIs" dxfId="403" priority="21" operator="equal">
      <formula>"X"</formula>
    </cfRule>
    <cfRule type="cellIs" dxfId="402" priority="22" operator="equal">
      <formula>"I"</formula>
    </cfRule>
  </conditionalFormatting>
  <conditionalFormatting sqref="L32:L51">
    <cfRule type="cellIs" dxfId="401" priority="7" operator="equal">
      <formula>"X"</formula>
    </cfRule>
    <cfRule type="cellIs" dxfId="400" priority="8" operator="equal">
      <formula>"I"</formula>
    </cfRule>
  </conditionalFormatting>
  <conditionalFormatting sqref="N20:N30">
    <cfRule type="cellIs" dxfId="399" priority="19" operator="equal">
      <formula>"X"</formula>
    </cfRule>
    <cfRule type="cellIs" dxfId="398" priority="20" operator="equal">
      <formula>"I"</formula>
    </cfRule>
  </conditionalFormatting>
  <conditionalFormatting sqref="N32:N51">
    <cfRule type="cellIs" dxfId="397" priority="9" operator="equal">
      <formula>"X"</formula>
    </cfRule>
    <cfRule type="cellIs" dxfId="396" priority="10" operator="equal">
      <formula>"I"</formula>
    </cfRule>
  </conditionalFormatting>
  <conditionalFormatting sqref="P20:P30">
    <cfRule type="cellIs" dxfId="395" priority="17" operator="equal">
      <formula>"X"</formula>
    </cfRule>
    <cfRule type="cellIs" dxfId="394" priority="18" operator="equal">
      <formula>"I"</formula>
    </cfRule>
  </conditionalFormatting>
  <conditionalFormatting sqref="P32:P51">
    <cfRule type="cellIs" dxfId="393" priority="11" operator="equal">
      <formula>"X"</formula>
    </cfRule>
    <cfRule type="cellIs" dxfId="392" priority="12" operator="equal">
      <formula>"I"</formula>
    </cfRule>
  </conditionalFormatting>
  <conditionalFormatting sqref="R20:R30">
    <cfRule type="cellIs" dxfId="391" priority="15" operator="equal">
      <formula>"X"</formula>
    </cfRule>
    <cfRule type="cellIs" dxfId="390" priority="16" operator="equal">
      <formula>"I"</formula>
    </cfRule>
  </conditionalFormatting>
  <conditionalFormatting sqref="R32:R51">
    <cfRule type="cellIs" dxfId="389" priority="13" operator="equal">
      <formula>"X"</formula>
    </cfRule>
    <cfRule type="cellIs" dxfId="388" priority="14" operator="equal">
      <formula>"I"</formula>
    </cfRule>
  </conditionalFormatting>
  <hyperlinks>
    <hyperlink ref="B3" location="'Cost Summary'!A1" display="BACK TO SUMMARY SHEET" xr:uid="{2D99696C-FCFC-48A7-A2CC-2E4C80C6CA14}"/>
  </hyperlink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F3D7-CFA7-46AB-8CC3-F4EEAB495E9D}">
  <sheetPr>
    <tabColor rgb="FF92D050"/>
  </sheetPr>
  <dimension ref="A1:S82"/>
  <sheetViews>
    <sheetView workbookViewId="0">
      <pane xSplit="2" ySplit="9" topLeftCell="C20" activePane="bottomRight" state="frozen"/>
      <selection pane="bottomRight" activeCell="B30" sqref="B30"/>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42578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79"/>
      <c r="K4" s="779"/>
      <c r="L4" s="779"/>
      <c r="M4" s="779"/>
      <c r="N4" s="779"/>
      <c r="O4" s="779"/>
      <c r="P4" s="779"/>
      <c r="Q4" s="779"/>
      <c r="R4" s="760"/>
      <c r="S4" s="729"/>
    </row>
    <row r="5" spans="1:19">
      <c r="A5" s="2403" t="s">
        <v>489</v>
      </c>
      <c r="B5" s="2404" t="s">
        <v>1198</v>
      </c>
      <c r="C5" s="2405"/>
      <c r="D5" s="2405"/>
      <c r="E5" s="2405"/>
      <c r="F5" s="2405"/>
      <c r="G5" s="2406" t="s">
        <v>491</v>
      </c>
      <c r="H5" s="2407"/>
      <c r="I5" s="2408"/>
      <c r="J5" s="2518"/>
      <c r="K5" s="2518"/>
      <c r="L5" s="2518"/>
      <c r="M5" s="2518"/>
      <c r="N5" s="2518"/>
      <c r="O5" s="2518"/>
      <c r="P5" s="2518"/>
      <c r="Q5" s="2518"/>
      <c r="R5" s="2409"/>
      <c r="S5" s="2408"/>
    </row>
    <row r="6" spans="1:19">
      <c r="A6" s="2403" t="s">
        <v>493</v>
      </c>
      <c r="B6" s="2410" t="s">
        <v>1199</v>
      </c>
      <c r="C6" s="2405"/>
      <c r="D6" s="2405"/>
      <c r="E6" s="2405"/>
      <c r="F6" s="2405"/>
      <c r="G6" s="2406" t="s">
        <v>494</v>
      </c>
      <c r="H6" s="2411"/>
      <c r="I6" s="2412"/>
      <c r="J6" s="2519"/>
      <c r="K6" s="2519"/>
      <c r="L6" s="2519"/>
      <c r="M6" s="2519"/>
      <c r="N6" s="2519"/>
      <c r="O6" s="2519"/>
      <c r="P6" s="2519"/>
      <c r="Q6" s="2519"/>
      <c r="R6" s="2413"/>
      <c r="S6" s="2412"/>
    </row>
    <row r="7" spans="1:19">
      <c r="A7" s="2403" t="s">
        <v>496</v>
      </c>
      <c r="B7" s="2414"/>
      <c r="C7" s="2405"/>
      <c r="D7" s="2405"/>
      <c r="E7" s="2405"/>
      <c r="F7" s="2405"/>
      <c r="G7" s="2406" t="s">
        <v>497</v>
      </c>
      <c r="H7" s="2415"/>
      <c r="I7" s="2416"/>
      <c r="J7" s="2520"/>
      <c r="K7" s="2520"/>
      <c r="L7" s="2520"/>
      <c r="M7" s="2520"/>
      <c r="N7" s="2520"/>
      <c r="O7" s="2520"/>
      <c r="P7" s="2520"/>
      <c r="Q7" s="2520"/>
      <c r="R7" s="2417"/>
      <c r="S7" s="2416"/>
    </row>
    <row r="8" spans="1:19" ht="15.75" thickBot="1">
      <c r="A8" s="414" t="s">
        <v>499</v>
      </c>
      <c r="B8" s="295"/>
      <c r="C8" s="184"/>
      <c r="D8" s="184"/>
      <c r="E8" s="184"/>
      <c r="F8" s="184"/>
      <c r="G8" s="419" t="s">
        <v>499</v>
      </c>
      <c r="H8" s="2418">
        <f>I43</f>
        <v>0</v>
      </c>
      <c r="I8" s="2419"/>
      <c r="J8" s="2418">
        <f>K43</f>
        <v>0</v>
      </c>
      <c r="K8" s="2419"/>
      <c r="L8" s="2418">
        <f>M43</f>
        <v>0</v>
      </c>
      <c r="M8" s="2419"/>
      <c r="N8" s="2418">
        <f>O43</f>
        <v>0</v>
      </c>
      <c r="O8" s="2419"/>
      <c r="P8" s="2418">
        <f>Q43</f>
        <v>0</v>
      </c>
      <c r="Q8" s="2419"/>
      <c r="R8" s="2418">
        <f>S43</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890"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59"/>
      <c r="B21" s="2428" t="s">
        <v>1198</v>
      </c>
      <c r="C21" s="56"/>
      <c r="D21" s="57"/>
      <c r="E21" s="57"/>
      <c r="F21" s="57"/>
      <c r="G21" s="63"/>
      <c r="H21" s="2427"/>
      <c r="I21" s="2424"/>
      <c r="J21" s="2427"/>
      <c r="K21" s="2424"/>
      <c r="L21" s="2427"/>
      <c r="M21" s="2424"/>
      <c r="N21" s="2427"/>
      <c r="O21" s="2424"/>
      <c r="P21" s="2427"/>
      <c r="Q21" s="2424"/>
      <c r="R21" s="2427"/>
      <c r="S21" s="2424"/>
    </row>
    <row r="22" spans="1:19">
      <c r="A22" s="2891"/>
      <c r="B22" s="2318" t="s">
        <v>512</v>
      </c>
      <c r="C22" s="2426"/>
      <c r="D22" s="2405"/>
      <c r="E22" s="2405"/>
      <c r="F22" s="2405"/>
      <c r="G22" s="2423"/>
      <c r="H22" s="2427"/>
      <c r="I22" s="2481"/>
      <c r="J22" s="2427"/>
      <c r="K22" s="2481"/>
      <c r="L22" s="2427"/>
      <c r="M22" s="2481"/>
      <c r="N22" s="2427"/>
      <c r="O22" s="2481"/>
      <c r="P22" s="2427"/>
      <c r="Q22" s="2481"/>
      <c r="R22" s="2427"/>
      <c r="S22" s="2481"/>
    </row>
    <row r="23" spans="1:19">
      <c r="A23" s="2891"/>
      <c r="B23" s="2840" t="s">
        <v>513</v>
      </c>
      <c r="C23" s="2426"/>
      <c r="D23" s="2405"/>
      <c r="E23" s="2405"/>
      <c r="F23" s="2405"/>
      <c r="G23" s="2423"/>
      <c r="H23" s="2427"/>
      <c r="I23" s="2841"/>
      <c r="J23" s="2427"/>
      <c r="K23" s="2892"/>
      <c r="L23" s="2427"/>
      <c r="M23" s="2892"/>
      <c r="N23" s="2427"/>
      <c r="O23" s="2892"/>
      <c r="P23" s="2427"/>
      <c r="Q23" s="2892"/>
      <c r="R23" s="2427"/>
      <c r="S23" s="2892"/>
    </row>
    <row r="24" spans="1:19">
      <c r="A24" s="2891"/>
      <c r="B24" s="2840" t="s">
        <v>514</v>
      </c>
      <c r="C24" s="2430"/>
      <c r="D24" s="2405"/>
      <c r="E24" s="2405"/>
      <c r="F24" s="2405"/>
      <c r="G24" s="2423"/>
      <c r="H24" s="2427"/>
      <c r="I24" s="2841"/>
      <c r="J24" s="2427"/>
      <c r="K24" s="2892"/>
      <c r="L24" s="2427"/>
      <c r="M24" s="2892"/>
      <c r="N24" s="2427"/>
      <c r="O24" s="2892"/>
      <c r="P24" s="2427"/>
      <c r="Q24" s="2892"/>
      <c r="R24" s="2427"/>
      <c r="S24" s="2892"/>
    </row>
    <row r="25" spans="1:19">
      <c r="A25" s="2891"/>
      <c r="B25" s="2842" t="s">
        <v>515</v>
      </c>
      <c r="C25" s="2430"/>
      <c r="D25" s="2405"/>
      <c r="E25" s="2405"/>
      <c r="F25" s="2405"/>
      <c r="G25" s="2423"/>
      <c r="H25" s="2427"/>
      <c r="I25" s="2841"/>
      <c r="J25" s="2427"/>
      <c r="K25" s="2892"/>
      <c r="L25" s="2427"/>
      <c r="M25" s="2892"/>
      <c r="N25" s="2427"/>
      <c r="O25" s="2892"/>
      <c r="P25" s="2427"/>
      <c r="Q25" s="2892"/>
      <c r="R25" s="2427"/>
      <c r="S25" s="2892"/>
    </row>
    <row r="26" spans="1:19" s="91" customFormat="1">
      <c r="A26" s="2861"/>
      <c r="B26" s="2842" t="s">
        <v>516</v>
      </c>
      <c r="C26" s="2432"/>
      <c r="D26" s="2433"/>
      <c r="E26" s="2433"/>
      <c r="F26" s="2433"/>
      <c r="G26" s="2432"/>
      <c r="H26" s="2427"/>
      <c r="I26" s="2841"/>
      <c r="J26" s="2427"/>
      <c r="K26" s="2862"/>
      <c r="L26" s="2427"/>
      <c r="M26" s="2862"/>
      <c r="N26" s="2427"/>
      <c r="O26" s="2862"/>
      <c r="P26" s="2427"/>
      <c r="Q26" s="2862"/>
      <c r="R26" s="2427"/>
      <c r="S26" s="2862"/>
    </row>
    <row r="27" spans="1:19" s="91" customFormat="1">
      <c r="A27" s="2861"/>
      <c r="B27" s="2842" t="s">
        <v>517</v>
      </c>
      <c r="C27" s="2432"/>
      <c r="D27" s="2433"/>
      <c r="E27" s="2433"/>
      <c r="F27" s="2433"/>
      <c r="G27" s="2432"/>
      <c r="H27" s="2427"/>
      <c r="I27" s="2841"/>
      <c r="J27" s="2427"/>
      <c r="K27" s="2862"/>
      <c r="L27" s="2427"/>
      <c r="M27" s="2862"/>
      <c r="N27" s="2427"/>
      <c r="O27" s="2862"/>
      <c r="P27" s="2427"/>
      <c r="Q27" s="2862"/>
      <c r="R27" s="2427"/>
      <c r="S27" s="2862"/>
    </row>
    <row r="28" spans="1:19" s="91" customFormat="1">
      <c r="A28" s="2861"/>
      <c r="B28" s="2842" t="s">
        <v>518</v>
      </c>
      <c r="C28" s="2432"/>
      <c r="D28" s="2433"/>
      <c r="E28" s="2433"/>
      <c r="F28" s="2433"/>
      <c r="G28" s="2432"/>
      <c r="H28" s="2427"/>
      <c r="I28" s="2841"/>
      <c r="J28" s="2427"/>
      <c r="K28" s="2862"/>
      <c r="L28" s="2427"/>
      <c r="M28" s="2862"/>
      <c r="N28" s="2427"/>
      <c r="O28" s="2862"/>
      <c r="P28" s="2427"/>
      <c r="Q28" s="2862"/>
      <c r="R28" s="2427"/>
      <c r="S28" s="2862"/>
    </row>
    <row r="29" spans="1:19" s="91" customFormat="1">
      <c r="A29" s="2861"/>
      <c r="B29" s="2842" t="s">
        <v>693</v>
      </c>
      <c r="C29" s="2432"/>
      <c r="D29" s="2433"/>
      <c r="E29" s="2433"/>
      <c r="F29" s="2433"/>
      <c r="G29" s="2432"/>
      <c r="H29" s="2427"/>
      <c r="I29" s="2841"/>
      <c r="J29" s="2427"/>
      <c r="K29" s="2862"/>
      <c r="L29" s="2427"/>
      <c r="M29" s="2862"/>
      <c r="N29" s="2427"/>
      <c r="O29" s="2862"/>
      <c r="P29" s="2427"/>
      <c r="Q29" s="2862"/>
      <c r="R29" s="2427"/>
      <c r="S29" s="2862"/>
    </row>
    <row r="30" spans="1:19" s="91" customFormat="1">
      <c r="A30" s="2861"/>
      <c r="B30" s="2863" t="s">
        <v>519</v>
      </c>
      <c r="C30" s="2432"/>
      <c r="D30" s="2433"/>
      <c r="E30" s="2433"/>
      <c r="F30" s="2433"/>
      <c r="G30" s="2432"/>
      <c r="H30" s="2427"/>
      <c r="I30" s="2841"/>
      <c r="J30" s="2427"/>
      <c r="K30" s="2862"/>
      <c r="L30" s="2427"/>
      <c r="M30" s="2862"/>
      <c r="N30" s="2427"/>
      <c r="O30" s="2862"/>
      <c r="P30" s="2427"/>
      <c r="Q30" s="2862"/>
      <c r="R30" s="2427"/>
      <c r="S30" s="2862"/>
    </row>
    <row r="31" spans="1:19" s="91" customFormat="1">
      <c r="A31" s="2861"/>
      <c r="B31" s="2864" t="s">
        <v>520</v>
      </c>
      <c r="C31" s="2435"/>
      <c r="D31" s="2436"/>
      <c r="E31" s="2436"/>
      <c r="F31" s="2436"/>
      <c r="G31" s="2435"/>
      <c r="H31" s="2439"/>
      <c r="I31" s="2868"/>
      <c r="J31" s="2443"/>
      <c r="K31" s="2869"/>
      <c r="L31" s="2443"/>
      <c r="M31" s="2869"/>
      <c r="N31" s="2869"/>
      <c r="O31" s="2869"/>
      <c r="P31" s="2869"/>
      <c r="Q31" s="2869"/>
      <c r="R31" s="2869"/>
      <c r="S31" s="2869"/>
    </row>
    <row r="32" spans="1:19" s="91" customFormat="1">
      <c r="A32" s="2861"/>
      <c r="B32" s="151" t="s">
        <v>748</v>
      </c>
      <c r="C32" s="2432"/>
      <c r="D32" s="2433"/>
      <c r="E32" s="2433"/>
      <c r="F32" s="2433"/>
      <c r="G32" s="2432"/>
      <c r="H32" s="2427"/>
      <c r="I32" s="2841"/>
      <c r="J32" s="2427" t="s">
        <v>710</v>
      </c>
      <c r="K32" s="2862"/>
      <c r="L32" s="2427"/>
      <c r="M32" s="2862"/>
      <c r="N32" s="2427"/>
      <c r="O32" s="2862"/>
      <c r="P32" s="2427"/>
      <c r="Q32" s="2862"/>
      <c r="R32" s="2427"/>
      <c r="S32" s="2862"/>
    </row>
    <row r="33" spans="1:19" s="91" customFormat="1">
      <c r="A33" s="2893"/>
      <c r="B33" s="2894"/>
      <c r="C33" s="2445"/>
      <c r="D33" s="2433"/>
      <c r="E33" s="2433"/>
      <c r="F33" s="2433"/>
      <c r="G33" s="2432"/>
      <c r="H33" s="2427"/>
      <c r="I33" s="2841"/>
      <c r="J33" s="2427"/>
      <c r="K33" s="2862"/>
      <c r="L33" s="2427"/>
      <c r="M33" s="2862"/>
      <c r="N33" s="2427"/>
      <c r="O33" s="2862"/>
      <c r="P33" s="2427"/>
      <c r="Q33" s="2862"/>
      <c r="R33" s="2427"/>
      <c r="S33" s="2862"/>
    </row>
    <row r="34" spans="1:19" s="91" customFormat="1">
      <c r="A34" s="2893"/>
      <c r="B34" s="2894" t="s">
        <v>1200</v>
      </c>
      <c r="C34" s="2445"/>
      <c r="D34" s="2567"/>
      <c r="E34" s="2433"/>
      <c r="F34" s="2433"/>
      <c r="G34" s="2432"/>
      <c r="H34" s="2427"/>
      <c r="I34" s="2841"/>
      <c r="J34" s="2427"/>
      <c r="K34" s="2862"/>
      <c r="L34" s="2427"/>
      <c r="M34" s="2862"/>
      <c r="N34" s="2427"/>
      <c r="O34" s="2862"/>
      <c r="P34" s="2427"/>
      <c r="Q34" s="2862"/>
      <c r="R34" s="2427"/>
      <c r="S34" s="2862"/>
    </row>
    <row r="35" spans="1:19" s="91" customFormat="1">
      <c r="A35" s="2893"/>
      <c r="B35" s="2894"/>
      <c r="C35" s="2445"/>
      <c r="D35" s="2433"/>
      <c r="E35" s="2433"/>
      <c r="F35" s="2433"/>
      <c r="G35" s="2432"/>
      <c r="H35" s="2427"/>
      <c r="I35" s="2841"/>
      <c r="J35" s="2427"/>
      <c r="K35" s="2862"/>
      <c r="L35" s="2427"/>
      <c r="M35" s="2862"/>
      <c r="N35" s="2427"/>
      <c r="O35" s="2862"/>
      <c r="P35" s="2427"/>
      <c r="Q35" s="2862"/>
      <c r="R35" s="2427"/>
      <c r="S35" s="2862"/>
    </row>
    <row r="36" spans="1:19" s="91" customFormat="1">
      <c r="A36" s="2893"/>
      <c r="B36" s="2894"/>
      <c r="C36" s="2445"/>
      <c r="D36" s="2433"/>
      <c r="E36" s="2433"/>
      <c r="F36" s="2433"/>
      <c r="G36" s="2432"/>
      <c r="H36" s="2427"/>
      <c r="I36" s="2841"/>
      <c r="J36" s="2427"/>
      <c r="K36" s="2862"/>
      <c r="L36" s="2427"/>
      <c r="M36" s="2862"/>
      <c r="N36" s="2427"/>
      <c r="O36" s="2862"/>
      <c r="P36" s="2427"/>
      <c r="Q36" s="2862"/>
      <c r="R36" s="2427"/>
      <c r="S36" s="2862"/>
    </row>
    <row r="37" spans="1:19" s="91" customFormat="1">
      <c r="A37" s="2893"/>
      <c r="B37" s="2545"/>
      <c r="C37" s="2445"/>
      <c r="D37" s="2433"/>
      <c r="E37" s="2546"/>
      <c r="F37" s="2547"/>
      <c r="G37" s="2432"/>
      <c r="H37" s="2427"/>
      <c r="I37" s="2841"/>
      <c r="J37" s="2427"/>
      <c r="K37" s="2862"/>
      <c r="L37" s="2427"/>
      <c r="M37" s="2862"/>
      <c r="N37" s="2427"/>
      <c r="O37" s="2862"/>
      <c r="P37" s="2427"/>
      <c r="Q37" s="2862"/>
      <c r="R37" s="2427"/>
      <c r="S37" s="2862"/>
    </row>
    <row r="38" spans="1:19" s="91" customFormat="1" ht="15.75" thickBot="1">
      <c r="A38" s="2893"/>
      <c r="B38" s="2545"/>
      <c r="C38" s="2445"/>
      <c r="D38" s="2433"/>
      <c r="E38" s="2546"/>
      <c r="F38" s="2547"/>
      <c r="G38" s="2432"/>
      <c r="H38" s="2427"/>
      <c r="I38" s="2841"/>
      <c r="J38" s="2427"/>
      <c r="K38" s="2862"/>
      <c r="L38" s="2427"/>
      <c r="M38" s="2862"/>
      <c r="N38" s="2427"/>
      <c r="O38" s="2862"/>
      <c r="P38" s="2427"/>
      <c r="Q38" s="2862"/>
      <c r="R38" s="2427"/>
      <c r="S38" s="2862"/>
    </row>
    <row r="39" spans="1:19" ht="15.75" thickTop="1">
      <c r="A39" s="14"/>
      <c r="B39" s="15"/>
      <c r="C39" s="16"/>
      <c r="D39" s="16"/>
      <c r="E39" s="17"/>
      <c r="F39" s="18" t="s">
        <v>567</v>
      </c>
      <c r="G39" s="19"/>
      <c r="H39" s="20"/>
      <c r="I39" s="61">
        <f>SUM(I23:I38)</f>
        <v>0</v>
      </c>
      <c r="J39" s="20"/>
      <c r="K39" s="61">
        <f>SUM(K23:K38)</f>
        <v>0</v>
      </c>
      <c r="L39" s="20"/>
      <c r="M39" s="61">
        <f>SUM(M23:M38)</f>
        <v>0</v>
      </c>
      <c r="N39" s="20"/>
      <c r="O39" s="61">
        <f>SUM(O23:O38)</f>
        <v>0</v>
      </c>
      <c r="P39" s="20"/>
      <c r="Q39" s="61">
        <f>SUM(Q23:Q38)</f>
        <v>0</v>
      </c>
      <c r="R39" s="20"/>
      <c r="S39" s="61">
        <f>SUM(S23:S38)</f>
        <v>0</v>
      </c>
    </row>
    <row r="40" spans="1:19">
      <c r="A40" s="2358"/>
      <c r="B40" s="2359"/>
      <c r="C40" s="2360"/>
      <c r="D40" s="2360"/>
      <c r="E40" s="2361"/>
      <c r="F40" s="2362" t="s">
        <v>568</v>
      </c>
      <c r="G40" s="2363"/>
      <c r="H40" s="2364">
        <v>0</v>
      </c>
      <c r="I40" s="2460"/>
      <c r="J40" s="2364">
        <v>0.02</v>
      </c>
      <c r="K40" s="2460"/>
      <c r="L40" s="2364">
        <v>0.02</v>
      </c>
      <c r="M40" s="2460"/>
      <c r="N40" s="2364">
        <v>0.02</v>
      </c>
      <c r="O40" s="2460"/>
      <c r="P40" s="2364">
        <v>0</v>
      </c>
      <c r="Q40" s="2460"/>
      <c r="R40" s="2364">
        <v>0</v>
      </c>
      <c r="S40" s="2460"/>
    </row>
    <row r="41" spans="1:19">
      <c r="A41" s="2358"/>
      <c r="B41" s="2359"/>
      <c r="C41" s="2360"/>
      <c r="D41" s="2360"/>
      <c r="E41" s="2361"/>
      <c r="F41" s="2362" t="s">
        <v>569</v>
      </c>
      <c r="G41" s="2363"/>
      <c r="H41" s="2366"/>
      <c r="I41" s="2462">
        <f>H40*I39</f>
        <v>0</v>
      </c>
      <c r="J41" s="2366"/>
      <c r="K41" s="2462">
        <f>J40*K39</f>
        <v>0</v>
      </c>
      <c r="L41" s="2366"/>
      <c r="M41" s="2462">
        <f>L40*M39</f>
        <v>0</v>
      </c>
      <c r="N41" s="2366"/>
      <c r="O41" s="2462">
        <f>N40*O39</f>
        <v>0</v>
      </c>
      <c r="P41" s="2366"/>
      <c r="Q41" s="2462">
        <f>P40*Q39</f>
        <v>0</v>
      </c>
      <c r="R41" s="2366"/>
      <c r="S41" s="2462">
        <f>R40*S39</f>
        <v>0</v>
      </c>
    </row>
    <row r="42" spans="1:19">
      <c r="A42" s="2358"/>
      <c r="B42" s="2359"/>
      <c r="C42" s="2360"/>
      <c r="D42" s="2360"/>
      <c r="E42" s="2361"/>
      <c r="F42" s="2362"/>
      <c r="G42" s="2363"/>
      <c r="H42" s="2366"/>
      <c r="I42" s="2464"/>
      <c r="J42" s="2366"/>
      <c r="K42" s="2464"/>
      <c r="L42" s="2366"/>
      <c r="M42" s="2464"/>
      <c r="N42" s="2366"/>
      <c r="O42" s="2464"/>
      <c r="P42" s="2366"/>
      <c r="Q42" s="2464"/>
      <c r="R42" s="2366"/>
      <c r="S42" s="2464"/>
    </row>
    <row r="43" spans="1:19">
      <c r="A43" s="2358"/>
      <c r="B43" s="2359"/>
      <c r="C43" s="2360"/>
      <c r="D43" s="2360"/>
      <c r="E43" s="2361"/>
      <c r="F43" s="2362" t="s">
        <v>570</v>
      </c>
      <c r="G43" s="2363"/>
      <c r="H43" s="2368"/>
      <c r="I43" s="2465">
        <f>SUM(I39:I41)</f>
        <v>0</v>
      </c>
      <c r="J43" s="2368"/>
      <c r="K43" s="2465">
        <f>SUM(K39:K41)</f>
        <v>0</v>
      </c>
      <c r="L43" s="2368"/>
      <c r="M43" s="2465">
        <f>SUM(M39:M41)</f>
        <v>0</v>
      </c>
      <c r="N43" s="2368"/>
      <c r="O43" s="2465">
        <f>SUM(O39:O41)</f>
        <v>0</v>
      </c>
      <c r="P43" s="2368"/>
      <c r="Q43" s="2465">
        <f>SUM(Q39:Q41)</f>
        <v>0</v>
      </c>
      <c r="R43" s="2368"/>
      <c r="S43" s="2465">
        <f>SUM(S39:S41)</f>
        <v>0</v>
      </c>
    </row>
    <row r="44" spans="1:19">
      <c r="A44" s="2358"/>
      <c r="B44" s="2359"/>
      <c r="C44" s="2360"/>
      <c r="D44" s="2360"/>
      <c r="E44" s="2361"/>
      <c r="F44" s="2370" t="s">
        <v>571</v>
      </c>
      <c r="G44" s="2371"/>
      <c r="H44" s="2372"/>
      <c r="I44" s="2373" t="e">
        <f>I43/'Area Calculations'!$J$4</f>
        <v>#DIV/0!</v>
      </c>
      <c r="J44" s="2372"/>
      <c r="K44" s="2373" t="e">
        <f>K43/'Area Calculations'!$J$4</f>
        <v>#DIV/0!</v>
      </c>
      <c r="L44" s="2372"/>
      <c r="M44" s="2373" t="e">
        <f>M43/'Area Calculations'!$J$4</f>
        <v>#DIV/0!</v>
      </c>
      <c r="N44" s="2372"/>
      <c r="O44" s="2373" t="e">
        <f>O43/'Area Calculations'!$J$4</f>
        <v>#DIV/0!</v>
      </c>
      <c r="P44" s="2372"/>
      <c r="Q44" s="2373" t="e">
        <f>Q43/'Area Calculations'!$J$4</f>
        <v>#DIV/0!</v>
      </c>
      <c r="R44" s="2372"/>
      <c r="S44" s="2373" t="e">
        <f>S43/'Area Calculations'!$J$4</f>
        <v>#DIV/0!</v>
      </c>
    </row>
    <row r="45" spans="1:19">
      <c r="A45" s="2358"/>
      <c r="B45" s="2359"/>
      <c r="C45" s="2360"/>
      <c r="D45" s="2360"/>
      <c r="E45" s="2361"/>
      <c r="F45" s="2370" t="s">
        <v>572</v>
      </c>
      <c r="G45" s="2374"/>
      <c r="H45" s="2372"/>
      <c r="I45" s="2373" t="e">
        <f>I43/'Area Calculations'!#REF!</f>
        <v>#REF!</v>
      </c>
      <c r="J45" s="2372"/>
      <c r="K45" s="2373" t="e">
        <f>K43/'Area Calculations'!#REF!</f>
        <v>#REF!</v>
      </c>
      <c r="L45" s="2372"/>
      <c r="M45" s="2373" t="e">
        <f>M43/'Area Calculations'!#REF!</f>
        <v>#REF!</v>
      </c>
      <c r="N45" s="2372"/>
      <c r="O45" s="2373" t="e">
        <f>O43/'Area Calculations'!#REF!</f>
        <v>#REF!</v>
      </c>
      <c r="P45" s="2372"/>
      <c r="Q45" s="2373" t="e">
        <f>Q43/'Area Calculations'!#REF!</f>
        <v>#REF!</v>
      </c>
      <c r="R45" s="2372"/>
      <c r="S45" s="2373" t="e">
        <f>S43/'Area Calculations'!#REF!</f>
        <v>#REF!</v>
      </c>
    </row>
    <row r="46" spans="1:19" ht="15.75" thickBot="1">
      <c r="A46" s="2358"/>
      <c r="B46" s="2359"/>
      <c r="C46" s="2360"/>
      <c r="D46" s="2360"/>
      <c r="E46" s="2361"/>
      <c r="F46" s="2362"/>
      <c r="G46" s="2375"/>
      <c r="H46" s="2376"/>
      <c r="I46" s="2377"/>
      <c r="J46" s="2378"/>
      <c r="K46" s="2378"/>
      <c r="L46" s="2378"/>
      <c r="M46" s="2378"/>
      <c r="N46" s="2378"/>
      <c r="O46" s="2378"/>
      <c r="P46" s="2376"/>
      <c r="Q46" s="2377"/>
      <c r="R46" s="2376"/>
      <c r="S46" s="2377"/>
    </row>
    <row r="47" spans="1:19" ht="16.5" thickTop="1" thickBot="1">
      <c r="A47" s="726" t="s">
        <v>573</v>
      </c>
      <c r="B47" s="727"/>
      <c r="C47" s="12"/>
      <c r="D47" s="12"/>
      <c r="E47" s="12"/>
      <c r="F47" s="12"/>
      <c r="G47" s="13"/>
      <c r="H47" s="21"/>
      <c r="I47" s="21"/>
      <c r="J47" s="21"/>
      <c r="K47" s="21"/>
      <c r="L47" s="21"/>
      <c r="M47" s="21"/>
      <c r="N47" s="21"/>
      <c r="O47" s="21"/>
      <c r="P47" s="21"/>
      <c r="Q47" s="21"/>
      <c r="R47" s="21"/>
      <c r="S47" s="21"/>
    </row>
    <row r="48" spans="1:19" ht="15.75" thickTop="1">
      <c r="A48" s="2882"/>
      <c r="B48" s="2404"/>
      <c r="C48" s="2883"/>
      <c r="D48" s="2883"/>
      <c r="E48" s="2883"/>
      <c r="F48" s="2883"/>
      <c r="G48" s="2884"/>
      <c r="H48" s="2777"/>
      <c r="I48" s="2777"/>
      <c r="J48" s="2777"/>
      <c r="K48" s="2777"/>
      <c r="L48" s="2777"/>
      <c r="M48" s="2777"/>
      <c r="N48" s="2777"/>
      <c r="O48" s="2777"/>
      <c r="P48" s="2777"/>
      <c r="Q48" s="2777"/>
      <c r="R48" s="2777"/>
      <c r="S48" s="2777"/>
    </row>
    <row r="49" spans="1:19" s="2" customFormat="1">
      <c r="A49" s="2882"/>
      <c r="B49" s="2404"/>
      <c r="C49" s="2883"/>
      <c r="D49" s="2883"/>
      <c r="E49" s="2883"/>
      <c r="F49" s="2883"/>
      <c r="G49" s="2884"/>
      <c r="H49" s="2777"/>
      <c r="I49" s="2777"/>
      <c r="J49" s="2777"/>
      <c r="K49" s="2777"/>
      <c r="L49" s="2777"/>
      <c r="M49" s="2777"/>
      <c r="N49" s="2777"/>
      <c r="O49" s="2777"/>
      <c r="P49" s="2777"/>
      <c r="Q49" s="2777"/>
      <c r="R49" s="2777"/>
      <c r="S49" s="2777"/>
    </row>
    <row r="50" spans="1:19" s="2" customFormat="1" ht="15.75" thickBot="1">
      <c r="A50" s="2882"/>
      <c r="B50" s="2404"/>
      <c r="C50" s="2883"/>
      <c r="D50" s="2883"/>
      <c r="E50" s="2883"/>
      <c r="F50" s="2883"/>
      <c r="G50" s="2884"/>
      <c r="H50" s="2777"/>
      <c r="I50" s="2777"/>
      <c r="J50" s="2777"/>
      <c r="K50" s="2777"/>
      <c r="L50" s="2777"/>
      <c r="M50" s="2777"/>
      <c r="N50" s="2777"/>
      <c r="O50" s="2777"/>
      <c r="P50" s="2777"/>
      <c r="Q50" s="2777"/>
      <c r="R50" s="2777"/>
      <c r="S50" s="2777"/>
    </row>
    <row r="51" spans="1:19" ht="16.5" thickTop="1" thickBot="1">
      <c r="A51" s="726" t="s">
        <v>574</v>
      </c>
      <c r="B51" s="727"/>
      <c r="C51" s="12"/>
      <c r="D51" s="12"/>
      <c r="E51" s="12"/>
      <c r="F51" s="12"/>
      <c r="G51" s="13"/>
      <c r="H51" s="21"/>
      <c r="I51" s="21"/>
      <c r="J51" s="21"/>
      <c r="K51" s="21"/>
      <c r="L51" s="21"/>
      <c r="M51" s="21"/>
      <c r="N51" s="21"/>
      <c r="O51" s="21"/>
      <c r="P51" s="21"/>
      <c r="Q51" s="21"/>
      <c r="R51" s="21"/>
      <c r="S51" s="21"/>
    </row>
    <row r="52" spans="1:19" s="2" customFormat="1" ht="15.75" thickTop="1">
      <c r="A52" s="2882"/>
      <c r="B52" s="2404"/>
      <c r="C52" s="2883"/>
      <c r="D52" s="2883"/>
      <c r="E52" s="2883"/>
      <c r="F52" s="2883"/>
      <c r="G52" s="2884"/>
      <c r="H52" s="2777"/>
      <c r="I52" s="2777"/>
      <c r="J52" s="2777"/>
      <c r="K52" s="2777"/>
      <c r="L52" s="2777"/>
      <c r="M52" s="2777"/>
      <c r="N52" s="2777"/>
      <c r="O52" s="2777"/>
      <c r="P52" s="2777"/>
      <c r="Q52" s="2777"/>
      <c r="R52" s="2777"/>
      <c r="S52" s="2777"/>
    </row>
    <row r="53" spans="1:19" s="2" customFormat="1">
      <c r="A53" s="2882"/>
      <c r="B53" s="2404"/>
      <c r="C53" s="2883"/>
      <c r="D53" s="2883"/>
      <c r="E53" s="2883"/>
      <c r="F53" s="2883"/>
      <c r="G53" s="2884"/>
      <c r="H53" s="2777"/>
      <c r="I53" s="2777"/>
      <c r="J53" s="2777"/>
      <c r="K53" s="2777"/>
      <c r="L53" s="2777"/>
      <c r="M53" s="2777"/>
      <c r="N53" s="2777"/>
      <c r="O53" s="2777"/>
      <c r="P53" s="2777"/>
      <c r="Q53" s="2777"/>
      <c r="R53" s="2777"/>
      <c r="S53" s="2777"/>
    </row>
    <row r="54" spans="1:19" ht="15.75" thickBot="1">
      <c r="A54" s="2882"/>
      <c r="B54" s="2404"/>
      <c r="C54" s="2883"/>
      <c r="D54" s="2883"/>
      <c r="E54" s="2883"/>
      <c r="F54" s="2883"/>
      <c r="G54" s="2884"/>
      <c r="H54" s="2777"/>
      <c r="I54" s="2777"/>
      <c r="J54" s="2777"/>
      <c r="K54" s="2777"/>
      <c r="L54" s="2777"/>
      <c r="M54" s="2777"/>
      <c r="N54" s="2777"/>
      <c r="O54" s="2777"/>
      <c r="P54" s="2777"/>
      <c r="Q54" s="2777"/>
      <c r="R54" s="2777"/>
      <c r="S54" s="2777"/>
    </row>
    <row r="55" spans="1:19" ht="16.5" thickTop="1" thickBot="1">
      <c r="A55" s="726" t="s">
        <v>575</v>
      </c>
      <c r="B55" s="727"/>
      <c r="C55" s="12"/>
      <c r="D55" s="12"/>
      <c r="E55" s="12"/>
      <c r="F55" s="12"/>
      <c r="G55" s="13"/>
      <c r="H55" s="21"/>
      <c r="I55" s="21"/>
      <c r="J55" s="21"/>
      <c r="K55" s="21"/>
      <c r="L55" s="21"/>
      <c r="M55" s="21"/>
      <c r="N55" s="21"/>
      <c r="O55" s="21"/>
      <c r="P55" s="21"/>
      <c r="Q55" s="21"/>
      <c r="R55" s="21"/>
      <c r="S55" s="21"/>
    </row>
    <row r="56" spans="1:19" ht="15.75" thickTop="1">
      <c r="A56" s="2882"/>
      <c r="B56" s="2404"/>
      <c r="C56" s="2883"/>
      <c r="D56" s="2883"/>
      <c r="E56" s="2883"/>
      <c r="F56" s="2883"/>
      <c r="G56" s="2884"/>
      <c r="H56" s="2777"/>
      <c r="I56" s="2777"/>
      <c r="J56" s="2777"/>
      <c r="K56" s="2777"/>
      <c r="L56" s="2777"/>
      <c r="M56" s="2777"/>
      <c r="N56" s="2777"/>
      <c r="O56" s="2777"/>
      <c r="P56" s="2777"/>
      <c r="Q56" s="2777"/>
      <c r="R56" s="2777"/>
      <c r="S56" s="2777"/>
    </row>
    <row r="57" spans="1:19">
      <c r="A57" s="2421"/>
      <c r="B57" s="2404"/>
      <c r="C57" s="2405"/>
      <c r="D57" s="2405"/>
      <c r="E57" s="2405"/>
      <c r="F57" s="2405"/>
      <c r="G57" s="2423"/>
      <c r="H57" s="2382"/>
      <c r="I57" s="2382"/>
      <c r="J57" s="2382"/>
      <c r="K57" s="2382"/>
      <c r="L57" s="2382"/>
      <c r="M57" s="2382"/>
      <c r="N57" s="2382"/>
      <c r="O57" s="2382"/>
      <c r="P57" s="2382"/>
      <c r="Q57" s="2382"/>
      <c r="R57" s="2382"/>
      <c r="S57" s="2382"/>
    </row>
    <row r="58" spans="1:19" ht="15.75" thickBot="1">
      <c r="A58" s="2383"/>
      <c r="B58" s="2384"/>
      <c r="C58" s="2405"/>
      <c r="D58" s="2405"/>
      <c r="E58" s="2405"/>
      <c r="F58" s="2405"/>
      <c r="G58" s="2423"/>
      <c r="H58" s="2385"/>
      <c r="I58" s="2385"/>
      <c r="J58" s="2385"/>
      <c r="K58" s="2385"/>
      <c r="L58" s="2385"/>
      <c r="M58" s="2385"/>
      <c r="N58" s="2385"/>
      <c r="O58" s="2385"/>
      <c r="P58" s="2385"/>
      <c r="Q58" s="2385"/>
      <c r="R58" s="2385"/>
      <c r="S58" s="2385"/>
    </row>
    <row r="59" spans="1:19" ht="16.5" thickTop="1" thickBot="1">
      <c r="A59" s="726" t="s">
        <v>576</v>
      </c>
      <c r="B59" s="727"/>
      <c r="C59" s="12"/>
      <c r="D59" s="12"/>
      <c r="E59" s="12"/>
      <c r="F59" s="12"/>
      <c r="G59" s="13"/>
      <c r="H59" s="21"/>
      <c r="I59" s="21"/>
      <c r="J59" s="21"/>
      <c r="K59" s="21"/>
      <c r="L59" s="21"/>
      <c r="M59" s="21"/>
      <c r="N59" s="21"/>
      <c r="O59" s="21"/>
      <c r="P59" s="21"/>
      <c r="Q59" s="21"/>
      <c r="R59" s="21"/>
      <c r="S59" s="21"/>
    </row>
    <row r="60" spans="1:19" ht="15.75" thickTop="1">
      <c r="A60" s="2886"/>
      <c r="B60" s="2887"/>
      <c r="C60" s="2883"/>
      <c r="D60" s="2883"/>
      <c r="E60" s="2883"/>
      <c r="F60" s="2883"/>
      <c r="G60" s="2884"/>
      <c r="H60" s="2777"/>
      <c r="I60" s="2777"/>
      <c r="J60" s="2777"/>
      <c r="K60" s="2777"/>
      <c r="L60" s="2777"/>
      <c r="M60" s="2777"/>
      <c r="N60" s="2777"/>
      <c r="O60" s="2777"/>
      <c r="P60" s="2777"/>
      <c r="Q60" s="2777"/>
      <c r="R60" s="2777"/>
      <c r="S60" s="2777"/>
    </row>
    <row r="61" spans="1:19">
      <c r="A61" s="2383"/>
      <c r="B61" s="2384"/>
      <c r="C61" s="2405"/>
      <c r="D61" s="2405"/>
      <c r="E61" s="2405"/>
      <c r="F61" s="2405"/>
      <c r="G61" s="2423"/>
      <c r="H61" s="2388"/>
      <c r="I61" s="2388"/>
      <c r="J61" s="2388"/>
      <c r="K61" s="2388"/>
      <c r="L61" s="2388"/>
      <c r="M61" s="2388"/>
      <c r="N61" s="2388"/>
      <c r="O61" s="2388"/>
      <c r="P61" s="2388"/>
      <c r="Q61" s="2388"/>
      <c r="R61" s="2388"/>
      <c r="S61" s="2388"/>
    </row>
    <row r="62" spans="1:19" ht="15.75" thickBot="1">
      <c r="A62" s="2383"/>
      <c r="B62" s="2384"/>
      <c r="C62" s="2405"/>
      <c r="D62" s="2405"/>
      <c r="E62" s="2405"/>
      <c r="F62" s="2405"/>
      <c r="G62" s="2423"/>
      <c r="H62" s="2388"/>
      <c r="I62" s="2388"/>
      <c r="J62" s="2388"/>
      <c r="K62" s="2388"/>
      <c r="L62" s="2388"/>
      <c r="M62" s="2388"/>
      <c r="N62" s="2388"/>
      <c r="O62" s="2388"/>
      <c r="P62" s="2388"/>
      <c r="Q62" s="2388"/>
      <c r="R62" s="2388"/>
      <c r="S62" s="2388"/>
    </row>
    <row r="63" spans="1:19" ht="16.5" thickTop="1" thickBot="1">
      <c r="A63" s="726" t="s">
        <v>577</v>
      </c>
      <c r="B63" s="727"/>
      <c r="C63" s="12"/>
      <c r="D63" s="12"/>
      <c r="E63" s="12"/>
      <c r="F63" s="12"/>
      <c r="G63" s="13"/>
      <c r="H63" s="21"/>
      <c r="I63" s="21"/>
      <c r="J63" s="21"/>
      <c r="K63" s="21"/>
      <c r="L63" s="21"/>
      <c r="M63" s="21"/>
      <c r="N63" s="21"/>
      <c r="O63" s="21"/>
      <c r="P63" s="21"/>
      <c r="Q63" s="21"/>
      <c r="R63" s="21"/>
      <c r="S63" s="21"/>
    </row>
    <row r="64" spans="1:19" ht="15.75" thickTop="1">
      <c r="A64" s="2421"/>
      <c r="B64" s="2404" t="s">
        <v>578</v>
      </c>
      <c r="C64" s="2405"/>
      <c r="D64" s="2405"/>
      <c r="E64" s="2405"/>
      <c r="F64" s="2405"/>
      <c r="G64" s="2423"/>
      <c r="H64" s="2388"/>
      <c r="I64" s="2388"/>
      <c r="J64" s="2388"/>
      <c r="K64" s="2388"/>
      <c r="L64" s="2388"/>
      <c r="M64" s="2388"/>
      <c r="N64" s="2388"/>
      <c r="O64" s="2388"/>
      <c r="P64" s="2388"/>
      <c r="Q64" s="2388"/>
      <c r="R64" s="2388"/>
      <c r="S64" s="2388"/>
    </row>
    <row r="65" spans="1:19">
      <c r="A65" s="2421"/>
      <c r="B65" s="2404" t="s">
        <v>579</v>
      </c>
      <c r="C65" s="2405"/>
      <c r="D65" s="2405"/>
      <c r="E65" s="2405"/>
      <c r="F65" s="2405"/>
      <c r="G65" s="2423"/>
      <c r="H65" s="2388"/>
      <c r="I65" s="2388"/>
      <c r="J65" s="2388"/>
      <c r="K65" s="2388"/>
      <c r="L65" s="2388"/>
      <c r="M65" s="2388"/>
      <c r="N65" s="2388"/>
      <c r="O65" s="2388"/>
      <c r="P65" s="2388"/>
      <c r="Q65" s="2388"/>
      <c r="R65" s="2388"/>
      <c r="S65" s="2388"/>
    </row>
    <row r="66" spans="1:19">
      <c r="A66" s="2421"/>
      <c r="B66" s="2404" t="s">
        <v>580</v>
      </c>
      <c r="C66" s="2405"/>
      <c r="D66" s="2405"/>
      <c r="E66" s="2405"/>
      <c r="F66" s="2405"/>
      <c r="G66" s="2423"/>
      <c r="H66" s="2388"/>
      <c r="I66" s="2388"/>
      <c r="J66" s="2388"/>
      <c r="K66" s="2388"/>
      <c r="L66" s="2388"/>
      <c r="M66" s="2388"/>
      <c r="N66" s="2388"/>
      <c r="O66" s="2388"/>
      <c r="P66" s="2388"/>
      <c r="Q66" s="2388"/>
      <c r="R66" s="2388"/>
      <c r="S66" s="2388"/>
    </row>
    <row r="67" spans="1:19">
      <c r="A67" s="2421"/>
      <c r="B67" s="2404" t="s">
        <v>581</v>
      </c>
      <c r="C67" s="2405"/>
      <c r="D67" s="2405"/>
      <c r="E67" s="2405"/>
      <c r="F67" s="2405"/>
      <c r="G67" s="2423"/>
      <c r="H67" s="2388"/>
      <c r="I67" s="2388"/>
      <c r="J67" s="2388"/>
      <c r="K67" s="2388"/>
      <c r="L67" s="2388"/>
      <c r="M67" s="2388"/>
      <c r="N67" s="2388"/>
      <c r="O67" s="2388"/>
      <c r="P67" s="2388"/>
      <c r="Q67" s="2388"/>
      <c r="R67" s="2388"/>
      <c r="S67" s="2388"/>
    </row>
    <row r="68" spans="1:19" ht="15.75" thickBot="1">
      <c r="A68" s="416"/>
      <c r="B68" s="295"/>
      <c r="C68" s="184"/>
      <c r="D68" s="184"/>
      <c r="E68" s="184"/>
      <c r="F68" s="184"/>
      <c r="G68" s="296"/>
      <c r="H68" s="418"/>
      <c r="I68" s="418"/>
      <c r="J68" s="418"/>
      <c r="K68" s="418"/>
      <c r="L68" s="418"/>
      <c r="M68" s="418"/>
      <c r="N68" s="418"/>
      <c r="O68" s="418"/>
      <c r="P68" s="418"/>
      <c r="Q68" s="418"/>
      <c r="R68" s="418"/>
      <c r="S68" s="418"/>
    </row>
    <row r="69" spans="1:19" ht="16.5" thickTop="1" thickBot="1">
      <c r="A69" s="7" t="s">
        <v>582</v>
      </c>
      <c r="B69" s="8"/>
      <c r="C69" s="12"/>
      <c r="D69" s="12"/>
      <c r="E69" s="12"/>
      <c r="F69" s="12"/>
      <c r="G69" s="13"/>
      <c r="H69" s="21"/>
      <c r="I69" s="21"/>
      <c r="J69" s="21"/>
      <c r="K69" s="21"/>
      <c r="L69" s="21"/>
      <c r="M69" s="21"/>
      <c r="N69" s="21"/>
      <c r="O69" s="21"/>
      <c r="P69" s="21"/>
      <c r="Q69" s="21"/>
      <c r="R69" s="21"/>
      <c r="S69" s="21"/>
    </row>
    <row r="70" spans="1:19" ht="15.75" thickTop="1">
      <c r="A70" s="2882"/>
      <c r="B70" s="2888" t="s">
        <v>583</v>
      </c>
      <c r="C70" s="2883"/>
      <c r="D70" s="2883"/>
      <c r="E70" s="2883"/>
      <c r="F70" s="2883"/>
      <c r="G70" s="2884"/>
      <c r="H70" s="2773"/>
      <c r="I70" s="2773"/>
      <c r="J70" s="2773"/>
      <c r="K70" s="2773"/>
      <c r="L70" s="2773"/>
      <c r="M70" s="2773"/>
      <c r="N70" s="2773"/>
      <c r="O70" s="2773"/>
      <c r="P70" s="2773"/>
      <c r="Q70" s="2773"/>
      <c r="R70" s="2773"/>
      <c r="S70" s="2773"/>
    </row>
    <row r="71" spans="1:19">
      <c r="A71" s="2421"/>
      <c r="B71" s="2404" t="s">
        <v>584</v>
      </c>
      <c r="C71" s="2405"/>
      <c r="D71" s="2405"/>
      <c r="E71" s="2405"/>
      <c r="F71" s="2405"/>
      <c r="G71" s="2423"/>
      <c r="H71" s="2390"/>
      <c r="I71" s="2390"/>
      <c r="J71" s="2390"/>
      <c r="K71" s="2390"/>
      <c r="L71" s="2390"/>
      <c r="M71" s="2390"/>
      <c r="N71" s="2390"/>
      <c r="O71" s="2390"/>
      <c r="P71" s="2390"/>
      <c r="Q71" s="2390"/>
      <c r="R71" s="2390"/>
      <c r="S71" s="2390"/>
    </row>
    <row r="72" spans="1:19" ht="15.75" thickBot="1">
      <c r="A72" s="2391"/>
      <c r="B72" s="2392" t="s">
        <v>585</v>
      </c>
      <c r="C72" s="2393"/>
      <c r="D72" s="2393"/>
      <c r="E72" s="2393"/>
      <c r="F72" s="2393"/>
      <c r="G72" s="2394"/>
      <c r="H72" s="2395"/>
      <c r="I72" s="2395"/>
      <c r="J72" s="2395"/>
      <c r="K72" s="2395"/>
      <c r="L72" s="2395"/>
      <c r="M72" s="2395"/>
      <c r="N72" s="2395"/>
      <c r="O72" s="2395"/>
      <c r="P72" s="2395"/>
      <c r="Q72" s="2395"/>
      <c r="R72" s="2395"/>
      <c r="S72" s="2395"/>
    </row>
    <row r="73" spans="1:19" ht="16.5" thickTop="1" thickBot="1"/>
    <row r="74" spans="1:19" ht="16.5" thickTop="1" thickBot="1">
      <c r="A74" s="92" t="s">
        <v>586</v>
      </c>
      <c r="B74" s="94"/>
    </row>
    <row r="75" spans="1:19" ht="15.75" thickTop="1">
      <c r="A75" s="93" t="s">
        <v>487</v>
      </c>
      <c r="B75" s="2396"/>
    </row>
    <row r="76" spans="1:19">
      <c r="A76" s="2397" t="s">
        <v>491</v>
      </c>
      <c r="B76" s="2396"/>
    </row>
    <row r="77" spans="1:19">
      <c r="A77" s="2398" t="s">
        <v>494</v>
      </c>
      <c r="B77" s="2399"/>
    </row>
    <row r="78" spans="1:19">
      <c r="A78" s="2398" t="s">
        <v>497</v>
      </c>
      <c r="B78" s="2400"/>
    </row>
    <row r="79" spans="1:19" ht="15.75" thickBot="1">
      <c r="A79" s="2401" t="s">
        <v>587</v>
      </c>
      <c r="B79" s="2402"/>
    </row>
    <row r="80" spans="1:19" ht="15.75" thickTop="1"/>
    <row r="81" spans="1:2">
      <c r="A81" s="95"/>
      <c r="B81" s="1" t="s">
        <v>588</v>
      </c>
    </row>
    <row r="82" spans="1:2">
      <c r="A82" s="96"/>
      <c r="B82" s="1" t="s">
        <v>589</v>
      </c>
    </row>
  </sheetData>
  <mergeCells count="47">
    <mergeCell ref="R6:S6"/>
    <mergeCell ref="R7:S7"/>
    <mergeCell ref="R8:S8"/>
    <mergeCell ref="H2:I2"/>
    <mergeCell ref="J2:K2"/>
    <mergeCell ref="L2:M2"/>
    <mergeCell ref="N2:O2"/>
    <mergeCell ref="P2:Q2"/>
    <mergeCell ref="H3:I3"/>
    <mergeCell ref="J3:K3"/>
    <mergeCell ref="L3:M3"/>
    <mergeCell ref="N3:O3"/>
    <mergeCell ref="P3:Q3"/>
    <mergeCell ref="R2:S2"/>
    <mergeCell ref="R3:S3"/>
    <mergeCell ref="H5:I5"/>
    <mergeCell ref="R4:S4"/>
    <mergeCell ref="R5:S5"/>
    <mergeCell ref="J5:K5"/>
    <mergeCell ref="L5:M5"/>
    <mergeCell ref="N5:O5"/>
    <mergeCell ref="P5:Q5"/>
    <mergeCell ref="H4:I4"/>
    <mergeCell ref="J4:K4"/>
    <mergeCell ref="L4:M4"/>
    <mergeCell ref="N4:O4"/>
    <mergeCell ref="P4:Q4"/>
    <mergeCell ref="H7:I7"/>
    <mergeCell ref="J7:K7"/>
    <mergeCell ref="L7:M7"/>
    <mergeCell ref="N7:O7"/>
    <mergeCell ref="P7:Q7"/>
    <mergeCell ref="H6:I6"/>
    <mergeCell ref="J6:K6"/>
    <mergeCell ref="L6:M6"/>
    <mergeCell ref="N6:O6"/>
    <mergeCell ref="P6:Q6"/>
    <mergeCell ref="H8:I8"/>
    <mergeCell ref="J8:K8"/>
    <mergeCell ref="L8:M8"/>
    <mergeCell ref="N8:O8"/>
    <mergeCell ref="P8:Q8"/>
    <mergeCell ref="A47:B47"/>
    <mergeCell ref="A51:B51"/>
    <mergeCell ref="A55:B55"/>
    <mergeCell ref="A59:B59"/>
    <mergeCell ref="A63:B63"/>
  </mergeCells>
  <conditionalFormatting sqref="H20:H30">
    <cfRule type="cellIs" dxfId="387" priority="23" operator="equal">
      <formula>"X"</formula>
    </cfRule>
    <cfRule type="cellIs" dxfId="386" priority="24" operator="equal">
      <formula>"I"</formula>
    </cfRule>
  </conditionalFormatting>
  <conditionalFormatting sqref="H32:H38">
    <cfRule type="cellIs" dxfId="385" priority="1" operator="equal">
      <formula>"X"</formula>
    </cfRule>
    <cfRule type="cellIs" dxfId="384" priority="2" operator="equal">
      <formula>"I"</formula>
    </cfRule>
  </conditionalFormatting>
  <conditionalFormatting sqref="J20:J30">
    <cfRule type="cellIs" dxfId="383" priority="21" operator="equal">
      <formula>"X"</formula>
    </cfRule>
    <cfRule type="cellIs" dxfId="382" priority="22" operator="equal">
      <formula>"I"</formula>
    </cfRule>
  </conditionalFormatting>
  <conditionalFormatting sqref="J32:J38">
    <cfRule type="cellIs" dxfId="381" priority="3" operator="equal">
      <formula>"X"</formula>
    </cfRule>
    <cfRule type="cellIs" dxfId="380" priority="4" operator="equal">
      <formula>"I"</formula>
    </cfRule>
  </conditionalFormatting>
  <conditionalFormatting sqref="L20:L30">
    <cfRule type="cellIs" dxfId="379" priority="19" operator="equal">
      <formula>"X"</formula>
    </cfRule>
    <cfRule type="cellIs" dxfId="378" priority="20" operator="equal">
      <formula>"I"</formula>
    </cfRule>
  </conditionalFormatting>
  <conditionalFormatting sqref="L32:L38">
    <cfRule type="cellIs" dxfId="377" priority="5" operator="equal">
      <formula>"X"</formula>
    </cfRule>
    <cfRule type="cellIs" dxfId="376" priority="6" operator="equal">
      <formula>"I"</formula>
    </cfRule>
  </conditionalFormatting>
  <conditionalFormatting sqref="N20:N30">
    <cfRule type="cellIs" dxfId="375" priority="17" operator="equal">
      <formula>"X"</formula>
    </cfRule>
    <cfRule type="cellIs" dxfId="374" priority="18" operator="equal">
      <formula>"I"</formula>
    </cfRule>
  </conditionalFormatting>
  <conditionalFormatting sqref="N32:N38">
    <cfRule type="cellIs" dxfId="373" priority="7" operator="equal">
      <formula>"X"</formula>
    </cfRule>
    <cfRule type="cellIs" dxfId="372" priority="8" operator="equal">
      <formula>"I"</formula>
    </cfRule>
  </conditionalFormatting>
  <conditionalFormatting sqref="P20:P30">
    <cfRule type="cellIs" dxfId="371" priority="15" operator="equal">
      <formula>"X"</formula>
    </cfRule>
    <cfRule type="cellIs" dxfId="370" priority="16" operator="equal">
      <formula>"I"</formula>
    </cfRule>
  </conditionalFormatting>
  <conditionalFormatting sqref="P32:P38">
    <cfRule type="cellIs" dxfId="369" priority="9" operator="equal">
      <formula>"X"</formula>
    </cfRule>
    <cfRule type="cellIs" dxfId="368" priority="10" operator="equal">
      <formula>"I"</formula>
    </cfRule>
  </conditionalFormatting>
  <conditionalFormatting sqref="R20:R30">
    <cfRule type="cellIs" dxfId="367" priority="13" operator="equal">
      <formula>"X"</formula>
    </cfRule>
    <cfRule type="cellIs" dxfId="366" priority="14" operator="equal">
      <formula>"I"</formula>
    </cfRule>
  </conditionalFormatting>
  <conditionalFormatting sqref="R32:R38">
    <cfRule type="cellIs" dxfId="365" priority="11" operator="equal">
      <formula>"X"</formula>
    </cfRule>
    <cfRule type="cellIs" dxfId="364" priority="12" operator="equal">
      <formula>"I"</formula>
    </cfRule>
  </conditionalFormatting>
  <hyperlinks>
    <hyperlink ref="B3" location="'Cost Summary'!A1" display="BACK TO SUMMARY SHEET" xr:uid="{37842697-2EFF-4FA6-B5BA-017AC3975C51}"/>
  </hyperlink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CC0C-0E30-492B-B153-E6CA1B4FDA69}">
  <sheetPr>
    <tabColor rgb="FF92D050"/>
  </sheetPr>
  <dimension ref="A1:S110"/>
  <sheetViews>
    <sheetView workbookViewId="0">
      <pane xSplit="2" ySplit="9" topLeftCell="C20" activePane="bottomRight" state="frozen"/>
      <selection pane="bottomRight" activeCell="B27" sqref="B27"/>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66"/>
      <c r="I2" s="766"/>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28"/>
      <c r="K4" s="729"/>
      <c r="L4" s="728"/>
      <c r="M4" s="729"/>
      <c r="N4" s="728"/>
      <c r="O4" s="729"/>
      <c r="P4" s="728"/>
      <c r="Q4" s="729"/>
      <c r="R4" s="781"/>
      <c r="S4" s="729"/>
    </row>
    <row r="5" spans="1:19">
      <c r="A5" s="2403" t="s">
        <v>489</v>
      </c>
      <c r="B5" s="2404" t="s">
        <v>1201</v>
      </c>
      <c r="C5" s="2405"/>
      <c r="D5" s="2405"/>
      <c r="E5" s="2405"/>
      <c r="F5" s="2405"/>
      <c r="G5" s="2406" t="s">
        <v>491</v>
      </c>
      <c r="H5" s="2407"/>
      <c r="I5" s="2408"/>
      <c r="J5" s="2407"/>
      <c r="K5" s="2408"/>
      <c r="L5" s="2407"/>
      <c r="M5" s="2408"/>
      <c r="N5" s="2407"/>
      <c r="O5" s="2408"/>
      <c r="P5" s="2407"/>
      <c r="Q5" s="2408"/>
      <c r="R5" s="2533"/>
      <c r="S5" s="2408"/>
    </row>
    <row r="6" spans="1:19">
      <c r="A6" s="2403" t="s">
        <v>493</v>
      </c>
      <c r="B6" s="2410" t="s">
        <v>1202</v>
      </c>
      <c r="C6" s="2405"/>
      <c r="D6" s="2405"/>
      <c r="E6" s="2405"/>
      <c r="F6" s="2405"/>
      <c r="G6" s="2406" t="s">
        <v>494</v>
      </c>
      <c r="H6" s="2411"/>
      <c r="I6" s="2412"/>
      <c r="J6" s="2411"/>
      <c r="K6" s="2412"/>
      <c r="L6" s="2411"/>
      <c r="M6" s="2412"/>
      <c r="N6" s="2411"/>
      <c r="O6" s="2412"/>
      <c r="P6" s="2411"/>
      <c r="Q6" s="2412"/>
      <c r="R6" s="2534"/>
      <c r="S6" s="2412"/>
    </row>
    <row r="7" spans="1:19">
      <c r="A7" s="2403" t="s">
        <v>496</v>
      </c>
      <c r="B7" s="2414"/>
      <c r="C7" s="2405"/>
      <c r="D7" s="2405"/>
      <c r="E7" s="2405"/>
      <c r="F7" s="2405"/>
      <c r="G7" s="2406" t="s">
        <v>497</v>
      </c>
      <c r="H7" s="2415"/>
      <c r="I7" s="2416"/>
      <c r="J7" s="2415"/>
      <c r="K7" s="2416"/>
      <c r="L7" s="2415"/>
      <c r="M7" s="2416"/>
      <c r="N7" s="2415"/>
      <c r="O7" s="2416"/>
      <c r="P7" s="2415"/>
      <c r="Q7" s="2416"/>
      <c r="R7" s="2535"/>
      <c r="S7" s="2416"/>
    </row>
    <row r="8" spans="1:19">
      <c r="A8" s="414" t="s">
        <v>499</v>
      </c>
      <c r="B8" s="295"/>
      <c r="C8" s="184"/>
      <c r="D8" s="184"/>
      <c r="E8" s="184"/>
      <c r="F8" s="184"/>
      <c r="G8" s="419" t="s">
        <v>499</v>
      </c>
      <c r="H8" s="2418">
        <f>I71</f>
        <v>0</v>
      </c>
      <c r="I8" s="2419"/>
      <c r="J8" s="2418">
        <f>K71</f>
        <v>0</v>
      </c>
      <c r="K8" s="2419"/>
      <c r="L8" s="2418">
        <f>M71</f>
        <v>0</v>
      </c>
      <c r="M8" s="2419"/>
      <c r="N8" s="2418">
        <f>O71</f>
        <v>0</v>
      </c>
      <c r="O8" s="2419"/>
      <c r="P8" s="2418">
        <f>Q71</f>
        <v>0</v>
      </c>
      <c r="Q8" s="2419"/>
      <c r="R8" s="2418">
        <f>S71</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890"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2421"/>
      <c r="B21" s="2428" t="s">
        <v>1201</v>
      </c>
      <c r="C21" s="2426"/>
      <c r="D21" s="2405"/>
      <c r="E21" s="2405"/>
      <c r="F21" s="2405"/>
      <c r="G21" s="2423"/>
      <c r="H21" s="2427"/>
      <c r="I21" s="2424"/>
      <c r="J21" s="2427"/>
      <c r="K21" s="2424"/>
      <c r="L21" s="2427"/>
      <c r="M21" s="2424"/>
      <c r="N21" s="2427"/>
      <c r="O21" s="2424"/>
      <c r="P21" s="2427"/>
      <c r="Q21" s="2424"/>
      <c r="R21" s="2427"/>
      <c r="S21" s="2424"/>
    </row>
    <row r="22" spans="1:19">
      <c r="A22" s="2891"/>
      <c r="B22" s="2318" t="s">
        <v>512</v>
      </c>
      <c r="C22" s="2426"/>
      <c r="D22" s="2405"/>
      <c r="E22" s="2405"/>
      <c r="F22" s="2405"/>
      <c r="G22" s="2423"/>
      <c r="H22" s="2427"/>
      <c r="I22" s="2895"/>
      <c r="J22" s="2427"/>
      <c r="K22" s="2895"/>
      <c r="L22" s="2427"/>
      <c r="M22" s="2895"/>
      <c r="N22" s="2427"/>
      <c r="O22" s="2895"/>
      <c r="P22" s="2427"/>
      <c r="Q22" s="2895"/>
      <c r="R22" s="2427"/>
      <c r="S22" s="2895"/>
    </row>
    <row r="23" spans="1:19">
      <c r="A23" s="2891"/>
      <c r="B23" s="2896" t="s">
        <v>513</v>
      </c>
      <c r="C23" s="2426"/>
      <c r="D23" s="2405"/>
      <c r="E23" s="2405"/>
      <c r="F23" s="2405"/>
      <c r="G23" s="2423"/>
      <c r="H23" s="2427"/>
      <c r="I23" s="2897"/>
      <c r="J23" s="2427"/>
      <c r="K23" s="2895"/>
      <c r="L23" s="2427"/>
      <c r="M23" s="2895"/>
      <c r="N23" s="2427"/>
      <c r="O23" s="2895"/>
      <c r="P23" s="2427"/>
      <c r="Q23" s="2895"/>
      <c r="R23" s="2427"/>
      <c r="S23" s="2895"/>
    </row>
    <row r="24" spans="1:19">
      <c r="A24" s="2891"/>
      <c r="B24" s="2896" t="s">
        <v>514</v>
      </c>
      <c r="C24" s="2430"/>
      <c r="D24" s="2405"/>
      <c r="E24" s="2405"/>
      <c r="F24" s="2405"/>
      <c r="G24" s="2423"/>
      <c r="H24" s="2427"/>
      <c r="I24" s="2897"/>
      <c r="J24" s="2427"/>
      <c r="K24" s="2895"/>
      <c r="L24" s="2427"/>
      <c r="M24" s="2895"/>
      <c r="N24" s="2427"/>
      <c r="O24" s="2895"/>
      <c r="P24" s="2427"/>
      <c r="Q24" s="2895"/>
      <c r="R24" s="2427"/>
      <c r="S24" s="2895"/>
    </row>
    <row r="25" spans="1:19">
      <c r="A25" s="2891"/>
      <c r="B25" s="2898" t="s">
        <v>515</v>
      </c>
      <c r="C25" s="2430"/>
      <c r="D25" s="2405"/>
      <c r="E25" s="2405"/>
      <c r="F25" s="2405"/>
      <c r="G25" s="2423"/>
      <c r="H25" s="2427"/>
      <c r="I25" s="2897"/>
      <c r="J25" s="2427"/>
      <c r="K25" s="2895"/>
      <c r="L25" s="2427"/>
      <c r="M25" s="2895"/>
      <c r="N25" s="2427"/>
      <c r="O25" s="2895"/>
      <c r="P25" s="2427"/>
      <c r="Q25" s="2895"/>
      <c r="R25" s="2427"/>
      <c r="S25" s="2895"/>
    </row>
    <row r="26" spans="1:19" s="91" customFormat="1">
      <c r="A26" s="2899"/>
      <c r="B26" s="2898" t="s">
        <v>516</v>
      </c>
      <c r="C26" s="2432"/>
      <c r="D26" s="2433"/>
      <c r="E26" s="2433"/>
      <c r="F26" s="2433"/>
      <c r="G26" s="2432"/>
      <c r="H26" s="2427"/>
      <c r="I26" s="2897"/>
      <c r="J26" s="2427"/>
      <c r="K26" s="2900"/>
      <c r="L26" s="2427"/>
      <c r="M26" s="2900"/>
      <c r="N26" s="2427"/>
      <c r="O26" s="2900"/>
      <c r="P26" s="2427"/>
      <c r="Q26" s="2900"/>
      <c r="R26" s="2427"/>
      <c r="S26" s="2900"/>
    </row>
    <row r="27" spans="1:19" s="91" customFormat="1">
      <c r="A27" s="2899"/>
      <c r="B27" s="2898" t="s">
        <v>517</v>
      </c>
      <c r="C27" s="2432"/>
      <c r="D27" s="2433"/>
      <c r="E27" s="2433"/>
      <c r="F27" s="2433"/>
      <c r="G27" s="2432"/>
      <c r="H27" s="2427" t="s">
        <v>709</v>
      </c>
      <c r="I27" s="2897"/>
      <c r="J27" s="2427"/>
      <c r="K27" s="2900"/>
      <c r="L27" s="2427"/>
      <c r="M27" s="2900"/>
      <c r="N27" s="2427"/>
      <c r="O27" s="2900"/>
      <c r="P27" s="2427"/>
      <c r="Q27" s="2900"/>
      <c r="R27" s="2427"/>
      <c r="S27" s="2900"/>
    </row>
    <row r="28" spans="1:19" s="91" customFormat="1">
      <c r="A28" s="2899"/>
      <c r="B28" s="2898" t="s">
        <v>518</v>
      </c>
      <c r="C28" s="2432"/>
      <c r="D28" s="2433"/>
      <c r="E28" s="2433"/>
      <c r="F28" s="2433"/>
      <c r="G28" s="2432"/>
      <c r="H28" s="2427"/>
      <c r="I28" s="2897"/>
      <c r="J28" s="2427"/>
      <c r="K28" s="2900"/>
      <c r="L28" s="2427"/>
      <c r="M28" s="2900"/>
      <c r="N28" s="2427"/>
      <c r="O28" s="2900"/>
      <c r="P28" s="2427"/>
      <c r="Q28" s="2900"/>
      <c r="R28" s="2427"/>
      <c r="S28" s="2900"/>
    </row>
    <row r="29" spans="1:19" s="91" customFormat="1">
      <c r="A29" s="2899"/>
      <c r="B29" s="2901" t="s">
        <v>519</v>
      </c>
      <c r="C29" s="2432"/>
      <c r="D29" s="2433"/>
      <c r="E29" s="2433"/>
      <c r="F29" s="2433"/>
      <c r="G29" s="2432"/>
      <c r="H29" s="2427"/>
      <c r="I29" s="2897"/>
      <c r="J29" s="2427"/>
      <c r="K29" s="2900"/>
      <c r="L29" s="2427"/>
      <c r="M29" s="2900"/>
      <c r="N29" s="2427"/>
      <c r="O29" s="2900"/>
      <c r="P29" s="2427"/>
      <c r="Q29" s="2900"/>
      <c r="R29" s="2427"/>
      <c r="S29" s="2900"/>
    </row>
    <row r="30" spans="1:19" s="91" customFormat="1">
      <c r="A30" s="2899"/>
      <c r="B30" s="2902" t="s">
        <v>520</v>
      </c>
      <c r="C30" s="2435"/>
      <c r="D30" s="2865"/>
      <c r="E30" s="2436"/>
      <c r="F30" s="2866"/>
      <c r="G30" s="2867"/>
      <c r="H30" s="2439"/>
      <c r="I30" s="2903"/>
      <c r="J30" s="2443"/>
      <c r="K30" s="2904"/>
      <c r="L30" s="2443"/>
      <c r="M30" s="2904"/>
      <c r="N30" s="2904"/>
      <c r="O30" s="2904"/>
      <c r="P30" s="2904"/>
      <c r="Q30" s="2904"/>
      <c r="R30" s="2904"/>
      <c r="S30" s="2904"/>
    </row>
    <row r="31" spans="1:19" s="91" customFormat="1">
      <c r="A31" s="2899"/>
      <c r="B31" s="151" t="s">
        <v>748</v>
      </c>
      <c r="C31" s="2432"/>
      <c r="D31" s="2567"/>
      <c r="E31" s="2433"/>
      <c r="F31" s="2870"/>
      <c r="G31" s="2871"/>
      <c r="H31" s="2427"/>
      <c r="I31" s="2897"/>
      <c r="J31" s="2427"/>
      <c r="K31" s="2900"/>
      <c r="L31" s="2427"/>
      <c r="M31" s="2900"/>
      <c r="N31" s="2427"/>
      <c r="O31" s="2900"/>
      <c r="P31" s="2427"/>
      <c r="Q31" s="2900"/>
      <c r="R31" s="2427"/>
      <c r="S31" s="2900"/>
    </row>
    <row r="32" spans="1:19" s="91" customFormat="1">
      <c r="A32" s="2893"/>
      <c r="B32" s="2894" t="s">
        <v>1203</v>
      </c>
      <c r="C32" s="2445"/>
      <c r="D32" s="2567"/>
      <c r="E32" s="2433"/>
      <c r="F32" s="2870"/>
      <c r="G32" s="2871"/>
      <c r="H32" s="2427"/>
      <c r="I32" s="2897"/>
      <c r="J32" s="2427"/>
      <c r="K32" s="2900"/>
      <c r="L32" s="2427"/>
      <c r="M32" s="2900"/>
      <c r="N32" s="2427"/>
      <c r="O32" s="2900"/>
      <c r="P32" s="2427"/>
      <c r="Q32" s="2900"/>
      <c r="R32" s="2427"/>
      <c r="S32" s="2900"/>
    </row>
    <row r="33" spans="1:19" s="91" customFormat="1">
      <c r="A33" s="2893"/>
      <c r="B33" s="2894" t="s">
        <v>1204</v>
      </c>
      <c r="C33" s="2445"/>
      <c r="D33" s="2567"/>
      <c r="E33" s="2433"/>
      <c r="F33" s="2870"/>
      <c r="G33" s="2871"/>
      <c r="H33" s="2427"/>
      <c r="I33" s="2897"/>
      <c r="J33" s="2427"/>
      <c r="K33" s="2900"/>
      <c r="L33" s="2427"/>
      <c r="M33" s="2900"/>
      <c r="N33" s="2427"/>
      <c r="O33" s="2900"/>
      <c r="P33" s="2427"/>
      <c r="Q33" s="2900"/>
      <c r="R33" s="2427"/>
      <c r="S33" s="2900"/>
    </row>
    <row r="34" spans="1:19" s="91" customFormat="1">
      <c r="A34" s="2893"/>
      <c r="B34" s="2894" t="s">
        <v>1205</v>
      </c>
      <c r="C34" s="2445"/>
      <c r="D34" s="2567"/>
      <c r="E34" s="2433"/>
      <c r="F34" s="2870"/>
      <c r="G34" s="2871"/>
      <c r="H34" s="2427"/>
      <c r="I34" s="2897"/>
      <c r="J34" s="2427"/>
      <c r="K34" s="2900"/>
      <c r="L34" s="2427"/>
      <c r="M34" s="2900"/>
      <c r="N34" s="2427"/>
      <c r="O34" s="2900"/>
      <c r="P34" s="2427"/>
      <c r="Q34" s="2900"/>
      <c r="R34" s="2427"/>
      <c r="S34" s="2900"/>
    </row>
    <row r="35" spans="1:19" s="91" customFormat="1">
      <c r="A35" s="2893"/>
      <c r="B35" s="2894" t="s">
        <v>1206</v>
      </c>
      <c r="C35" s="2445"/>
      <c r="D35" s="2567"/>
      <c r="E35" s="2433"/>
      <c r="F35" s="2870"/>
      <c r="G35" s="2871"/>
      <c r="H35" s="2427" t="s">
        <v>710</v>
      </c>
      <c r="I35" s="2897"/>
      <c r="J35" s="2427"/>
      <c r="K35" s="2900"/>
      <c r="L35" s="2427"/>
      <c r="M35" s="2900"/>
      <c r="N35" s="2427"/>
      <c r="O35" s="2900"/>
      <c r="P35" s="2427"/>
      <c r="Q35" s="2900"/>
      <c r="R35" s="2427"/>
      <c r="S35" s="2900"/>
    </row>
    <row r="36" spans="1:19" s="91" customFormat="1">
      <c r="A36" s="2893"/>
      <c r="B36" s="2894" t="s">
        <v>1207</v>
      </c>
      <c r="C36" s="2445"/>
      <c r="D36" s="2567"/>
      <c r="E36" s="2433"/>
      <c r="F36" s="2870"/>
      <c r="G36" s="2871"/>
      <c r="H36" s="2427"/>
      <c r="I36" s="2897"/>
      <c r="J36" s="2427"/>
      <c r="K36" s="2900"/>
      <c r="L36" s="2427"/>
      <c r="M36" s="2900"/>
      <c r="N36" s="2427"/>
      <c r="O36" s="2900"/>
      <c r="P36" s="2427"/>
      <c r="Q36" s="2900"/>
      <c r="R36" s="2427"/>
      <c r="S36" s="2900"/>
    </row>
    <row r="37" spans="1:19" s="91" customFormat="1">
      <c r="A37" s="2893"/>
      <c r="B37" s="2894" t="s">
        <v>1208</v>
      </c>
      <c r="C37" s="2445"/>
      <c r="D37" s="2567"/>
      <c r="E37" s="2546"/>
      <c r="F37" s="2881"/>
      <c r="G37" s="2871"/>
      <c r="H37" s="2427"/>
      <c r="I37" s="2897"/>
      <c r="J37" s="2427"/>
      <c r="K37" s="2900"/>
      <c r="L37" s="2427"/>
      <c r="M37" s="2900"/>
      <c r="N37" s="2427"/>
      <c r="O37" s="2900"/>
      <c r="P37" s="2427"/>
      <c r="Q37" s="2900"/>
      <c r="R37" s="2427"/>
      <c r="S37" s="2900"/>
    </row>
    <row r="38" spans="1:19" s="91" customFormat="1">
      <c r="A38" s="2893"/>
      <c r="B38" s="2894" t="s">
        <v>1209</v>
      </c>
      <c r="C38" s="2445"/>
      <c r="D38" s="2567"/>
      <c r="E38" s="2546"/>
      <c r="F38" s="2881"/>
      <c r="G38" s="2871"/>
      <c r="H38" s="2427"/>
      <c r="I38" s="2897"/>
      <c r="J38" s="2427"/>
      <c r="K38" s="2900"/>
      <c r="L38" s="2427"/>
      <c r="M38" s="2900"/>
      <c r="N38" s="2427"/>
      <c r="O38" s="2900"/>
      <c r="P38" s="2427"/>
      <c r="Q38" s="2900"/>
      <c r="R38" s="2427"/>
      <c r="S38" s="2900"/>
    </row>
    <row r="39" spans="1:19" s="91" customFormat="1">
      <c r="A39" s="2893"/>
      <c r="B39" s="2894" t="s">
        <v>1210</v>
      </c>
      <c r="C39" s="2445"/>
      <c r="D39" s="2567"/>
      <c r="E39" s="2546"/>
      <c r="F39" s="2881"/>
      <c r="G39" s="2871"/>
      <c r="H39" s="2427"/>
      <c r="I39" s="2897"/>
      <c r="J39" s="2427"/>
      <c r="K39" s="2900"/>
      <c r="L39" s="2427"/>
      <c r="M39" s="2900"/>
      <c r="N39" s="2427"/>
      <c r="O39" s="2900"/>
      <c r="P39" s="2427"/>
      <c r="Q39" s="2900"/>
      <c r="R39" s="2427"/>
      <c r="S39" s="2900"/>
    </row>
    <row r="40" spans="1:19" s="91" customFormat="1">
      <c r="A40" s="2893"/>
      <c r="B40" s="2894" t="s">
        <v>1211</v>
      </c>
      <c r="C40" s="2445"/>
      <c r="D40" s="2567"/>
      <c r="E40" s="2546"/>
      <c r="F40" s="2881"/>
      <c r="G40" s="2871"/>
      <c r="H40" s="2427"/>
      <c r="I40" s="2897"/>
      <c r="J40" s="2427"/>
      <c r="K40" s="2900"/>
      <c r="L40" s="2427"/>
      <c r="M40" s="2900"/>
      <c r="N40" s="2427"/>
      <c r="O40" s="2900"/>
      <c r="P40" s="2427"/>
      <c r="Q40" s="2900"/>
      <c r="R40" s="2427"/>
      <c r="S40" s="2900"/>
    </row>
    <row r="41" spans="1:19" s="91" customFormat="1">
      <c r="A41" s="2893"/>
      <c r="B41" s="2894" t="s">
        <v>1212</v>
      </c>
      <c r="C41" s="2445"/>
      <c r="D41" s="2567"/>
      <c r="E41" s="2546"/>
      <c r="F41" s="2881"/>
      <c r="G41" s="2871"/>
      <c r="H41" s="2427"/>
      <c r="I41" s="2897"/>
      <c r="J41" s="2427"/>
      <c r="K41" s="2900"/>
      <c r="L41" s="2427"/>
      <c r="M41" s="2900"/>
      <c r="N41" s="2427"/>
      <c r="O41" s="2900"/>
      <c r="P41" s="2427"/>
      <c r="Q41" s="2900"/>
      <c r="R41" s="2427"/>
      <c r="S41" s="2900"/>
    </row>
    <row r="42" spans="1:19" s="91" customFormat="1">
      <c r="A42" s="2893"/>
      <c r="B42" s="2894" t="s">
        <v>1213</v>
      </c>
      <c r="C42" s="2445"/>
      <c r="D42" s="2567"/>
      <c r="E42" s="2546"/>
      <c r="F42" s="2881"/>
      <c r="G42" s="2871"/>
      <c r="H42" s="2427"/>
      <c r="I42" s="2897"/>
      <c r="J42" s="2427"/>
      <c r="K42" s="2900"/>
      <c r="L42" s="2427"/>
      <c r="M42" s="2900"/>
      <c r="N42" s="2427"/>
      <c r="O42" s="2900"/>
      <c r="P42" s="2427"/>
      <c r="Q42" s="2900"/>
      <c r="R42" s="2427"/>
      <c r="S42" s="2900"/>
    </row>
    <row r="43" spans="1:19" s="91" customFormat="1">
      <c r="A43" s="2893"/>
      <c r="B43" s="2894" t="s">
        <v>1214</v>
      </c>
      <c r="C43" s="2445"/>
      <c r="D43" s="2567"/>
      <c r="E43" s="2546"/>
      <c r="F43" s="2881"/>
      <c r="G43" s="2871"/>
      <c r="H43" s="2427"/>
      <c r="I43" s="2897"/>
      <c r="J43" s="2427"/>
      <c r="K43" s="2900"/>
      <c r="L43" s="2427"/>
      <c r="M43" s="2900"/>
      <c r="N43" s="2427"/>
      <c r="O43" s="2900"/>
      <c r="P43" s="2427"/>
      <c r="Q43" s="2900"/>
      <c r="R43" s="2427"/>
      <c r="S43" s="2900"/>
    </row>
    <row r="44" spans="1:19" s="91" customFormat="1">
      <c r="A44" s="2893"/>
      <c r="B44" s="2894" t="s">
        <v>1215</v>
      </c>
      <c r="C44" s="2445"/>
      <c r="D44" s="2567"/>
      <c r="E44" s="2546"/>
      <c r="F44" s="2881"/>
      <c r="G44" s="2871"/>
      <c r="H44" s="2427"/>
      <c r="I44" s="2897"/>
      <c r="J44" s="2427"/>
      <c r="K44" s="2900"/>
      <c r="L44" s="2427"/>
      <c r="M44" s="2900"/>
      <c r="N44" s="2427"/>
      <c r="O44" s="2900"/>
      <c r="P44" s="2427"/>
      <c r="Q44" s="2900"/>
      <c r="R44" s="2427"/>
      <c r="S44" s="2900"/>
    </row>
    <row r="45" spans="1:19" s="91" customFormat="1">
      <c r="A45" s="2893"/>
      <c r="B45" s="2894" t="s">
        <v>1216</v>
      </c>
      <c r="C45" s="2445"/>
      <c r="D45" s="2567"/>
      <c r="E45" s="2546"/>
      <c r="F45" s="2881"/>
      <c r="G45" s="2871"/>
      <c r="H45" s="2427"/>
      <c r="I45" s="2897"/>
      <c r="J45" s="2427"/>
      <c r="K45" s="2900"/>
      <c r="L45" s="2427"/>
      <c r="M45" s="2900"/>
      <c r="N45" s="2427"/>
      <c r="O45" s="2900"/>
      <c r="P45" s="2427"/>
      <c r="Q45" s="2900"/>
      <c r="R45" s="2427"/>
      <c r="S45" s="2900"/>
    </row>
    <row r="46" spans="1:19" s="91" customFormat="1">
      <c r="A46" s="2893"/>
      <c r="B46" s="2894" t="s">
        <v>1217</v>
      </c>
      <c r="C46" s="2445"/>
      <c r="D46" s="2567"/>
      <c r="E46" s="2546"/>
      <c r="F46" s="2881"/>
      <c r="G46" s="2871"/>
      <c r="H46" s="2427"/>
      <c r="I46" s="2897"/>
      <c r="J46" s="2427"/>
      <c r="K46" s="2900"/>
      <c r="L46" s="2427"/>
      <c r="M46" s="2900"/>
      <c r="N46" s="2427"/>
      <c r="O46" s="2900"/>
      <c r="P46" s="2427"/>
      <c r="Q46" s="2900"/>
      <c r="R46" s="2427"/>
      <c r="S46" s="2900"/>
    </row>
    <row r="47" spans="1:19" s="91" customFormat="1">
      <c r="A47" s="2893"/>
      <c r="B47" s="2894"/>
      <c r="C47" s="2445"/>
      <c r="D47" s="2567"/>
      <c r="E47" s="2546"/>
      <c r="F47" s="2881"/>
      <c r="G47" s="2871"/>
      <c r="H47" s="2427"/>
      <c r="I47" s="2897"/>
      <c r="J47" s="2427"/>
      <c r="K47" s="2900"/>
      <c r="L47" s="2427"/>
      <c r="M47" s="2900"/>
      <c r="N47" s="2427"/>
      <c r="O47" s="2900"/>
      <c r="P47" s="2427"/>
      <c r="Q47" s="2900"/>
      <c r="R47" s="2427"/>
      <c r="S47" s="2900"/>
    </row>
    <row r="48" spans="1:19" s="91" customFormat="1">
      <c r="A48" s="2893"/>
      <c r="B48" s="2894" t="s">
        <v>1218</v>
      </c>
      <c r="C48" s="2445"/>
      <c r="D48" s="2567"/>
      <c r="E48" s="2546"/>
      <c r="F48" s="2881"/>
      <c r="G48" s="2871"/>
      <c r="H48" s="2427"/>
      <c r="I48" s="2897"/>
      <c r="J48" s="2427"/>
      <c r="K48" s="2900"/>
      <c r="L48" s="2427"/>
      <c r="M48" s="2900"/>
      <c r="N48" s="2427"/>
      <c r="O48" s="2900"/>
      <c r="P48" s="2427"/>
      <c r="Q48" s="2900"/>
      <c r="R48" s="2427"/>
      <c r="S48" s="2900"/>
    </row>
    <row r="49" spans="1:19" s="91" customFormat="1">
      <c r="A49" s="2893"/>
      <c r="B49" s="2545"/>
      <c r="C49" s="2445"/>
      <c r="D49" s="2567"/>
      <c r="E49" s="2546"/>
      <c r="F49" s="2881"/>
      <c r="G49" s="2871"/>
      <c r="H49" s="2427"/>
      <c r="I49" s="2897"/>
      <c r="J49" s="2427"/>
      <c r="K49" s="2900"/>
      <c r="L49" s="2427"/>
      <c r="M49" s="2900"/>
      <c r="N49" s="2427"/>
      <c r="O49" s="2900"/>
      <c r="P49" s="2427"/>
      <c r="Q49" s="2900"/>
      <c r="R49" s="2427"/>
      <c r="S49" s="2900"/>
    </row>
    <row r="50" spans="1:19" s="91" customFormat="1">
      <c r="A50" s="2893"/>
      <c r="B50" s="2545" t="s">
        <v>1219</v>
      </c>
      <c r="C50" s="2445"/>
      <c r="D50" s="2567"/>
      <c r="E50" s="2546"/>
      <c r="F50" s="2881"/>
      <c r="G50" s="2871"/>
      <c r="H50" s="2427"/>
      <c r="I50" s="2897"/>
      <c r="J50" s="2427"/>
      <c r="K50" s="2900"/>
      <c r="L50" s="2427"/>
      <c r="M50" s="2900"/>
      <c r="N50" s="2427"/>
      <c r="O50" s="2900"/>
      <c r="P50" s="2427"/>
      <c r="Q50" s="2900"/>
      <c r="R50" s="2427"/>
      <c r="S50" s="2900"/>
    </row>
    <row r="51" spans="1:19" s="91" customFormat="1">
      <c r="A51" s="2893"/>
      <c r="B51" s="2545"/>
      <c r="C51" s="2445"/>
      <c r="D51" s="2567"/>
      <c r="E51" s="2546"/>
      <c r="F51" s="2881"/>
      <c r="G51" s="2871"/>
      <c r="H51" s="2427"/>
      <c r="I51" s="2897"/>
      <c r="J51" s="2427"/>
      <c r="K51" s="2900"/>
      <c r="L51" s="2427"/>
      <c r="M51" s="2900"/>
      <c r="N51" s="2427"/>
      <c r="O51" s="2900"/>
      <c r="P51" s="2427"/>
      <c r="Q51" s="2900"/>
      <c r="R51" s="2427"/>
      <c r="S51" s="2900"/>
    </row>
    <row r="52" spans="1:19" s="91" customFormat="1">
      <c r="A52" s="2893"/>
      <c r="B52" s="2545"/>
      <c r="C52" s="2445"/>
      <c r="D52" s="2567"/>
      <c r="E52" s="2546"/>
      <c r="F52" s="2881"/>
      <c r="G52" s="2871"/>
      <c r="H52" s="2427"/>
      <c r="I52" s="2897"/>
      <c r="J52" s="2427"/>
      <c r="K52" s="2900"/>
      <c r="L52" s="2427"/>
      <c r="M52" s="2900"/>
      <c r="N52" s="2427"/>
      <c r="O52" s="2900"/>
      <c r="P52" s="2427"/>
      <c r="Q52" s="2900"/>
      <c r="R52" s="2427"/>
      <c r="S52" s="2900"/>
    </row>
    <row r="53" spans="1:19" s="91" customFormat="1">
      <c r="A53" s="2893"/>
      <c r="B53" s="2545"/>
      <c r="C53" s="2445"/>
      <c r="D53" s="2567"/>
      <c r="E53" s="2546"/>
      <c r="F53" s="2881"/>
      <c r="G53" s="2871"/>
      <c r="H53" s="2427"/>
      <c r="I53" s="2897"/>
      <c r="J53" s="2427"/>
      <c r="K53" s="2900"/>
      <c r="L53" s="2427"/>
      <c r="M53" s="2900"/>
      <c r="N53" s="2427"/>
      <c r="O53" s="2900"/>
      <c r="P53" s="2427"/>
      <c r="Q53" s="2900"/>
      <c r="R53" s="2427"/>
      <c r="S53" s="2900"/>
    </row>
    <row r="54" spans="1:19" s="91" customFormat="1">
      <c r="A54" s="2893"/>
      <c r="B54" s="2545"/>
      <c r="C54" s="2445"/>
      <c r="D54" s="2567"/>
      <c r="E54" s="2546"/>
      <c r="F54" s="2881"/>
      <c r="G54" s="2871"/>
      <c r="H54" s="2427"/>
      <c r="I54" s="2897"/>
      <c r="J54" s="2427"/>
      <c r="K54" s="2900"/>
      <c r="L54" s="2427"/>
      <c r="M54" s="2900"/>
      <c r="N54" s="2427"/>
      <c r="O54" s="2900"/>
      <c r="P54" s="2427"/>
      <c r="Q54" s="2900"/>
      <c r="R54" s="2427"/>
      <c r="S54" s="2900"/>
    </row>
    <row r="55" spans="1:19" s="91" customFormat="1">
      <c r="A55" s="2893"/>
      <c r="B55" s="2545"/>
      <c r="C55" s="2445"/>
      <c r="D55" s="2567"/>
      <c r="E55" s="2546"/>
      <c r="F55" s="2881"/>
      <c r="G55" s="2871"/>
      <c r="H55" s="2427"/>
      <c r="I55" s="2897"/>
      <c r="J55" s="2427"/>
      <c r="K55" s="2900"/>
      <c r="L55" s="2427"/>
      <c r="M55" s="2900"/>
      <c r="N55" s="2427"/>
      <c r="O55" s="2900"/>
      <c r="P55" s="2427"/>
      <c r="Q55" s="2900"/>
      <c r="R55" s="2427"/>
      <c r="S55" s="2900"/>
    </row>
    <row r="56" spans="1:19" s="91" customFormat="1">
      <c r="A56" s="2893"/>
      <c r="B56" s="2545"/>
      <c r="C56" s="2445"/>
      <c r="D56" s="2567"/>
      <c r="E56" s="2546"/>
      <c r="F56" s="2881"/>
      <c r="G56" s="2871"/>
      <c r="H56" s="2427"/>
      <c r="I56" s="2897"/>
      <c r="J56" s="2427"/>
      <c r="K56" s="2900"/>
      <c r="L56" s="2427"/>
      <c r="M56" s="2900"/>
      <c r="N56" s="2427"/>
      <c r="O56" s="2900"/>
      <c r="P56" s="2427"/>
      <c r="Q56" s="2900"/>
      <c r="R56" s="2427"/>
      <c r="S56" s="2900"/>
    </row>
    <row r="57" spans="1:19" s="91" customFormat="1">
      <c r="A57" s="2893"/>
      <c r="B57" s="2545"/>
      <c r="C57" s="2445"/>
      <c r="D57" s="2567"/>
      <c r="E57" s="2546"/>
      <c r="F57" s="2881"/>
      <c r="G57" s="2871"/>
      <c r="H57" s="2427"/>
      <c r="I57" s="2897"/>
      <c r="J57" s="2427"/>
      <c r="K57" s="2900"/>
      <c r="L57" s="2427"/>
      <c r="M57" s="2900"/>
      <c r="N57" s="2427"/>
      <c r="O57" s="2900"/>
      <c r="P57" s="2427"/>
      <c r="Q57" s="2900"/>
      <c r="R57" s="2427"/>
      <c r="S57" s="2900"/>
    </row>
    <row r="58" spans="1:19" s="91" customFormat="1">
      <c r="A58" s="2893"/>
      <c r="B58" s="2545"/>
      <c r="C58" s="2445"/>
      <c r="D58" s="2567"/>
      <c r="E58" s="2546"/>
      <c r="F58" s="2881"/>
      <c r="G58" s="2871"/>
      <c r="H58" s="2427"/>
      <c r="I58" s="2897"/>
      <c r="J58" s="2427"/>
      <c r="K58" s="2900"/>
      <c r="L58" s="2427"/>
      <c r="M58" s="2900"/>
      <c r="N58" s="2427"/>
      <c r="O58" s="2900"/>
      <c r="P58" s="2427"/>
      <c r="Q58" s="2900"/>
      <c r="R58" s="2427"/>
      <c r="S58" s="2900"/>
    </row>
    <row r="59" spans="1:19" s="91" customFormat="1">
      <c r="A59" s="2893"/>
      <c r="B59" s="2545"/>
      <c r="C59" s="2445"/>
      <c r="D59" s="2567"/>
      <c r="E59" s="2546"/>
      <c r="F59" s="2881"/>
      <c r="G59" s="2871"/>
      <c r="H59" s="2427"/>
      <c r="I59" s="2897"/>
      <c r="J59" s="2427"/>
      <c r="K59" s="2900"/>
      <c r="L59" s="2427"/>
      <c r="M59" s="2900"/>
      <c r="N59" s="2427"/>
      <c r="O59" s="2900"/>
      <c r="P59" s="2427"/>
      <c r="Q59" s="2900"/>
      <c r="R59" s="2427"/>
      <c r="S59" s="2900"/>
    </row>
    <row r="60" spans="1:19" s="91" customFormat="1">
      <c r="A60" s="2893"/>
      <c r="B60" s="2545"/>
      <c r="C60" s="2445"/>
      <c r="D60" s="2567"/>
      <c r="E60" s="2546"/>
      <c r="F60" s="2881"/>
      <c r="G60" s="2871"/>
      <c r="H60" s="2427"/>
      <c r="I60" s="2897"/>
      <c r="J60" s="2427"/>
      <c r="K60" s="2900"/>
      <c r="L60" s="2427"/>
      <c r="M60" s="2900"/>
      <c r="N60" s="2427"/>
      <c r="O60" s="2900"/>
      <c r="P60" s="2427"/>
      <c r="Q60" s="2900"/>
      <c r="R60" s="2427"/>
      <c r="S60" s="2900"/>
    </row>
    <row r="61" spans="1:19" s="91" customFormat="1">
      <c r="A61" s="2893"/>
      <c r="B61" s="2545"/>
      <c r="C61" s="2445"/>
      <c r="D61" s="2567"/>
      <c r="E61" s="2546"/>
      <c r="F61" s="2881"/>
      <c r="G61" s="2871"/>
      <c r="H61" s="2427"/>
      <c r="I61" s="2897"/>
      <c r="J61" s="2427"/>
      <c r="K61" s="2900"/>
      <c r="L61" s="2427"/>
      <c r="M61" s="2900"/>
      <c r="N61" s="2427"/>
      <c r="O61" s="2900"/>
      <c r="P61" s="2427"/>
      <c r="Q61" s="2900"/>
      <c r="R61" s="2427"/>
      <c r="S61" s="2900"/>
    </row>
    <row r="62" spans="1:19" s="91" customFormat="1">
      <c r="A62" s="2893"/>
      <c r="B62" s="2545"/>
      <c r="C62" s="2445"/>
      <c r="D62" s="2567"/>
      <c r="E62" s="2546"/>
      <c r="F62" s="2881"/>
      <c r="G62" s="2871"/>
      <c r="H62" s="2427"/>
      <c r="I62" s="2897"/>
      <c r="J62" s="2427"/>
      <c r="K62" s="2900"/>
      <c r="L62" s="2427"/>
      <c r="M62" s="2900"/>
      <c r="N62" s="2427"/>
      <c r="O62" s="2900"/>
      <c r="P62" s="2427"/>
      <c r="Q62" s="2900"/>
      <c r="R62" s="2427"/>
      <c r="S62" s="2900"/>
    </row>
    <row r="63" spans="1:19" s="91" customFormat="1">
      <c r="A63" s="2893"/>
      <c r="B63" s="2545"/>
      <c r="C63" s="2445"/>
      <c r="D63" s="2567"/>
      <c r="E63" s="2546"/>
      <c r="F63" s="2881"/>
      <c r="G63" s="2871"/>
      <c r="H63" s="2427"/>
      <c r="I63" s="2897"/>
      <c r="J63" s="2427"/>
      <c r="K63" s="2900"/>
      <c r="L63" s="2427"/>
      <c r="M63" s="2900"/>
      <c r="N63" s="2427"/>
      <c r="O63" s="2900"/>
      <c r="P63" s="2427"/>
      <c r="Q63" s="2900"/>
      <c r="R63" s="2427"/>
      <c r="S63" s="2900"/>
    </row>
    <row r="64" spans="1:19" s="91" customFormat="1">
      <c r="A64" s="2893"/>
      <c r="B64" s="2545"/>
      <c r="C64" s="2445"/>
      <c r="D64" s="2567"/>
      <c r="E64" s="2546"/>
      <c r="F64" s="2881"/>
      <c r="G64" s="2871"/>
      <c r="H64" s="2427"/>
      <c r="I64" s="2897"/>
      <c r="J64" s="2427"/>
      <c r="K64" s="2900"/>
      <c r="L64" s="2427"/>
      <c r="M64" s="2900"/>
      <c r="N64" s="2427"/>
      <c r="O64" s="2900"/>
      <c r="P64" s="2427"/>
      <c r="Q64" s="2900"/>
      <c r="R64" s="2427"/>
      <c r="S64" s="2900"/>
    </row>
    <row r="65" spans="1:19" s="91" customFormat="1">
      <c r="A65" s="2893"/>
      <c r="B65" s="2545"/>
      <c r="C65" s="2445"/>
      <c r="D65" s="2567"/>
      <c r="E65" s="2546"/>
      <c r="F65" s="2881"/>
      <c r="G65" s="2871"/>
      <c r="H65" s="2427"/>
      <c r="I65" s="2897"/>
      <c r="J65" s="2427"/>
      <c r="K65" s="2900"/>
      <c r="L65" s="2427"/>
      <c r="M65" s="2900"/>
      <c r="N65" s="2427"/>
      <c r="O65" s="2900"/>
      <c r="P65" s="2427"/>
      <c r="Q65" s="2900"/>
      <c r="R65" s="2427"/>
      <c r="S65" s="2900"/>
    </row>
    <row r="66" spans="1:19" s="91" customFormat="1">
      <c r="A66" s="2893"/>
      <c r="B66" s="2545"/>
      <c r="C66" s="2445"/>
      <c r="D66" s="2567"/>
      <c r="E66" s="2546"/>
      <c r="F66" s="2881"/>
      <c r="G66" s="2871"/>
      <c r="H66" s="2427"/>
      <c r="I66" s="2897"/>
      <c r="J66" s="2427"/>
      <c r="K66" s="2900"/>
      <c r="L66" s="2427"/>
      <c r="M66" s="2900"/>
      <c r="N66" s="2427"/>
      <c r="O66" s="2900"/>
      <c r="P66" s="2427"/>
      <c r="Q66" s="2900"/>
      <c r="R66" s="2427"/>
      <c r="S66" s="2900"/>
    </row>
    <row r="67" spans="1:19">
      <c r="A67" s="14"/>
      <c r="B67" s="15"/>
      <c r="C67" s="16"/>
      <c r="D67" s="16"/>
      <c r="E67" s="17"/>
      <c r="F67" s="18" t="s">
        <v>567</v>
      </c>
      <c r="G67" s="19"/>
      <c r="H67" s="20"/>
      <c r="I67" s="61">
        <f>SUM(I23:I66)</f>
        <v>0</v>
      </c>
      <c r="J67" s="20"/>
      <c r="K67" s="61">
        <f>SUM(K23:K66)</f>
        <v>0</v>
      </c>
      <c r="L67" s="20"/>
      <c r="M67" s="61">
        <f>SUM(M23:M66)</f>
        <v>0</v>
      </c>
      <c r="N67" s="20"/>
      <c r="O67" s="61">
        <f>SUM(O23:O66)</f>
        <v>0</v>
      </c>
      <c r="P67" s="20"/>
      <c r="Q67" s="61">
        <f>SUM(Q23:Q66)</f>
        <v>0</v>
      </c>
      <c r="R67" s="20"/>
      <c r="S67" s="61">
        <f>SUM(S23:S66)</f>
        <v>0</v>
      </c>
    </row>
    <row r="68" spans="1:19">
      <c r="A68" s="2358"/>
      <c r="B68" s="2359"/>
      <c r="C68" s="2360"/>
      <c r="D68" s="2360"/>
      <c r="E68" s="2361"/>
      <c r="F68" s="2362" t="s">
        <v>568</v>
      </c>
      <c r="G68" s="2363"/>
      <c r="H68" s="2364">
        <v>0</v>
      </c>
      <c r="I68" s="2460"/>
      <c r="J68" s="2364">
        <v>0</v>
      </c>
      <c r="K68" s="2460"/>
      <c r="L68" s="2364">
        <v>0</v>
      </c>
      <c r="M68" s="2460"/>
      <c r="N68" s="2364">
        <v>0</v>
      </c>
      <c r="O68" s="2460"/>
      <c r="P68" s="2364">
        <v>0</v>
      </c>
      <c r="Q68" s="2460"/>
      <c r="R68" s="2364">
        <v>0</v>
      </c>
      <c r="S68" s="2460"/>
    </row>
    <row r="69" spans="1:19">
      <c r="A69" s="2358"/>
      <c r="B69" s="2359"/>
      <c r="C69" s="2360"/>
      <c r="D69" s="2360"/>
      <c r="E69" s="2361"/>
      <c r="F69" s="2362" t="s">
        <v>569</v>
      </c>
      <c r="G69" s="2363"/>
      <c r="H69" s="2366"/>
      <c r="I69" s="2462">
        <f>H68*I67</f>
        <v>0</v>
      </c>
      <c r="J69" s="2366"/>
      <c r="K69" s="2462">
        <f>J68*K67</f>
        <v>0</v>
      </c>
      <c r="L69" s="2366"/>
      <c r="M69" s="2462">
        <f>L68*M67</f>
        <v>0</v>
      </c>
      <c r="N69" s="2366"/>
      <c r="O69" s="2462">
        <f>N68*O67</f>
        <v>0</v>
      </c>
      <c r="P69" s="2366"/>
      <c r="Q69" s="2462">
        <f>P68*Q67</f>
        <v>0</v>
      </c>
      <c r="R69" s="2366"/>
      <c r="S69" s="2462">
        <f>R68*S67</f>
        <v>0</v>
      </c>
    </row>
    <row r="70" spans="1:19">
      <c r="A70" s="2358"/>
      <c r="B70" s="2359"/>
      <c r="C70" s="2360"/>
      <c r="D70" s="2360"/>
      <c r="E70" s="2361"/>
      <c r="F70" s="2362"/>
      <c r="G70" s="2363"/>
      <c r="H70" s="2366"/>
      <c r="I70" s="2464"/>
      <c r="J70" s="2366"/>
      <c r="K70" s="2464"/>
      <c r="L70" s="2366"/>
      <c r="M70" s="2464"/>
      <c r="N70" s="2366"/>
      <c r="O70" s="2464"/>
      <c r="P70" s="2366"/>
      <c r="Q70" s="2464"/>
      <c r="R70" s="2366"/>
      <c r="S70" s="2464"/>
    </row>
    <row r="71" spans="1:19">
      <c r="A71" s="2358"/>
      <c r="B71" s="2359"/>
      <c r="C71" s="2360"/>
      <c r="D71" s="2360"/>
      <c r="E71" s="2361"/>
      <c r="F71" s="2362" t="s">
        <v>570</v>
      </c>
      <c r="G71" s="2363"/>
      <c r="H71" s="2368"/>
      <c r="I71" s="2465">
        <f>SUM(I67:I69)</f>
        <v>0</v>
      </c>
      <c r="J71" s="2368"/>
      <c r="K71" s="2465">
        <f>SUM(K67:K69)</f>
        <v>0</v>
      </c>
      <c r="L71" s="2368"/>
      <c r="M71" s="2465">
        <f>SUM(M67:M69)</f>
        <v>0</v>
      </c>
      <c r="N71" s="2368"/>
      <c r="O71" s="2465">
        <f>SUM(O67:O69)</f>
        <v>0</v>
      </c>
      <c r="P71" s="2368"/>
      <c r="Q71" s="2465">
        <f>SUM(Q67:Q69)</f>
        <v>0</v>
      </c>
      <c r="R71" s="2368"/>
      <c r="S71" s="2465">
        <f>SUM(S67:S69)</f>
        <v>0</v>
      </c>
    </row>
    <row r="72" spans="1:19">
      <c r="A72" s="2358"/>
      <c r="B72" s="2359"/>
      <c r="C72" s="2360"/>
      <c r="D72" s="2360"/>
      <c r="E72" s="2361"/>
      <c r="F72" s="2370" t="s">
        <v>571</v>
      </c>
      <c r="G72" s="2371"/>
      <c r="H72" s="2372"/>
      <c r="I72" s="2373" t="e">
        <f>I71/'Area Calculations'!$J$4</f>
        <v>#DIV/0!</v>
      </c>
      <c r="J72" s="2372"/>
      <c r="K72" s="2373" t="e">
        <f>K71/'Area Calculations'!$J$4</f>
        <v>#DIV/0!</v>
      </c>
      <c r="L72" s="2372"/>
      <c r="M72" s="2373" t="e">
        <f>M71/'Area Calculations'!$J$4</f>
        <v>#DIV/0!</v>
      </c>
      <c r="N72" s="2372"/>
      <c r="O72" s="2373" t="e">
        <f>O71/'Area Calculations'!$J$4</f>
        <v>#DIV/0!</v>
      </c>
      <c r="P72" s="2372"/>
      <c r="Q72" s="2373" t="e">
        <f>Q71/'Area Calculations'!$J$4</f>
        <v>#DIV/0!</v>
      </c>
      <c r="R72" s="2372"/>
      <c r="S72" s="2373" t="e">
        <f>S71/'Area Calculations'!$J$4</f>
        <v>#DIV/0!</v>
      </c>
    </row>
    <row r="73" spans="1:19">
      <c r="A73" s="2358"/>
      <c r="B73" s="2359"/>
      <c r="C73" s="2360"/>
      <c r="D73" s="2360"/>
      <c r="E73" s="2361"/>
      <c r="F73" s="2370" t="s">
        <v>572</v>
      </c>
      <c r="G73" s="2374"/>
      <c r="H73" s="2372"/>
      <c r="I73" s="2373" t="e">
        <f>I71/'Area Calculations'!#REF!</f>
        <v>#REF!</v>
      </c>
      <c r="J73" s="2372"/>
      <c r="K73" s="2373" t="e">
        <f>K71/'Area Calculations'!#REF!</f>
        <v>#REF!</v>
      </c>
      <c r="L73" s="2372"/>
      <c r="M73" s="2373" t="e">
        <f>M71/'Area Calculations'!#REF!</f>
        <v>#REF!</v>
      </c>
      <c r="N73" s="2372"/>
      <c r="O73" s="2373" t="e">
        <f>O71/'Area Calculations'!#REF!</f>
        <v>#REF!</v>
      </c>
      <c r="P73" s="2372"/>
      <c r="Q73" s="2373" t="e">
        <f>Q71/'Area Calculations'!#REF!</f>
        <v>#REF!</v>
      </c>
      <c r="R73" s="2372"/>
      <c r="S73" s="2373" t="e">
        <f>S71/'Area Calculations'!#REF!</f>
        <v>#REF!</v>
      </c>
    </row>
    <row r="74" spans="1:19">
      <c r="A74" s="2358"/>
      <c r="B74" s="2359"/>
      <c r="C74" s="2360"/>
      <c r="D74" s="2360"/>
      <c r="E74" s="2361"/>
      <c r="F74" s="2362"/>
      <c r="G74" s="2375"/>
      <c r="H74" s="2376"/>
      <c r="I74" s="2377"/>
      <c r="J74" s="2376"/>
      <c r="K74" s="2377"/>
      <c r="L74" s="2376"/>
      <c r="M74" s="2377"/>
      <c r="N74" s="2376"/>
      <c r="O74" s="2377"/>
      <c r="P74" s="2376"/>
      <c r="Q74" s="2377"/>
      <c r="R74" s="2376"/>
      <c r="S74" s="2377"/>
    </row>
    <row r="75" spans="1:19">
      <c r="A75" s="726" t="s">
        <v>573</v>
      </c>
      <c r="B75" s="727"/>
      <c r="C75" s="12"/>
      <c r="D75" s="12"/>
      <c r="E75" s="12"/>
      <c r="F75" s="12"/>
      <c r="G75" s="13"/>
      <c r="H75" s="21"/>
      <c r="I75" s="21"/>
      <c r="J75" s="21"/>
      <c r="K75" s="21"/>
      <c r="L75" s="21"/>
      <c r="M75" s="21"/>
      <c r="N75" s="21"/>
      <c r="O75" s="21"/>
      <c r="P75" s="21"/>
      <c r="Q75" s="21"/>
      <c r="R75" s="21"/>
      <c r="S75" s="21"/>
    </row>
    <row r="76" spans="1:19">
      <c r="A76" s="2905"/>
      <c r="B76" s="2404"/>
      <c r="C76" s="2906"/>
      <c r="D76" s="2906"/>
      <c r="E76" s="2906"/>
      <c r="F76" s="2906"/>
      <c r="G76" s="2907"/>
      <c r="H76" s="2777"/>
      <c r="I76" s="2777"/>
      <c r="J76" s="2777"/>
      <c r="K76" s="2777"/>
      <c r="L76" s="2777"/>
      <c r="M76" s="2777"/>
      <c r="N76" s="2777"/>
      <c r="O76" s="2777"/>
      <c r="P76" s="2777"/>
      <c r="Q76" s="2777"/>
      <c r="R76" s="2777"/>
      <c r="S76" s="2777"/>
    </row>
    <row r="77" spans="1:19" s="2" customFormat="1">
      <c r="A77" s="2905"/>
      <c r="B77" s="2404"/>
      <c r="C77" s="2906"/>
      <c r="D77" s="2906"/>
      <c r="E77" s="2906"/>
      <c r="F77" s="2906"/>
      <c r="G77" s="2907"/>
      <c r="H77" s="2777"/>
      <c r="I77" s="2777"/>
      <c r="J77" s="2777"/>
      <c r="K77" s="2777"/>
      <c r="L77" s="2777"/>
      <c r="M77" s="2777"/>
      <c r="N77" s="2777"/>
      <c r="O77" s="2777"/>
      <c r="P77" s="2777"/>
      <c r="Q77" s="2777"/>
      <c r="R77" s="2777"/>
      <c r="S77" s="2777"/>
    </row>
    <row r="78" spans="1:19" s="2" customFormat="1">
      <c r="A78" s="2905"/>
      <c r="B78" s="2404"/>
      <c r="C78" s="2906"/>
      <c r="D78" s="2906"/>
      <c r="E78" s="2906"/>
      <c r="F78" s="2906"/>
      <c r="G78" s="2907"/>
      <c r="H78" s="2777"/>
      <c r="I78" s="2777"/>
      <c r="J78" s="2777"/>
      <c r="K78" s="2777"/>
      <c r="L78" s="2777"/>
      <c r="M78" s="2777"/>
      <c r="N78" s="2777"/>
      <c r="O78" s="2777"/>
      <c r="P78" s="2777"/>
      <c r="Q78" s="2777"/>
      <c r="R78" s="2777"/>
      <c r="S78" s="2777"/>
    </row>
    <row r="79" spans="1:19">
      <c r="A79" s="726" t="s">
        <v>574</v>
      </c>
      <c r="B79" s="727"/>
      <c r="C79" s="12"/>
      <c r="D79" s="12"/>
      <c r="E79" s="12"/>
      <c r="F79" s="12"/>
      <c r="G79" s="13"/>
      <c r="H79" s="21"/>
      <c r="I79" s="21"/>
      <c r="J79" s="21"/>
      <c r="K79" s="21"/>
      <c r="L79" s="21"/>
      <c r="M79" s="21"/>
      <c r="N79" s="21"/>
      <c r="O79" s="21"/>
      <c r="P79" s="21"/>
      <c r="Q79" s="21"/>
      <c r="R79" s="21"/>
      <c r="S79" s="21"/>
    </row>
    <row r="80" spans="1:19" s="2" customFormat="1">
      <c r="A80" s="2905"/>
      <c r="B80" s="2404"/>
      <c r="C80" s="2906"/>
      <c r="D80" s="2906"/>
      <c r="E80" s="2906"/>
      <c r="F80" s="2906"/>
      <c r="G80" s="2907"/>
      <c r="H80" s="2777"/>
      <c r="I80" s="2777"/>
      <c r="J80" s="2777"/>
      <c r="K80" s="2777"/>
      <c r="L80" s="2777"/>
      <c r="M80" s="2777"/>
      <c r="N80" s="2777"/>
      <c r="O80" s="2777"/>
      <c r="P80" s="2777"/>
      <c r="Q80" s="2777"/>
      <c r="R80" s="2777"/>
      <c r="S80" s="2777"/>
    </row>
    <row r="81" spans="1:19" s="2" customFormat="1">
      <c r="A81" s="2905"/>
      <c r="B81" s="2404"/>
      <c r="C81" s="2906"/>
      <c r="D81" s="2906"/>
      <c r="E81" s="2906"/>
      <c r="F81" s="2906"/>
      <c r="G81" s="2907"/>
      <c r="H81" s="2777"/>
      <c r="I81" s="2777"/>
      <c r="J81" s="2777"/>
      <c r="K81" s="2777"/>
      <c r="L81" s="2777"/>
      <c r="M81" s="2777"/>
      <c r="N81" s="2777"/>
      <c r="O81" s="2777"/>
      <c r="P81" s="2777"/>
      <c r="Q81" s="2777"/>
      <c r="R81" s="2777"/>
      <c r="S81" s="2777"/>
    </row>
    <row r="82" spans="1:19">
      <c r="A82" s="2905"/>
      <c r="B82" s="2404"/>
      <c r="C82" s="2906"/>
      <c r="D82" s="2906"/>
      <c r="E82" s="2906"/>
      <c r="F82" s="2906"/>
      <c r="G82" s="2907"/>
      <c r="H82" s="2777"/>
      <c r="I82" s="2777"/>
      <c r="J82" s="2777"/>
      <c r="K82" s="2777"/>
      <c r="L82" s="2777"/>
      <c r="M82" s="2777"/>
      <c r="N82" s="2777"/>
      <c r="O82" s="2777"/>
      <c r="P82" s="2777"/>
      <c r="Q82" s="2777"/>
      <c r="R82" s="2777"/>
      <c r="S82" s="2777"/>
    </row>
    <row r="83" spans="1:19">
      <c r="A83" s="726" t="s">
        <v>575</v>
      </c>
      <c r="B83" s="727"/>
      <c r="C83" s="12"/>
      <c r="D83" s="12"/>
      <c r="E83" s="12"/>
      <c r="F83" s="12"/>
      <c r="G83" s="13"/>
      <c r="H83" s="21"/>
      <c r="I83" s="21"/>
      <c r="J83" s="21"/>
      <c r="K83" s="21"/>
      <c r="L83" s="21"/>
      <c r="M83" s="21"/>
      <c r="N83" s="21"/>
      <c r="O83" s="21"/>
      <c r="P83" s="21"/>
      <c r="Q83" s="21"/>
      <c r="R83" s="21"/>
      <c r="S83" s="21"/>
    </row>
    <row r="84" spans="1:19">
      <c r="A84" s="2905"/>
      <c r="B84" s="2404"/>
      <c r="C84" s="2906"/>
      <c r="D84" s="2906"/>
      <c r="E84" s="2906"/>
      <c r="F84" s="2906"/>
      <c r="G84" s="2907"/>
      <c r="H84" s="2777"/>
      <c r="I84" s="2777"/>
      <c r="J84" s="2777"/>
      <c r="K84" s="2777"/>
      <c r="L84" s="2777"/>
      <c r="M84" s="2777"/>
      <c r="N84" s="2777"/>
      <c r="O84" s="2777"/>
      <c r="P84" s="2777"/>
      <c r="Q84" s="2777"/>
      <c r="R84" s="2777"/>
      <c r="S84" s="2777"/>
    </row>
    <row r="85" spans="1:19">
      <c r="A85" s="2421"/>
      <c r="B85" s="2404"/>
      <c r="C85" s="2405"/>
      <c r="D85" s="2405"/>
      <c r="E85" s="2405"/>
      <c r="F85" s="2405"/>
      <c r="G85" s="2423"/>
      <c r="H85" s="2382"/>
      <c r="I85" s="2382"/>
      <c r="J85" s="2382"/>
      <c r="K85" s="2382"/>
      <c r="L85" s="2382"/>
      <c r="M85" s="2382"/>
      <c r="N85" s="2382"/>
      <c r="O85" s="2382"/>
      <c r="P85" s="2382"/>
      <c r="Q85" s="2382"/>
      <c r="R85" s="2382"/>
      <c r="S85" s="2382"/>
    </row>
    <row r="86" spans="1:19">
      <c r="A86" s="2383"/>
      <c r="B86" s="2384"/>
      <c r="C86" s="2405"/>
      <c r="D86" s="2405"/>
      <c r="E86" s="2405"/>
      <c r="F86" s="2405"/>
      <c r="G86" s="2423"/>
      <c r="H86" s="2385"/>
      <c r="I86" s="2385"/>
      <c r="J86" s="2385"/>
      <c r="K86" s="2385"/>
      <c r="L86" s="2385"/>
      <c r="M86" s="2385"/>
      <c r="N86" s="2385"/>
      <c r="O86" s="2385"/>
      <c r="P86" s="2385"/>
      <c r="Q86" s="2385"/>
      <c r="R86" s="2385"/>
      <c r="S86" s="2385"/>
    </row>
    <row r="87" spans="1:19">
      <c r="A87" s="726" t="s">
        <v>576</v>
      </c>
      <c r="B87" s="727"/>
      <c r="C87" s="12"/>
      <c r="D87" s="12"/>
      <c r="E87" s="12"/>
      <c r="F87" s="12"/>
      <c r="G87" s="13"/>
      <c r="H87" s="21"/>
      <c r="I87" s="21"/>
      <c r="J87" s="21"/>
      <c r="K87" s="21"/>
      <c r="L87" s="21"/>
      <c r="M87" s="21"/>
      <c r="N87" s="21"/>
      <c r="O87" s="21"/>
      <c r="P87" s="21"/>
      <c r="Q87" s="21"/>
      <c r="R87" s="21"/>
      <c r="S87" s="21"/>
    </row>
    <row r="88" spans="1:19">
      <c r="A88" s="2908"/>
      <c r="B88" s="2909"/>
      <c r="C88" s="2906"/>
      <c r="D88" s="2906"/>
      <c r="E88" s="2906"/>
      <c r="F88" s="2906"/>
      <c r="G88" s="2907"/>
      <c r="H88" s="2777"/>
      <c r="I88" s="2777"/>
      <c r="J88" s="2777"/>
      <c r="K88" s="2777"/>
      <c r="L88" s="2777"/>
      <c r="M88" s="2777"/>
      <c r="N88" s="2777"/>
      <c r="O88" s="2777"/>
      <c r="P88" s="2777"/>
      <c r="Q88" s="2777"/>
      <c r="R88" s="2777"/>
      <c r="S88" s="2777"/>
    </row>
    <row r="89" spans="1:19">
      <c r="A89" s="2383"/>
      <c r="B89" s="2384"/>
      <c r="C89" s="2405"/>
      <c r="D89" s="2405"/>
      <c r="E89" s="2405"/>
      <c r="F89" s="2405"/>
      <c r="G89" s="2423"/>
      <c r="H89" s="2388"/>
      <c r="I89" s="2388"/>
      <c r="J89" s="2388"/>
      <c r="K89" s="2388"/>
      <c r="L89" s="2388"/>
      <c r="M89" s="2388"/>
      <c r="N89" s="2388"/>
      <c r="O89" s="2388"/>
      <c r="P89" s="2388"/>
      <c r="Q89" s="2388"/>
      <c r="R89" s="2388"/>
      <c r="S89" s="2388"/>
    </row>
    <row r="90" spans="1:19">
      <c r="A90" s="2383"/>
      <c r="B90" s="2384"/>
      <c r="C90" s="2405"/>
      <c r="D90" s="2405"/>
      <c r="E90" s="2405"/>
      <c r="F90" s="2405"/>
      <c r="G90" s="2423"/>
      <c r="H90" s="2388"/>
      <c r="I90" s="2388"/>
      <c r="J90" s="2388"/>
      <c r="K90" s="2388"/>
      <c r="L90" s="2388"/>
      <c r="M90" s="2388"/>
      <c r="N90" s="2388"/>
      <c r="O90" s="2388"/>
      <c r="P90" s="2388"/>
      <c r="Q90" s="2388"/>
      <c r="R90" s="2388"/>
      <c r="S90" s="2388"/>
    </row>
    <row r="91" spans="1:19">
      <c r="A91" s="726" t="s">
        <v>577</v>
      </c>
      <c r="B91" s="727"/>
      <c r="C91" s="12"/>
      <c r="D91" s="12"/>
      <c r="E91" s="12"/>
      <c r="F91" s="12"/>
      <c r="G91" s="13"/>
      <c r="H91" s="21"/>
      <c r="I91" s="21"/>
      <c r="J91" s="21"/>
      <c r="K91" s="21"/>
      <c r="L91" s="21"/>
      <c r="M91" s="21"/>
      <c r="N91" s="21"/>
      <c r="O91" s="21"/>
      <c r="P91" s="21"/>
      <c r="Q91" s="21"/>
      <c r="R91" s="21"/>
      <c r="S91" s="21"/>
    </row>
    <row r="92" spans="1:19">
      <c r="A92" s="2421"/>
      <c r="B92" s="2404" t="s">
        <v>578</v>
      </c>
      <c r="C92" s="2405"/>
      <c r="D92" s="2405"/>
      <c r="E92" s="2405"/>
      <c r="F92" s="2405"/>
      <c r="G92" s="2423"/>
      <c r="H92" s="2388"/>
      <c r="I92" s="2388"/>
      <c r="J92" s="2388"/>
      <c r="K92" s="2388"/>
      <c r="L92" s="2388"/>
      <c r="M92" s="2388"/>
      <c r="N92" s="2388"/>
      <c r="O92" s="2388"/>
      <c r="P92" s="2388"/>
      <c r="Q92" s="2388"/>
      <c r="R92" s="2388"/>
      <c r="S92" s="2388"/>
    </row>
    <row r="93" spans="1:19">
      <c r="A93" s="2421"/>
      <c r="B93" s="2404" t="s">
        <v>579</v>
      </c>
      <c r="C93" s="2405"/>
      <c r="D93" s="2405"/>
      <c r="E93" s="2405"/>
      <c r="F93" s="2405"/>
      <c r="G93" s="2423"/>
      <c r="H93" s="2388"/>
      <c r="I93" s="2388"/>
      <c r="J93" s="2388"/>
      <c r="K93" s="2388"/>
      <c r="L93" s="2388"/>
      <c r="M93" s="2388"/>
      <c r="N93" s="2388"/>
      <c r="O93" s="2388"/>
      <c r="P93" s="2388"/>
      <c r="Q93" s="2388"/>
      <c r="R93" s="2388"/>
      <c r="S93" s="2388"/>
    </row>
    <row r="94" spans="1:19">
      <c r="A94" s="2421"/>
      <c r="B94" s="2404" t="s">
        <v>580</v>
      </c>
      <c r="C94" s="2405"/>
      <c r="D94" s="2405"/>
      <c r="E94" s="2405"/>
      <c r="F94" s="2405"/>
      <c r="G94" s="2423"/>
      <c r="H94" s="2388"/>
      <c r="I94" s="2388"/>
      <c r="J94" s="2388"/>
      <c r="K94" s="2388"/>
      <c r="L94" s="2388"/>
      <c r="M94" s="2388"/>
      <c r="N94" s="2388"/>
      <c r="O94" s="2388"/>
      <c r="P94" s="2388"/>
      <c r="Q94" s="2388"/>
      <c r="R94" s="2388"/>
      <c r="S94" s="2388"/>
    </row>
    <row r="95" spans="1:19">
      <c r="A95" s="2421"/>
      <c r="B95" s="2404" t="s">
        <v>581</v>
      </c>
      <c r="C95" s="2405"/>
      <c r="D95" s="2405"/>
      <c r="E95" s="2405"/>
      <c r="F95" s="2405"/>
      <c r="G95" s="2423"/>
      <c r="H95" s="2388"/>
      <c r="I95" s="2388"/>
      <c r="J95" s="2388"/>
      <c r="K95" s="2388"/>
      <c r="L95" s="2388"/>
      <c r="M95" s="2388"/>
      <c r="N95" s="2388"/>
      <c r="O95" s="2388"/>
      <c r="P95" s="2388"/>
      <c r="Q95" s="2388"/>
      <c r="R95" s="2388"/>
      <c r="S95" s="2388"/>
    </row>
    <row r="96" spans="1:19">
      <c r="A96" s="416"/>
      <c r="B96" s="295"/>
      <c r="C96" s="184"/>
      <c r="D96" s="184"/>
      <c r="E96" s="184"/>
      <c r="F96" s="184"/>
      <c r="G96" s="296"/>
      <c r="H96" s="418"/>
      <c r="I96" s="418"/>
      <c r="J96" s="418"/>
      <c r="K96" s="418"/>
      <c r="L96" s="418"/>
      <c r="M96" s="418"/>
      <c r="N96" s="418"/>
      <c r="O96" s="418"/>
      <c r="P96" s="418"/>
      <c r="Q96" s="418"/>
      <c r="R96" s="418"/>
      <c r="S96" s="418"/>
    </row>
    <row r="97" spans="1:19">
      <c r="A97" s="7" t="s">
        <v>582</v>
      </c>
      <c r="B97" s="8"/>
      <c r="C97" s="12"/>
      <c r="D97" s="12"/>
      <c r="E97" s="12"/>
      <c r="F97" s="12"/>
      <c r="G97" s="13"/>
      <c r="H97" s="21"/>
      <c r="I97" s="21"/>
      <c r="J97" s="21"/>
      <c r="K97" s="21"/>
      <c r="L97" s="21"/>
      <c r="M97" s="21"/>
      <c r="N97" s="21"/>
      <c r="O97" s="21"/>
      <c r="P97" s="21"/>
      <c r="Q97" s="21"/>
      <c r="R97" s="21"/>
      <c r="S97" s="21"/>
    </row>
    <row r="98" spans="1:19">
      <c r="A98" s="2905"/>
      <c r="B98" s="2910" t="s">
        <v>583</v>
      </c>
      <c r="C98" s="2906"/>
      <c r="D98" s="2906"/>
      <c r="E98" s="2906"/>
      <c r="F98" s="2906"/>
      <c r="G98" s="2907"/>
      <c r="H98" s="2773"/>
      <c r="I98" s="2773"/>
      <c r="J98" s="2773"/>
      <c r="K98" s="2773"/>
      <c r="L98" s="2773"/>
      <c r="M98" s="2773"/>
      <c r="N98" s="2773"/>
      <c r="O98" s="2773"/>
      <c r="P98" s="2773"/>
      <c r="Q98" s="2773"/>
      <c r="R98" s="2773"/>
      <c r="S98" s="2773"/>
    </row>
    <row r="99" spans="1:19">
      <c r="A99" s="2421"/>
      <c r="B99" s="2404" t="s">
        <v>584</v>
      </c>
      <c r="C99" s="2405"/>
      <c r="D99" s="2405"/>
      <c r="E99" s="2405"/>
      <c r="F99" s="2405"/>
      <c r="G99" s="2423"/>
      <c r="H99" s="2390"/>
      <c r="I99" s="2390"/>
      <c r="J99" s="2390"/>
      <c r="K99" s="2390"/>
      <c r="L99" s="2390"/>
      <c r="M99" s="2390"/>
      <c r="N99" s="2390"/>
      <c r="O99" s="2390"/>
      <c r="P99" s="2390"/>
      <c r="Q99" s="2390"/>
      <c r="R99" s="2390"/>
      <c r="S99" s="2390"/>
    </row>
    <row r="100" spans="1:19">
      <c r="A100" s="2391"/>
      <c r="B100" s="2392" t="s">
        <v>585</v>
      </c>
      <c r="C100" s="2393"/>
      <c r="D100" s="2393"/>
      <c r="E100" s="2393"/>
      <c r="F100" s="2393"/>
      <c r="G100" s="2394"/>
      <c r="H100" s="2395"/>
      <c r="I100" s="2395"/>
      <c r="J100" s="2395"/>
      <c r="K100" s="2395"/>
      <c r="L100" s="2395"/>
      <c r="M100" s="2395"/>
      <c r="N100" s="2395"/>
      <c r="O100" s="2395"/>
      <c r="P100" s="2395"/>
      <c r="Q100" s="2395"/>
      <c r="R100" s="2395"/>
      <c r="S100" s="2395"/>
    </row>
    <row r="102" spans="1:19">
      <c r="A102" s="92" t="s">
        <v>586</v>
      </c>
      <c r="B102" s="94"/>
    </row>
    <row r="103" spans="1:19">
      <c r="A103" s="93" t="s">
        <v>487</v>
      </c>
      <c r="B103" s="2396"/>
    </row>
    <row r="104" spans="1:19">
      <c r="A104" s="2397" t="s">
        <v>491</v>
      </c>
      <c r="B104" s="2396"/>
    </row>
    <row r="105" spans="1:19">
      <c r="A105" s="2398" t="s">
        <v>494</v>
      </c>
      <c r="B105" s="2399"/>
    </row>
    <row r="106" spans="1:19">
      <c r="A106" s="2398" t="s">
        <v>497</v>
      </c>
      <c r="B106" s="2400"/>
    </row>
    <row r="107" spans="1:19">
      <c r="A107" s="2401" t="s">
        <v>587</v>
      </c>
      <c r="B107" s="2402"/>
    </row>
    <row r="109" spans="1:19">
      <c r="A109" s="95"/>
      <c r="B109" s="1" t="s">
        <v>588</v>
      </c>
    </row>
    <row r="110" spans="1:19">
      <c r="A110" s="96"/>
      <c r="B110"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5:B75"/>
    <mergeCell ref="A79:B79"/>
    <mergeCell ref="A83:B83"/>
    <mergeCell ref="A87:B87"/>
    <mergeCell ref="A91:B91"/>
  </mergeCells>
  <conditionalFormatting sqref="H20:H29">
    <cfRule type="cellIs" dxfId="363" priority="23" operator="equal">
      <formula>"X"</formula>
    </cfRule>
    <cfRule type="cellIs" dxfId="362" priority="24" operator="equal">
      <formula>"I"</formula>
    </cfRule>
  </conditionalFormatting>
  <conditionalFormatting sqref="H31:H66">
    <cfRule type="cellIs" dxfId="361" priority="1" operator="equal">
      <formula>"X"</formula>
    </cfRule>
    <cfRule type="cellIs" dxfId="360" priority="2" operator="equal">
      <formula>"I"</formula>
    </cfRule>
  </conditionalFormatting>
  <conditionalFormatting sqref="J20:J29">
    <cfRule type="cellIs" dxfId="359" priority="21" operator="equal">
      <formula>"X"</formula>
    </cfRule>
    <cfRule type="cellIs" dxfId="358" priority="22" operator="equal">
      <formula>"I"</formula>
    </cfRule>
  </conditionalFormatting>
  <conditionalFormatting sqref="J31:J66">
    <cfRule type="cellIs" dxfId="357" priority="3" operator="equal">
      <formula>"X"</formula>
    </cfRule>
    <cfRule type="cellIs" dxfId="356" priority="4" operator="equal">
      <formula>"I"</formula>
    </cfRule>
  </conditionalFormatting>
  <conditionalFormatting sqref="L20:L29">
    <cfRule type="cellIs" dxfId="355" priority="19" operator="equal">
      <formula>"X"</formula>
    </cfRule>
    <cfRule type="cellIs" dxfId="354" priority="20" operator="equal">
      <formula>"I"</formula>
    </cfRule>
  </conditionalFormatting>
  <conditionalFormatting sqref="L31:L66">
    <cfRule type="cellIs" dxfId="353" priority="5" operator="equal">
      <formula>"X"</formula>
    </cfRule>
    <cfRule type="cellIs" dxfId="352" priority="6" operator="equal">
      <formula>"I"</formula>
    </cfRule>
  </conditionalFormatting>
  <conditionalFormatting sqref="N20:N29">
    <cfRule type="cellIs" dxfId="351" priority="17" operator="equal">
      <formula>"X"</formula>
    </cfRule>
    <cfRule type="cellIs" dxfId="350" priority="18" operator="equal">
      <formula>"I"</formula>
    </cfRule>
  </conditionalFormatting>
  <conditionalFormatting sqref="N31:N66">
    <cfRule type="cellIs" dxfId="349" priority="7" operator="equal">
      <formula>"X"</formula>
    </cfRule>
    <cfRule type="cellIs" dxfId="348" priority="8" operator="equal">
      <formula>"I"</formula>
    </cfRule>
  </conditionalFormatting>
  <conditionalFormatting sqref="P20:P29">
    <cfRule type="cellIs" dxfId="347" priority="15" operator="equal">
      <formula>"X"</formula>
    </cfRule>
    <cfRule type="cellIs" dxfId="346" priority="16" operator="equal">
      <formula>"I"</formula>
    </cfRule>
  </conditionalFormatting>
  <conditionalFormatting sqref="P31:P66">
    <cfRule type="cellIs" dxfId="345" priority="9" operator="equal">
      <formula>"X"</formula>
    </cfRule>
    <cfRule type="cellIs" dxfId="344" priority="10" operator="equal">
      <formula>"I"</formula>
    </cfRule>
  </conditionalFormatting>
  <conditionalFormatting sqref="R20:R29">
    <cfRule type="cellIs" dxfId="343" priority="13" operator="equal">
      <formula>"X"</formula>
    </cfRule>
    <cfRule type="cellIs" dxfId="342" priority="14" operator="equal">
      <formula>"I"</formula>
    </cfRule>
  </conditionalFormatting>
  <conditionalFormatting sqref="R31:R66">
    <cfRule type="cellIs" dxfId="341" priority="11" operator="equal">
      <formula>"X"</formula>
    </cfRule>
    <cfRule type="cellIs" dxfId="340" priority="12" operator="equal">
      <formula>"I"</formula>
    </cfRule>
  </conditionalFormatting>
  <hyperlinks>
    <hyperlink ref="B3" location="'Cost Summary'!A1" display="BACK TO SUMMARY SHEET" xr:uid="{4923DC2A-3177-4A3A-83AF-F21502089852}"/>
  </hyperlinks>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AE0F-669E-4D02-8711-9E8B17D82711}">
  <sheetPr>
    <tabColor rgb="FF92D050"/>
  </sheetPr>
  <dimension ref="A1:S99"/>
  <sheetViews>
    <sheetView workbookViewId="0">
      <pane xSplit="2" ySplit="9" topLeftCell="C35" activePane="bottomRight" state="frozen"/>
      <selection pane="bottomRight" activeCell="B9" sqref="B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20.25">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79"/>
      <c r="K4" s="779"/>
      <c r="L4" s="779"/>
      <c r="M4" s="779"/>
      <c r="N4" s="779"/>
      <c r="O4" s="779"/>
      <c r="P4" s="779"/>
      <c r="Q4" s="779"/>
      <c r="R4" s="760"/>
      <c r="S4" s="729"/>
    </row>
    <row r="5" spans="1:19">
      <c r="A5" s="2403" t="s">
        <v>489</v>
      </c>
      <c r="B5" s="2404" t="s">
        <v>1220</v>
      </c>
      <c r="C5" s="2405"/>
      <c r="D5" s="2405"/>
      <c r="E5" s="2405"/>
      <c r="F5" s="2405"/>
      <c r="G5" s="2406" t="s">
        <v>491</v>
      </c>
      <c r="H5" s="2407"/>
      <c r="I5" s="2408"/>
      <c r="J5" s="2518"/>
      <c r="K5" s="2518"/>
      <c r="L5" s="2518"/>
      <c r="M5" s="2518"/>
      <c r="N5" s="2518"/>
      <c r="O5" s="2518"/>
      <c r="P5" s="2518"/>
      <c r="Q5" s="2518"/>
      <c r="R5" s="2409"/>
      <c r="S5" s="2408"/>
    </row>
    <row r="6" spans="1:19">
      <c r="A6" s="2403" t="s">
        <v>493</v>
      </c>
      <c r="B6" s="2410" t="s">
        <v>1221</v>
      </c>
      <c r="C6" s="2405"/>
      <c r="D6" s="2405"/>
      <c r="E6" s="2405"/>
      <c r="F6" s="2405"/>
      <c r="G6" s="2406" t="s">
        <v>494</v>
      </c>
      <c r="H6" s="2411"/>
      <c r="I6" s="2412"/>
      <c r="J6" s="2519"/>
      <c r="K6" s="2519"/>
      <c r="L6" s="2519"/>
      <c r="M6" s="2519"/>
      <c r="N6" s="2519"/>
      <c r="O6" s="2519"/>
      <c r="P6" s="2519"/>
      <c r="Q6" s="2519"/>
      <c r="R6" s="2413"/>
      <c r="S6" s="2412"/>
    </row>
    <row r="7" spans="1:19">
      <c r="A7" s="2403" t="s">
        <v>496</v>
      </c>
      <c r="B7" s="2414"/>
      <c r="C7" s="2405"/>
      <c r="D7" s="2405"/>
      <c r="E7" s="2405"/>
      <c r="F7" s="2405"/>
      <c r="G7" s="2406" t="s">
        <v>497</v>
      </c>
      <c r="H7" s="2415"/>
      <c r="I7" s="2416"/>
      <c r="J7" s="2520"/>
      <c r="K7" s="2520"/>
      <c r="L7" s="2520"/>
      <c r="M7" s="2520"/>
      <c r="N7" s="2520"/>
      <c r="O7" s="2520"/>
      <c r="P7" s="2520"/>
      <c r="Q7" s="2520"/>
      <c r="R7" s="2417"/>
      <c r="S7" s="2416"/>
    </row>
    <row r="8" spans="1:19">
      <c r="A8" s="414" t="s">
        <v>499</v>
      </c>
      <c r="B8" s="295"/>
      <c r="C8" s="184"/>
      <c r="D8" s="184"/>
      <c r="E8" s="184"/>
      <c r="F8" s="184"/>
      <c r="G8" s="419" t="s">
        <v>499</v>
      </c>
      <c r="H8" s="2418">
        <f>I60</f>
        <v>0</v>
      </c>
      <c r="I8" s="2419"/>
      <c r="J8" s="2418">
        <f>K60</f>
        <v>0</v>
      </c>
      <c r="K8" s="2419"/>
      <c r="L8" s="2418">
        <f>M60</f>
        <v>0</v>
      </c>
      <c r="M8" s="2419"/>
      <c r="N8" s="2418">
        <f>O60</f>
        <v>0</v>
      </c>
      <c r="O8" s="2419"/>
      <c r="P8" s="2418">
        <f>Q60</f>
        <v>0</v>
      </c>
      <c r="Q8" s="2419"/>
      <c r="R8" s="2418">
        <f>S60</f>
        <v>0</v>
      </c>
      <c r="S8" s="2419"/>
    </row>
    <row r="9" spans="1:19" ht="30">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idden="1">
      <c r="A10" s="2421"/>
      <c r="B10" s="291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c r="A20" s="2421"/>
      <c r="B20" s="2404"/>
      <c r="C20" s="2426"/>
      <c r="D20" s="2405"/>
      <c r="E20" s="2405"/>
      <c r="F20" s="2405"/>
      <c r="G20" s="2423"/>
      <c r="H20" s="2427"/>
      <c r="I20" s="2424"/>
      <c r="J20" s="2427"/>
      <c r="K20" s="2424"/>
      <c r="L20" s="2427"/>
      <c r="M20" s="2424"/>
      <c r="N20" s="2427"/>
      <c r="O20" s="2424"/>
      <c r="P20" s="2427"/>
      <c r="Q20" s="2424"/>
      <c r="R20" s="2427"/>
      <c r="S20" s="2424"/>
    </row>
    <row r="21" spans="1:19">
      <c r="A21" s="59"/>
      <c r="B21" s="2428" t="s">
        <v>1220</v>
      </c>
      <c r="C21" s="56"/>
      <c r="D21" s="57"/>
      <c r="E21" s="57"/>
      <c r="F21" s="57"/>
      <c r="G21" s="63"/>
      <c r="H21" s="2427"/>
      <c r="I21" s="2912"/>
      <c r="J21" s="2427"/>
      <c r="K21" s="2913"/>
      <c r="L21" s="2427"/>
      <c r="M21" s="2913"/>
      <c r="N21" s="2427"/>
      <c r="O21" s="2913"/>
      <c r="P21" s="2427"/>
      <c r="Q21" s="2913"/>
      <c r="R21" s="2427"/>
      <c r="S21" s="2913"/>
    </row>
    <row r="22" spans="1:19">
      <c r="A22" s="2914"/>
      <c r="B22" s="2318" t="s">
        <v>512</v>
      </c>
      <c r="C22" s="2426"/>
      <c r="D22" s="2405"/>
      <c r="E22" s="2405"/>
      <c r="F22" s="2405"/>
      <c r="G22" s="2423"/>
      <c r="H22" s="2427"/>
      <c r="I22" s="2912"/>
      <c r="J22" s="2427"/>
      <c r="K22" s="2913"/>
      <c r="L22" s="2427"/>
      <c r="M22" s="2913"/>
      <c r="N22" s="2427"/>
      <c r="O22" s="2913"/>
      <c r="P22" s="2427"/>
      <c r="Q22" s="2913"/>
      <c r="R22" s="2427"/>
      <c r="S22" s="2913"/>
    </row>
    <row r="23" spans="1:19">
      <c r="A23" s="2914"/>
      <c r="B23" s="2915" t="s">
        <v>513</v>
      </c>
      <c r="C23" s="2426"/>
      <c r="D23" s="2405"/>
      <c r="E23" s="2405"/>
      <c r="F23" s="2405"/>
      <c r="G23" s="2423"/>
      <c r="H23" s="2427"/>
      <c r="I23" s="2912"/>
      <c r="J23" s="2427"/>
      <c r="K23" s="2913"/>
      <c r="L23" s="2427"/>
      <c r="M23" s="2913"/>
      <c r="N23" s="2427"/>
      <c r="O23" s="2913"/>
      <c r="P23" s="2427"/>
      <c r="Q23" s="2913"/>
      <c r="R23" s="2427"/>
      <c r="S23" s="2913"/>
    </row>
    <row r="24" spans="1:19">
      <c r="A24" s="2914"/>
      <c r="B24" s="2915" t="s">
        <v>514</v>
      </c>
      <c r="C24" s="2430"/>
      <c r="D24" s="2405"/>
      <c r="E24" s="2405"/>
      <c r="F24" s="2405"/>
      <c r="G24" s="2423"/>
      <c r="H24" s="2427"/>
      <c r="I24" s="2912"/>
      <c r="J24" s="2427"/>
      <c r="K24" s="2913"/>
      <c r="L24" s="2427"/>
      <c r="M24" s="2913"/>
      <c r="N24" s="2427"/>
      <c r="O24" s="2913"/>
      <c r="P24" s="2427"/>
      <c r="Q24" s="2913"/>
      <c r="R24" s="2427"/>
      <c r="S24" s="2913"/>
    </row>
    <row r="25" spans="1:19">
      <c r="A25" s="2914"/>
      <c r="B25" s="2916" t="s">
        <v>515</v>
      </c>
      <c r="C25" s="2430"/>
      <c r="D25" s="2405"/>
      <c r="E25" s="2405"/>
      <c r="F25" s="2405"/>
      <c r="G25" s="2423"/>
      <c r="H25" s="2427"/>
      <c r="I25" s="2912"/>
      <c r="J25" s="2427"/>
      <c r="K25" s="2913"/>
      <c r="L25" s="2427"/>
      <c r="M25" s="2913"/>
      <c r="N25" s="2427"/>
      <c r="O25" s="2913"/>
      <c r="P25" s="2427"/>
      <c r="Q25" s="2913"/>
      <c r="R25" s="2427"/>
      <c r="S25" s="2913"/>
    </row>
    <row r="26" spans="1:19" s="91" customFormat="1">
      <c r="A26" s="2899"/>
      <c r="B26" s="2916" t="s">
        <v>516</v>
      </c>
      <c r="C26" s="2432"/>
      <c r="D26" s="2433"/>
      <c r="E26" s="2433"/>
      <c r="F26" s="2433"/>
      <c r="G26" s="2432"/>
      <c r="H26" s="2427"/>
      <c r="I26" s="2912"/>
      <c r="J26" s="2427"/>
      <c r="K26" s="2900"/>
      <c r="L26" s="2427"/>
      <c r="M26" s="2900"/>
      <c r="N26" s="2427"/>
      <c r="O26" s="2900"/>
      <c r="P26" s="2427"/>
      <c r="Q26" s="2900"/>
      <c r="R26" s="2427"/>
      <c r="S26" s="2900"/>
    </row>
    <row r="27" spans="1:19" s="91" customFormat="1">
      <c r="A27" s="2899"/>
      <c r="B27" s="2916" t="s">
        <v>517</v>
      </c>
      <c r="C27" s="2432"/>
      <c r="D27" s="2433"/>
      <c r="E27" s="2433"/>
      <c r="F27" s="2433"/>
      <c r="G27" s="2432"/>
      <c r="H27" s="2427"/>
      <c r="I27" s="2912"/>
      <c r="J27" s="2427"/>
      <c r="K27" s="2900"/>
      <c r="L27" s="2427"/>
      <c r="M27" s="2900"/>
      <c r="N27" s="2427"/>
      <c r="O27" s="2900"/>
      <c r="P27" s="2427"/>
      <c r="Q27" s="2900"/>
      <c r="R27" s="2427"/>
      <c r="S27" s="2900"/>
    </row>
    <row r="28" spans="1:19" s="91" customFormat="1">
      <c r="A28" s="2899"/>
      <c r="B28" s="2916" t="s">
        <v>518</v>
      </c>
      <c r="C28" s="2432"/>
      <c r="D28" s="2433"/>
      <c r="E28" s="2433"/>
      <c r="F28" s="2433"/>
      <c r="G28" s="2432"/>
      <c r="H28" s="2427"/>
      <c r="I28" s="2912"/>
      <c r="J28" s="2427"/>
      <c r="K28" s="2900"/>
      <c r="L28" s="2427"/>
      <c r="M28" s="2900"/>
      <c r="N28" s="2427"/>
      <c r="O28" s="2900"/>
      <c r="P28" s="2427"/>
      <c r="Q28" s="2900"/>
      <c r="R28" s="2427"/>
      <c r="S28" s="2900"/>
    </row>
    <row r="29" spans="1:19" s="91" customFormat="1">
      <c r="A29" s="2899"/>
      <c r="B29" s="2916" t="s">
        <v>693</v>
      </c>
      <c r="C29" s="2432"/>
      <c r="D29" s="2433"/>
      <c r="E29" s="2433"/>
      <c r="F29" s="2433"/>
      <c r="G29" s="2432"/>
      <c r="H29" s="2427"/>
      <c r="I29" s="2912"/>
      <c r="J29" s="2427"/>
      <c r="K29" s="2900"/>
      <c r="L29" s="2427"/>
      <c r="M29" s="2900"/>
      <c r="N29" s="2427"/>
      <c r="O29" s="2900"/>
      <c r="P29" s="2427"/>
      <c r="Q29" s="2900"/>
      <c r="R29" s="2427"/>
      <c r="S29" s="2900"/>
    </row>
    <row r="30" spans="1:19" s="91" customFormat="1">
      <c r="A30" s="2899"/>
      <c r="B30" s="2901" t="s">
        <v>519</v>
      </c>
      <c r="C30" s="2432"/>
      <c r="D30" s="2433"/>
      <c r="E30" s="2433"/>
      <c r="F30" s="2433"/>
      <c r="G30" s="2432"/>
      <c r="H30" s="2427"/>
      <c r="I30" s="2912"/>
      <c r="J30" s="2427"/>
      <c r="K30" s="2900"/>
      <c r="L30" s="2427"/>
      <c r="M30" s="2900"/>
      <c r="N30" s="2427"/>
      <c r="O30" s="2900"/>
      <c r="P30" s="2427"/>
      <c r="Q30" s="2900"/>
      <c r="R30" s="2427"/>
      <c r="S30" s="2900"/>
    </row>
    <row r="31" spans="1:19" s="91" customFormat="1">
      <c r="A31" s="2899"/>
      <c r="B31" s="2902" t="s">
        <v>520</v>
      </c>
      <c r="C31" s="2435"/>
      <c r="D31" s="2436"/>
      <c r="E31" s="2436"/>
      <c r="F31" s="2436"/>
      <c r="G31" s="2435"/>
      <c r="H31" s="2439"/>
      <c r="I31" s="2903"/>
      <c r="J31" s="2443"/>
      <c r="K31" s="2904"/>
      <c r="L31" s="2443"/>
      <c r="M31" s="2904"/>
      <c r="N31" s="2904"/>
      <c r="O31" s="2904"/>
      <c r="P31" s="2904"/>
      <c r="Q31" s="2904"/>
      <c r="R31" s="2904"/>
      <c r="S31" s="2904"/>
    </row>
    <row r="32" spans="1:19" s="91" customFormat="1">
      <c r="A32" s="2899"/>
      <c r="B32" s="151"/>
      <c r="C32" s="2432"/>
      <c r="D32" s="2433"/>
      <c r="E32" s="2433"/>
      <c r="F32" s="2433"/>
      <c r="G32" s="2432"/>
      <c r="H32" s="2427"/>
      <c r="I32" s="2912"/>
      <c r="J32" s="2427"/>
      <c r="K32" s="2900"/>
      <c r="L32" s="2427"/>
      <c r="M32" s="2900"/>
      <c r="N32" s="2427"/>
      <c r="O32" s="2900"/>
      <c r="P32" s="2427"/>
      <c r="Q32" s="2900"/>
      <c r="R32" s="2427"/>
      <c r="S32" s="2900"/>
    </row>
    <row r="33" spans="1:19" s="91" customFormat="1">
      <c r="A33" s="2893"/>
      <c r="B33" s="2894" t="s">
        <v>1203</v>
      </c>
      <c r="C33" s="2445"/>
      <c r="D33" s="2433"/>
      <c r="E33" s="2433"/>
      <c r="F33" s="2433"/>
      <c r="G33" s="2432"/>
      <c r="H33" s="2427"/>
      <c r="I33" s="2912"/>
      <c r="J33" s="2427"/>
      <c r="K33" s="2900"/>
      <c r="L33" s="2427"/>
      <c r="M33" s="2900"/>
      <c r="N33" s="2427"/>
      <c r="O33" s="2900"/>
      <c r="P33" s="2427"/>
      <c r="Q33" s="2900"/>
      <c r="R33" s="2427"/>
      <c r="S33" s="2900"/>
    </row>
    <row r="34" spans="1:19" s="91" customFormat="1">
      <c r="A34" s="2893"/>
      <c r="B34" s="2894" t="s">
        <v>1204</v>
      </c>
      <c r="C34" s="2445"/>
      <c r="D34" s="2433"/>
      <c r="E34" s="2433"/>
      <c r="F34" s="2433"/>
      <c r="G34" s="2432"/>
      <c r="H34" s="2427" t="s">
        <v>710</v>
      </c>
      <c r="I34" s="2912"/>
      <c r="J34" s="2427"/>
      <c r="K34" s="2900"/>
      <c r="L34" s="2427"/>
      <c r="M34" s="2900"/>
      <c r="N34" s="2427"/>
      <c r="O34" s="2900"/>
      <c r="P34" s="2427"/>
      <c r="Q34" s="2900"/>
      <c r="R34" s="2427"/>
      <c r="S34" s="2900"/>
    </row>
    <row r="35" spans="1:19" s="91" customFormat="1">
      <c r="A35" s="2893"/>
      <c r="B35" s="2894" t="s">
        <v>1205</v>
      </c>
      <c r="C35" s="2445"/>
      <c r="D35" s="2433"/>
      <c r="E35" s="2433"/>
      <c r="F35" s="2433"/>
      <c r="G35" s="2432"/>
      <c r="H35" s="2427"/>
      <c r="I35" s="2912"/>
      <c r="J35" s="2427"/>
      <c r="K35" s="2900"/>
      <c r="L35" s="2427"/>
      <c r="M35" s="2900"/>
      <c r="N35" s="2427"/>
      <c r="O35" s="2900"/>
      <c r="P35" s="2427"/>
      <c r="Q35" s="2900"/>
      <c r="R35" s="2427"/>
      <c r="S35" s="2900"/>
    </row>
    <row r="36" spans="1:19" s="91" customFormat="1">
      <c r="A36" s="2893"/>
      <c r="B36" s="2894" t="s">
        <v>1206</v>
      </c>
      <c r="C36" s="2445"/>
      <c r="D36" s="2433"/>
      <c r="E36" s="2433"/>
      <c r="F36" s="2433"/>
      <c r="G36" s="2432"/>
      <c r="H36" s="2427"/>
      <c r="I36" s="2912"/>
      <c r="J36" s="2427"/>
      <c r="K36" s="2900"/>
      <c r="L36" s="2427"/>
      <c r="M36" s="2900"/>
      <c r="N36" s="2427"/>
      <c r="O36" s="2900"/>
      <c r="P36" s="2427"/>
      <c r="Q36" s="2900"/>
      <c r="R36" s="2427"/>
      <c r="S36" s="2900"/>
    </row>
    <row r="37" spans="1:19" s="91" customFormat="1">
      <c r="A37" s="2893"/>
      <c r="B37" s="2894" t="s">
        <v>1207</v>
      </c>
      <c r="C37" s="2445"/>
      <c r="D37" s="2433"/>
      <c r="E37" s="2433"/>
      <c r="F37" s="2433"/>
      <c r="G37" s="2432"/>
      <c r="H37" s="2427"/>
      <c r="I37" s="2912"/>
      <c r="J37" s="2427"/>
      <c r="K37" s="2900"/>
      <c r="L37" s="2427"/>
      <c r="M37" s="2900"/>
      <c r="N37" s="2427"/>
      <c r="O37" s="2900"/>
      <c r="P37" s="2427"/>
      <c r="Q37" s="2900"/>
      <c r="R37" s="2427"/>
      <c r="S37" s="2900"/>
    </row>
    <row r="38" spans="1:19" s="91" customFormat="1">
      <c r="A38" s="2893"/>
      <c r="B38" s="2894" t="s">
        <v>1208</v>
      </c>
      <c r="C38" s="2445"/>
      <c r="D38" s="2433"/>
      <c r="E38" s="2546"/>
      <c r="F38" s="2547"/>
      <c r="G38" s="2432"/>
      <c r="H38" s="2427"/>
      <c r="I38" s="2912"/>
      <c r="J38" s="2427"/>
      <c r="K38" s="2900"/>
      <c r="L38" s="2427"/>
      <c r="M38" s="2900"/>
      <c r="N38" s="2427"/>
      <c r="O38" s="2900"/>
      <c r="P38" s="2427"/>
      <c r="Q38" s="2900"/>
      <c r="R38" s="2427"/>
      <c r="S38" s="2900"/>
    </row>
    <row r="39" spans="1:19" s="91" customFormat="1">
      <c r="A39" s="2893"/>
      <c r="B39" s="2894" t="s">
        <v>1209</v>
      </c>
      <c r="C39" s="2445"/>
      <c r="D39" s="2433"/>
      <c r="E39" s="2546"/>
      <c r="F39" s="2547"/>
      <c r="G39" s="2432"/>
      <c r="H39" s="2427"/>
      <c r="I39" s="2912"/>
      <c r="J39" s="2427"/>
      <c r="K39" s="2900"/>
      <c r="L39" s="2427"/>
      <c r="M39" s="2900"/>
      <c r="N39" s="2427"/>
      <c r="O39" s="2900"/>
      <c r="P39" s="2427"/>
      <c r="Q39" s="2900"/>
      <c r="R39" s="2427"/>
      <c r="S39" s="2900"/>
    </row>
    <row r="40" spans="1:19" s="91" customFormat="1">
      <c r="A40" s="2893"/>
      <c r="B40" s="2894" t="s">
        <v>1210</v>
      </c>
      <c r="C40" s="2445"/>
      <c r="D40" s="2433"/>
      <c r="E40" s="2546"/>
      <c r="F40" s="2547"/>
      <c r="G40" s="2432"/>
      <c r="H40" s="2427"/>
      <c r="I40" s="2912"/>
      <c r="J40" s="2427"/>
      <c r="K40" s="2900"/>
      <c r="L40" s="2427"/>
      <c r="M40" s="2900"/>
      <c r="N40" s="2427"/>
      <c r="O40" s="2900"/>
      <c r="P40" s="2427"/>
      <c r="Q40" s="2900"/>
      <c r="R40" s="2427"/>
      <c r="S40" s="2900"/>
    </row>
    <row r="41" spans="1:19" s="91" customFormat="1">
      <c r="A41" s="2893"/>
      <c r="B41" s="2894" t="s">
        <v>1222</v>
      </c>
      <c r="C41" s="2445"/>
      <c r="D41" s="2433"/>
      <c r="E41" s="2546"/>
      <c r="F41" s="2547"/>
      <c r="G41" s="2432"/>
      <c r="H41" s="2427"/>
      <c r="I41" s="2912"/>
      <c r="J41" s="2427"/>
      <c r="K41" s="2900"/>
      <c r="L41" s="2427"/>
      <c r="M41" s="2900"/>
      <c r="N41" s="2427"/>
      <c r="O41" s="2900"/>
      <c r="P41" s="2427"/>
      <c r="Q41" s="2900"/>
      <c r="R41" s="2427"/>
      <c r="S41" s="2900"/>
    </row>
    <row r="42" spans="1:19" s="91" customFormat="1">
      <c r="A42" s="2893"/>
      <c r="B42" s="2894" t="s">
        <v>1223</v>
      </c>
      <c r="C42" s="2445"/>
      <c r="D42" s="2433"/>
      <c r="E42" s="2546"/>
      <c r="F42" s="2547"/>
      <c r="G42" s="2432"/>
      <c r="H42" s="2427"/>
      <c r="I42" s="2912"/>
      <c r="J42" s="2427"/>
      <c r="K42" s="2900"/>
      <c r="L42" s="2427"/>
      <c r="M42" s="2900"/>
      <c r="N42" s="2427"/>
      <c r="O42" s="2900"/>
      <c r="P42" s="2427"/>
      <c r="Q42" s="2900"/>
      <c r="R42" s="2427"/>
      <c r="S42" s="2900"/>
    </row>
    <row r="43" spans="1:19" s="91" customFormat="1">
      <c r="A43" s="2893"/>
      <c r="B43" s="2894" t="s">
        <v>1213</v>
      </c>
      <c r="C43" s="2445"/>
      <c r="D43" s="2433"/>
      <c r="E43" s="2546"/>
      <c r="F43" s="2547"/>
      <c r="G43" s="2432"/>
      <c r="H43" s="2427"/>
      <c r="I43" s="2912"/>
      <c r="J43" s="2427"/>
      <c r="K43" s="2900"/>
      <c r="L43" s="2427"/>
      <c r="M43" s="2900"/>
      <c r="N43" s="2427"/>
      <c r="O43" s="2900"/>
      <c r="P43" s="2427"/>
      <c r="Q43" s="2900"/>
      <c r="R43" s="2427"/>
      <c r="S43" s="2900"/>
    </row>
    <row r="44" spans="1:19" s="91" customFormat="1">
      <c r="A44" s="2893"/>
      <c r="B44" s="2894" t="s">
        <v>1214</v>
      </c>
      <c r="C44" s="2445"/>
      <c r="D44" s="2433"/>
      <c r="E44" s="2546"/>
      <c r="F44" s="2547"/>
      <c r="G44" s="2432"/>
      <c r="H44" s="2427"/>
      <c r="I44" s="2912"/>
      <c r="J44" s="2427"/>
      <c r="K44" s="2900"/>
      <c r="L44" s="2427"/>
      <c r="M44" s="2900"/>
      <c r="N44" s="2427"/>
      <c r="O44" s="2900"/>
      <c r="P44" s="2427"/>
      <c r="Q44" s="2900"/>
      <c r="R44" s="2427"/>
      <c r="S44" s="2900"/>
    </row>
    <row r="45" spans="1:19" s="91" customFormat="1">
      <c r="A45" s="2893"/>
      <c r="B45" s="2894" t="s">
        <v>1215</v>
      </c>
      <c r="C45" s="2445"/>
      <c r="D45" s="2433"/>
      <c r="E45" s="2546"/>
      <c r="F45" s="2547"/>
      <c r="G45" s="2432"/>
      <c r="H45" s="2427"/>
      <c r="I45" s="2912"/>
      <c r="J45" s="2427"/>
      <c r="K45" s="2900"/>
      <c r="L45" s="2427"/>
      <c r="M45" s="2900"/>
      <c r="N45" s="2427"/>
      <c r="O45" s="2900"/>
      <c r="P45" s="2427"/>
      <c r="Q45" s="2900"/>
      <c r="R45" s="2427"/>
      <c r="S45" s="2900"/>
    </row>
    <row r="46" spans="1:19" s="91" customFormat="1">
      <c r="A46" s="2893"/>
      <c r="B46" s="2894" t="s">
        <v>1216</v>
      </c>
      <c r="C46" s="2445"/>
      <c r="D46" s="2433"/>
      <c r="E46" s="2546"/>
      <c r="F46" s="2547"/>
      <c r="G46" s="2432"/>
      <c r="H46" s="2427"/>
      <c r="I46" s="2912"/>
      <c r="J46" s="2427"/>
      <c r="K46" s="2900"/>
      <c r="L46" s="2427"/>
      <c r="M46" s="2900"/>
      <c r="N46" s="2427"/>
      <c r="O46" s="2900"/>
      <c r="P46" s="2427"/>
      <c r="Q46" s="2900"/>
      <c r="R46" s="2427"/>
      <c r="S46" s="2900"/>
    </row>
    <row r="47" spans="1:19" s="91" customFormat="1">
      <c r="A47" s="2893"/>
      <c r="B47" s="2894" t="s">
        <v>1217</v>
      </c>
      <c r="C47" s="2445"/>
      <c r="D47" s="2433"/>
      <c r="E47" s="2546"/>
      <c r="F47" s="2547"/>
      <c r="G47" s="2432"/>
      <c r="H47" s="2427"/>
      <c r="I47" s="2912"/>
      <c r="J47" s="2427"/>
      <c r="K47" s="2900"/>
      <c r="L47" s="2427"/>
      <c r="M47" s="2900"/>
      <c r="N47" s="2427"/>
      <c r="O47" s="2900"/>
      <c r="P47" s="2427"/>
      <c r="Q47" s="2900"/>
      <c r="R47" s="2427"/>
      <c r="S47" s="2900"/>
    </row>
    <row r="48" spans="1:19" s="91" customFormat="1">
      <c r="A48" s="2893"/>
      <c r="B48" s="2894"/>
      <c r="C48" s="2445"/>
      <c r="D48" s="2433"/>
      <c r="E48" s="2546"/>
      <c r="F48" s="2547"/>
      <c r="G48" s="2432"/>
      <c r="H48" s="2427"/>
      <c r="I48" s="2912"/>
      <c r="J48" s="2427"/>
      <c r="K48" s="2900"/>
      <c r="L48" s="2427"/>
      <c r="M48" s="2900"/>
      <c r="N48" s="2427"/>
      <c r="O48" s="2900"/>
      <c r="P48" s="2427"/>
      <c r="Q48" s="2900"/>
      <c r="R48" s="2427"/>
      <c r="S48" s="2900"/>
    </row>
    <row r="49" spans="1:19" s="91" customFormat="1">
      <c r="A49" s="2893"/>
      <c r="B49" s="2894" t="s">
        <v>1224</v>
      </c>
      <c r="C49" s="2445"/>
      <c r="D49" s="2433"/>
      <c r="E49" s="2546"/>
      <c r="F49" s="2547"/>
      <c r="G49" s="2432"/>
      <c r="H49" s="2427"/>
      <c r="I49" s="2912"/>
      <c r="J49" s="2427"/>
      <c r="K49" s="2900"/>
      <c r="L49" s="2427"/>
      <c r="M49" s="2900"/>
      <c r="N49" s="2427"/>
      <c r="O49" s="2900"/>
      <c r="P49" s="2427"/>
      <c r="Q49" s="2900"/>
      <c r="R49" s="2427"/>
      <c r="S49" s="2900"/>
    </row>
    <row r="50" spans="1:19" s="91" customFormat="1">
      <c r="A50" s="2893"/>
      <c r="B50" s="2894"/>
      <c r="C50" s="2445"/>
      <c r="D50" s="2433"/>
      <c r="E50" s="2546"/>
      <c r="F50" s="2547"/>
      <c r="G50" s="2432"/>
      <c r="H50" s="2427"/>
      <c r="I50" s="2912"/>
      <c r="J50" s="2427"/>
      <c r="K50" s="2900"/>
      <c r="L50" s="2427"/>
      <c r="M50" s="2900"/>
      <c r="N50" s="2427"/>
      <c r="O50" s="2900"/>
      <c r="P50" s="2427"/>
      <c r="Q50" s="2900"/>
      <c r="R50" s="2427"/>
      <c r="S50" s="2900"/>
    </row>
    <row r="51" spans="1:19" s="91" customFormat="1">
      <c r="A51" s="2893"/>
      <c r="B51" s="2894" t="s">
        <v>1218</v>
      </c>
      <c r="C51" s="2445"/>
      <c r="D51" s="2433"/>
      <c r="E51" s="2546"/>
      <c r="F51" s="2547"/>
      <c r="G51" s="2432"/>
      <c r="H51" s="2427"/>
      <c r="I51" s="2912"/>
      <c r="J51" s="2427"/>
      <c r="K51" s="2900"/>
      <c r="L51" s="2427"/>
      <c r="M51" s="2900"/>
      <c r="N51" s="2427"/>
      <c r="O51" s="2900"/>
      <c r="P51" s="2427"/>
      <c r="Q51" s="2900"/>
      <c r="R51" s="2427"/>
      <c r="S51" s="2900"/>
    </row>
    <row r="52" spans="1:19" s="91" customFormat="1">
      <c r="A52" s="2893"/>
      <c r="B52" s="2545"/>
      <c r="C52" s="2445"/>
      <c r="D52" s="2433"/>
      <c r="E52" s="2546"/>
      <c r="F52" s="2547"/>
      <c r="G52" s="2432"/>
      <c r="H52" s="2427"/>
      <c r="I52" s="2912"/>
      <c r="J52" s="2427"/>
      <c r="K52" s="2900"/>
      <c r="L52" s="2427"/>
      <c r="M52" s="2900"/>
      <c r="N52" s="2427"/>
      <c r="O52" s="2900"/>
      <c r="P52" s="2427"/>
      <c r="Q52" s="2900"/>
      <c r="R52" s="2427"/>
      <c r="S52" s="2900"/>
    </row>
    <row r="53" spans="1:19" s="91" customFormat="1">
      <c r="A53" s="2893"/>
      <c r="B53" s="2545"/>
      <c r="C53" s="2445"/>
      <c r="D53" s="2433"/>
      <c r="E53" s="2546"/>
      <c r="F53" s="2547"/>
      <c r="G53" s="2432"/>
      <c r="H53" s="2427"/>
      <c r="I53" s="2912"/>
      <c r="J53" s="2427"/>
      <c r="K53" s="2900"/>
      <c r="L53" s="2427"/>
      <c r="M53" s="2900"/>
      <c r="N53" s="2427"/>
      <c r="O53" s="2900"/>
      <c r="P53" s="2427"/>
      <c r="Q53" s="2900"/>
      <c r="R53" s="2427"/>
      <c r="S53" s="2900"/>
    </row>
    <row r="54" spans="1:19" s="91" customFormat="1">
      <c r="A54" s="2893"/>
      <c r="B54" s="2545"/>
      <c r="C54" s="2445"/>
      <c r="D54" s="2433"/>
      <c r="E54" s="2546"/>
      <c r="F54" s="2547"/>
      <c r="G54" s="2432"/>
      <c r="H54" s="2427"/>
      <c r="I54" s="2912"/>
      <c r="J54" s="2427"/>
      <c r="K54" s="2900"/>
      <c r="L54" s="2427"/>
      <c r="M54" s="2900"/>
      <c r="N54" s="2427"/>
      <c r="O54" s="2900"/>
      <c r="P54" s="2427"/>
      <c r="Q54" s="2900"/>
      <c r="R54" s="2427"/>
      <c r="S54" s="2900"/>
    </row>
    <row r="55" spans="1:19">
      <c r="A55" s="2685"/>
      <c r="B55" s="2686"/>
      <c r="C55" s="2426"/>
      <c r="D55" s="2405"/>
      <c r="E55" s="2405"/>
      <c r="F55" s="2405"/>
      <c r="G55" s="2423"/>
      <c r="H55" s="2427"/>
      <c r="I55" s="2913"/>
      <c r="J55" s="2427"/>
      <c r="K55" s="2913"/>
      <c r="L55" s="2427"/>
      <c r="M55" s="2913"/>
      <c r="N55" s="2427"/>
      <c r="O55" s="2913"/>
      <c r="P55" s="2427"/>
      <c r="Q55" s="2913"/>
      <c r="R55" s="2427"/>
      <c r="S55" s="2913"/>
    </row>
    <row r="56" spans="1:19">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c r="A63" s="2358"/>
      <c r="B63" s="2359"/>
      <c r="C63" s="2360"/>
      <c r="D63" s="2360"/>
      <c r="E63" s="2361"/>
      <c r="F63" s="2362"/>
      <c r="G63" s="2375"/>
      <c r="H63" s="2376"/>
      <c r="I63" s="2377"/>
      <c r="J63" s="2376"/>
      <c r="K63" s="2377"/>
      <c r="L63" s="2376"/>
      <c r="M63" s="2377"/>
      <c r="N63" s="2376"/>
      <c r="O63" s="2377"/>
      <c r="P63" s="2376"/>
      <c r="Q63" s="2377"/>
      <c r="R63" s="2376"/>
      <c r="S63" s="2377"/>
    </row>
    <row r="64" spans="1:19">
      <c r="A64" s="726" t="s">
        <v>573</v>
      </c>
      <c r="B64" s="727"/>
      <c r="C64" s="12"/>
      <c r="D64" s="12"/>
      <c r="E64" s="12"/>
      <c r="F64" s="12"/>
      <c r="G64" s="13"/>
      <c r="H64" s="21"/>
      <c r="I64" s="21"/>
      <c r="J64" s="21"/>
      <c r="K64" s="21"/>
      <c r="L64" s="21"/>
      <c r="M64" s="21"/>
      <c r="N64" s="21"/>
      <c r="O64" s="21"/>
      <c r="P64" s="21"/>
      <c r="Q64" s="21"/>
      <c r="R64" s="21"/>
      <c r="S64" s="21"/>
    </row>
    <row r="65" spans="1:19">
      <c r="A65" s="2905"/>
      <c r="B65" s="2404"/>
      <c r="C65" s="2906"/>
      <c r="D65" s="2906"/>
      <c r="E65" s="2906"/>
      <c r="F65" s="2906"/>
      <c r="G65" s="2907"/>
      <c r="H65" s="2777"/>
      <c r="I65" s="2777"/>
      <c r="J65" s="2777"/>
      <c r="K65" s="2777"/>
      <c r="L65" s="2777"/>
      <c r="M65" s="2777"/>
      <c r="N65" s="2777"/>
      <c r="O65" s="2777"/>
      <c r="P65" s="2777"/>
      <c r="Q65" s="2777"/>
      <c r="R65" s="2777"/>
      <c r="S65" s="2777"/>
    </row>
    <row r="66" spans="1:19" s="2" customFormat="1">
      <c r="A66" s="2905"/>
      <c r="B66" s="2404"/>
      <c r="C66" s="2906"/>
      <c r="D66" s="2906"/>
      <c r="E66" s="2906"/>
      <c r="F66" s="2906"/>
      <c r="G66" s="2907"/>
      <c r="H66" s="2777"/>
      <c r="I66" s="2777"/>
      <c r="J66" s="2777"/>
      <c r="K66" s="2777"/>
      <c r="L66" s="2777"/>
      <c r="M66" s="2777"/>
      <c r="N66" s="2777"/>
      <c r="O66" s="2777"/>
      <c r="P66" s="2777"/>
      <c r="Q66" s="2777"/>
      <c r="R66" s="2777"/>
      <c r="S66" s="2777"/>
    </row>
    <row r="67" spans="1:19" s="2" customFormat="1">
      <c r="A67" s="2905"/>
      <c r="B67" s="2404"/>
      <c r="C67" s="2906"/>
      <c r="D67" s="2906"/>
      <c r="E67" s="2906"/>
      <c r="F67" s="2906"/>
      <c r="G67" s="2907"/>
      <c r="H67" s="2777"/>
      <c r="I67" s="2777"/>
      <c r="J67" s="2777"/>
      <c r="K67" s="2777"/>
      <c r="L67" s="2777"/>
      <c r="M67" s="2777"/>
      <c r="N67" s="2777"/>
      <c r="O67" s="2777"/>
      <c r="P67" s="2777"/>
      <c r="Q67" s="2777"/>
      <c r="R67" s="2777"/>
      <c r="S67" s="2777"/>
    </row>
    <row r="68" spans="1:19">
      <c r="A68" s="726" t="s">
        <v>574</v>
      </c>
      <c r="B68" s="727"/>
      <c r="C68" s="12"/>
      <c r="D68" s="12"/>
      <c r="E68" s="12"/>
      <c r="F68" s="12"/>
      <c r="G68" s="13"/>
      <c r="H68" s="21"/>
      <c r="I68" s="21"/>
      <c r="J68" s="21"/>
      <c r="K68" s="21"/>
      <c r="L68" s="21"/>
      <c r="M68" s="21"/>
      <c r="N68" s="21"/>
      <c r="O68" s="21"/>
      <c r="P68" s="21"/>
      <c r="Q68" s="21"/>
      <c r="R68" s="21"/>
      <c r="S68" s="21"/>
    </row>
    <row r="69" spans="1:19" s="2" customFormat="1">
      <c r="A69" s="2905"/>
      <c r="B69" s="2404"/>
      <c r="C69" s="2906"/>
      <c r="D69" s="2906"/>
      <c r="E69" s="2906"/>
      <c r="F69" s="2906"/>
      <c r="G69" s="2907"/>
      <c r="H69" s="2777"/>
      <c r="I69" s="2777"/>
      <c r="J69" s="2777"/>
      <c r="K69" s="2777"/>
      <c r="L69" s="2777"/>
      <c r="M69" s="2777"/>
      <c r="N69" s="2777"/>
      <c r="O69" s="2777"/>
      <c r="P69" s="2777"/>
      <c r="Q69" s="2777"/>
      <c r="R69" s="2777"/>
      <c r="S69" s="2777"/>
    </row>
    <row r="70" spans="1:19" s="2" customFormat="1">
      <c r="A70" s="2905"/>
      <c r="B70" s="2404"/>
      <c r="C70" s="2906"/>
      <c r="D70" s="2906"/>
      <c r="E70" s="2906"/>
      <c r="F70" s="2906"/>
      <c r="G70" s="2907"/>
      <c r="H70" s="2777"/>
      <c r="I70" s="2777"/>
      <c r="J70" s="2777"/>
      <c r="K70" s="2777"/>
      <c r="L70" s="2777"/>
      <c r="M70" s="2777"/>
      <c r="N70" s="2777"/>
      <c r="O70" s="2777"/>
      <c r="P70" s="2777"/>
      <c r="Q70" s="2777"/>
      <c r="R70" s="2777"/>
      <c r="S70" s="2777"/>
    </row>
    <row r="71" spans="1:19">
      <c r="A71" s="2905"/>
      <c r="B71" s="2404"/>
      <c r="C71" s="2906"/>
      <c r="D71" s="2906"/>
      <c r="E71" s="2906"/>
      <c r="F71" s="2906"/>
      <c r="G71" s="2907"/>
      <c r="H71" s="2777"/>
      <c r="I71" s="2777"/>
      <c r="J71" s="2777"/>
      <c r="K71" s="2777"/>
      <c r="L71" s="2777"/>
      <c r="M71" s="2777"/>
      <c r="N71" s="2777"/>
      <c r="O71" s="2777"/>
      <c r="P71" s="2777"/>
      <c r="Q71" s="2777"/>
      <c r="R71" s="2777"/>
      <c r="S71" s="2777"/>
    </row>
    <row r="72" spans="1:19">
      <c r="A72" s="726" t="s">
        <v>575</v>
      </c>
      <c r="B72" s="727"/>
      <c r="C72" s="12"/>
      <c r="D72" s="12"/>
      <c r="E72" s="12"/>
      <c r="F72" s="12"/>
      <c r="G72" s="13"/>
      <c r="H72" s="21"/>
      <c r="I72" s="21"/>
      <c r="J72" s="21"/>
      <c r="K72" s="21"/>
      <c r="L72" s="21"/>
      <c r="M72" s="21"/>
      <c r="N72" s="21"/>
      <c r="O72" s="21"/>
      <c r="P72" s="21"/>
      <c r="Q72" s="21"/>
      <c r="R72" s="21"/>
      <c r="S72" s="21"/>
    </row>
    <row r="73" spans="1:19">
      <c r="A73" s="2905"/>
      <c r="B73" s="2404"/>
      <c r="C73" s="2906"/>
      <c r="D73" s="2906"/>
      <c r="E73" s="2906"/>
      <c r="F73" s="2906"/>
      <c r="G73" s="2907"/>
      <c r="H73" s="2777"/>
      <c r="I73" s="2777"/>
      <c r="J73" s="2777"/>
      <c r="K73" s="2777"/>
      <c r="L73" s="2777"/>
      <c r="M73" s="2777"/>
      <c r="N73" s="2777"/>
      <c r="O73" s="2777"/>
      <c r="P73" s="2777"/>
      <c r="Q73" s="2777"/>
      <c r="R73" s="2777"/>
      <c r="S73" s="2777"/>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c r="A75" s="2383"/>
      <c r="B75" s="2384"/>
      <c r="C75" s="2405"/>
      <c r="D75" s="2405"/>
      <c r="E75" s="2405"/>
      <c r="F75" s="2405"/>
      <c r="G75" s="2423"/>
      <c r="H75" s="2385"/>
      <c r="I75" s="2385"/>
      <c r="J75" s="2385"/>
      <c r="K75" s="2385"/>
      <c r="L75" s="2385"/>
      <c r="M75" s="2385"/>
      <c r="N75" s="2385"/>
      <c r="O75" s="2385"/>
      <c r="P75" s="2385"/>
      <c r="Q75" s="2385"/>
      <c r="R75" s="2385"/>
      <c r="S75" s="2385"/>
    </row>
    <row r="76" spans="1:19">
      <c r="A76" s="726" t="s">
        <v>576</v>
      </c>
      <c r="B76" s="727"/>
      <c r="C76" s="12"/>
      <c r="D76" s="12"/>
      <c r="E76" s="12"/>
      <c r="F76" s="12"/>
      <c r="G76" s="13"/>
      <c r="H76" s="21"/>
      <c r="I76" s="21"/>
      <c r="J76" s="21"/>
      <c r="K76" s="21"/>
      <c r="L76" s="21"/>
      <c r="M76" s="21"/>
      <c r="N76" s="21"/>
      <c r="O76" s="21"/>
      <c r="P76" s="21"/>
      <c r="Q76" s="21"/>
      <c r="R76" s="21"/>
      <c r="S76" s="21"/>
    </row>
    <row r="77" spans="1:19">
      <c r="A77" s="2908"/>
      <c r="B77" s="2909"/>
      <c r="C77" s="2906"/>
      <c r="D77" s="2906"/>
      <c r="E77" s="2906"/>
      <c r="F77" s="2906"/>
      <c r="G77" s="2907"/>
      <c r="H77" s="2777"/>
      <c r="I77" s="2777"/>
      <c r="J77" s="2777"/>
      <c r="K77" s="2777"/>
      <c r="L77" s="2777"/>
      <c r="M77" s="2777"/>
      <c r="N77" s="2777"/>
      <c r="O77" s="2777"/>
      <c r="P77" s="2777"/>
      <c r="Q77" s="2777"/>
      <c r="R77" s="2777"/>
      <c r="S77" s="2777"/>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c r="A79" s="2383"/>
      <c r="B79" s="2384"/>
      <c r="C79" s="2405"/>
      <c r="D79" s="2405"/>
      <c r="E79" s="2405"/>
      <c r="F79" s="2405"/>
      <c r="G79" s="2423"/>
      <c r="H79" s="2388"/>
      <c r="I79" s="2388"/>
      <c r="J79" s="2388"/>
      <c r="K79" s="2388"/>
      <c r="L79" s="2388"/>
      <c r="M79" s="2388"/>
      <c r="N79" s="2388"/>
      <c r="O79" s="2388"/>
      <c r="P79" s="2388"/>
      <c r="Q79" s="2388"/>
      <c r="R79" s="2388"/>
      <c r="S79" s="2388"/>
    </row>
    <row r="80" spans="1:19">
      <c r="A80" s="726" t="s">
        <v>577</v>
      </c>
      <c r="B80" s="727"/>
      <c r="C80" s="12"/>
      <c r="D80" s="12"/>
      <c r="E80" s="12"/>
      <c r="F80" s="12"/>
      <c r="G80" s="13"/>
      <c r="H80" s="21"/>
      <c r="I80" s="21"/>
      <c r="J80" s="21"/>
      <c r="K80" s="21"/>
      <c r="L80" s="21"/>
      <c r="M80" s="21"/>
      <c r="N80" s="21"/>
      <c r="O80" s="21"/>
      <c r="P80" s="21"/>
      <c r="Q80" s="21"/>
      <c r="R80" s="21"/>
      <c r="S80" s="21"/>
    </row>
    <row r="81" spans="1:19">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c r="A85" s="416"/>
      <c r="B85" s="295"/>
      <c r="C85" s="184"/>
      <c r="D85" s="184"/>
      <c r="E85" s="184"/>
      <c r="F85" s="184"/>
      <c r="G85" s="296"/>
      <c r="H85" s="418"/>
      <c r="I85" s="418"/>
      <c r="J85" s="418"/>
      <c r="K85" s="418"/>
      <c r="L85" s="418"/>
      <c r="M85" s="418"/>
      <c r="N85" s="418"/>
      <c r="O85" s="418"/>
      <c r="P85" s="418"/>
      <c r="Q85" s="418"/>
      <c r="R85" s="418"/>
      <c r="S85" s="418"/>
    </row>
    <row r="86" spans="1:19">
      <c r="A86" s="7" t="s">
        <v>582</v>
      </c>
      <c r="B86" s="8"/>
      <c r="C86" s="12"/>
      <c r="D86" s="12"/>
      <c r="E86" s="12"/>
      <c r="F86" s="12"/>
      <c r="G86" s="13"/>
      <c r="H86" s="21"/>
      <c r="I86" s="21"/>
      <c r="J86" s="21"/>
      <c r="K86" s="21"/>
      <c r="L86" s="21"/>
      <c r="M86" s="21"/>
      <c r="N86" s="21"/>
      <c r="O86" s="21"/>
      <c r="P86" s="21"/>
      <c r="Q86" s="21"/>
      <c r="R86" s="21"/>
      <c r="S86" s="21"/>
    </row>
    <row r="87" spans="1:19">
      <c r="A87" s="2905"/>
      <c r="B87" s="2910" t="s">
        <v>583</v>
      </c>
      <c r="C87" s="2906"/>
      <c r="D87" s="2906"/>
      <c r="E87" s="2906"/>
      <c r="F87" s="2906"/>
      <c r="G87" s="2907"/>
      <c r="H87" s="2773"/>
      <c r="I87" s="2773"/>
      <c r="J87" s="2773"/>
      <c r="K87" s="2773"/>
      <c r="L87" s="2773"/>
      <c r="M87" s="2773"/>
      <c r="N87" s="2773"/>
      <c r="O87" s="2773"/>
      <c r="P87" s="2773"/>
      <c r="Q87" s="2773"/>
      <c r="R87" s="2773"/>
      <c r="S87" s="2773"/>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c r="A89" s="2391"/>
      <c r="B89" s="2392" t="s">
        <v>585</v>
      </c>
      <c r="C89" s="2393"/>
      <c r="D89" s="2393"/>
      <c r="E89" s="2393"/>
      <c r="F89" s="2393"/>
      <c r="G89" s="2394"/>
      <c r="H89" s="2395"/>
      <c r="I89" s="2395"/>
      <c r="J89" s="2395"/>
      <c r="K89" s="2395"/>
      <c r="L89" s="2395"/>
      <c r="M89" s="2395"/>
      <c r="N89" s="2395"/>
      <c r="O89" s="2395"/>
      <c r="P89" s="2395"/>
      <c r="Q89" s="2395"/>
      <c r="R89" s="2395"/>
      <c r="S89" s="2395"/>
    </row>
    <row r="91" spans="1:19">
      <c r="A91" s="92" t="s">
        <v>586</v>
      </c>
      <c r="B91" s="94"/>
    </row>
    <row r="92" spans="1:19">
      <c r="A92" s="93" t="s">
        <v>487</v>
      </c>
      <c r="B92" s="2396"/>
    </row>
    <row r="93" spans="1:19">
      <c r="A93" s="2397" t="s">
        <v>491</v>
      </c>
      <c r="B93" s="2396"/>
    </row>
    <row r="94" spans="1:19">
      <c r="A94" s="2398" t="s">
        <v>494</v>
      </c>
      <c r="B94" s="2399"/>
    </row>
    <row r="95" spans="1:19">
      <c r="A95" s="2398" t="s">
        <v>497</v>
      </c>
      <c r="B95" s="2400"/>
    </row>
    <row r="96" spans="1:19">
      <c r="A96" s="2401" t="s">
        <v>587</v>
      </c>
      <c r="B96" s="2402"/>
    </row>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339" priority="23" operator="equal">
      <formula>"X"</formula>
    </cfRule>
    <cfRule type="cellIs" dxfId="338" priority="24" operator="equal">
      <formula>"I"</formula>
    </cfRule>
  </conditionalFormatting>
  <conditionalFormatting sqref="H32:H55">
    <cfRule type="cellIs" dxfId="337" priority="1" operator="equal">
      <formula>"X"</formula>
    </cfRule>
    <cfRule type="cellIs" dxfId="336" priority="2" operator="equal">
      <formula>"I"</formula>
    </cfRule>
  </conditionalFormatting>
  <conditionalFormatting sqref="J20:J30">
    <cfRule type="cellIs" dxfId="335" priority="21" operator="equal">
      <formula>"X"</formula>
    </cfRule>
    <cfRule type="cellIs" dxfId="334" priority="22" operator="equal">
      <formula>"I"</formula>
    </cfRule>
  </conditionalFormatting>
  <conditionalFormatting sqref="J32:J55">
    <cfRule type="cellIs" dxfId="333" priority="3" operator="equal">
      <formula>"X"</formula>
    </cfRule>
    <cfRule type="cellIs" dxfId="332" priority="4" operator="equal">
      <formula>"I"</formula>
    </cfRule>
  </conditionalFormatting>
  <conditionalFormatting sqref="L20:L30">
    <cfRule type="cellIs" dxfId="331" priority="19" operator="equal">
      <formula>"X"</formula>
    </cfRule>
    <cfRule type="cellIs" dxfId="330" priority="20" operator="equal">
      <formula>"I"</formula>
    </cfRule>
  </conditionalFormatting>
  <conditionalFormatting sqref="L32:L55">
    <cfRule type="cellIs" dxfId="329" priority="5" operator="equal">
      <formula>"X"</formula>
    </cfRule>
    <cfRule type="cellIs" dxfId="328" priority="6" operator="equal">
      <formula>"I"</formula>
    </cfRule>
  </conditionalFormatting>
  <conditionalFormatting sqref="N20:N30">
    <cfRule type="cellIs" dxfId="327" priority="17" operator="equal">
      <formula>"X"</formula>
    </cfRule>
    <cfRule type="cellIs" dxfId="326" priority="18" operator="equal">
      <formula>"I"</formula>
    </cfRule>
  </conditionalFormatting>
  <conditionalFormatting sqref="N32:N55">
    <cfRule type="cellIs" dxfId="325" priority="7" operator="equal">
      <formula>"X"</formula>
    </cfRule>
    <cfRule type="cellIs" dxfId="324" priority="8" operator="equal">
      <formula>"I"</formula>
    </cfRule>
  </conditionalFormatting>
  <conditionalFormatting sqref="P20:P30">
    <cfRule type="cellIs" dxfId="323" priority="15" operator="equal">
      <formula>"X"</formula>
    </cfRule>
    <cfRule type="cellIs" dxfId="322" priority="16" operator="equal">
      <formula>"I"</formula>
    </cfRule>
  </conditionalFormatting>
  <conditionalFormatting sqref="P32:P55">
    <cfRule type="cellIs" dxfId="321" priority="9" operator="equal">
      <formula>"X"</formula>
    </cfRule>
    <cfRule type="cellIs" dxfId="320" priority="10" operator="equal">
      <formula>"I"</formula>
    </cfRule>
  </conditionalFormatting>
  <conditionalFormatting sqref="R20:R30">
    <cfRule type="cellIs" dxfId="319" priority="13" operator="equal">
      <formula>"X"</formula>
    </cfRule>
    <cfRule type="cellIs" dxfId="318" priority="14" operator="equal">
      <formula>"I"</formula>
    </cfRule>
  </conditionalFormatting>
  <conditionalFormatting sqref="R32:R55">
    <cfRule type="cellIs" dxfId="317" priority="11" operator="equal">
      <formula>"X"</formula>
    </cfRule>
    <cfRule type="cellIs" dxfId="316" priority="12" operator="equal">
      <formula>"I"</formula>
    </cfRule>
  </conditionalFormatting>
  <hyperlinks>
    <hyperlink ref="B3" location="'Cost Summary'!A1" display="BACK TO SUMMARY SHEET" xr:uid="{A71E1786-4B57-4181-87A8-94010E6A76AD}"/>
  </hyperlinks>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856F-9CF1-4D7F-A100-FC17B2DD0920}">
  <sheetPr>
    <tabColor rgb="FF92D050"/>
  </sheetPr>
  <dimension ref="A1:S99"/>
  <sheetViews>
    <sheetView workbookViewId="0">
      <pane xSplit="2" ySplit="9" topLeftCell="C20" activePane="bottomRight" state="frozen"/>
      <selection pane="bottomRight" activeCell="B23" sqref="B2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79"/>
      <c r="K4" s="779"/>
      <c r="L4" s="779"/>
      <c r="M4" s="779"/>
      <c r="N4" s="779"/>
      <c r="O4" s="779"/>
      <c r="P4" s="779"/>
      <c r="Q4" s="779"/>
      <c r="R4" s="760"/>
      <c r="S4" s="729"/>
    </row>
    <row r="5" spans="1:19">
      <c r="A5" s="2403" t="s">
        <v>489</v>
      </c>
      <c r="B5" s="2404" t="s">
        <v>1225</v>
      </c>
      <c r="C5" s="2405"/>
      <c r="D5" s="2405"/>
      <c r="E5" s="2405"/>
      <c r="F5" s="2405"/>
      <c r="G5" s="2406" t="s">
        <v>491</v>
      </c>
      <c r="H5" s="2407"/>
      <c r="I5" s="2408"/>
      <c r="J5" s="2518"/>
      <c r="K5" s="2518"/>
      <c r="L5" s="2518"/>
      <c r="M5" s="2518"/>
      <c r="N5" s="2518"/>
      <c r="O5" s="2518"/>
      <c r="P5" s="2518"/>
      <c r="Q5" s="2518"/>
      <c r="R5" s="2409"/>
      <c r="S5" s="2408"/>
    </row>
    <row r="6" spans="1:19">
      <c r="A6" s="2403" t="s">
        <v>493</v>
      </c>
      <c r="B6" s="2410" t="s">
        <v>1226</v>
      </c>
      <c r="C6" s="2405"/>
      <c r="D6" s="2405"/>
      <c r="E6" s="2405"/>
      <c r="F6" s="2405"/>
      <c r="G6" s="2406" t="s">
        <v>494</v>
      </c>
      <c r="H6" s="2411"/>
      <c r="I6" s="2412"/>
      <c r="J6" s="2519"/>
      <c r="K6" s="2519"/>
      <c r="L6" s="2519"/>
      <c r="M6" s="2519"/>
      <c r="N6" s="2519"/>
      <c r="O6" s="2519"/>
      <c r="P6" s="2519"/>
      <c r="Q6" s="2519"/>
      <c r="R6" s="2413"/>
      <c r="S6" s="2412"/>
    </row>
    <row r="7" spans="1:19">
      <c r="A7" s="2403" t="s">
        <v>496</v>
      </c>
      <c r="B7" s="2414"/>
      <c r="C7" s="2405"/>
      <c r="D7" s="2405"/>
      <c r="E7" s="2405"/>
      <c r="F7" s="2405"/>
      <c r="G7" s="2406" t="s">
        <v>497</v>
      </c>
      <c r="H7" s="2415"/>
      <c r="I7" s="2416"/>
      <c r="J7" s="2520"/>
      <c r="K7" s="2520"/>
      <c r="L7" s="2520"/>
      <c r="M7" s="2520"/>
      <c r="N7" s="2520"/>
      <c r="O7" s="2520"/>
      <c r="P7" s="2520"/>
      <c r="Q7" s="2520"/>
      <c r="R7" s="2417"/>
      <c r="S7" s="2416"/>
    </row>
    <row r="8" spans="1:19" ht="15.75" thickBot="1">
      <c r="A8" s="414" t="s">
        <v>499</v>
      </c>
      <c r="B8" s="295"/>
      <c r="C8" s="184"/>
      <c r="D8" s="184"/>
      <c r="E8" s="184"/>
      <c r="F8" s="184"/>
      <c r="G8" s="419" t="s">
        <v>499</v>
      </c>
      <c r="H8" s="2418">
        <f>I60</f>
        <v>0</v>
      </c>
      <c r="I8" s="2419"/>
      <c r="J8" s="2418">
        <f>K60</f>
        <v>0</v>
      </c>
      <c r="K8" s="2419"/>
      <c r="L8" s="2418">
        <f>M60</f>
        <v>0</v>
      </c>
      <c r="M8" s="2419"/>
      <c r="N8" s="2418">
        <f>O60</f>
        <v>0</v>
      </c>
      <c r="O8" s="2419"/>
      <c r="P8" s="2418">
        <f>Q60</f>
        <v>0</v>
      </c>
      <c r="Q8" s="2419"/>
      <c r="R8" s="2418">
        <f>S60</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91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59"/>
      <c r="B21" s="2428" t="s">
        <v>1225</v>
      </c>
      <c r="C21" s="56"/>
      <c r="D21" s="57"/>
      <c r="E21" s="57"/>
      <c r="F21" s="57"/>
      <c r="G21" s="63"/>
      <c r="H21" s="2427"/>
      <c r="I21" s="2912"/>
      <c r="J21" s="2427"/>
      <c r="K21" s="2913"/>
      <c r="L21" s="2427"/>
      <c r="M21" s="2913"/>
      <c r="N21" s="2427"/>
      <c r="O21" s="2913"/>
      <c r="P21" s="2427"/>
      <c r="Q21" s="2913"/>
      <c r="R21" s="2427"/>
      <c r="S21" s="2913"/>
    </row>
    <row r="22" spans="1:19">
      <c r="A22" s="2914"/>
      <c r="B22" s="2318" t="s">
        <v>512</v>
      </c>
      <c r="C22" s="2426"/>
      <c r="D22" s="2405"/>
      <c r="E22" s="2405"/>
      <c r="F22" s="2405"/>
      <c r="G22" s="2423"/>
      <c r="H22" s="2427"/>
      <c r="I22" s="2912"/>
      <c r="J22" s="2427"/>
      <c r="K22" s="2913"/>
      <c r="L22" s="2427"/>
      <c r="M22" s="2913"/>
      <c r="N22" s="2427"/>
      <c r="O22" s="2913"/>
      <c r="P22" s="2427"/>
      <c r="Q22" s="2913"/>
      <c r="R22" s="2427"/>
      <c r="S22" s="2913"/>
    </row>
    <row r="23" spans="1:19">
      <c r="A23" s="2914"/>
      <c r="B23" s="2915" t="s">
        <v>513</v>
      </c>
      <c r="C23" s="2426"/>
      <c r="D23" s="2405"/>
      <c r="E23" s="2405"/>
      <c r="F23" s="2405"/>
      <c r="G23" s="2423"/>
      <c r="H23" s="2427"/>
      <c r="I23" s="2912"/>
      <c r="J23" s="2427"/>
      <c r="K23" s="2913"/>
      <c r="L23" s="2427"/>
      <c r="M23" s="2913"/>
      <c r="N23" s="2427"/>
      <c r="O23" s="2913"/>
      <c r="P23" s="2427"/>
      <c r="Q23" s="2913"/>
      <c r="R23" s="2427"/>
      <c r="S23" s="2913"/>
    </row>
    <row r="24" spans="1:19">
      <c r="A24" s="2914"/>
      <c r="B24" s="2915" t="s">
        <v>514</v>
      </c>
      <c r="C24" s="2430"/>
      <c r="D24" s="2405"/>
      <c r="E24" s="2405"/>
      <c r="F24" s="2405"/>
      <c r="G24" s="2423"/>
      <c r="H24" s="2427"/>
      <c r="I24" s="2912"/>
      <c r="J24" s="2427"/>
      <c r="K24" s="2913"/>
      <c r="L24" s="2427"/>
      <c r="M24" s="2913"/>
      <c r="N24" s="2427"/>
      <c r="O24" s="2913"/>
      <c r="P24" s="2427"/>
      <c r="Q24" s="2913"/>
      <c r="R24" s="2427"/>
      <c r="S24" s="2913"/>
    </row>
    <row r="25" spans="1:19">
      <c r="A25" s="2914"/>
      <c r="B25" s="2916" t="s">
        <v>515</v>
      </c>
      <c r="C25" s="2430"/>
      <c r="D25" s="2405"/>
      <c r="E25" s="2405"/>
      <c r="F25" s="2405"/>
      <c r="G25" s="2423"/>
      <c r="H25" s="2427"/>
      <c r="I25" s="2912"/>
      <c r="J25" s="2427"/>
      <c r="K25" s="2913"/>
      <c r="L25" s="2427"/>
      <c r="M25" s="2913"/>
      <c r="N25" s="2427"/>
      <c r="O25" s="2913"/>
      <c r="P25" s="2427"/>
      <c r="Q25" s="2913"/>
      <c r="R25" s="2427"/>
      <c r="S25" s="2913"/>
    </row>
    <row r="26" spans="1:19" s="91" customFormat="1">
      <c r="A26" s="2899"/>
      <c r="B26" s="2916" t="s">
        <v>516</v>
      </c>
      <c r="C26" s="2432"/>
      <c r="D26" s="2433"/>
      <c r="E26" s="2433"/>
      <c r="F26" s="2433"/>
      <c r="G26" s="2432"/>
      <c r="H26" s="2427"/>
      <c r="I26" s="2912"/>
      <c r="J26" s="2427"/>
      <c r="K26" s="2917"/>
      <c r="L26" s="2427"/>
      <c r="M26" s="2917"/>
      <c r="N26" s="2427"/>
      <c r="O26" s="2917"/>
      <c r="P26" s="2427"/>
      <c r="Q26" s="2917"/>
      <c r="R26" s="2427"/>
      <c r="S26" s="2917"/>
    </row>
    <row r="27" spans="1:19" s="91" customFormat="1">
      <c r="A27" s="2899"/>
      <c r="B27" s="2916" t="s">
        <v>517</v>
      </c>
      <c r="C27" s="2432"/>
      <c r="D27" s="2433"/>
      <c r="E27" s="2433"/>
      <c r="F27" s="2433"/>
      <c r="G27" s="2432"/>
      <c r="H27" s="2427"/>
      <c r="I27" s="2912"/>
      <c r="J27" s="2427"/>
      <c r="K27" s="2917"/>
      <c r="L27" s="2427"/>
      <c r="M27" s="2917"/>
      <c r="N27" s="2427"/>
      <c r="O27" s="2917"/>
      <c r="P27" s="2427"/>
      <c r="Q27" s="2917"/>
      <c r="R27" s="2427"/>
      <c r="S27" s="2917"/>
    </row>
    <row r="28" spans="1:19" s="91" customFormat="1">
      <c r="A28" s="2899"/>
      <c r="B28" s="2916" t="s">
        <v>518</v>
      </c>
      <c r="C28" s="2432"/>
      <c r="D28" s="2433"/>
      <c r="E28" s="2433"/>
      <c r="F28" s="2433"/>
      <c r="G28" s="2432"/>
      <c r="H28" s="2427"/>
      <c r="I28" s="2912"/>
      <c r="J28" s="2427"/>
      <c r="K28" s="2917"/>
      <c r="L28" s="2427"/>
      <c r="M28" s="2917"/>
      <c r="N28" s="2427"/>
      <c r="O28" s="2917"/>
      <c r="P28" s="2427"/>
      <c r="Q28" s="2917"/>
      <c r="R28" s="2427"/>
      <c r="S28" s="2917"/>
    </row>
    <row r="29" spans="1:19" s="91" customFormat="1">
      <c r="A29" s="2899"/>
      <c r="B29" s="2916" t="s">
        <v>693</v>
      </c>
      <c r="C29" s="2432"/>
      <c r="D29" s="2433"/>
      <c r="E29" s="2433"/>
      <c r="F29" s="2433"/>
      <c r="G29" s="2432"/>
      <c r="H29" s="2427"/>
      <c r="I29" s="2912"/>
      <c r="J29" s="2427"/>
      <c r="K29" s="2917"/>
      <c r="L29" s="2427"/>
      <c r="M29" s="2917"/>
      <c r="N29" s="2427"/>
      <c r="O29" s="2917"/>
      <c r="P29" s="2427"/>
      <c r="Q29" s="2917"/>
      <c r="R29" s="2427"/>
      <c r="S29" s="2917"/>
    </row>
    <row r="30" spans="1:19" s="91" customFormat="1">
      <c r="A30" s="2899"/>
      <c r="B30" s="2918" t="s">
        <v>519</v>
      </c>
      <c r="C30" s="2432"/>
      <c r="D30" s="2433"/>
      <c r="E30" s="2433"/>
      <c r="F30" s="2433"/>
      <c r="G30" s="2432"/>
      <c r="H30" s="2427"/>
      <c r="I30" s="2912"/>
      <c r="J30" s="2427"/>
      <c r="K30" s="2917"/>
      <c r="L30" s="2427"/>
      <c r="M30" s="2917"/>
      <c r="N30" s="2427"/>
      <c r="O30" s="2917"/>
      <c r="P30" s="2427"/>
      <c r="Q30" s="2917"/>
      <c r="R30" s="2427"/>
      <c r="S30" s="2917"/>
    </row>
    <row r="31" spans="1:19" s="91" customFormat="1">
      <c r="A31" s="2899"/>
      <c r="B31" s="2919" t="s">
        <v>520</v>
      </c>
      <c r="C31" s="2435"/>
      <c r="D31" s="2436"/>
      <c r="E31" s="2436"/>
      <c r="F31" s="2436"/>
      <c r="G31" s="2435"/>
      <c r="H31" s="2439"/>
      <c r="I31" s="2920"/>
      <c r="J31" s="2443"/>
      <c r="K31" s="2921"/>
      <c r="L31" s="2443"/>
      <c r="M31" s="2921"/>
      <c r="N31" s="2921"/>
      <c r="O31" s="2921"/>
      <c r="P31" s="2921"/>
      <c r="Q31" s="2921"/>
      <c r="R31" s="2921"/>
      <c r="S31" s="2921"/>
    </row>
    <row r="32" spans="1:19" s="91" customFormat="1">
      <c r="A32" s="2899"/>
      <c r="B32" s="151"/>
      <c r="C32" s="2432"/>
      <c r="D32" s="2433"/>
      <c r="E32" s="2433"/>
      <c r="F32" s="2433"/>
      <c r="G32" s="2432"/>
      <c r="H32" s="2427"/>
      <c r="I32" s="2912"/>
      <c r="J32" s="2427"/>
      <c r="K32" s="2917"/>
      <c r="L32" s="2427"/>
      <c r="M32" s="2917"/>
      <c r="N32" s="2427"/>
      <c r="O32" s="2917"/>
      <c r="P32" s="2427"/>
      <c r="Q32" s="2917"/>
      <c r="R32" s="2427"/>
      <c r="S32" s="2917"/>
    </row>
    <row r="33" spans="1:19" s="91" customFormat="1">
      <c r="A33" s="2922"/>
      <c r="B33" s="2894" t="s">
        <v>1203</v>
      </c>
      <c r="C33" s="2445"/>
      <c r="D33" s="2433"/>
      <c r="E33" s="2433"/>
      <c r="F33" s="2433"/>
      <c r="G33" s="2432"/>
      <c r="H33" s="2427"/>
      <c r="I33" s="2912"/>
      <c r="J33" s="2427"/>
      <c r="K33" s="2917"/>
      <c r="L33" s="2427"/>
      <c r="M33" s="2917"/>
      <c r="N33" s="2427"/>
      <c r="O33" s="2917"/>
      <c r="P33" s="2427"/>
      <c r="Q33" s="2917"/>
      <c r="R33" s="2427"/>
      <c r="S33" s="2917"/>
    </row>
    <row r="34" spans="1:19" s="91" customFormat="1">
      <c r="A34" s="2922"/>
      <c r="B34" s="2894" t="s">
        <v>1204</v>
      </c>
      <c r="C34" s="2445"/>
      <c r="D34" s="2433"/>
      <c r="E34" s="2433"/>
      <c r="F34" s="2433"/>
      <c r="G34" s="2432"/>
      <c r="H34" s="2427" t="s">
        <v>710</v>
      </c>
      <c r="I34" s="2912"/>
      <c r="J34" s="2427"/>
      <c r="K34" s="2917"/>
      <c r="L34" s="2427"/>
      <c r="M34" s="2917"/>
      <c r="N34" s="2427"/>
      <c r="O34" s="2917"/>
      <c r="P34" s="2427"/>
      <c r="Q34" s="2917"/>
      <c r="R34" s="2427"/>
      <c r="S34" s="2917"/>
    </row>
    <row r="35" spans="1:19" s="91" customFormat="1">
      <c r="A35" s="2922"/>
      <c r="B35" s="2894" t="s">
        <v>1205</v>
      </c>
      <c r="C35" s="2445"/>
      <c r="D35" s="2433"/>
      <c r="E35" s="2433"/>
      <c r="F35" s="2433"/>
      <c r="G35" s="2432"/>
      <c r="H35" s="2427"/>
      <c r="I35" s="2912"/>
      <c r="J35" s="2427"/>
      <c r="K35" s="2917"/>
      <c r="L35" s="2427"/>
      <c r="M35" s="2917"/>
      <c r="N35" s="2427"/>
      <c r="O35" s="2917"/>
      <c r="P35" s="2427"/>
      <c r="Q35" s="2917"/>
      <c r="R35" s="2427"/>
      <c r="S35" s="2917"/>
    </row>
    <row r="36" spans="1:19" s="91" customFormat="1">
      <c r="A36" s="2922"/>
      <c r="B36" s="2894" t="s">
        <v>1206</v>
      </c>
      <c r="C36" s="2445"/>
      <c r="D36" s="2433"/>
      <c r="E36" s="2433"/>
      <c r="F36" s="2433"/>
      <c r="G36" s="2432"/>
      <c r="H36" s="2427"/>
      <c r="I36" s="2912"/>
      <c r="J36" s="2427"/>
      <c r="K36" s="2917"/>
      <c r="L36" s="2427"/>
      <c r="M36" s="2917"/>
      <c r="N36" s="2427"/>
      <c r="O36" s="2917"/>
      <c r="P36" s="2427"/>
      <c r="Q36" s="2917"/>
      <c r="R36" s="2427"/>
      <c r="S36" s="2917"/>
    </row>
    <row r="37" spans="1:19" s="91" customFormat="1">
      <c r="A37" s="2922"/>
      <c r="B37" s="2894" t="s">
        <v>1207</v>
      </c>
      <c r="C37" s="2445"/>
      <c r="D37" s="2433"/>
      <c r="E37" s="2433"/>
      <c r="F37" s="2433"/>
      <c r="G37" s="2432"/>
      <c r="H37" s="2427"/>
      <c r="I37" s="2912"/>
      <c r="J37" s="2427"/>
      <c r="K37" s="2917"/>
      <c r="L37" s="2427"/>
      <c r="M37" s="2917"/>
      <c r="N37" s="2427"/>
      <c r="O37" s="2917"/>
      <c r="P37" s="2427"/>
      <c r="Q37" s="2917"/>
      <c r="R37" s="2427"/>
      <c r="S37" s="2917"/>
    </row>
    <row r="38" spans="1:19" s="91" customFormat="1">
      <c r="A38" s="2922"/>
      <c r="B38" s="2894" t="s">
        <v>1208</v>
      </c>
      <c r="C38" s="2445"/>
      <c r="D38" s="2433"/>
      <c r="E38" s="2546"/>
      <c r="F38" s="2547"/>
      <c r="G38" s="2432"/>
      <c r="H38" s="2427"/>
      <c r="I38" s="2912"/>
      <c r="J38" s="2427"/>
      <c r="K38" s="2917"/>
      <c r="L38" s="2427"/>
      <c r="M38" s="2917"/>
      <c r="N38" s="2427"/>
      <c r="O38" s="2917"/>
      <c r="P38" s="2427"/>
      <c r="Q38" s="2917"/>
      <c r="R38" s="2427"/>
      <c r="S38" s="2917"/>
    </row>
    <row r="39" spans="1:19" s="91" customFormat="1">
      <c r="A39" s="2922"/>
      <c r="B39" s="2894" t="s">
        <v>1209</v>
      </c>
      <c r="C39" s="2445"/>
      <c r="D39" s="2433"/>
      <c r="E39" s="2546"/>
      <c r="F39" s="2547"/>
      <c r="G39" s="2432"/>
      <c r="H39" s="2427"/>
      <c r="I39" s="2912"/>
      <c r="J39" s="2427"/>
      <c r="K39" s="2917"/>
      <c r="L39" s="2427"/>
      <c r="M39" s="2917"/>
      <c r="N39" s="2427"/>
      <c r="O39" s="2917"/>
      <c r="P39" s="2427"/>
      <c r="Q39" s="2917"/>
      <c r="R39" s="2427"/>
      <c r="S39" s="2917"/>
    </row>
    <row r="40" spans="1:19" s="91" customFormat="1">
      <c r="A40" s="2922"/>
      <c r="B40" s="2894" t="s">
        <v>1210</v>
      </c>
      <c r="C40" s="2445"/>
      <c r="D40" s="2433"/>
      <c r="E40" s="2546"/>
      <c r="F40" s="2547"/>
      <c r="G40" s="2432"/>
      <c r="H40" s="2427"/>
      <c r="I40" s="2912"/>
      <c r="J40" s="2427"/>
      <c r="K40" s="2917"/>
      <c r="L40" s="2427"/>
      <c r="M40" s="2917"/>
      <c r="N40" s="2427"/>
      <c r="O40" s="2917"/>
      <c r="P40" s="2427"/>
      <c r="Q40" s="2917"/>
      <c r="R40" s="2427"/>
      <c r="S40" s="2917"/>
    </row>
    <row r="41" spans="1:19" s="91" customFormat="1">
      <c r="A41" s="2922"/>
      <c r="B41" s="2894" t="s">
        <v>1222</v>
      </c>
      <c r="C41" s="2445"/>
      <c r="D41" s="2433"/>
      <c r="E41" s="2546"/>
      <c r="F41" s="2547"/>
      <c r="G41" s="2432"/>
      <c r="H41" s="2427"/>
      <c r="I41" s="2912"/>
      <c r="J41" s="2427"/>
      <c r="K41" s="2917"/>
      <c r="L41" s="2427"/>
      <c r="M41" s="2917"/>
      <c r="N41" s="2427"/>
      <c r="O41" s="2917"/>
      <c r="P41" s="2427"/>
      <c r="Q41" s="2917"/>
      <c r="R41" s="2427"/>
      <c r="S41" s="2917"/>
    </row>
    <row r="42" spans="1:19" s="91" customFormat="1">
      <c r="A42" s="2922"/>
      <c r="B42" s="2894" t="s">
        <v>1223</v>
      </c>
      <c r="C42" s="2445"/>
      <c r="D42" s="2433"/>
      <c r="E42" s="2546"/>
      <c r="F42" s="2547"/>
      <c r="G42" s="2432"/>
      <c r="H42" s="2427"/>
      <c r="I42" s="2912"/>
      <c r="J42" s="2427"/>
      <c r="K42" s="2917"/>
      <c r="L42" s="2427"/>
      <c r="M42" s="2917"/>
      <c r="N42" s="2427"/>
      <c r="O42" s="2917"/>
      <c r="P42" s="2427"/>
      <c r="Q42" s="2917"/>
      <c r="R42" s="2427"/>
      <c r="S42" s="2917"/>
    </row>
    <row r="43" spans="1:19" s="91" customFormat="1">
      <c r="A43" s="2922"/>
      <c r="B43" s="2894" t="s">
        <v>1213</v>
      </c>
      <c r="C43" s="2445"/>
      <c r="D43" s="2433"/>
      <c r="E43" s="2546"/>
      <c r="F43" s="2547"/>
      <c r="G43" s="2432"/>
      <c r="H43" s="2427"/>
      <c r="I43" s="2912"/>
      <c r="J43" s="2427"/>
      <c r="K43" s="2917"/>
      <c r="L43" s="2427"/>
      <c r="M43" s="2917"/>
      <c r="N43" s="2427"/>
      <c r="O43" s="2917"/>
      <c r="P43" s="2427"/>
      <c r="Q43" s="2917"/>
      <c r="R43" s="2427"/>
      <c r="S43" s="2917"/>
    </row>
    <row r="44" spans="1:19" s="91" customFormat="1">
      <c r="A44" s="2922"/>
      <c r="B44" s="2894" t="s">
        <v>1214</v>
      </c>
      <c r="C44" s="2445"/>
      <c r="D44" s="2433"/>
      <c r="E44" s="2546"/>
      <c r="F44" s="2547"/>
      <c r="G44" s="2432"/>
      <c r="H44" s="2427"/>
      <c r="I44" s="2912"/>
      <c r="J44" s="2427"/>
      <c r="K44" s="2917"/>
      <c r="L44" s="2427"/>
      <c r="M44" s="2917"/>
      <c r="N44" s="2427"/>
      <c r="O44" s="2917"/>
      <c r="P44" s="2427"/>
      <c r="Q44" s="2917"/>
      <c r="R44" s="2427"/>
      <c r="S44" s="2917"/>
    </row>
    <row r="45" spans="1:19" s="91" customFormat="1">
      <c r="A45" s="2922"/>
      <c r="B45" s="2894" t="s">
        <v>1215</v>
      </c>
      <c r="C45" s="2445"/>
      <c r="D45" s="2433"/>
      <c r="E45" s="2546"/>
      <c r="F45" s="2547"/>
      <c r="G45" s="2432"/>
      <c r="H45" s="2427"/>
      <c r="I45" s="2912"/>
      <c r="J45" s="2427"/>
      <c r="K45" s="2917"/>
      <c r="L45" s="2427"/>
      <c r="M45" s="2917"/>
      <c r="N45" s="2427"/>
      <c r="O45" s="2917"/>
      <c r="P45" s="2427"/>
      <c r="Q45" s="2917"/>
      <c r="R45" s="2427"/>
      <c r="S45" s="2917"/>
    </row>
    <row r="46" spans="1:19" s="91" customFormat="1">
      <c r="A46" s="2922"/>
      <c r="B46" s="2894" t="s">
        <v>1216</v>
      </c>
      <c r="C46" s="2445"/>
      <c r="D46" s="2433"/>
      <c r="E46" s="2546"/>
      <c r="F46" s="2547"/>
      <c r="G46" s="2432"/>
      <c r="H46" s="2427"/>
      <c r="I46" s="2912"/>
      <c r="J46" s="2427"/>
      <c r="K46" s="2917"/>
      <c r="L46" s="2427"/>
      <c r="M46" s="2917"/>
      <c r="N46" s="2427"/>
      <c r="O46" s="2917"/>
      <c r="P46" s="2427"/>
      <c r="Q46" s="2917"/>
      <c r="R46" s="2427"/>
      <c r="S46" s="2917"/>
    </row>
    <row r="47" spans="1:19" s="91" customFormat="1">
      <c r="A47" s="2922"/>
      <c r="B47" s="2894" t="s">
        <v>1217</v>
      </c>
      <c r="C47" s="2445"/>
      <c r="D47" s="2433"/>
      <c r="E47" s="2546"/>
      <c r="F47" s="2547"/>
      <c r="G47" s="2432"/>
      <c r="H47" s="2427"/>
      <c r="I47" s="2912"/>
      <c r="J47" s="2427"/>
      <c r="K47" s="2917"/>
      <c r="L47" s="2427"/>
      <c r="M47" s="2917"/>
      <c r="N47" s="2427"/>
      <c r="O47" s="2917"/>
      <c r="P47" s="2427"/>
      <c r="Q47" s="2917"/>
      <c r="R47" s="2427"/>
      <c r="S47" s="2917"/>
    </row>
    <row r="48" spans="1:19" s="91" customFormat="1">
      <c r="A48" s="2922"/>
      <c r="B48" s="2894"/>
      <c r="C48" s="2445"/>
      <c r="D48" s="2433"/>
      <c r="E48" s="2546"/>
      <c r="F48" s="2547"/>
      <c r="G48" s="2432"/>
      <c r="H48" s="2427"/>
      <c r="I48" s="2912"/>
      <c r="J48" s="2427"/>
      <c r="K48" s="2917"/>
      <c r="L48" s="2427"/>
      <c r="M48" s="2917"/>
      <c r="N48" s="2427"/>
      <c r="O48" s="2917"/>
      <c r="P48" s="2427"/>
      <c r="Q48" s="2917"/>
      <c r="R48" s="2427"/>
      <c r="S48" s="2917"/>
    </row>
    <row r="49" spans="1:19" s="91" customFormat="1">
      <c r="A49" s="2922"/>
      <c r="B49" s="2894" t="s">
        <v>1224</v>
      </c>
      <c r="C49" s="2445"/>
      <c r="D49" s="2433"/>
      <c r="E49" s="2546"/>
      <c r="F49" s="2547"/>
      <c r="G49" s="2432"/>
      <c r="H49" s="2427"/>
      <c r="I49" s="2912"/>
      <c r="J49" s="2427"/>
      <c r="K49" s="2917"/>
      <c r="L49" s="2427"/>
      <c r="M49" s="2917"/>
      <c r="N49" s="2427"/>
      <c r="O49" s="2917"/>
      <c r="P49" s="2427"/>
      <c r="Q49" s="2917"/>
      <c r="R49" s="2427"/>
      <c r="S49" s="2917"/>
    </row>
    <row r="50" spans="1:19" s="91" customFormat="1">
      <c r="A50" s="2922"/>
      <c r="B50" s="2894"/>
      <c r="C50" s="2445"/>
      <c r="D50" s="2433"/>
      <c r="E50" s="2546"/>
      <c r="F50" s="2547"/>
      <c r="G50" s="2432"/>
      <c r="H50" s="2427"/>
      <c r="I50" s="2912"/>
      <c r="J50" s="2427"/>
      <c r="K50" s="2917"/>
      <c r="L50" s="2427"/>
      <c r="M50" s="2917"/>
      <c r="N50" s="2427"/>
      <c r="O50" s="2917"/>
      <c r="P50" s="2427"/>
      <c r="Q50" s="2917"/>
      <c r="R50" s="2427"/>
      <c r="S50" s="2917"/>
    </row>
    <row r="51" spans="1:19" s="91" customFormat="1">
      <c r="A51" s="2922"/>
      <c r="B51" s="2894" t="s">
        <v>1218</v>
      </c>
      <c r="C51" s="2445"/>
      <c r="D51" s="2433"/>
      <c r="E51" s="2546"/>
      <c r="F51" s="2547"/>
      <c r="G51" s="2432"/>
      <c r="H51" s="2427"/>
      <c r="I51" s="2912"/>
      <c r="J51" s="2427"/>
      <c r="K51" s="2917"/>
      <c r="L51" s="2427"/>
      <c r="M51" s="2917"/>
      <c r="N51" s="2427"/>
      <c r="O51" s="2917"/>
      <c r="P51" s="2427"/>
      <c r="Q51" s="2917"/>
      <c r="R51" s="2427"/>
      <c r="S51" s="2917"/>
    </row>
    <row r="52" spans="1:19" s="91" customFormat="1">
      <c r="A52" s="2922"/>
      <c r="B52" s="2545"/>
      <c r="C52" s="2445"/>
      <c r="D52" s="2433"/>
      <c r="E52" s="2546"/>
      <c r="F52" s="2547"/>
      <c r="G52" s="2432"/>
      <c r="H52" s="2427"/>
      <c r="I52" s="2912"/>
      <c r="J52" s="2427"/>
      <c r="K52" s="2917"/>
      <c r="L52" s="2427"/>
      <c r="M52" s="2917"/>
      <c r="N52" s="2427"/>
      <c r="O52" s="2917"/>
      <c r="P52" s="2427"/>
      <c r="Q52" s="2917"/>
      <c r="R52" s="2427"/>
      <c r="S52" s="2917"/>
    </row>
    <row r="53" spans="1:19" s="91" customFormat="1">
      <c r="A53" s="2922"/>
      <c r="B53" s="2545"/>
      <c r="C53" s="2445"/>
      <c r="D53" s="2433"/>
      <c r="E53" s="2546"/>
      <c r="F53" s="2547"/>
      <c r="G53" s="2432"/>
      <c r="H53" s="2427"/>
      <c r="I53" s="2912"/>
      <c r="J53" s="2427"/>
      <c r="K53" s="2917"/>
      <c r="L53" s="2427"/>
      <c r="M53" s="2917"/>
      <c r="N53" s="2427"/>
      <c r="O53" s="2917"/>
      <c r="P53" s="2427"/>
      <c r="Q53" s="2917"/>
      <c r="R53" s="2427"/>
      <c r="S53" s="2917"/>
    </row>
    <row r="54" spans="1:19" s="91" customFormat="1">
      <c r="A54" s="2922"/>
      <c r="B54" s="2545"/>
      <c r="C54" s="2445"/>
      <c r="D54" s="2433"/>
      <c r="E54" s="2546"/>
      <c r="F54" s="2547"/>
      <c r="G54" s="2432"/>
      <c r="H54" s="2427"/>
      <c r="I54" s="2912"/>
      <c r="J54" s="2427"/>
      <c r="K54" s="2917"/>
      <c r="L54" s="2427"/>
      <c r="M54" s="2917"/>
      <c r="N54" s="2427"/>
      <c r="O54" s="2917"/>
      <c r="P54" s="2427"/>
      <c r="Q54" s="2917"/>
      <c r="R54" s="2427"/>
      <c r="S54" s="2917"/>
    </row>
    <row r="55" spans="1:19" ht="15.75" thickBot="1">
      <c r="A55" s="2685"/>
      <c r="B55" s="2686"/>
      <c r="C55" s="2426"/>
      <c r="D55" s="2405"/>
      <c r="E55" s="2405"/>
      <c r="F55" s="2405"/>
      <c r="G55" s="2423"/>
      <c r="H55" s="2427"/>
      <c r="I55" s="2913"/>
      <c r="J55" s="2427"/>
      <c r="K55" s="2913"/>
      <c r="L55" s="2427"/>
      <c r="M55" s="2913"/>
      <c r="N55" s="2427"/>
      <c r="O55" s="2913"/>
      <c r="P55" s="2427"/>
      <c r="Q55" s="2913"/>
      <c r="R55" s="2427"/>
      <c r="S55" s="2913"/>
    </row>
    <row r="56" spans="1:19" ht="15.75" thickTop="1">
      <c r="A56" s="14"/>
      <c r="B56" s="15"/>
      <c r="C56" s="16"/>
      <c r="D56" s="16"/>
      <c r="E56" s="17"/>
      <c r="F56" s="18" t="s">
        <v>567</v>
      </c>
      <c r="G56" s="19"/>
      <c r="H56" s="20"/>
      <c r="I56" s="61">
        <f>SUM(I23:I55)</f>
        <v>0</v>
      </c>
      <c r="J56" s="20"/>
      <c r="K56" s="61">
        <f>SUM(K23:K55)</f>
        <v>0</v>
      </c>
      <c r="L56" s="20"/>
      <c r="M56" s="61">
        <f>SUM(M23:M55)</f>
        <v>0</v>
      </c>
      <c r="N56" s="20"/>
      <c r="O56" s="61">
        <f>SUM(O23:O55)</f>
        <v>0</v>
      </c>
      <c r="P56" s="20"/>
      <c r="Q56" s="61">
        <f>SUM(Q23:Q55)</f>
        <v>0</v>
      </c>
      <c r="R56" s="20"/>
      <c r="S56" s="61">
        <f>SUM(S23:S55)</f>
        <v>0</v>
      </c>
    </row>
    <row r="57" spans="1:19">
      <c r="A57" s="2358"/>
      <c r="B57" s="2359"/>
      <c r="C57" s="2360"/>
      <c r="D57" s="2360"/>
      <c r="E57" s="2361"/>
      <c r="F57" s="2362" t="s">
        <v>568</v>
      </c>
      <c r="G57" s="2363"/>
      <c r="H57" s="2364">
        <v>0</v>
      </c>
      <c r="I57" s="2460"/>
      <c r="J57" s="2364">
        <v>0</v>
      </c>
      <c r="K57" s="2460"/>
      <c r="L57" s="2364">
        <v>0</v>
      </c>
      <c r="M57" s="2460"/>
      <c r="N57" s="2364">
        <v>0</v>
      </c>
      <c r="O57" s="2460"/>
      <c r="P57" s="2364">
        <v>0</v>
      </c>
      <c r="Q57" s="2460"/>
      <c r="R57" s="2364">
        <v>0</v>
      </c>
      <c r="S57" s="2460"/>
    </row>
    <row r="58" spans="1:19">
      <c r="A58" s="2358"/>
      <c r="B58" s="2359"/>
      <c r="C58" s="2360"/>
      <c r="D58" s="2360"/>
      <c r="E58" s="2361"/>
      <c r="F58" s="2362" t="s">
        <v>569</v>
      </c>
      <c r="G58" s="2363"/>
      <c r="H58" s="2366"/>
      <c r="I58" s="2462">
        <f>H57*I56</f>
        <v>0</v>
      </c>
      <c r="J58" s="2366"/>
      <c r="K58" s="2462">
        <f>J57*K56</f>
        <v>0</v>
      </c>
      <c r="L58" s="2366"/>
      <c r="M58" s="2462">
        <f>L57*M56</f>
        <v>0</v>
      </c>
      <c r="N58" s="2366"/>
      <c r="O58" s="2462">
        <f>N57*O56</f>
        <v>0</v>
      </c>
      <c r="P58" s="2366"/>
      <c r="Q58" s="2462">
        <f>P57*Q56</f>
        <v>0</v>
      </c>
      <c r="R58" s="2366"/>
      <c r="S58" s="2462">
        <f>R57*S56</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0</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ht="15.75" thickBot="1">
      <c r="A63" s="2358"/>
      <c r="B63" s="2359"/>
      <c r="C63" s="2360"/>
      <c r="D63" s="2360"/>
      <c r="E63" s="2361"/>
      <c r="F63" s="2362"/>
      <c r="G63" s="2375"/>
      <c r="H63" s="2376"/>
      <c r="I63" s="2377"/>
      <c r="J63" s="2376"/>
      <c r="K63" s="2377"/>
      <c r="L63" s="2376"/>
      <c r="M63" s="2377"/>
      <c r="N63" s="2376"/>
      <c r="O63" s="2377"/>
      <c r="P63" s="2376"/>
      <c r="Q63" s="2377"/>
      <c r="R63" s="2376"/>
      <c r="S63" s="2377"/>
    </row>
    <row r="64" spans="1:19" ht="16.5" thickTop="1" thickBot="1">
      <c r="A64" s="726" t="s">
        <v>573</v>
      </c>
      <c r="B64" s="727"/>
      <c r="C64" s="12"/>
      <c r="D64" s="12"/>
      <c r="E64" s="12"/>
      <c r="F64" s="12"/>
      <c r="G64" s="13"/>
      <c r="H64" s="21"/>
      <c r="I64" s="21"/>
      <c r="J64" s="21"/>
      <c r="K64" s="21"/>
      <c r="L64" s="21"/>
      <c r="M64" s="21"/>
      <c r="N64" s="21"/>
      <c r="O64" s="21"/>
      <c r="P64" s="21"/>
      <c r="Q64" s="21"/>
      <c r="R64" s="21"/>
      <c r="S64" s="21"/>
    </row>
    <row r="65" spans="1:19" ht="15.75" thickTop="1">
      <c r="A65" s="2923"/>
      <c r="B65" s="2404"/>
      <c r="C65" s="2924"/>
      <c r="D65" s="2924"/>
      <c r="E65" s="2924"/>
      <c r="F65" s="2924"/>
      <c r="G65" s="2925"/>
      <c r="H65" s="2926"/>
      <c r="I65" s="2926"/>
      <c r="J65" s="2926"/>
      <c r="K65" s="2926"/>
      <c r="L65" s="2926"/>
      <c r="M65" s="2926"/>
      <c r="N65" s="2926"/>
      <c r="O65" s="2926"/>
      <c r="P65" s="2926"/>
      <c r="Q65" s="2926"/>
      <c r="R65" s="2926"/>
      <c r="S65" s="2926"/>
    </row>
    <row r="66" spans="1:19" s="2" customFormat="1">
      <c r="A66" s="2923"/>
      <c r="B66" s="2404"/>
      <c r="C66" s="2924"/>
      <c r="D66" s="2924"/>
      <c r="E66" s="2924"/>
      <c r="F66" s="2924"/>
      <c r="G66" s="2925"/>
      <c r="H66" s="2926"/>
      <c r="I66" s="2926"/>
      <c r="J66" s="2926"/>
      <c r="K66" s="2926"/>
      <c r="L66" s="2926"/>
      <c r="M66" s="2926"/>
      <c r="N66" s="2926"/>
      <c r="O66" s="2926"/>
      <c r="P66" s="2926"/>
      <c r="Q66" s="2926"/>
      <c r="R66" s="2926"/>
      <c r="S66" s="2926"/>
    </row>
    <row r="67" spans="1:19" s="2" customFormat="1" ht="15.75" thickBot="1">
      <c r="A67" s="2923"/>
      <c r="B67" s="2404"/>
      <c r="C67" s="2924"/>
      <c r="D67" s="2924"/>
      <c r="E67" s="2924"/>
      <c r="F67" s="2924"/>
      <c r="G67" s="2925"/>
      <c r="H67" s="2926"/>
      <c r="I67" s="2926"/>
      <c r="J67" s="2926"/>
      <c r="K67" s="2926"/>
      <c r="L67" s="2926"/>
      <c r="M67" s="2926"/>
      <c r="N67" s="2926"/>
      <c r="O67" s="2926"/>
      <c r="P67" s="2926"/>
      <c r="Q67" s="2926"/>
      <c r="R67" s="2926"/>
      <c r="S67" s="2926"/>
    </row>
    <row r="68" spans="1:19" ht="16.5" thickTop="1" thickBot="1">
      <c r="A68" s="726" t="s">
        <v>574</v>
      </c>
      <c r="B68" s="727"/>
      <c r="C68" s="12"/>
      <c r="D68" s="12"/>
      <c r="E68" s="12"/>
      <c r="F68" s="12"/>
      <c r="G68" s="13"/>
      <c r="H68" s="21"/>
      <c r="I68" s="21"/>
      <c r="J68" s="21"/>
      <c r="K68" s="21"/>
      <c r="L68" s="21"/>
      <c r="M68" s="21"/>
      <c r="N68" s="21"/>
      <c r="O68" s="21"/>
      <c r="P68" s="21"/>
      <c r="Q68" s="21"/>
      <c r="R68" s="21"/>
      <c r="S68" s="21"/>
    </row>
    <row r="69" spans="1:19" s="2" customFormat="1" ht="15.75" thickTop="1">
      <c r="A69" s="2923"/>
      <c r="B69" s="2404"/>
      <c r="C69" s="2924"/>
      <c r="D69" s="2924"/>
      <c r="E69" s="2924"/>
      <c r="F69" s="2924"/>
      <c r="G69" s="2925"/>
      <c r="H69" s="2926"/>
      <c r="I69" s="2926"/>
      <c r="J69" s="2926"/>
      <c r="K69" s="2926"/>
      <c r="L69" s="2926"/>
      <c r="M69" s="2926"/>
      <c r="N69" s="2926"/>
      <c r="O69" s="2926"/>
      <c r="P69" s="2926"/>
      <c r="Q69" s="2926"/>
      <c r="R69" s="2926"/>
      <c r="S69" s="2926"/>
    </row>
    <row r="70" spans="1:19" s="2" customFormat="1">
      <c r="A70" s="2923"/>
      <c r="B70" s="2404"/>
      <c r="C70" s="2924"/>
      <c r="D70" s="2924"/>
      <c r="E70" s="2924"/>
      <c r="F70" s="2924"/>
      <c r="G70" s="2925"/>
      <c r="H70" s="2926"/>
      <c r="I70" s="2926"/>
      <c r="J70" s="2926"/>
      <c r="K70" s="2926"/>
      <c r="L70" s="2926"/>
      <c r="M70" s="2926"/>
      <c r="N70" s="2926"/>
      <c r="O70" s="2926"/>
      <c r="P70" s="2926"/>
      <c r="Q70" s="2926"/>
      <c r="R70" s="2926"/>
      <c r="S70" s="2926"/>
    </row>
    <row r="71" spans="1:19" ht="15.75" thickBot="1">
      <c r="A71" s="2923"/>
      <c r="B71" s="2404"/>
      <c r="C71" s="2924"/>
      <c r="D71" s="2924"/>
      <c r="E71" s="2924"/>
      <c r="F71" s="2924"/>
      <c r="G71" s="2925"/>
      <c r="H71" s="2926"/>
      <c r="I71" s="2926"/>
      <c r="J71" s="2926"/>
      <c r="K71" s="2926"/>
      <c r="L71" s="2926"/>
      <c r="M71" s="2926"/>
      <c r="N71" s="2926"/>
      <c r="O71" s="2926"/>
      <c r="P71" s="2926"/>
      <c r="Q71" s="2926"/>
      <c r="R71" s="2926"/>
      <c r="S71" s="2926"/>
    </row>
    <row r="72" spans="1:19" ht="16.5" thickTop="1" thickBot="1">
      <c r="A72" s="726" t="s">
        <v>575</v>
      </c>
      <c r="B72" s="727"/>
      <c r="C72" s="12"/>
      <c r="D72" s="12"/>
      <c r="E72" s="12"/>
      <c r="F72" s="12"/>
      <c r="G72" s="13"/>
      <c r="H72" s="21"/>
      <c r="I72" s="21"/>
      <c r="J72" s="21"/>
      <c r="K72" s="21"/>
      <c r="L72" s="21"/>
      <c r="M72" s="21"/>
      <c r="N72" s="21"/>
      <c r="O72" s="21"/>
      <c r="P72" s="21"/>
      <c r="Q72" s="21"/>
      <c r="R72" s="21"/>
      <c r="S72" s="21"/>
    </row>
    <row r="73" spans="1:19" ht="15.75" thickTop="1">
      <c r="A73" s="2923"/>
      <c r="B73" s="2404"/>
      <c r="C73" s="2924"/>
      <c r="D73" s="2924"/>
      <c r="E73" s="2924"/>
      <c r="F73" s="2924"/>
      <c r="G73" s="2925"/>
      <c r="H73" s="2926"/>
      <c r="I73" s="2926"/>
      <c r="J73" s="2926"/>
      <c r="K73" s="2926"/>
      <c r="L73" s="2926"/>
      <c r="M73" s="2926"/>
      <c r="N73" s="2926"/>
      <c r="O73" s="2926"/>
      <c r="P73" s="2926"/>
      <c r="Q73" s="2926"/>
      <c r="R73" s="2926"/>
      <c r="S73" s="2926"/>
    </row>
    <row r="74" spans="1:19">
      <c r="A74" s="2421"/>
      <c r="B74" s="2404"/>
      <c r="C74" s="2405"/>
      <c r="D74" s="2405"/>
      <c r="E74" s="2405"/>
      <c r="F74" s="2405"/>
      <c r="G74" s="2423"/>
      <c r="H74" s="2382"/>
      <c r="I74" s="2382"/>
      <c r="J74" s="2382"/>
      <c r="K74" s="2382"/>
      <c r="L74" s="2382"/>
      <c r="M74" s="2382"/>
      <c r="N74" s="2382"/>
      <c r="O74" s="2382"/>
      <c r="P74" s="2382"/>
      <c r="Q74" s="2382"/>
      <c r="R74" s="2382"/>
      <c r="S74" s="2382"/>
    </row>
    <row r="75" spans="1:19" ht="15.75" thickBot="1">
      <c r="A75" s="2383"/>
      <c r="B75" s="2384"/>
      <c r="C75" s="2405"/>
      <c r="D75" s="2405"/>
      <c r="E75" s="2405"/>
      <c r="F75" s="2405"/>
      <c r="G75" s="2423"/>
      <c r="H75" s="2385"/>
      <c r="I75" s="2385"/>
      <c r="J75" s="2385"/>
      <c r="K75" s="2385"/>
      <c r="L75" s="2385"/>
      <c r="M75" s="2385"/>
      <c r="N75" s="2385"/>
      <c r="O75" s="2385"/>
      <c r="P75" s="2385"/>
      <c r="Q75" s="2385"/>
      <c r="R75" s="2385"/>
      <c r="S75" s="2385"/>
    </row>
    <row r="76" spans="1:19" ht="16.5" thickTop="1" thickBot="1">
      <c r="A76" s="726" t="s">
        <v>576</v>
      </c>
      <c r="B76" s="727"/>
      <c r="C76" s="12"/>
      <c r="D76" s="12"/>
      <c r="E76" s="12"/>
      <c r="F76" s="12"/>
      <c r="G76" s="13"/>
      <c r="H76" s="21"/>
      <c r="I76" s="21"/>
      <c r="J76" s="21"/>
      <c r="K76" s="21"/>
      <c r="L76" s="21"/>
      <c r="M76" s="21"/>
      <c r="N76" s="21"/>
      <c r="O76" s="21"/>
      <c r="P76" s="21"/>
      <c r="Q76" s="21"/>
      <c r="R76" s="21"/>
      <c r="S76" s="21"/>
    </row>
    <row r="77" spans="1:19" ht="15.75" thickTop="1">
      <c r="A77" s="2927"/>
      <c r="B77" s="2928"/>
      <c r="C77" s="2924"/>
      <c r="D77" s="2924"/>
      <c r="E77" s="2924"/>
      <c r="F77" s="2924"/>
      <c r="G77" s="2925"/>
      <c r="H77" s="2926"/>
      <c r="I77" s="2926"/>
      <c r="J77" s="2926"/>
      <c r="K77" s="2926"/>
      <c r="L77" s="2926"/>
      <c r="M77" s="2926"/>
      <c r="N77" s="2926"/>
      <c r="O77" s="2926"/>
      <c r="P77" s="2926"/>
      <c r="Q77" s="2926"/>
      <c r="R77" s="2926"/>
      <c r="S77" s="2926"/>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ht="15.75" thickBot="1">
      <c r="A79" s="2383"/>
      <c r="B79" s="2384"/>
      <c r="C79" s="2405"/>
      <c r="D79" s="2405"/>
      <c r="E79" s="2405"/>
      <c r="F79" s="2405"/>
      <c r="G79" s="2423"/>
      <c r="H79" s="2388"/>
      <c r="I79" s="2388"/>
      <c r="J79" s="2388"/>
      <c r="K79" s="2388"/>
      <c r="L79" s="2388"/>
      <c r="M79" s="2388"/>
      <c r="N79" s="2388"/>
      <c r="O79" s="2388"/>
      <c r="P79" s="2388"/>
      <c r="Q79" s="2388"/>
      <c r="R79" s="2388"/>
      <c r="S79" s="2388"/>
    </row>
    <row r="80" spans="1:19" ht="16.5" thickTop="1" thickBot="1">
      <c r="A80" s="726" t="s">
        <v>577</v>
      </c>
      <c r="B80" s="727"/>
      <c r="C80" s="12"/>
      <c r="D80" s="12"/>
      <c r="E80" s="12"/>
      <c r="F80" s="12"/>
      <c r="G80" s="13"/>
      <c r="H80" s="21"/>
      <c r="I80" s="21"/>
      <c r="J80" s="21"/>
      <c r="K80" s="21"/>
      <c r="L80" s="21"/>
      <c r="M80" s="21"/>
      <c r="N80" s="21"/>
      <c r="O80" s="21"/>
      <c r="P80" s="21"/>
      <c r="Q80" s="21"/>
      <c r="R80" s="21"/>
      <c r="S80" s="21"/>
    </row>
    <row r="81" spans="1:19" ht="15.75" thickTop="1">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ht="15.75" thickBot="1">
      <c r="A85" s="416"/>
      <c r="B85" s="295"/>
      <c r="C85" s="184"/>
      <c r="D85" s="184"/>
      <c r="E85" s="184"/>
      <c r="F85" s="184"/>
      <c r="G85" s="296"/>
      <c r="H85" s="418"/>
      <c r="I85" s="418"/>
      <c r="J85" s="418"/>
      <c r="K85" s="418"/>
      <c r="L85" s="418"/>
      <c r="M85" s="418"/>
      <c r="N85" s="418"/>
      <c r="O85" s="418"/>
      <c r="P85" s="418"/>
      <c r="Q85" s="418"/>
      <c r="R85" s="418"/>
      <c r="S85" s="418"/>
    </row>
    <row r="86" spans="1:19" ht="16.5" thickTop="1" thickBot="1">
      <c r="A86" s="7" t="s">
        <v>582</v>
      </c>
      <c r="B86" s="8"/>
      <c r="C86" s="12"/>
      <c r="D86" s="12"/>
      <c r="E86" s="12"/>
      <c r="F86" s="12"/>
      <c r="G86" s="13"/>
      <c r="H86" s="21"/>
      <c r="I86" s="21"/>
      <c r="J86" s="21"/>
      <c r="K86" s="21"/>
      <c r="L86" s="21"/>
      <c r="M86" s="21"/>
      <c r="N86" s="21"/>
      <c r="O86" s="21"/>
      <c r="P86" s="21"/>
      <c r="Q86" s="21"/>
      <c r="R86" s="21"/>
      <c r="S86" s="21"/>
    </row>
    <row r="87" spans="1:19" ht="15.75" thickTop="1">
      <c r="A87" s="2923"/>
      <c r="B87" s="2929" t="s">
        <v>583</v>
      </c>
      <c r="C87" s="2924"/>
      <c r="D87" s="2924"/>
      <c r="E87" s="2924"/>
      <c r="F87" s="2924"/>
      <c r="G87" s="2925"/>
      <c r="H87" s="2930"/>
      <c r="I87" s="2930"/>
      <c r="J87" s="2930"/>
      <c r="K87" s="2930"/>
      <c r="L87" s="2930"/>
      <c r="M87" s="2930"/>
      <c r="N87" s="2930"/>
      <c r="O87" s="2930"/>
      <c r="P87" s="2930"/>
      <c r="Q87" s="2930"/>
      <c r="R87" s="2930"/>
      <c r="S87" s="2930"/>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ht="15.75" thickBot="1">
      <c r="A89" s="2391"/>
      <c r="B89" s="2392" t="s">
        <v>585</v>
      </c>
      <c r="C89" s="2393"/>
      <c r="D89" s="2393"/>
      <c r="E89" s="2393"/>
      <c r="F89" s="2393"/>
      <c r="G89" s="2394"/>
      <c r="H89" s="2395"/>
      <c r="I89" s="2395"/>
      <c r="J89" s="2395"/>
      <c r="K89" s="2395"/>
      <c r="L89" s="2395"/>
      <c r="M89" s="2395"/>
      <c r="N89" s="2395"/>
      <c r="O89" s="2395"/>
      <c r="P89" s="2395"/>
      <c r="Q89" s="2395"/>
      <c r="R89" s="2395"/>
      <c r="S89" s="2395"/>
    </row>
    <row r="90" spans="1:19" ht="16.5" thickTop="1" thickBot="1"/>
    <row r="91" spans="1:19" ht="16.5" thickTop="1" thickBot="1">
      <c r="A91" s="92" t="s">
        <v>586</v>
      </c>
      <c r="B91" s="94"/>
    </row>
    <row r="92" spans="1:19" ht="15.75" thickTop="1">
      <c r="A92" s="93" t="s">
        <v>487</v>
      </c>
      <c r="B92" s="2396"/>
    </row>
    <row r="93" spans="1:19">
      <c r="A93" s="2397" t="s">
        <v>491</v>
      </c>
      <c r="B93" s="2396"/>
    </row>
    <row r="94" spans="1:19">
      <c r="A94" s="2398" t="s">
        <v>494</v>
      </c>
      <c r="B94" s="2399"/>
    </row>
    <row r="95" spans="1:19">
      <c r="A95" s="2398" t="s">
        <v>497</v>
      </c>
      <c r="B95" s="2400"/>
    </row>
    <row r="96" spans="1:19" ht="15.75" thickBot="1">
      <c r="A96" s="2401" t="s">
        <v>587</v>
      </c>
      <c r="B96" s="2402"/>
    </row>
    <row r="97" spans="1:2" ht="15.75" thickTop="1"/>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0:H30">
    <cfRule type="cellIs" dxfId="315" priority="23" operator="equal">
      <formula>"X"</formula>
    </cfRule>
    <cfRule type="cellIs" dxfId="314" priority="24" operator="equal">
      <formula>"I"</formula>
    </cfRule>
  </conditionalFormatting>
  <conditionalFormatting sqref="H32:H55">
    <cfRule type="cellIs" dxfId="313" priority="1" operator="equal">
      <formula>"X"</formula>
    </cfRule>
    <cfRule type="cellIs" dxfId="312" priority="2" operator="equal">
      <formula>"I"</formula>
    </cfRule>
  </conditionalFormatting>
  <conditionalFormatting sqref="J20:J30">
    <cfRule type="cellIs" dxfId="311" priority="21" operator="equal">
      <formula>"X"</formula>
    </cfRule>
    <cfRule type="cellIs" dxfId="310" priority="22" operator="equal">
      <formula>"I"</formula>
    </cfRule>
  </conditionalFormatting>
  <conditionalFormatting sqref="J32:J55">
    <cfRule type="cellIs" dxfId="309" priority="3" operator="equal">
      <formula>"X"</formula>
    </cfRule>
    <cfRule type="cellIs" dxfId="308" priority="4" operator="equal">
      <formula>"I"</formula>
    </cfRule>
  </conditionalFormatting>
  <conditionalFormatting sqref="L20:L30">
    <cfRule type="cellIs" dxfId="307" priority="19" operator="equal">
      <formula>"X"</formula>
    </cfRule>
    <cfRule type="cellIs" dxfId="306" priority="20" operator="equal">
      <formula>"I"</formula>
    </cfRule>
  </conditionalFormatting>
  <conditionalFormatting sqref="L32:L55">
    <cfRule type="cellIs" dxfId="305" priority="5" operator="equal">
      <formula>"X"</formula>
    </cfRule>
    <cfRule type="cellIs" dxfId="304" priority="6" operator="equal">
      <formula>"I"</formula>
    </cfRule>
  </conditionalFormatting>
  <conditionalFormatting sqref="N20:N30">
    <cfRule type="cellIs" dxfId="303" priority="17" operator="equal">
      <formula>"X"</formula>
    </cfRule>
    <cfRule type="cellIs" dxfId="302" priority="18" operator="equal">
      <formula>"I"</formula>
    </cfRule>
  </conditionalFormatting>
  <conditionalFormatting sqref="N32:N55">
    <cfRule type="cellIs" dxfId="301" priority="7" operator="equal">
      <formula>"X"</formula>
    </cfRule>
    <cfRule type="cellIs" dxfId="300" priority="8" operator="equal">
      <formula>"I"</formula>
    </cfRule>
  </conditionalFormatting>
  <conditionalFormatting sqref="P20:P30">
    <cfRule type="cellIs" dxfId="299" priority="15" operator="equal">
      <formula>"X"</formula>
    </cfRule>
    <cfRule type="cellIs" dxfId="298" priority="16" operator="equal">
      <formula>"I"</formula>
    </cfRule>
  </conditionalFormatting>
  <conditionalFormatting sqref="P32:P55">
    <cfRule type="cellIs" dxfId="297" priority="9" operator="equal">
      <formula>"X"</formula>
    </cfRule>
    <cfRule type="cellIs" dxfId="296" priority="10" operator="equal">
      <formula>"I"</formula>
    </cfRule>
  </conditionalFormatting>
  <conditionalFormatting sqref="R20:R30">
    <cfRule type="cellIs" dxfId="295" priority="13" operator="equal">
      <formula>"X"</formula>
    </cfRule>
    <cfRule type="cellIs" dxfId="294" priority="14" operator="equal">
      <formula>"I"</formula>
    </cfRule>
  </conditionalFormatting>
  <conditionalFormatting sqref="R32:R55">
    <cfRule type="cellIs" dxfId="293" priority="11" operator="equal">
      <formula>"X"</formula>
    </cfRule>
    <cfRule type="cellIs" dxfId="292" priority="12" operator="equal">
      <formula>"I"</formula>
    </cfRule>
  </conditionalFormatting>
  <hyperlinks>
    <hyperlink ref="B3" location="'Cost Summary'!A1" display="BACK TO SUMMARY SHEET" xr:uid="{E30DF736-9787-4A00-BE6C-23B8505BAB58}"/>
  </hyperlinks>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7DEA-3ACB-4080-9874-3EAD46B7C00D}">
  <dimension ref="A1:S97"/>
  <sheetViews>
    <sheetView workbookViewId="0">
      <pane xSplit="2" ySplit="9" topLeftCell="F46" activePane="bottomRight" state="frozen"/>
      <selection pane="bottomRight" activeCell="I59" sqref="I59:I60"/>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c r="G2" s="147" t="s">
        <v>476</v>
      </c>
      <c r="H2" s="732"/>
      <c r="I2" s="732"/>
      <c r="J2" s="732"/>
      <c r="K2" s="732"/>
      <c r="L2" s="732"/>
      <c r="M2" s="732"/>
      <c r="N2" s="732"/>
      <c r="O2" s="732"/>
      <c r="P2" s="732"/>
      <c r="Q2" s="732"/>
      <c r="R2" s="732"/>
      <c r="S2" s="732"/>
    </row>
    <row r="3" spans="1:19" ht="21" thickBot="1">
      <c r="B3" s="161" t="s">
        <v>477</v>
      </c>
      <c r="E3" s="175"/>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81"/>
      <c r="K4" s="729"/>
      <c r="L4" s="781"/>
      <c r="M4" s="729"/>
      <c r="N4" s="781"/>
      <c r="O4" s="729"/>
      <c r="P4" s="781"/>
      <c r="Q4" s="729"/>
      <c r="R4" s="781"/>
      <c r="S4" s="729"/>
    </row>
    <row r="5" spans="1:19">
      <c r="A5" s="2403" t="s">
        <v>489</v>
      </c>
      <c r="B5" s="2404" t="s">
        <v>1227</v>
      </c>
      <c r="C5" s="2405"/>
      <c r="D5" s="2405"/>
      <c r="E5" s="2405"/>
      <c r="F5" s="2405"/>
      <c r="G5" s="2406" t="s">
        <v>491</v>
      </c>
      <c r="H5" s="2407"/>
      <c r="I5" s="2408"/>
      <c r="J5" s="2533"/>
      <c r="K5" s="2408"/>
      <c r="L5" s="2533"/>
      <c r="M5" s="2408"/>
      <c r="N5" s="2533"/>
      <c r="O5" s="2408"/>
      <c r="P5" s="2533"/>
      <c r="Q5" s="2408"/>
      <c r="R5" s="2533"/>
      <c r="S5" s="2408"/>
    </row>
    <row r="6" spans="1:19">
      <c r="A6" s="2403" t="s">
        <v>493</v>
      </c>
      <c r="B6" s="2410" t="s">
        <v>1228</v>
      </c>
      <c r="C6" s="2405"/>
      <c r="D6" s="2405"/>
      <c r="E6" s="2405"/>
      <c r="F6" s="2405"/>
      <c r="G6" s="2406" t="s">
        <v>494</v>
      </c>
      <c r="H6" s="2411"/>
      <c r="I6" s="2412"/>
      <c r="J6" s="2534"/>
      <c r="K6" s="2412"/>
      <c r="L6" s="2534"/>
      <c r="M6" s="2412"/>
      <c r="N6" s="2534"/>
      <c r="O6" s="2412"/>
      <c r="P6" s="2534"/>
      <c r="Q6" s="2412"/>
      <c r="R6" s="2534"/>
      <c r="S6" s="2412"/>
    </row>
    <row r="7" spans="1:19">
      <c r="A7" s="2403" t="s">
        <v>496</v>
      </c>
      <c r="B7" s="2414"/>
      <c r="C7" s="2405"/>
      <c r="D7" s="2405"/>
      <c r="E7" s="2405"/>
      <c r="F7" s="2405"/>
      <c r="G7" s="2406" t="s">
        <v>497</v>
      </c>
      <c r="H7" s="2415"/>
      <c r="I7" s="2416"/>
      <c r="J7" s="2535"/>
      <c r="K7" s="2416"/>
      <c r="L7" s="2535"/>
      <c r="M7" s="2416"/>
      <c r="N7" s="2535"/>
      <c r="O7" s="2416"/>
      <c r="P7" s="2535"/>
      <c r="Q7" s="2416"/>
      <c r="R7" s="2535"/>
      <c r="S7" s="2416"/>
    </row>
    <row r="8" spans="1:19" ht="15.75" thickBot="1">
      <c r="A8" s="414" t="s">
        <v>499</v>
      </c>
      <c r="B8" s="295"/>
      <c r="C8" s="184"/>
      <c r="D8" s="184"/>
      <c r="E8" s="184"/>
      <c r="F8" s="184"/>
      <c r="G8" s="414" t="s">
        <v>499</v>
      </c>
      <c r="H8" s="2418">
        <f>I58</f>
        <v>0</v>
      </c>
      <c r="I8" s="2419"/>
      <c r="J8" s="2418">
        <f>K58</f>
        <v>0</v>
      </c>
      <c r="K8" s="2419"/>
      <c r="L8" s="2418">
        <f>M58</f>
        <v>0</v>
      </c>
      <c r="M8" s="2419"/>
      <c r="N8" s="2418">
        <f>O58</f>
        <v>0</v>
      </c>
      <c r="O8" s="2419"/>
      <c r="P8" s="2418">
        <f>Q58</f>
        <v>0</v>
      </c>
      <c r="Q8" s="2419"/>
      <c r="R8" s="2418">
        <f>S58</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93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932"/>
      <c r="B20" s="2404"/>
      <c r="C20" s="2426"/>
      <c r="D20" s="2405"/>
      <c r="E20" s="2405"/>
      <c r="F20" s="2405"/>
      <c r="G20" s="2423"/>
      <c r="H20" s="2424"/>
      <c r="I20" s="2424"/>
      <c r="J20" s="2424"/>
      <c r="K20" s="2424"/>
      <c r="L20" s="2424"/>
      <c r="M20" s="2424"/>
      <c r="N20" s="2424"/>
      <c r="O20" s="2424"/>
      <c r="P20" s="2424"/>
      <c r="Q20" s="2424"/>
      <c r="R20" s="2424"/>
      <c r="S20" s="2424"/>
    </row>
    <row r="21" spans="1:19" ht="15.75" thickBot="1">
      <c r="A21" s="2933"/>
      <c r="B21" s="2428" t="s">
        <v>1227</v>
      </c>
      <c r="C21" s="56"/>
      <c r="D21" s="57"/>
      <c r="E21" s="57"/>
      <c r="F21" s="57"/>
      <c r="G21" s="63"/>
      <c r="H21" s="2537"/>
      <c r="I21" s="2934"/>
      <c r="J21" s="2537"/>
      <c r="K21" s="2935"/>
      <c r="L21" s="2537"/>
      <c r="M21" s="2935"/>
      <c r="N21" s="2935"/>
      <c r="O21" s="2935"/>
      <c r="P21" s="2935"/>
      <c r="Q21" s="2935"/>
      <c r="R21" s="2935"/>
      <c r="S21" s="2935"/>
    </row>
    <row r="22" spans="1:19">
      <c r="A22" s="2933"/>
      <c r="B22" s="2318" t="s">
        <v>512</v>
      </c>
      <c r="C22" s="2426"/>
      <c r="D22" s="2405"/>
      <c r="E22" s="2405"/>
      <c r="F22" s="2405"/>
      <c r="G22" s="2423"/>
      <c r="H22" s="2537"/>
      <c r="I22" s="2934"/>
      <c r="J22" s="2537"/>
      <c r="K22" s="2935"/>
      <c r="L22" s="2537"/>
      <c r="M22" s="2935"/>
      <c r="N22" s="2935"/>
      <c r="O22" s="2935"/>
      <c r="P22" s="2935"/>
      <c r="Q22" s="2935"/>
      <c r="R22" s="2935"/>
      <c r="S22" s="2935"/>
    </row>
    <row r="23" spans="1:19">
      <c r="A23" s="2933"/>
      <c r="B23" s="2915" t="s">
        <v>513</v>
      </c>
      <c r="C23" s="2426"/>
      <c r="D23" s="2405"/>
      <c r="E23" s="2405"/>
      <c r="F23" s="2405"/>
      <c r="G23" s="2423"/>
      <c r="H23" s="2537"/>
      <c r="I23" s="2934"/>
      <c r="J23" s="2537"/>
      <c r="K23" s="2935"/>
      <c r="L23" s="2537"/>
      <c r="M23" s="2935"/>
      <c r="N23" s="2935"/>
      <c r="O23" s="2935"/>
      <c r="P23" s="2935"/>
      <c r="Q23" s="2935"/>
      <c r="R23" s="2935"/>
      <c r="S23" s="2935"/>
    </row>
    <row r="24" spans="1:19">
      <c r="A24" s="2933"/>
      <c r="B24" s="2915" t="s">
        <v>514</v>
      </c>
      <c r="C24" s="2430"/>
      <c r="D24" s="2405"/>
      <c r="E24" s="2405"/>
      <c r="F24" s="2405"/>
      <c r="G24" s="2423"/>
      <c r="H24" s="2537"/>
      <c r="I24" s="2934"/>
      <c r="J24" s="2537"/>
      <c r="K24" s="2935"/>
      <c r="L24" s="2537"/>
      <c r="M24" s="2935"/>
      <c r="N24" s="2935"/>
      <c r="O24" s="2935"/>
      <c r="P24" s="2935"/>
      <c r="Q24" s="2935"/>
      <c r="R24" s="2935"/>
      <c r="S24" s="2935"/>
    </row>
    <row r="25" spans="1:19">
      <c r="A25" s="2932"/>
      <c r="B25" s="2916" t="s">
        <v>515</v>
      </c>
      <c r="C25" s="2430"/>
      <c r="D25" s="2405"/>
      <c r="E25" s="2405"/>
      <c r="F25" s="2405"/>
      <c r="G25" s="2423"/>
      <c r="H25" s="2537"/>
      <c r="I25" s="2934"/>
      <c r="J25" s="2537"/>
      <c r="K25" s="2935"/>
      <c r="L25" s="2537"/>
      <c r="M25" s="2935"/>
      <c r="N25" s="2935"/>
      <c r="O25" s="2935"/>
      <c r="P25" s="2935"/>
      <c r="Q25" s="2935"/>
      <c r="R25" s="2935"/>
      <c r="S25" s="2935"/>
    </row>
    <row r="26" spans="1:19" s="91" customFormat="1">
      <c r="A26" s="2933"/>
      <c r="B26" s="2916" t="s">
        <v>516</v>
      </c>
      <c r="C26" s="2432"/>
      <c r="D26" s="2433"/>
      <c r="E26" s="2433"/>
      <c r="F26" s="2433"/>
      <c r="G26" s="2432"/>
      <c r="H26" s="2537"/>
      <c r="I26" s="2934"/>
      <c r="J26" s="2539"/>
      <c r="K26" s="2917"/>
      <c r="L26" s="2539"/>
      <c r="M26" s="2917"/>
      <c r="N26" s="2917"/>
      <c r="O26" s="2917"/>
      <c r="P26" s="2917"/>
      <c r="Q26" s="2917"/>
      <c r="R26" s="2917"/>
      <c r="S26" s="2917"/>
    </row>
    <row r="27" spans="1:19" s="91" customFormat="1">
      <c r="A27" s="2933"/>
      <c r="B27" s="2916" t="s">
        <v>517</v>
      </c>
      <c r="C27" s="2432"/>
      <c r="D27" s="2433"/>
      <c r="E27" s="2433"/>
      <c r="F27" s="2433"/>
      <c r="G27" s="2432"/>
      <c r="H27" s="2537"/>
      <c r="I27" s="2934"/>
      <c r="J27" s="2539"/>
      <c r="K27" s="2917"/>
      <c r="L27" s="2539"/>
      <c r="M27" s="2917"/>
      <c r="N27" s="2917"/>
      <c r="O27" s="2917"/>
      <c r="P27" s="2917"/>
      <c r="Q27" s="2917"/>
      <c r="R27" s="2917"/>
      <c r="S27" s="2917"/>
    </row>
    <row r="28" spans="1:19" s="91" customFormat="1">
      <c r="A28" s="2933"/>
      <c r="B28" s="2916" t="s">
        <v>518</v>
      </c>
      <c r="C28" s="2432"/>
      <c r="D28" s="2433"/>
      <c r="E28" s="2433"/>
      <c r="F28" s="2433"/>
      <c r="G28" s="2432"/>
      <c r="H28" s="2537"/>
      <c r="I28" s="2934"/>
      <c r="J28" s="2539"/>
      <c r="K28" s="2917"/>
      <c r="L28" s="2539"/>
      <c r="M28" s="2917"/>
      <c r="N28" s="2917"/>
      <c r="O28" s="2917"/>
      <c r="P28" s="2917"/>
      <c r="Q28" s="2917"/>
      <c r="R28" s="2917"/>
      <c r="S28" s="2917"/>
    </row>
    <row r="29" spans="1:19" s="91" customFormat="1">
      <c r="A29" s="2933"/>
      <c r="B29" s="2918" t="s">
        <v>519</v>
      </c>
      <c r="C29" s="2432"/>
      <c r="D29" s="2433"/>
      <c r="E29" s="2433"/>
      <c r="F29" s="2433"/>
      <c r="G29" s="2432"/>
      <c r="H29" s="2537"/>
      <c r="I29" s="2537"/>
      <c r="J29" s="2539"/>
      <c r="K29" s="2917"/>
      <c r="L29" s="2539"/>
      <c r="M29" s="2917"/>
      <c r="N29" s="2917"/>
      <c r="O29" s="2917"/>
      <c r="P29" s="2917"/>
      <c r="Q29" s="2917"/>
      <c r="R29" s="2917"/>
      <c r="S29" s="2917"/>
    </row>
    <row r="30" spans="1:19" s="91" customFormat="1">
      <c r="A30" s="2933"/>
      <c r="B30" s="2919" t="s">
        <v>520</v>
      </c>
      <c r="C30" s="2435"/>
      <c r="D30" s="2436"/>
      <c r="E30" s="2436"/>
      <c r="F30" s="2436"/>
      <c r="G30" s="2435"/>
      <c r="H30" s="2439"/>
      <c r="I30" s="2920"/>
      <c r="J30" s="2443"/>
      <c r="K30" s="2921"/>
      <c r="L30" s="2443"/>
      <c r="M30" s="2921"/>
      <c r="N30" s="2921"/>
      <c r="O30" s="2921"/>
      <c r="P30" s="2921"/>
      <c r="Q30" s="2921"/>
      <c r="R30" s="2921"/>
      <c r="S30" s="2921"/>
    </row>
    <row r="31" spans="1:19" s="91" customFormat="1">
      <c r="A31" s="2933"/>
      <c r="B31" s="151"/>
      <c r="C31" s="2432"/>
      <c r="D31" s="2433"/>
      <c r="E31" s="2433"/>
      <c r="F31" s="2433"/>
      <c r="G31" s="2432"/>
      <c r="H31" s="2537"/>
      <c r="I31" s="2934"/>
      <c r="J31" s="2539"/>
      <c r="K31" s="2917"/>
      <c r="L31" s="2539"/>
      <c r="M31" s="2917"/>
      <c r="N31" s="2917"/>
      <c r="O31" s="2917"/>
      <c r="P31" s="2917"/>
      <c r="Q31" s="2917"/>
      <c r="R31" s="2917"/>
      <c r="S31" s="2917"/>
    </row>
    <row r="32" spans="1:19" s="91" customFormat="1">
      <c r="A32" s="2893"/>
      <c r="B32" s="2894"/>
      <c r="C32" s="2445"/>
      <c r="D32" s="2433"/>
      <c r="E32" s="2433"/>
      <c r="F32" s="2433"/>
      <c r="G32" s="2432"/>
      <c r="H32" s="2537"/>
      <c r="I32" s="2934"/>
      <c r="J32" s="2539"/>
      <c r="K32" s="2917"/>
      <c r="L32" s="2539"/>
      <c r="M32" s="2917"/>
      <c r="N32" s="2917"/>
      <c r="O32" s="2917"/>
      <c r="P32" s="2917"/>
      <c r="Q32" s="2917"/>
      <c r="R32" s="2917"/>
      <c r="S32" s="2917"/>
    </row>
    <row r="33" spans="1:19" s="91" customFormat="1">
      <c r="A33" s="2893"/>
      <c r="B33" s="2894"/>
      <c r="C33" s="2445"/>
      <c r="D33" s="2433"/>
      <c r="E33" s="2433"/>
      <c r="F33" s="2433"/>
      <c r="G33" s="2432"/>
      <c r="H33" s="2537"/>
      <c r="I33" s="2934"/>
      <c r="J33" s="2539"/>
      <c r="K33" s="2917"/>
      <c r="L33" s="2539"/>
      <c r="M33" s="2917"/>
      <c r="N33" s="2917"/>
      <c r="O33" s="2917"/>
      <c r="P33" s="2917"/>
      <c r="Q33" s="2917"/>
      <c r="R33" s="2917"/>
      <c r="S33" s="2917"/>
    </row>
    <row r="34" spans="1:19" s="91" customFormat="1">
      <c r="A34" s="2893"/>
      <c r="B34" s="2894"/>
      <c r="C34" s="2445"/>
      <c r="D34" s="2433"/>
      <c r="E34" s="2433"/>
      <c r="F34" s="2433"/>
      <c r="G34" s="2432"/>
      <c r="H34" s="2537"/>
      <c r="I34" s="2934"/>
      <c r="J34" s="2539"/>
      <c r="K34" s="2917"/>
      <c r="L34" s="2539"/>
      <c r="M34" s="2917"/>
      <c r="N34" s="2917"/>
      <c r="O34" s="2917"/>
      <c r="P34" s="2917"/>
      <c r="Q34" s="2917"/>
      <c r="R34" s="2917"/>
      <c r="S34" s="2917"/>
    </row>
    <row r="35" spans="1:19" s="91" customFormat="1">
      <c r="A35" s="2893"/>
      <c r="B35" s="2894"/>
      <c r="C35" s="2445"/>
      <c r="D35" s="2433"/>
      <c r="E35" s="2433"/>
      <c r="F35" s="2433"/>
      <c r="G35" s="2432"/>
      <c r="H35" s="2537"/>
      <c r="I35" s="2934"/>
      <c r="J35" s="2539"/>
      <c r="K35" s="2917"/>
      <c r="L35" s="2539"/>
      <c r="M35" s="2917"/>
      <c r="N35" s="2917"/>
      <c r="O35" s="2917"/>
      <c r="P35" s="2917"/>
      <c r="Q35" s="2917"/>
      <c r="R35" s="2917"/>
      <c r="S35" s="2917"/>
    </row>
    <row r="36" spans="1:19" s="91" customFormat="1">
      <c r="A36" s="2893"/>
      <c r="B36" s="2894"/>
      <c r="C36" s="2445"/>
      <c r="D36" s="2433"/>
      <c r="E36" s="2433"/>
      <c r="F36" s="2433"/>
      <c r="G36" s="2432"/>
      <c r="H36" s="2537"/>
      <c r="I36" s="2934"/>
      <c r="J36" s="2539"/>
      <c r="K36" s="2917"/>
      <c r="L36" s="2539"/>
      <c r="M36" s="2917"/>
      <c r="N36" s="2917"/>
      <c r="O36" s="2917"/>
      <c r="P36" s="2917"/>
      <c r="Q36" s="2917"/>
      <c r="R36" s="2917"/>
      <c r="S36" s="2917"/>
    </row>
    <row r="37" spans="1:19" s="91" customFormat="1">
      <c r="A37" s="2893"/>
      <c r="B37" s="2894"/>
      <c r="C37" s="2445"/>
      <c r="D37" s="2433"/>
      <c r="E37" s="2546"/>
      <c r="F37" s="2547"/>
      <c r="G37" s="2432"/>
      <c r="H37" s="2537"/>
      <c r="I37" s="2934"/>
      <c r="J37" s="2539"/>
      <c r="K37" s="2917"/>
      <c r="L37" s="2539"/>
      <c r="M37" s="2917"/>
      <c r="N37" s="2917"/>
      <c r="O37" s="2917"/>
      <c r="P37" s="2917"/>
      <c r="Q37" s="2917"/>
      <c r="R37" s="2917"/>
      <c r="S37" s="2917"/>
    </row>
    <row r="38" spans="1:19" s="91" customFormat="1">
      <c r="A38" s="2893"/>
      <c r="B38" s="2894"/>
      <c r="C38" s="2445"/>
      <c r="D38" s="2433"/>
      <c r="E38" s="2546"/>
      <c r="F38" s="2547"/>
      <c r="G38" s="2432"/>
      <c r="H38" s="2537"/>
      <c r="I38" s="2934"/>
      <c r="J38" s="2539"/>
      <c r="K38" s="2917"/>
      <c r="L38" s="2539"/>
      <c r="M38" s="2917"/>
      <c r="N38" s="2917"/>
      <c r="O38" s="2917"/>
      <c r="P38" s="2917"/>
      <c r="Q38" s="2917"/>
      <c r="R38" s="2917"/>
      <c r="S38" s="2917"/>
    </row>
    <row r="39" spans="1:19" s="91" customFormat="1">
      <c r="A39" s="2893"/>
      <c r="B39" s="2894"/>
      <c r="C39" s="2445"/>
      <c r="D39" s="2433"/>
      <c r="E39" s="2546"/>
      <c r="F39" s="2547"/>
      <c r="G39" s="2432"/>
      <c r="H39" s="2537"/>
      <c r="I39" s="2934"/>
      <c r="J39" s="2539"/>
      <c r="K39" s="2917"/>
      <c r="L39" s="2539"/>
      <c r="M39" s="2917"/>
      <c r="N39" s="2917"/>
      <c r="O39" s="2917"/>
      <c r="P39" s="2917"/>
      <c r="Q39" s="2917"/>
      <c r="R39" s="2917"/>
      <c r="S39" s="2917"/>
    </row>
    <row r="40" spans="1:19" s="91" customFormat="1">
      <c r="A40" s="2893"/>
      <c r="B40" s="2894"/>
      <c r="C40" s="2445"/>
      <c r="D40" s="2433"/>
      <c r="E40" s="2546"/>
      <c r="F40" s="2547"/>
      <c r="G40" s="2432"/>
      <c r="H40" s="2537"/>
      <c r="I40" s="2934"/>
      <c r="J40" s="2539"/>
      <c r="K40" s="2917"/>
      <c r="L40" s="2539"/>
      <c r="M40" s="2917"/>
      <c r="N40" s="2917"/>
      <c r="O40" s="2917"/>
      <c r="P40" s="2917"/>
      <c r="Q40" s="2917"/>
      <c r="R40" s="2917"/>
      <c r="S40" s="2917"/>
    </row>
    <row r="41" spans="1:19" s="91" customFormat="1">
      <c r="A41" s="2893"/>
      <c r="B41" s="2894"/>
      <c r="C41" s="2445"/>
      <c r="D41" s="2433"/>
      <c r="E41" s="2546"/>
      <c r="F41" s="2547"/>
      <c r="G41" s="2432"/>
      <c r="H41" s="2537"/>
      <c r="I41" s="2934"/>
      <c r="J41" s="2539"/>
      <c r="K41" s="2917"/>
      <c r="L41" s="2539"/>
      <c r="M41" s="2917"/>
      <c r="N41" s="2917"/>
      <c r="O41" s="2917"/>
      <c r="P41" s="2917"/>
      <c r="Q41" s="2917"/>
      <c r="R41" s="2917"/>
      <c r="S41" s="2917"/>
    </row>
    <row r="42" spans="1:19" s="91" customFormat="1">
      <c r="A42" s="2893"/>
      <c r="B42" s="2894"/>
      <c r="C42" s="2445"/>
      <c r="D42" s="2433"/>
      <c r="E42" s="2546"/>
      <c r="F42" s="2547"/>
      <c r="G42" s="2432"/>
      <c r="H42" s="2537"/>
      <c r="I42" s="2934"/>
      <c r="J42" s="2539"/>
      <c r="K42" s="2917"/>
      <c r="L42" s="2539"/>
      <c r="M42" s="2917"/>
      <c r="N42" s="2917"/>
      <c r="O42" s="2917"/>
      <c r="P42" s="2917"/>
      <c r="Q42" s="2917"/>
      <c r="R42" s="2917"/>
      <c r="S42" s="2917"/>
    </row>
    <row r="43" spans="1:19" s="91" customFormat="1">
      <c r="A43" s="2893"/>
      <c r="B43" s="2894"/>
      <c r="C43" s="2445"/>
      <c r="D43" s="2433"/>
      <c r="E43" s="2546"/>
      <c r="F43" s="2547"/>
      <c r="G43" s="2432"/>
      <c r="H43" s="2537"/>
      <c r="I43" s="2934"/>
      <c r="J43" s="2539"/>
      <c r="K43" s="2917"/>
      <c r="L43" s="2539"/>
      <c r="M43" s="2917"/>
      <c r="N43" s="2917"/>
      <c r="O43" s="2917"/>
      <c r="P43" s="2917"/>
      <c r="Q43" s="2917"/>
      <c r="R43" s="2917"/>
      <c r="S43" s="2917"/>
    </row>
    <row r="44" spans="1:19" s="91" customFormat="1">
      <c r="A44" s="2893"/>
      <c r="B44" s="2894"/>
      <c r="C44" s="2445"/>
      <c r="D44" s="2433"/>
      <c r="E44" s="2546"/>
      <c r="F44" s="2547"/>
      <c r="G44" s="2432"/>
      <c r="H44" s="2537"/>
      <c r="I44" s="2934"/>
      <c r="J44" s="2539"/>
      <c r="K44" s="2917"/>
      <c r="L44" s="2539"/>
      <c r="M44" s="2917"/>
      <c r="N44" s="2917"/>
      <c r="O44" s="2917"/>
      <c r="P44" s="2917"/>
      <c r="Q44" s="2917"/>
      <c r="R44" s="2917"/>
      <c r="S44" s="2917"/>
    </row>
    <row r="45" spans="1:19" s="91" customFormat="1">
      <c r="A45" s="2893"/>
      <c r="B45" s="2894"/>
      <c r="C45" s="2445"/>
      <c r="D45" s="2433"/>
      <c r="E45" s="2546"/>
      <c r="F45" s="2547"/>
      <c r="G45" s="2432"/>
      <c r="H45" s="2537"/>
      <c r="I45" s="2934"/>
      <c r="J45" s="2539"/>
      <c r="K45" s="2917"/>
      <c r="L45" s="2539"/>
      <c r="M45" s="2917"/>
      <c r="N45" s="2917"/>
      <c r="O45" s="2917"/>
      <c r="P45" s="2917"/>
      <c r="Q45" s="2917"/>
      <c r="R45" s="2917"/>
      <c r="S45" s="2917"/>
    </row>
    <row r="46" spans="1:19" s="91" customFormat="1">
      <c r="A46" s="2893"/>
      <c r="B46" s="2894"/>
      <c r="C46" s="2445"/>
      <c r="D46" s="2433"/>
      <c r="E46" s="2546"/>
      <c r="F46" s="2547"/>
      <c r="G46" s="2432"/>
      <c r="H46" s="2537"/>
      <c r="I46" s="2934"/>
      <c r="J46" s="2539"/>
      <c r="K46" s="2917"/>
      <c r="L46" s="2539"/>
      <c r="M46" s="2917"/>
      <c r="N46" s="2917"/>
      <c r="O46" s="2917"/>
      <c r="P46" s="2917"/>
      <c r="Q46" s="2917"/>
      <c r="R46" s="2917"/>
      <c r="S46" s="2917"/>
    </row>
    <row r="47" spans="1:19" s="91" customFormat="1">
      <c r="A47" s="2893"/>
      <c r="B47" s="2894"/>
      <c r="C47" s="2445"/>
      <c r="D47" s="2433"/>
      <c r="E47" s="2546"/>
      <c r="F47" s="2547"/>
      <c r="G47" s="2432"/>
      <c r="H47" s="2537"/>
      <c r="I47" s="2934"/>
      <c r="J47" s="2539"/>
      <c r="K47" s="2917"/>
      <c r="L47" s="2539"/>
      <c r="M47" s="2917"/>
      <c r="N47" s="2917"/>
      <c r="O47" s="2917"/>
      <c r="P47" s="2917"/>
      <c r="Q47" s="2917"/>
      <c r="R47" s="2917"/>
      <c r="S47" s="2917"/>
    </row>
    <row r="48" spans="1:19" s="91" customFormat="1">
      <c r="A48" s="2893"/>
      <c r="B48" s="2894"/>
      <c r="C48" s="2445"/>
      <c r="D48" s="2433"/>
      <c r="E48" s="2546"/>
      <c r="F48" s="2547"/>
      <c r="G48" s="2432"/>
      <c r="H48" s="2537"/>
      <c r="I48" s="2934"/>
      <c r="J48" s="2539"/>
      <c r="K48" s="2917"/>
      <c r="L48" s="2539"/>
      <c r="M48" s="2917"/>
      <c r="N48" s="2917"/>
      <c r="O48" s="2917"/>
      <c r="P48" s="2917"/>
      <c r="Q48" s="2917"/>
      <c r="R48" s="2917"/>
      <c r="S48" s="2917"/>
    </row>
    <row r="49" spans="1:19" s="91" customFormat="1">
      <c r="A49" s="2893"/>
      <c r="B49" s="2894"/>
      <c r="C49" s="2445"/>
      <c r="D49" s="2433"/>
      <c r="E49" s="2546"/>
      <c r="F49" s="2547"/>
      <c r="G49" s="2432"/>
      <c r="H49" s="2537"/>
      <c r="I49" s="2934"/>
      <c r="J49" s="2539"/>
      <c r="K49" s="2917"/>
      <c r="L49" s="2539"/>
      <c r="M49" s="2917"/>
      <c r="N49" s="2917"/>
      <c r="O49" s="2917"/>
      <c r="P49" s="2917"/>
      <c r="Q49" s="2917"/>
      <c r="R49" s="2917"/>
      <c r="S49" s="2917"/>
    </row>
    <row r="50" spans="1:19" s="91" customFormat="1">
      <c r="A50" s="2893"/>
      <c r="B50" s="2894"/>
      <c r="C50" s="2445"/>
      <c r="D50" s="2433"/>
      <c r="E50" s="2546"/>
      <c r="F50" s="2547"/>
      <c r="G50" s="2432"/>
      <c r="H50" s="2537"/>
      <c r="I50" s="2934"/>
      <c r="J50" s="2539"/>
      <c r="K50" s="2917"/>
      <c r="L50" s="2539"/>
      <c r="M50" s="2917"/>
      <c r="N50" s="2917"/>
      <c r="O50" s="2917"/>
      <c r="P50" s="2917"/>
      <c r="Q50" s="2917"/>
      <c r="R50" s="2917"/>
      <c r="S50" s="2917"/>
    </row>
    <row r="51" spans="1:19" s="91" customFormat="1">
      <c r="A51" s="2893"/>
      <c r="B51" s="2545"/>
      <c r="C51" s="2445"/>
      <c r="D51" s="2433"/>
      <c r="E51" s="2546"/>
      <c r="F51" s="2547"/>
      <c r="G51" s="2432"/>
      <c r="H51" s="2537"/>
      <c r="I51" s="2934"/>
      <c r="J51" s="2539"/>
      <c r="K51" s="2917"/>
      <c r="L51" s="2539"/>
      <c r="M51" s="2917"/>
      <c r="N51" s="2917"/>
      <c r="O51" s="2917"/>
      <c r="P51" s="2917"/>
      <c r="Q51" s="2917"/>
      <c r="R51" s="2917"/>
      <c r="S51" s="2917"/>
    </row>
    <row r="52" spans="1:19" s="91" customFormat="1">
      <c r="A52" s="2893"/>
      <c r="B52" s="2545"/>
      <c r="C52" s="2445"/>
      <c r="D52" s="2433"/>
      <c r="E52" s="2546"/>
      <c r="F52" s="2547"/>
      <c r="G52" s="2432"/>
      <c r="H52" s="2537"/>
      <c r="I52" s="2934"/>
      <c r="J52" s="2539"/>
      <c r="K52" s="2917"/>
      <c r="L52" s="2539"/>
      <c r="M52" s="2917"/>
      <c r="N52" s="2917"/>
      <c r="O52" s="2917"/>
      <c r="P52" s="2917"/>
      <c r="Q52" s="2917"/>
      <c r="R52" s="2917"/>
      <c r="S52" s="2917"/>
    </row>
    <row r="53" spans="1:19" s="91" customFormat="1" ht="15.75" thickBot="1">
      <c r="A53" s="2893"/>
      <c r="B53" s="2545"/>
      <c r="C53" s="2445"/>
      <c r="D53" s="2433"/>
      <c r="E53" s="2546"/>
      <c r="F53" s="2547"/>
      <c r="G53" s="2432"/>
      <c r="H53" s="2537"/>
      <c r="I53" s="2934"/>
      <c r="J53" s="2539"/>
      <c r="K53" s="2917"/>
      <c r="L53" s="2539"/>
      <c r="M53" s="2917"/>
      <c r="N53" s="2917"/>
      <c r="O53" s="2917"/>
      <c r="P53" s="2917"/>
      <c r="Q53" s="2917"/>
      <c r="R53" s="2917"/>
      <c r="S53" s="2917"/>
    </row>
    <row r="54" spans="1:19" ht="15.75" thickTop="1">
      <c r="A54" s="14"/>
      <c r="B54" s="15"/>
      <c r="C54" s="16"/>
      <c r="D54" s="16"/>
      <c r="E54" s="17"/>
      <c r="F54" s="18" t="s">
        <v>567</v>
      </c>
      <c r="G54" s="19"/>
      <c r="H54" s="20"/>
      <c r="I54" s="61">
        <f>SUM(I23:I53)</f>
        <v>0</v>
      </c>
      <c r="J54" s="20"/>
      <c r="K54" s="61">
        <f>SUM(K23:K53)</f>
        <v>0</v>
      </c>
      <c r="L54" s="20"/>
      <c r="M54" s="61">
        <f>SUM(M23:M53)</f>
        <v>0</v>
      </c>
      <c r="N54" s="20"/>
      <c r="O54" s="61">
        <f>SUM(O23:O53)</f>
        <v>0</v>
      </c>
      <c r="P54" s="20"/>
      <c r="Q54" s="61">
        <f>SUM(Q23:Q53)</f>
        <v>0</v>
      </c>
      <c r="R54" s="20"/>
      <c r="S54" s="61">
        <f>SUM(S23:S53)</f>
        <v>0</v>
      </c>
    </row>
    <row r="55" spans="1:19">
      <c r="A55" s="2358"/>
      <c r="B55" s="2359"/>
      <c r="C55" s="2360"/>
      <c r="D55" s="2360"/>
      <c r="E55" s="2361"/>
      <c r="F55" s="2362" t="s">
        <v>568</v>
      </c>
      <c r="G55" s="2363"/>
      <c r="H55" s="2364">
        <v>0</v>
      </c>
      <c r="I55" s="2460"/>
      <c r="J55" s="2364">
        <v>0</v>
      </c>
      <c r="K55" s="2460"/>
      <c r="L55" s="2364">
        <v>0</v>
      </c>
      <c r="M55" s="2460"/>
      <c r="N55" s="2364">
        <v>0</v>
      </c>
      <c r="O55" s="2460"/>
      <c r="P55" s="2364">
        <v>0</v>
      </c>
      <c r="Q55" s="2460"/>
      <c r="R55" s="2364">
        <v>0</v>
      </c>
      <c r="S55" s="2460"/>
    </row>
    <row r="56" spans="1:19">
      <c r="A56" s="2358"/>
      <c r="B56" s="2359"/>
      <c r="C56" s="2360"/>
      <c r="D56" s="2360"/>
      <c r="E56" s="2361"/>
      <c r="F56" s="2362" t="s">
        <v>569</v>
      </c>
      <c r="G56" s="2363"/>
      <c r="H56" s="2366"/>
      <c r="I56" s="2462">
        <f>H55*I54</f>
        <v>0</v>
      </c>
      <c r="J56" s="2366"/>
      <c r="K56" s="2462">
        <f>J55*K54</f>
        <v>0</v>
      </c>
      <c r="L56" s="2366"/>
      <c r="M56" s="2462">
        <f>L55*M54</f>
        <v>0</v>
      </c>
      <c r="N56" s="2366"/>
      <c r="O56" s="2462">
        <f>N55*O54</f>
        <v>0</v>
      </c>
      <c r="P56" s="2366"/>
      <c r="Q56" s="2462">
        <f>P55*Q54</f>
        <v>0</v>
      </c>
      <c r="R56" s="2366"/>
      <c r="S56" s="2462">
        <f>R55*S54</f>
        <v>0</v>
      </c>
    </row>
    <row r="57" spans="1:19">
      <c r="A57" s="2358"/>
      <c r="B57" s="2359"/>
      <c r="C57" s="2360"/>
      <c r="D57" s="2360"/>
      <c r="E57" s="2361"/>
      <c r="F57" s="2362"/>
      <c r="G57" s="2363"/>
      <c r="H57" s="2366"/>
      <c r="I57" s="2464"/>
      <c r="J57" s="2366"/>
      <c r="K57" s="2464"/>
      <c r="L57" s="2366"/>
      <c r="M57" s="2464"/>
      <c r="N57" s="2366"/>
      <c r="O57" s="2464"/>
      <c r="P57" s="2366"/>
      <c r="Q57" s="2464"/>
      <c r="R57" s="2366"/>
      <c r="S57" s="2464"/>
    </row>
    <row r="58" spans="1:19">
      <c r="A58" s="2358"/>
      <c r="B58" s="2359"/>
      <c r="C58" s="2360"/>
      <c r="D58" s="2360"/>
      <c r="E58" s="2361"/>
      <c r="F58" s="2362" t="s">
        <v>570</v>
      </c>
      <c r="G58" s="2363"/>
      <c r="H58" s="2368"/>
      <c r="I58" s="2465">
        <f>SUM(I54:I56)</f>
        <v>0</v>
      </c>
      <c r="J58" s="2368"/>
      <c r="K58" s="2465">
        <f>SUM(K54:K56)</f>
        <v>0</v>
      </c>
      <c r="L58" s="2368"/>
      <c r="M58" s="2465">
        <f>SUM(M54:M56)</f>
        <v>0</v>
      </c>
      <c r="N58" s="2368"/>
      <c r="O58" s="2465">
        <f>SUM(O54:O56)</f>
        <v>0</v>
      </c>
      <c r="P58" s="2368"/>
      <c r="Q58" s="2465">
        <f>SUM(Q54:Q56)</f>
        <v>0</v>
      </c>
      <c r="R58" s="2368"/>
      <c r="S58" s="2465">
        <f>SUM(S54:S56)</f>
        <v>0</v>
      </c>
    </row>
    <row r="59" spans="1:19">
      <c r="A59" s="2358"/>
      <c r="B59" s="2359"/>
      <c r="C59" s="2360"/>
      <c r="D59" s="2360"/>
      <c r="E59" s="2361"/>
      <c r="F59" s="2370" t="s">
        <v>571</v>
      </c>
      <c r="G59" s="2371"/>
      <c r="H59" s="2372"/>
      <c r="I59" s="2373" t="e">
        <f>I58/'Area Calculations'!$J$4</f>
        <v>#DIV/0!</v>
      </c>
      <c r="J59" s="2372"/>
      <c r="K59" s="2373" t="e">
        <f>K58/'Area Calculations'!$J$4</f>
        <v>#DIV/0!</v>
      </c>
      <c r="L59" s="2372"/>
      <c r="M59" s="2373" t="e">
        <f>M58/'Area Calculations'!$J$4</f>
        <v>#DIV/0!</v>
      </c>
      <c r="N59" s="2372"/>
      <c r="O59" s="2373" t="e">
        <f>O58/'Area Calculations'!$J$4</f>
        <v>#DIV/0!</v>
      </c>
      <c r="P59" s="2372"/>
      <c r="Q59" s="2373" t="e">
        <f>Q58/'Area Calculations'!$J$4</f>
        <v>#DIV/0!</v>
      </c>
      <c r="R59" s="2372"/>
      <c r="S59" s="2373" t="e">
        <f>S58/'Area Calculations'!$J$4</f>
        <v>#DIV/0!</v>
      </c>
    </row>
    <row r="60" spans="1:19">
      <c r="A60" s="2358"/>
      <c r="B60" s="2359"/>
      <c r="C60" s="2360"/>
      <c r="D60" s="2360"/>
      <c r="E60" s="2361"/>
      <c r="F60" s="2370" t="s">
        <v>572</v>
      </c>
      <c r="G60" s="2374"/>
      <c r="H60" s="2372"/>
      <c r="I60" s="2373" t="e">
        <f>I58/'Area Calculations'!#REF!</f>
        <v>#REF!</v>
      </c>
      <c r="J60" s="2372"/>
      <c r="K60" s="2373" t="e">
        <f>K58/'Area Calculations'!#REF!</f>
        <v>#REF!</v>
      </c>
      <c r="L60" s="2372"/>
      <c r="M60" s="2373" t="e">
        <f>M58/'Area Calculations'!#REF!</f>
        <v>#REF!</v>
      </c>
      <c r="N60" s="2372"/>
      <c r="O60" s="2373" t="e">
        <f>O58/'Area Calculations'!#REF!</f>
        <v>#REF!</v>
      </c>
      <c r="P60" s="2372"/>
      <c r="Q60" s="2373" t="e">
        <f>Q58/'Area Calculations'!#REF!</f>
        <v>#REF!</v>
      </c>
      <c r="R60" s="2372"/>
      <c r="S60" s="2373" t="e">
        <f>S58/'Area Calculations'!#REF!</f>
        <v>#REF!</v>
      </c>
    </row>
    <row r="61" spans="1:19" ht="15.75" thickBot="1">
      <c r="A61" s="2358"/>
      <c r="B61" s="2359"/>
      <c r="C61" s="2360"/>
      <c r="D61" s="2360"/>
      <c r="E61" s="2361"/>
      <c r="F61" s="2362"/>
      <c r="G61" s="2375"/>
      <c r="H61" s="2376"/>
      <c r="I61" s="2377"/>
      <c r="J61" s="2376"/>
      <c r="K61" s="2377"/>
      <c r="L61" s="2376"/>
      <c r="M61" s="2377"/>
      <c r="N61" s="2376"/>
      <c r="O61" s="2377"/>
      <c r="P61" s="2376"/>
      <c r="Q61" s="2377"/>
      <c r="R61" s="2376"/>
      <c r="S61" s="2377"/>
    </row>
    <row r="62" spans="1:19" ht="16.5" thickTop="1" thickBot="1">
      <c r="A62" s="726" t="s">
        <v>573</v>
      </c>
      <c r="B62" s="727"/>
      <c r="C62" s="12"/>
      <c r="D62" s="12"/>
      <c r="E62" s="12"/>
      <c r="F62" s="12"/>
      <c r="G62" s="54"/>
      <c r="H62" s="52"/>
      <c r="I62" s="21"/>
      <c r="J62" s="21"/>
      <c r="K62" s="21"/>
      <c r="L62" s="21"/>
      <c r="M62" s="21"/>
      <c r="N62" s="21"/>
      <c r="O62" s="21"/>
      <c r="P62" s="21"/>
      <c r="Q62" s="21"/>
      <c r="R62" s="21"/>
      <c r="S62" s="21"/>
    </row>
    <row r="63" spans="1:19" ht="15.75" thickTop="1">
      <c r="A63" s="2923"/>
      <c r="B63" s="2404"/>
      <c r="C63" s="2924"/>
      <c r="D63" s="2924"/>
      <c r="E63" s="2924"/>
      <c r="F63" s="2924"/>
      <c r="G63" s="2936"/>
      <c r="H63" s="2937"/>
      <c r="I63" s="2926"/>
      <c r="J63" s="2926"/>
      <c r="K63" s="2926"/>
      <c r="L63" s="2926"/>
      <c r="M63" s="2926"/>
      <c r="N63" s="2926"/>
      <c r="O63" s="2926"/>
      <c r="P63" s="2926"/>
      <c r="Q63" s="2926"/>
      <c r="R63" s="2926"/>
      <c r="S63" s="2926"/>
    </row>
    <row r="64" spans="1:19" s="2" customFormat="1">
      <c r="A64" s="2923"/>
      <c r="B64" s="2404"/>
      <c r="C64" s="2924"/>
      <c r="D64" s="2924"/>
      <c r="E64" s="2924"/>
      <c r="F64" s="2924"/>
      <c r="G64" s="2936"/>
      <c r="H64" s="2937"/>
      <c r="I64" s="2926"/>
      <c r="J64" s="2926"/>
      <c r="K64" s="2926"/>
      <c r="L64" s="2926"/>
      <c r="M64" s="2926"/>
      <c r="N64" s="2926"/>
      <c r="O64" s="2926"/>
      <c r="P64" s="2926"/>
      <c r="Q64" s="2926"/>
      <c r="R64" s="2926"/>
      <c r="S64" s="2926"/>
    </row>
    <row r="65" spans="1:19" s="2" customFormat="1" ht="15.75" thickBot="1">
      <c r="A65" s="2923"/>
      <c r="B65" s="2404"/>
      <c r="C65" s="2924"/>
      <c r="D65" s="2924"/>
      <c r="E65" s="2924"/>
      <c r="F65" s="2924"/>
      <c r="G65" s="2936"/>
      <c r="H65" s="2937"/>
      <c r="I65" s="2926"/>
      <c r="J65" s="2926"/>
      <c r="K65" s="2926"/>
      <c r="L65" s="2926"/>
      <c r="M65" s="2926"/>
      <c r="N65" s="2926"/>
      <c r="O65" s="2926"/>
      <c r="P65" s="2926"/>
      <c r="Q65" s="2926"/>
      <c r="R65" s="2926"/>
      <c r="S65" s="2926"/>
    </row>
    <row r="66" spans="1:19" ht="16.5" thickTop="1" thickBot="1">
      <c r="A66" s="726" t="s">
        <v>574</v>
      </c>
      <c r="B66" s="727"/>
      <c r="C66" s="12"/>
      <c r="D66" s="12"/>
      <c r="E66" s="12"/>
      <c r="F66" s="12"/>
      <c r="G66" s="54"/>
      <c r="H66" s="52"/>
      <c r="I66" s="21"/>
      <c r="J66" s="21"/>
      <c r="K66" s="21"/>
      <c r="L66" s="21"/>
      <c r="M66" s="21"/>
      <c r="N66" s="21"/>
      <c r="O66" s="21"/>
      <c r="P66" s="21"/>
      <c r="Q66" s="21"/>
      <c r="R66" s="21"/>
      <c r="S66" s="21"/>
    </row>
    <row r="67" spans="1:19" s="2" customFormat="1" ht="15.75" thickTop="1">
      <c r="A67" s="2923"/>
      <c r="B67" s="2404"/>
      <c r="C67" s="2924"/>
      <c r="D67" s="2924"/>
      <c r="E67" s="2924"/>
      <c r="F67" s="2924"/>
      <c r="G67" s="2936"/>
      <c r="H67" s="2937"/>
      <c r="I67" s="2926"/>
      <c r="J67" s="2926"/>
      <c r="K67" s="2926"/>
      <c r="L67" s="2926"/>
      <c r="M67" s="2926"/>
      <c r="N67" s="2926"/>
      <c r="O67" s="2926"/>
      <c r="P67" s="2926"/>
      <c r="Q67" s="2926"/>
      <c r="R67" s="2926"/>
      <c r="S67" s="2926"/>
    </row>
    <row r="68" spans="1:19" s="2" customFormat="1">
      <c r="A68" s="2923"/>
      <c r="B68" s="2404"/>
      <c r="C68" s="2924"/>
      <c r="D68" s="2924"/>
      <c r="E68" s="2924"/>
      <c r="F68" s="2924"/>
      <c r="G68" s="2936"/>
      <c r="H68" s="2937"/>
      <c r="I68" s="2926"/>
      <c r="J68" s="2926"/>
      <c r="K68" s="2926"/>
      <c r="L68" s="2926"/>
      <c r="M68" s="2926"/>
      <c r="N68" s="2926"/>
      <c r="O68" s="2926"/>
      <c r="P68" s="2926"/>
      <c r="Q68" s="2926"/>
      <c r="R68" s="2926"/>
      <c r="S68" s="2926"/>
    </row>
    <row r="69" spans="1:19" ht="15.75" thickBot="1">
      <c r="A69" s="2923"/>
      <c r="B69" s="2404"/>
      <c r="C69" s="2924"/>
      <c r="D69" s="2924"/>
      <c r="E69" s="2924"/>
      <c r="F69" s="2924"/>
      <c r="G69" s="2936"/>
      <c r="H69" s="2937"/>
      <c r="I69" s="2926"/>
      <c r="J69" s="2926"/>
      <c r="K69" s="2926"/>
      <c r="L69" s="2926"/>
      <c r="M69" s="2926"/>
      <c r="N69" s="2926"/>
      <c r="O69" s="2926"/>
      <c r="P69" s="2926"/>
      <c r="Q69" s="2926"/>
      <c r="R69" s="2926"/>
      <c r="S69" s="2926"/>
    </row>
    <row r="70" spans="1:19" ht="16.5" thickTop="1" thickBot="1">
      <c r="A70" s="726" t="s">
        <v>575</v>
      </c>
      <c r="B70" s="727"/>
      <c r="C70" s="12"/>
      <c r="D70" s="12"/>
      <c r="E70" s="12"/>
      <c r="F70" s="12"/>
      <c r="G70" s="54"/>
      <c r="H70" s="52"/>
      <c r="I70" s="21"/>
      <c r="J70" s="21"/>
      <c r="K70" s="21"/>
      <c r="L70" s="21"/>
      <c r="M70" s="21"/>
      <c r="N70" s="21"/>
      <c r="O70" s="21"/>
      <c r="P70" s="21"/>
      <c r="Q70" s="21"/>
      <c r="R70" s="21"/>
      <c r="S70" s="21"/>
    </row>
    <row r="71" spans="1:19" ht="15.75" thickTop="1">
      <c r="A71" s="2923"/>
      <c r="B71" s="2404"/>
      <c r="C71" s="2924"/>
      <c r="D71" s="2924"/>
      <c r="E71" s="2924"/>
      <c r="F71" s="2924"/>
      <c r="G71" s="2936"/>
      <c r="H71" s="2937"/>
      <c r="I71" s="2926"/>
      <c r="J71" s="2926"/>
      <c r="K71" s="2926"/>
      <c r="L71" s="2926"/>
      <c r="M71" s="2926"/>
      <c r="N71" s="2926"/>
      <c r="O71" s="2926"/>
      <c r="P71" s="2926"/>
      <c r="Q71" s="2926"/>
      <c r="R71" s="2926"/>
      <c r="S71" s="2926"/>
    </row>
    <row r="72" spans="1:19">
      <c r="A72" s="2421"/>
      <c r="B72" s="2404"/>
      <c r="C72" s="2405"/>
      <c r="D72" s="2405"/>
      <c r="E72" s="2405"/>
      <c r="F72" s="2405"/>
      <c r="G72" s="2552"/>
      <c r="H72" s="2474"/>
      <c r="I72" s="2382"/>
      <c r="J72" s="2382"/>
      <c r="K72" s="2382"/>
      <c r="L72" s="2382"/>
      <c r="M72" s="2382"/>
      <c r="N72" s="2382"/>
      <c r="O72" s="2382"/>
      <c r="P72" s="2382"/>
      <c r="Q72" s="2382"/>
      <c r="R72" s="2382"/>
      <c r="S72" s="2382"/>
    </row>
    <row r="73" spans="1:19" ht="15.75" thickBot="1">
      <c r="A73" s="2383"/>
      <c r="B73" s="2384"/>
      <c r="C73" s="2405"/>
      <c r="D73" s="2405"/>
      <c r="E73" s="2405"/>
      <c r="F73" s="2405"/>
      <c r="G73" s="2552"/>
      <c r="H73" s="2475"/>
      <c r="I73" s="2385"/>
      <c r="J73" s="2385"/>
      <c r="K73" s="2385"/>
      <c r="L73" s="2385"/>
      <c r="M73" s="2385"/>
      <c r="N73" s="2385"/>
      <c r="O73" s="2385"/>
      <c r="P73" s="2385"/>
      <c r="Q73" s="2385"/>
      <c r="R73" s="2385"/>
      <c r="S73" s="2385"/>
    </row>
    <row r="74" spans="1:19" ht="16.5" thickTop="1" thickBot="1">
      <c r="A74" s="726" t="s">
        <v>576</v>
      </c>
      <c r="B74" s="727"/>
      <c r="C74" s="12"/>
      <c r="D74" s="12"/>
      <c r="E74" s="12"/>
      <c r="F74" s="12"/>
      <c r="G74" s="54"/>
      <c r="H74" s="52"/>
      <c r="I74" s="21"/>
      <c r="J74" s="21"/>
      <c r="K74" s="21"/>
      <c r="L74" s="21"/>
      <c r="M74" s="21"/>
      <c r="N74" s="21"/>
      <c r="O74" s="21"/>
      <c r="P74" s="21"/>
      <c r="Q74" s="21"/>
      <c r="R74" s="21"/>
      <c r="S74" s="21"/>
    </row>
    <row r="75" spans="1:19" ht="15.75" thickTop="1">
      <c r="A75" s="2927"/>
      <c r="B75" s="2928"/>
      <c r="C75" s="2924"/>
      <c r="D75" s="2924"/>
      <c r="E75" s="2924"/>
      <c r="F75" s="2924"/>
      <c r="G75" s="2936"/>
      <c r="H75" s="2937"/>
      <c r="I75" s="2926"/>
      <c r="J75" s="2926"/>
      <c r="K75" s="2926"/>
      <c r="L75" s="2926"/>
      <c r="M75" s="2926"/>
      <c r="N75" s="2926"/>
      <c r="O75" s="2926"/>
      <c r="P75" s="2926"/>
      <c r="Q75" s="2926"/>
      <c r="R75" s="2926"/>
      <c r="S75" s="2926"/>
    </row>
    <row r="76" spans="1:19">
      <c r="A76" s="2383"/>
      <c r="B76" s="2384"/>
      <c r="C76" s="2405"/>
      <c r="D76" s="2405"/>
      <c r="E76" s="2405"/>
      <c r="F76" s="2405"/>
      <c r="G76" s="2552"/>
      <c r="H76" s="2478"/>
      <c r="I76" s="2388"/>
      <c r="J76" s="2388"/>
      <c r="K76" s="2388"/>
      <c r="L76" s="2388"/>
      <c r="M76" s="2388"/>
      <c r="N76" s="2388"/>
      <c r="O76" s="2388"/>
      <c r="P76" s="2388"/>
      <c r="Q76" s="2388"/>
      <c r="R76" s="2388"/>
      <c r="S76" s="2388"/>
    </row>
    <row r="77" spans="1:19" ht="15.75" thickBot="1">
      <c r="A77" s="2383"/>
      <c r="B77" s="2384"/>
      <c r="C77" s="2405"/>
      <c r="D77" s="2405"/>
      <c r="E77" s="2405"/>
      <c r="F77" s="2405"/>
      <c r="G77" s="2552"/>
      <c r="H77" s="2478"/>
      <c r="I77" s="2388"/>
      <c r="J77" s="2388"/>
      <c r="K77" s="2388"/>
      <c r="L77" s="2388"/>
      <c r="M77" s="2388"/>
      <c r="N77" s="2388"/>
      <c r="O77" s="2388"/>
      <c r="P77" s="2388"/>
      <c r="Q77" s="2388"/>
      <c r="R77" s="2388"/>
      <c r="S77" s="2388"/>
    </row>
    <row r="78" spans="1:19" ht="16.5" thickTop="1" thickBot="1">
      <c r="A78" s="726" t="s">
        <v>577</v>
      </c>
      <c r="B78" s="727"/>
      <c r="C78" s="12"/>
      <c r="D78" s="12"/>
      <c r="E78" s="12"/>
      <c r="F78" s="12"/>
      <c r="G78" s="54"/>
      <c r="H78" s="52"/>
      <c r="I78" s="21"/>
      <c r="J78" s="21"/>
      <c r="K78" s="21"/>
      <c r="L78" s="21"/>
      <c r="M78" s="21"/>
      <c r="N78" s="21"/>
      <c r="O78" s="21"/>
      <c r="P78" s="21"/>
      <c r="Q78" s="21"/>
      <c r="R78" s="21"/>
      <c r="S78" s="21"/>
    </row>
    <row r="79" spans="1:19" ht="15.75" thickTop="1">
      <c r="A79" s="2421"/>
      <c r="B79" s="2404" t="s">
        <v>578</v>
      </c>
      <c r="C79" s="2405"/>
      <c r="D79" s="2405"/>
      <c r="E79" s="2405"/>
      <c r="F79" s="2405"/>
      <c r="G79" s="2552"/>
      <c r="H79" s="2478"/>
      <c r="I79" s="2388"/>
      <c r="J79" s="2388"/>
      <c r="K79" s="2388"/>
      <c r="L79" s="2388"/>
      <c r="M79" s="2388"/>
      <c r="N79" s="2388"/>
      <c r="O79" s="2388"/>
      <c r="P79" s="2388"/>
      <c r="Q79" s="2388"/>
      <c r="R79" s="2388"/>
      <c r="S79" s="2388"/>
    </row>
    <row r="80" spans="1:19">
      <c r="A80" s="2421"/>
      <c r="B80" s="2404" t="s">
        <v>579</v>
      </c>
      <c r="C80" s="2405"/>
      <c r="D80" s="2405"/>
      <c r="E80" s="2405"/>
      <c r="F80" s="2405"/>
      <c r="G80" s="2552"/>
      <c r="H80" s="2478"/>
      <c r="I80" s="2388"/>
      <c r="J80" s="2388"/>
      <c r="K80" s="2388"/>
      <c r="L80" s="2388"/>
      <c r="M80" s="2388"/>
      <c r="N80" s="2388"/>
      <c r="O80" s="2388"/>
      <c r="P80" s="2388"/>
      <c r="Q80" s="2388"/>
      <c r="R80" s="2388"/>
      <c r="S80" s="2388"/>
    </row>
    <row r="81" spans="1:19">
      <c r="A81" s="2421"/>
      <c r="B81" s="2404" t="s">
        <v>580</v>
      </c>
      <c r="C81" s="2405"/>
      <c r="D81" s="2405"/>
      <c r="E81" s="2405"/>
      <c r="F81" s="2405"/>
      <c r="G81" s="2552"/>
      <c r="H81" s="2478"/>
      <c r="I81" s="2388"/>
      <c r="J81" s="2388"/>
      <c r="K81" s="2388"/>
      <c r="L81" s="2388"/>
      <c r="M81" s="2388"/>
      <c r="N81" s="2388"/>
      <c r="O81" s="2388"/>
      <c r="P81" s="2388"/>
      <c r="Q81" s="2388"/>
      <c r="R81" s="2388"/>
      <c r="S81" s="2388"/>
    </row>
    <row r="82" spans="1:19">
      <c r="A82" s="2421"/>
      <c r="B82" s="2404" t="s">
        <v>581</v>
      </c>
      <c r="C82" s="2405"/>
      <c r="D82" s="2405"/>
      <c r="E82" s="2405"/>
      <c r="F82" s="2405"/>
      <c r="G82" s="2552"/>
      <c r="H82" s="2478"/>
      <c r="I82" s="2388"/>
      <c r="J82" s="2388"/>
      <c r="K82" s="2388"/>
      <c r="L82" s="2388"/>
      <c r="M82" s="2388"/>
      <c r="N82" s="2388"/>
      <c r="O82" s="2388"/>
      <c r="P82" s="2388"/>
      <c r="Q82" s="2388"/>
      <c r="R82" s="2388"/>
      <c r="S82" s="2388"/>
    </row>
    <row r="83" spans="1:19" ht="15.75" thickBot="1">
      <c r="A83" s="416"/>
      <c r="B83" s="295"/>
      <c r="C83" s="184"/>
      <c r="D83" s="184"/>
      <c r="E83" s="184"/>
      <c r="F83" s="184"/>
      <c r="G83" s="417"/>
      <c r="H83" s="53"/>
      <c r="I83" s="418"/>
      <c r="J83" s="418"/>
      <c r="K83" s="418"/>
      <c r="L83" s="418"/>
      <c r="M83" s="418"/>
      <c r="N83" s="418"/>
      <c r="O83" s="418"/>
      <c r="P83" s="418"/>
      <c r="Q83" s="418"/>
      <c r="R83" s="418"/>
      <c r="S83" s="418"/>
    </row>
    <row r="84" spans="1:19" ht="16.5" thickTop="1" thickBot="1">
      <c r="A84" s="7" t="s">
        <v>582</v>
      </c>
      <c r="B84" s="8"/>
      <c r="C84" s="12"/>
      <c r="D84" s="12"/>
      <c r="E84" s="12"/>
      <c r="F84" s="12"/>
      <c r="G84" s="54"/>
      <c r="H84" s="52"/>
      <c r="I84" s="21"/>
      <c r="J84" s="21"/>
      <c r="K84" s="21"/>
      <c r="L84" s="21"/>
      <c r="M84" s="21"/>
      <c r="N84" s="21"/>
      <c r="O84" s="21"/>
      <c r="P84" s="21"/>
      <c r="Q84" s="21"/>
      <c r="R84" s="21"/>
      <c r="S84" s="21"/>
    </row>
    <row r="85" spans="1:19" ht="15.75" thickTop="1">
      <c r="A85" s="2923"/>
      <c r="B85" s="2929" t="s">
        <v>583</v>
      </c>
      <c r="C85" s="2924"/>
      <c r="D85" s="2924"/>
      <c r="E85" s="2924"/>
      <c r="F85" s="2924"/>
      <c r="G85" s="2936"/>
      <c r="H85" s="2935"/>
      <c r="I85" s="2930"/>
      <c r="J85" s="2930"/>
      <c r="K85" s="2930"/>
      <c r="L85" s="2930"/>
      <c r="M85" s="2930"/>
      <c r="N85" s="2930"/>
      <c r="O85" s="2930"/>
      <c r="P85" s="2930"/>
      <c r="Q85" s="2930"/>
      <c r="R85" s="2930"/>
      <c r="S85" s="2930"/>
    </row>
    <row r="86" spans="1:19">
      <c r="A86" s="2421"/>
      <c r="B86" s="2404" t="s">
        <v>584</v>
      </c>
      <c r="C86" s="2405"/>
      <c r="D86" s="2405"/>
      <c r="E86" s="2405"/>
      <c r="F86" s="2405"/>
      <c r="G86" s="2552"/>
      <c r="H86" s="2481"/>
      <c r="I86" s="2390"/>
      <c r="J86" s="2390"/>
      <c r="K86" s="2390"/>
      <c r="L86" s="2390"/>
      <c r="M86" s="2390"/>
      <c r="N86" s="2390"/>
      <c r="O86" s="2390"/>
      <c r="P86" s="2390"/>
      <c r="Q86" s="2390"/>
      <c r="R86" s="2390"/>
      <c r="S86" s="2390"/>
    </row>
    <row r="87" spans="1:19" ht="15.75" thickBot="1">
      <c r="A87" s="2391"/>
      <c r="B87" s="2392" t="s">
        <v>585</v>
      </c>
      <c r="C87" s="2393"/>
      <c r="D87" s="2393"/>
      <c r="E87" s="2393"/>
      <c r="F87" s="2393"/>
      <c r="G87" s="2555"/>
      <c r="H87" s="2482"/>
      <c r="I87" s="2395"/>
      <c r="J87" s="2395"/>
      <c r="K87" s="2395"/>
      <c r="L87" s="2395"/>
      <c r="M87" s="2395"/>
      <c r="N87" s="2395"/>
      <c r="O87" s="2395"/>
      <c r="P87" s="2395"/>
      <c r="Q87" s="2395"/>
      <c r="R87" s="2395"/>
      <c r="S87" s="2395"/>
    </row>
    <row r="88" spans="1:19" ht="16.5" thickTop="1" thickBot="1"/>
    <row r="89" spans="1:19" ht="16.5" thickTop="1" thickBot="1">
      <c r="A89" s="92" t="s">
        <v>586</v>
      </c>
      <c r="B89" s="94"/>
    </row>
    <row r="90" spans="1:19" ht="15.75" thickTop="1">
      <c r="A90" s="93" t="s">
        <v>487</v>
      </c>
      <c r="B90" s="2396"/>
    </row>
    <row r="91" spans="1:19">
      <c r="A91" s="2397" t="s">
        <v>491</v>
      </c>
      <c r="B91" s="2396"/>
    </row>
    <row r="92" spans="1:19">
      <c r="A92" s="2398" t="s">
        <v>494</v>
      </c>
      <c r="B92" s="2399"/>
    </row>
    <row r="93" spans="1:19">
      <c r="A93" s="2398" t="s">
        <v>497</v>
      </c>
      <c r="B93" s="2400"/>
    </row>
    <row r="94" spans="1:19" ht="15.75" thickBot="1">
      <c r="A94" s="2401" t="s">
        <v>587</v>
      </c>
      <c r="B94" s="2402"/>
    </row>
    <row r="95" spans="1:19" ht="15.75" thickTop="1"/>
    <row r="96" spans="1:19">
      <c r="A96" s="95"/>
      <c r="B96" s="1" t="s">
        <v>588</v>
      </c>
    </row>
    <row r="97" spans="1:2">
      <c r="A97" s="96"/>
      <c r="B9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2:B62"/>
    <mergeCell ref="A66:B66"/>
    <mergeCell ref="A70:B70"/>
    <mergeCell ref="A74:B74"/>
    <mergeCell ref="A78:B78"/>
  </mergeCells>
  <hyperlinks>
    <hyperlink ref="B3" location="'Cost Summary'!A1" display="BACK TO SUMMARY SHEET" xr:uid="{DE4921A3-2112-41F9-9469-923CC900A199}"/>
  </hyperlinks>
  <pageMargins left="0.7" right="0.7" top="0.75" bottom="0.75" header="0.3" footer="0.3"/>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32B8-4E89-47BC-9F04-55307DDD9162}">
  <sheetPr>
    <tabColor rgb="FF92D050"/>
  </sheetPr>
  <dimension ref="A1:S98"/>
  <sheetViews>
    <sheetView zoomScale="112" zoomScaleNormal="112" workbookViewId="0">
      <pane xSplit="2" ySplit="19" topLeftCell="C30" activePane="bottomRight" state="frozen"/>
      <selection pane="bottomRight" activeCell="F38" sqref="F38"/>
      <selection pane="bottomLeft" sqref="A1:B1"/>
      <selection pane="topRight" sqref="A1:B1"/>
    </sheetView>
  </sheetViews>
  <sheetFormatPr defaultRowHeight="15"/>
  <cols>
    <col min="1" max="1" width="11" customWidth="1"/>
    <col min="2" max="2" width="70.7109375" style="1" customWidth="1"/>
    <col min="3" max="3" width="13.5703125" style="2" customWidth="1"/>
    <col min="4" max="4" width="12.5703125" style="2" bestFit="1" customWidth="1"/>
    <col min="5" max="5" width="7.5703125" style="2" customWidth="1"/>
    <col min="6" max="6" width="10.28515625" style="2" customWidth="1"/>
    <col min="7" max="7" width="13.140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2938"/>
      <c r="I2" s="2938"/>
      <c r="J2" s="766"/>
      <c r="K2" s="766"/>
      <c r="L2" s="732"/>
      <c r="M2" s="732"/>
      <c r="N2" s="732"/>
      <c r="O2" s="732"/>
      <c r="P2" s="732"/>
      <c r="Q2" s="732"/>
      <c r="R2" s="732"/>
      <c r="S2" s="732"/>
    </row>
    <row r="3" spans="1:19" ht="21" thickBot="1">
      <c r="B3" s="161" t="s">
        <v>477</v>
      </c>
      <c r="E3" s="175"/>
      <c r="F3" s="148" t="s">
        <v>478</v>
      </c>
      <c r="G3" s="147" t="s">
        <v>479</v>
      </c>
      <c r="H3" s="782" t="s">
        <v>726</v>
      </c>
      <c r="I3" s="783"/>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47"/>
      <c r="I4" s="748"/>
      <c r="J4" s="728"/>
      <c r="K4" s="729"/>
      <c r="L4" s="728"/>
      <c r="M4" s="729"/>
      <c r="N4" s="728"/>
      <c r="O4" s="729"/>
      <c r="P4" s="728"/>
      <c r="Q4" s="729"/>
      <c r="R4" s="728"/>
      <c r="S4" s="729"/>
    </row>
    <row r="5" spans="1:19">
      <c r="A5" s="2403" t="s">
        <v>489</v>
      </c>
      <c r="B5" s="2404" t="s">
        <v>206</v>
      </c>
      <c r="C5" s="2405"/>
      <c r="D5" s="2405"/>
      <c r="E5" s="2405"/>
      <c r="F5" s="2405"/>
      <c r="G5" s="2406" t="s">
        <v>491</v>
      </c>
      <c r="H5" s="2939"/>
      <c r="I5" s="2940"/>
      <c r="J5" s="2407"/>
      <c r="K5" s="2408"/>
      <c r="L5" s="2407"/>
      <c r="M5" s="2408"/>
      <c r="N5" s="2407"/>
      <c r="O5" s="2408"/>
      <c r="P5" s="2407"/>
      <c r="Q5" s="2408"/>
      <c r="R5" s="2407"/>
      <c r="S5" s="2408"/>
    </row>
    <row r="6" spans="1:19">
      <c r="A6" s="2403" t="s">
        <v>493</v>
      </c>
      <c r="B6" s="2410" t="s">
        <v>205</v>
      </c>
      <c r="C6" s="2405"/>
      <c r="D6" s="2405"/>
      <c r="E6" s="2405"/>
      <c r="F6" s="2405"/>
      <c r="G6" s="2406" t="s">
        <v>494</v>
      </c>
      <c r="H6" s="2939"/>
      <c r="I6" s="2940"/>
      <c r="J6" s="2411"/>
      <c r="K6" s="2412"/>
      <c r="L6" s="2411"/>
      <c r="M6" s="2412"/>
      <c r="N6" s="2411"/>
      <c r="O6" s="2412"/>
      <c r="P6" s="2411"/>
      <c r="Q6" s="2412"/>
      <c r="R6" s="2411"/>
      <c r="S6" s="2412"/>
    </row>
    <row r="7" spans="1:19">
      <c r="A7" s="2403" t="s">
        <v>496</v>
      </c>
      <c r="B7" s="2414"/>
      <c r="C7" s="2405"/>
      <c r="D7" s="2405"/>
      <c r="E7" s="2405"/>
      <c r="F7" s="2405"/>
      <c r="G7" s="2406" t="s">
        <v>497</v>
      </c>
      <c r="H7" s="2941"/>
      <c r="I7" s="2942"/>
      <c r="J7" s="2943"/>
      <c r="K7" s="2944"/>
      <c r="L7" s="2943"/>
      <c r="M7" s="2944"/>
      <c r="N7" s="2943"/>
      <c r="O7" s="2944"/>
      <c r="P7" s="2945"/>
      <c r="Q7" s="2946"/>
      <c r="R7" s="2945"/>
      <c r="S7" s="2946"/>
    </row>
    <row r="8" spans="1:19" ht="15.75" thickBot="1">
      <c r="A8" s="414" t="s">
        <v>499</v>
      </c>
      <c r="B8" s="295"/>
      <c r="C8" s="184"/>
      <c r="D8" s="184"/>
      <c r="E8" s="184"/>
      <c r="F8" s="184"/>
      <c r="G8" s="419" t="s">
        <v>499</v>
      </c>
      <c r="H8" s="2947">
        <f>I59</f>
        <v>83475.5</v>
      </c>
      <c r="I8" s="2948"/>
      <c r="J8" s="2418">
        <f>K59</f>
        <v>0</v>
      </c>
      <c r="K8" s="2419"/>
      <c r="L8" s="2418">
        <f>M59</f>
        <v>0</v>
      </c>
      <c r="M8" s="2419"/>
      <c r="N8" s="2418">
        <f>O59</f>
        <v>0</v>
      </c>
      <c r="O8" s="2419"/>
      <c r="P8" s="2418">
        <f>Q59</f>
        <v>0</v>
      </c>
      <c r="Q8" s="2419"/>
      <c r="R8" s="2418">
        <f>S59</f>
        <v>0</v>
      </c>
      <c r="S8" s="2419"/>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93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idden="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2421"/>
      <c r="B22" s="2428" t="s">
        <v>206</v>
      </c>
      <c r="C22" s="2426"/>
      <c r="D22" s="2405"/>
      <c r="E22" s="2405"/>
      <c r="F22" s="2405"/>
      <c r="G22" s="2423"/>
      <c r="H22" s="2427"/>
      <c r="I22" s="2424"/>
      <c r="J22" s="2427"/>
      <c r="K22" s="2424"/>
      <c r="L22" s="2427"/>
      <c r="M22" s="2424"/>
      <c r="N22" s="2427"/>
      <c r="O22" s="2424"/>
      <c r="P22" s="2427"/>
      <c r="Q22" s="2424"/>
      <c r="R22" s="2427"/>
      <c r="S22" s="2424"/>
    </row>
    <row r="23" spans="1:19">
      <c r="A23" s="2932"/>
      <c r="B23" s="2318" t="s">
        <v>512</v>
      </c>
      <c r="C23" s="2426"/>
      <c r="D23" s="2405"/>
      <c r="E23" s="2405"/>
      <c r="F23" s="2405"/>
      <c r="G23" s="2423"/>
      <c r="H23" s="2427"/>
      <c r="I23" s="2935"/>
      <c r="J23" s="2427"/>
      <c r="K23" s="2935"/>
      <c r="L23" s="2427"/>
      <c r="M23" s="2935"/>
      <c r="N23" s="2427"/>
      <c r="O23" s="2935"/>
      <c r="P23" s="2427"/>
      <c r="Q23" s="2935"/>
      <c r="R23" s="2427"/>
      <c r="S23" s="2935"/>
    </row>
    <row r="24" spans="1:19">
      <c r="A24" s="2932"/>
      <c r="B24" s="2915" t="s">
        <v>513</v>
      </c>
      <c r="C24" s="2426"/>
      <c r="D24" s="2405"/>
      <c r="E24" s="2405"/>
      <c r="F24" s="2405"/>
      <c r="G24" s="2423"/>
      <c r="H24" s="2427"/>
      <c r="I24" s="2934"/>
      <c r="J24" s="2427"/>
      <c r="K24" s="2935"/>
      <c r="L24" s="2427"/>
      <c r="M24" s="2935"/>
      <c r="N24" s="2427"/>
      <c r="O24" s="2935"/>
      <c r="P24" s="2427"/>
      <c r="Q24" s="2935"/>
      <c r="R24" s="2427"/>
      <c r="S24" s="2935"/>
    </row>
    <row r="25" spans="1:19">
      <c r="A25" s="2932"/>
      <c r="B25" s="2915" t="s">
        <v>514</v>
      </c>
      <c r="C25" s="2430"/>
      <c r="D25" s="2405"/>
      <c r="E25" s="2405"/>
      <c r="F25" s="2405"/>
      <c r="G25" s="2423"/>
      <c r="H25" s="2427"/>
      <c r="I25" s="2934"/>
      <c r="J25" s="2427"/>
      <c r="K25" s="2935"/>
      <c r="L25" s="2427"/>
      <c r="M25" s="2935"/>
      <c r="N25" s="2427"/>
      <c r="O25" s="2935"/>
      <c r="P25" s="2427"/>
      <c r="Q25" s="2935"/>
      <c r="R25" s="2427"/>
      <c r="S25" s="2935"/>
    </row>
    <row r="26" spans="1:19">
      <c r="A26" s="2932"/>
      <c r="B26" s="2916" t="s">
        <v>515</v>
      </c>
      <c r="C26" s="2430"/>
      <c r="D26" s="2405"/>
      <c r="E26" s="2405"/>
      <c r="F26" s="2405"/>
      <c r="G26" s="2423"/>
      <c r="H26" s="2427"/>
      <c r="I26" s="2934"/>
      <c r="J26" s="2427"/>
      <c r="K26" s="2935"/>
      <c r="L26" s="2427"/>
      <c r="M26" s="2935"/>
      <c r="N26" s="2427"/>
      <c r="O26" s="2935"/>
      <c r="P26" s="2427"/>
      <c r="Q26" s="2935"/>
      <c r="R26" s="2427"/>
      <c r="S26" s="2935"/>
    </row>
    <row r="27" spans="1:19" s="91" customFormat="1">
      <c r="A27" s="2899"/>
      <c r="B27" s="2916" t="s">
        <v>516</v>
      </c>
      <c r="C27" s="2432"/>
      <c r="D27" s="2433"/>
      <c r="E27" s="2433"/>
      <c r="F27" s="2433"/>
      <c r="G27" s="2432"/>
      <c r="H27" s="2427"/>
      <c r="I27" s="2934"/>
      <c r="J27" s="2427"/>
      <c r="K27" s="2900"/>
      <c r="L27" s="2427"/>
      <c r="M27" s="2900"/>
      <c r="N27" s="2427"/>
      <c r="O27" s="2900"/>
      <c r="P27" s="2427"/>
      <c r="Q27" s="2900"/>
      <c r="R27" s="2427"/>
      <c r="S27" s="2900"/>
    </row>
    <row r="28" spans="1:19" s="91" customFormat="1">
      <c r="A28" s="2899"/>
      <c r="B28" s="2916" t="s">
        <v>517</v>
      </c>
      <c r="C28" s="2432"/>
      <c r="D28" s="2433"/>
      <c r="E28" s="2433"/>
      <c r="F28" s="2433"/>
      <c r="G28" s="2432"/>
      <c r="H28" s="2427"/>
      <c r="I28" s="2934"/>
      <c r="J28" s="2427"/>
      <c r="K28" s="2900"/>
      <c r="L28" s="2427"/>
      <c r="M28" s="2900"/>
      <c r="N28" s="2427"/>
      <c r="O28" s="2900"/>
      <c r="P28" s="2427"/>
      <c r="Q28" s="2900"/>
      <c r="R28" s="2427"/>
      <c r="S28" s="2900"/>
    </row>
    <row r="29" spans="1:19" s="91" customFormat="1">
      <c r="A29" s="2899"/>
      <c r="B29" s="2916" t="s">
        <v>518</v>
      </c>
      <c r="C29" s="2432"/>
      <c r="D29" s="2433"/>
      <c r="E29" s="2433"/>
      <c r="F29" s="2433"/>
      <c r="G29" s="2432"/>
      <c r="H29" s="2427"/>
      <c r="I29" s="2934"/>
      <c r="J29" s="2427"/>
      <c r="K29" s="2900"/>
      <c r="L29" s="2427"/>
      <c r="M29" s="2900"/>
      <c r="N29" s="2427"/>
      <c r="O29" s="2900"/>
      <c r="P29" s="2427"/>
      <c r="Q29" s="2900"/>
      <c r="R29" s="2427"/>
      <c r="S29" s="2900"/>
    </row>
    <row r="30" spans="1:19" s="91" customFormat="1">
      <c r="A30" s="2899"/>
      <c r="B30" s="2916" t="s">
        <v>693</v>
      </c>
      <c r="C30" s="2432"/>
      <c r="D30" s="2433"/>
      <c r="E30" s="2433"/>
      <c r="F30" s="2433"/>
      <c r="G30" s="2432"/>
      <c r="H30" s="2427"/>
      <c r="I30" s="2934"/>
      <c r="J30" s="2427"/>
      <c r="K30" s="2900"/>
      <c r="L30" s="2427"/>
      <c r="M30" s="2900"/>
      <c r="N30" s="2427"/>
      <c r="O30" s="2900"/>
      <c r="P30" s="2427"/>
      <c r="Q30" s="2900"/>
      <c r="R30" s="2427"/>
      <c r="S30" s="2900"/>
    </row>
    <row r="31" spans="1:19" s="91" customFormat="1">
      <c r="A31" s="2899"/>
      <c r="B31" s="2901" t="s">
        <v>519</v>
      </c>
      <c r="C31" s="2432"/>
      <c r="D31" s="2433"/>
      <c r="E31" s="2433"/>
      <c r="F31" s="2433"/>
      <c r="G31" s="2432"/>
      <c r="H31" s="2427"/>
      <c r="I31" s="2934"/>
      <c r="J31" s="2427"/>
      <c r="K31" s="2900"/>
      <c r="L31" s="2427"/>
      <c r="M31" s="2900"/>
      <c r="N31" s="2427"/>
      <c r="O31" s="2900"/>
      <c r="P31" s="2427"/>
      <c r="Q31" s="2900"/>
      <c r="R31" s="2427"/>
      <c r="S31" s="2900"/>
    </row>
    <row r="32" spans="1:19" s="91" customFormat="1">
      <c r="A32" s="2899"/>
      <c r="B32" s="2902" t="s">
        <v>520</v>
      </c>
      <c r="C32" s="2435"/>
      <c r="D32" s="2865"/>
      <c r="E32" s="2436"/>
      <c r="F32" s="2949"/>
      <c r="G32" s="2950"/>
      <c r="H32" s="2439"/>
      <c r="I32" s="2903"/>
      <c r="J32" s="2443"/>
      <c r="K32" s="2904"/>
      <c r="L32" s="2443"/>
      <c r="M32" s="2904"/>
      <c r="N32" s="2904"/>
      <c r="O32" s="2904"/>
      <c r="P32" s="2904"/>
      <c r="Q32" s="2904"/>
      <c r="R32" s="2904"/>
      <c r="S32" s="2904"/>
    </row>
    <row r="33" spans="1:19" s="91" customFormat="1">
      <c r="A33" s="2899"/>
      <c r="B33" s="2951"/>
      <c r="C33" s="2432"/>
      <c r="D33" s="2567"/>
      <c r="E33" s="2433"/>
      <c r="F33" s="2952"/>
      <c r="G33" s="2953"/>
      <c r="H33" s="2427"/>
      <c r="I33" s="2934"/>
      <c r="J33" s="2427"/>
      <c r="K33" s="2900"/>
      <c r="L33" s="2427"/>
      <c r="M33" s="2900"/>
      <c r="N33" s="2427"/>
      <c r="O33" s="2900"/>
      <c r="P33" s="2427"/>
      <c r="Q33" s="2900"/>
      <c r="R33" s="2427"/>
      <c r="S33" s="2900"/>
    </row>
    <row r="34" spans="1:19" s="91" customFormat="1">
      <c r="A34" s="2899"/>
      <c r="B34" s="2954" t="s">
        <v>694</v>
      </c>
      <c r="C34" s="2593"/>
      <c r="D34" s="2955"/>
      <c r="E34" s="2592"/>
      <c r="F34" s="2956"/>
      <c r="G34" s="2957"/>
      <c r="H34" s="2453"/>
      <c r="I34" s="2958"/>
      <c r="J34" s="2453"/>
      <c r="K34" s="2959"/>
      <c r="L34" s="2453"/>
      <c r="M34" s="2959"/>
      <c r="N34" s="2453"/>
      <c r="O34" s="2959"/>
      <c r="P34" s="2453"/>
      <c r="Q34" s="2959"/>
      <c r="R34" s="2453"/>
      <c r="S34" s="2959"/>
    </row>
    <row r="35" spans="1:19" s="91" customFormat="1">
      <c r="A35" s="2899"/>
      <c r="B35" s="2951"/>
      <c r="C35" s="2432"/>
      <c r="D35" s="2567"/>
      <c r="E35" s="2433"/>
      <c r="F35" s="2952"/>
      <c r="G35" s="2953"/>
      <c r="H35" s="2427"/>
      <c r="I35" s="2912"/>
      <c r="J35" s="2427"/>
      <c r="K35" s="2900"/>
      <c r="L35" s="2427"/>
      <c r="M35" s="2900"/>
      <c r="N35" s="2427"/>
      <c r="O35" s="2900"/>
      <c r="P35" s="2427"/>
      <c r="Q35" s="2900"/>
      <c r="R35" s="2427"/>
      <c r="S35" s="2900"/>
    </row>
    <row r="36" spans="1:19" s="91" customFormat="1">
      <c r="A36" s="2899"/>
      <c r="B36" s="2960" t="s">
        <v>695</v>
      </c>
      <c r="C36" s="2598"/>
      <c r="D36" s="2961"/>
      <c r="E36" s="2597"/>
      <c r="F36" s="2962"/>
      <c r="G36" s="2963"/>
      <c r="H36" s="2459"/>
      <c r="I36" s="2964"/>
      <c r="J36" s="2459"/>
      <c r="K36" s="2965"/>
      <c r="L36" s="2459"/>
      <c r="M36" s="2965"/>
      <c r="N36" s="2459"/>
      <c r="O36" s="2965"/>
      <c r="P36" s="2459"/>
      <c r="Q36" s="2965"/>
      <c r="R36" s="2459"/>
      <c r="S36" s="2965"/>
    </row>
    <row r="37" spans="1:19" s="91" customFormat="1">
      <c r="A37" s="2899"/>
      <c r="B37" s="2951" t="s">
        <v>701</v>
      </c>
      <c r="C37" s="2432" t="s">
        <v>697</v>
      </c>
      <c r="D37" s="2567">
        <f>'Cost Summary'!$J$7</f>
        <v>663</v>
      </c>
      <c r="E37" s="2433" t="s">
        <v>723</v>
      </c>
      <c r="F37" s="2952">
        <v>5</v>
      </c>
      <c r="G37" s="2953">
        <f>D37*F37</f>
        <v>3315</v>
      </c>
      <c r="H37" s="2427"/>
      <c r="I37" s="2934">
        <f>G37</f>
        <v>3315</v>
      </c>
      <c r="J37" s="2427"/>
      <c r="K37" s="2900"/>
      <c r="L37" s="2427"/>
      <c r="M37" s="2900"/>
      <c r="N37" s="2427"/>
      <c r="O37" s="2900"/>
      <c r="P37" s="2427"/>
      <c r="Q37" s="2900"/>
      <c r="R37" s="2427"/>
      <c r="S37" s="2900"/>
    </row>
    <row r="38" spans="1:19" s="91" customFormat="1">
      <c r="A38" s="2899"/>
      <c r="B38" s="2951"/>
      <c r="C38" s="2432"/>
      <c r="D38" s="2567"/>
      <c r="E38" s="2433"/>
      <c r="F38" s="2952"/>
      <c r="G38" s="2953"/>
      <c r="H38" s="2427"/>
      <c r="I38" s="2934"/>
      <c r="J38" s="2427"/>
      <c r="K38" s="2900"/>
      <c r="L38" s="2427"/>
      <c r="M38" s="2900"/>
      <c r="N38" s="2427"/>
      <c r="O38" s="2900"/>
      <c r="P38" s="2427"/>
      <c r="Q38" s="2900"/>
      <c r="R38" s="2427"/>
      <c r="S38" s="2900"/>
    </row>
    <row r="39" spans="1:19" s="91" customFormat="1">
      <c r="A39" s="2899"/>
      <c r="B39" s="2954" t="s">
        <v>649</v>
      </c>
      <c r="C39" s="2593"/>
      <c r="D39" s="2955"/>
      <c r="E39" s="2592"/>
      <c r="F39" s="2956"/>
      <c r="G39" s="2957"/>
      <c r="H39" s="2453"/>
      <c r="I39" s="2958"/>
      <c r="J39" s="2453"/>
      <c r="K39" s="2959"/>
      <c r="L39" s="2453"/>
      <c r="M39" s="2959"/>
      <c r="N39" s="2453"/>
      <c r="O39" s="2959"/>
      <c r="P39" s="2453"/>
      <c r="Q39" s="2959"/>
      <c r="R39" s="2453"/>
      <c r="S39" s="2959"/>
    </row>
    <row r="40" spans="1:19" s="91" customFormat="1">
      <c r="A40" s="2899"/>
      <c r="B40" s="2951"/>
      <c r="C40" s="2432"/>
      <c r="D40" s="2567"/>
      <c r="E40" s="2433"/>
      <c r="F40" s="2952"/>
      <c r="G40" s="2953"/>
      <c r="H40" s="2427"/>
      <c r="I40" s="2934"/>
      <c r="J40" s="2427"/>
      <c r="K40" s="2900"/>
      <c r="L40" s="2427"/>
      <c r="M40" s="2900"/>
      <c r="N40" s="2427"/>
      <c r="O40" s="2900"/>
      <c r="P40" s="2427"/>
      <c r="Q40" s="2900"/>
      <c r="R40" s="2427"/>
      <c r="S40" s="2900"/>
    </row>
    <row r="41" spans="1:19" s="91" customFormat="1">
      <c r="A41" s="2899"/>
      <c r="B41" s="2960" t="s">
        <v>700</v>
      </c>
      <c r="C41" s="2598"/>
      <c r="D41" s="2961"/>
      <c r="E41" s="2597"/>
      <c r="F41" s="2962"/>
      <c r="G41" s="2963"/>
      <c r="H41" s="2459"/>
      <c r="I41" s="2964"/>
      <c r="J41" s="2459"/>
      <c r="K41" s="2965"/>
      <c r="L41" s="2459"/>
      <c r="M41" s="2965"/>
      <c r="N41" s="2459"/>
      <c r="O41" s="2965"/>
      <c r="P41" s="2459"/>
      <c r="Q41" s="2965"/>
      <c r="R41" s="2459"/>
      <c r="S41" s="2965"/>
    </row>
    <row r="42" spans="1:19" s="91" customFormat="1">
      <c r="A42" s="2899"/>
      <c r="B42" s="2951" t="s">
        <v>701</v>
      </c>
      <c r="C42" s="2432" t="s">
        <v>702</v>
      </c>
      <c r="D42" s="2567">
        <f>'Cost Summary'!$N$7</f>
        <v>11678</v>
      </c>
      <c r="E42" s="2433" t="s">
        <v>723</v>
      </c>
      <c r="F42" s="2952">
        <v>3.5</v>
      </c>
      <c r="G42" s="2953">
        <f>D42*F42</f>
        <v>40873</v>
      </c>
      <c r="H42" s="2427"/>
      <c r="I42" s="2934">
        <f>G42</f>
        <v>40873</v>
      </c>
      <c r="J42" s="2427"/>
      <c r="K42" s="2900"/>
      <c r="L42" s="2427"/>
      <c r="M42" s="2900"/>
      <c r="N42" s="2427"/>
      <c r="O42" s="2900"/>
      <c r="P42" s="2427"/>
      <c r="Q42" s="2900"/>
      <c r="R42" s="2427"/>
      <c r="S42" s="2900"/>
    </row>
    <row r="43" spans="1:19" s="91" customFormat="1">
      <c r="A43" s="2899"/>
      <c r="B43" s="2951"/>
      <c r="C43" s="2432"/>
      <c r="D43" s="2567"/>
      <c r="E43" s="2433"/>
      <c r="F43" s="2952"/>
      <c r="G43" s="2953"/>
      <c r="H43" s="2427"/>
      <c r="I43" s="2934"/>
      <c r="J43" s="2427"/>
      <c r="K43" s="2900"/>
      <c r="L43" s="2427"/>
      <c r="M43" s="2900"/>
      <c r="N43" s="2427"/>
      <c r="O43" s="2900"/>
      <c r="P43" s="2427"/>
      <c r="Q43" s="2900"/>
      <c r="R43" s="2427"/>
      <c r="S43" s="2900"/>
    </row>
    <row r="44" spans="1:19" s="91" customFormat="1">
      <c r="A44" s="2899"/>
      <c r="B44" s="2954" t="s">
        <v>703</v>
      </c>
      <c r="C44" s="2593"/>
      <c r="D44" s="2955"/>
      <c r="E44" s="2592"/>
      <c r="F44" s="2956"/>
      <c r="G44" s="2957"/>
      <c r="H44" s="2453"/>
      <c r="I44" s="2958"/>
      <c r="J44" s="2453"/>
      <c r="K44" s="2959"/>
      <c r="L44" s="2453"/>
      <c r="M44" s="2959"/>
      <c r="N44" s="2453"/>
      <c r="O44" s="2959"/>
      <c r="P44" s="2453"/>
      <c r="Q44" s="2959"/>
      <c r="R44" s="2453"/>
      <c r="S44" s="2959"/>
    </row>
    <row r="45" spans="1:19" s="91" customFormat="1">
      <c r="A45" s="2899"/>
      <c r="B45" s="2951"/>
      <c r="C45" s="2432"/>
      <c r="D45" s="2567"/>
      <c r="E45" s="2433"/>
      <c r="F45" s="2952"/>
      <c r="G45" s="2953"/>
      <c r="H45" s="2427"/>
      <c r="I45" s="2934"/>
      <c r="J45" s="2427"/>
      <c r="K45" s="2900"/>
      <c r="L45" s="2427"/>
      <c r="M45" s="2900"/>
      <c r="N45" s="2427"/>
      <c r="O45" s="2900"/>
      <c r="P45" s="2427"/>
      <c r="Q45" s="2900"/>
      <c r="R45" s="2427"/>
      <c r="S45" s="2900"/>
    </row>
    <row r="46" spans="1:19" s="91" customFormat="1">
      <c r="A46" s="2899"/>
      <c r="B46" s="2960" t="s">
        <v>704</v>
      </c>
      <c r="C46" s="2598"/>
      <c r="D46" s="2961"/>
      <c r="E46" s="2597"/>
      <c r="F46" s="2962"/>
      <c r="G46" s="2963"/>
      <c r="H46" s="2459"/>
      <c r="I46" s="2964"/>
      <c r="J46" s="2459"/>
      <c r="K46" s="2965"/>
      <c r="L46" s="2459"/>
      <c r="M46" s="2965"/>
      <c r="N46" s="2459"/>
      <c r="O46" s="2965"/>
      <c r="P46" s="2459"/>
      <c r="Q46" s="2965"/>
      <c r="R46" s="2459"/>
      <c r="S46" s="2965"/>
    </row>
    <row r="47" spans="1:19" s="91" customFormat="1">
      <c r="A47" s="2899"/>
      <c r="B47" s="2951" t="s">
        <v>701</v>
      </c>
      <c r="C47" s="2445" t="s">
        <v>741</v>
      </c>
      <c r="D47" s="2567">
        <f>'Cost Summary'!$R$7</f>
        <v>11225</v>
      </c>
      <c r="E47" s="2433" t="s">
        <v>723</v>
      </c>
      <c r="F47" s="2952">
        <f>F42</f>
        <v>3.5</v>
      </c>
      <c r="G47" s="2953">
        <f>D47*F47</f>
        <v>39287.5</v>
      </c>
      <c r="H47" s="2427"/>
      <c r="I47" s="2934">
        <f>G47</f>
        <v>39287.5</v>
      </c>
      <c r="J47" s="2427"/>
      <c r="K47" s="2900"/>
      <c r="L47" s="2427"/>
      <c r="M47" s="2900"/>
      <c r="N47" s="2427"/>
      <c r="O47" s="2900"/>
      <c r="P47" s="2427"/>
      <c r="Q47" s="2900"/>
      <c r="R47" s="2427"/>
      <c r="S47" s="2900"/>
    </row>
    <row r="48" spans="1:19" s="91" customFormat="1">
      <c r="A48" s="2899"/>
      <c r="B48" s="2951"/>
      <c r="C48" s="2432"/>
      <c r="D48" s="2567"/>
      <c r="E48" s="2433"/>
      <c r="F48" s="2952"/>
      <c r="G48" s="2953"/>
      <c r="H48" s="2427"/>
      <c r="I48" s="2912"/>
      <c r="J48" s="2427"/>
      <c r="K48" s="2900"/>
      <c r="L48" s="2427"/>
      <c r="M48" s="2900"/>
      <c r="N48" s="2427"/>
      <c r="O48" s="2900"/>
      <c r="P48" s="2427"/>
      <c r="Q48" s="2900"/>
      <c r="R48" s="2427"/>
      <c r="S48" s="2900"/>
    </row>
    <row r="49" spans="1:19" s="91" customFormat="1">
      <c r="A49" s="2899"/>
      <c r="B49" s="2954" t="s">
        <v>705</v>
      </c>
      <c r="C49" s="2593"/>
      <c r="D49" s="2955"/>
      <c r="E49" s="2592"/>
      <c r="F49" s="2956"/>
      <c r="G49" s="2957"/>
      <c r="H49" s="2453"/>
      <c r="I49" s="2958"/>
      <c r="J49" s="2453"/>
      <c r="K49" s="2959"/>
      <c r="L49" s="2453"/>
      <c r="M49" s="2959"/>
      <c r="N49" s="2453"/>
      <c r="O49" s="2959"/>
      <c r="P49" s="2453"/>
      <c r="Q49" s="2959"/>
      <c r="R49" s="2453"/>
      <c r="S49" s="2959"/>
    </row>
    <row r="50" spans="1:19" s="91" customFormat="1">
      <c r="A50" s="2899"/>
      <c r="B50" s="2951"/>
      <c r="C50" s="2432"/>
      <c r="D50" s="2567"/>
      <c r="E50" s="2433"/>
      <c r="F50" s="2952"/>
      <c r="G50" s="2953"/>
      <c r="H50" s="2427"/>
      <c r="I50" s="2934"/>
      <c r="J50" s="2427"/>
      <c r="K50" s="2900"/>
      <c r="L50" s="2427"/>
      <c r="M50" s="2900"/>
      <c r="N50" s="2427"/>
      <c r="O50" s="2900"/>
      <c r="P50" s="2427"/>
      <c r="Q50" s="2900"/>
      <c r="R50" s="2427"/>
      <c r="S50" s="2900"/>
    </row>
    <row r="51" spans="1:19" s="91" customFormat="1">
      <c r="A51" s="2899"/>
      <c r="B51" s="2960" t="s">
        <v>602</v>
      </c>
      <c r="C51" s="2598"/>
      <c r="D51" s="2961"/>
      <c r="E51" s="2597"/>
      <c r="F51" s="2962"/>
      <c r="G51" s="2963"/>
      <c r="H51" s="2459"/>
      <c r="I51" s="2964"/>
      <c r="J51" s="2459"/>
      <c r="K51" s="2965"/>
      <c r="L51" s="2459"/>
      <c r="M51" s="2965"/>
      <c r="N51" s="2459"/>
      <c r="O51" s="2965"/>
      <c r="P51" s="2459"/>
      <c r="Q51" s="2965"/>
      <c r="R51" s="2459"/>
      <c r="S51" s="2965"/>
    </row>
    <row r="52" spans="1:19" s="91" customFormat="1">
      <c r="A52" s="2899"/>
      <c r="B52" s="2951"/>
      <c r="C52" s="2432"/>
      <c r="D52" s="2567"/>
      <c r="E52" s="2433"/>
      <c r="F52" s="2952"/>
      <c r="G52" s="2953"/>
      <c r="H52" s="2427"/>
      <c r="I52" s="2934"/>
      <c r="J52" s="2427"/>
      <c r="K52" s="2900"/>
      <c r="L52" s="2427"/>
      <c r="M52" s="2900"/>
      <c r="N52" s="2427"/>
      <c r="O52" s="2900"/>
      <c r="P52" s="2427"/>
      <c r="Q52" s="2900"/>
      <c r="R52" s="2427"/>
      <c r="S52" s="2900"/>
    </row>
    <row r="53" spans="1:19" s="91" customFormat="1">
      <c r="A53" s="2899"/>
      <c r="B53" s="2951"/>
      <c r="C53" s="2432"/>
      <c r="D53" s="2567"/>
      <c r="E53" s="2433"/>
      <c r="F53" s="2952"/>
      <c r="G53" s="2953"/>
      <c r="H53" s="2427"/>
      <c r="I53" s="2934"/>
      <c r="J53" s="2427"/>
      <c r="K53" s="2900"/>
      <c r="L53" s="2427"/>
      <c r="M53" s="2900"/>
      <c r="N53" s="2427"/>
      <c r="O53" s="2900"/>
      <c r="P53" s="2427"/>
      <c r="Q53" s="2900"/>
      <c r="R53" s="2427"/>
      <c r="S53" s="2900"/>
    </row>
    <row r="54" spans="1:19">
      <c r="A54" s="2966"/>
      <c r="B54" s="2967"/>
      <c r="C54" s="300"/>
      <c r="D54" s="184"/>
      <c r="E54" s="184"/>
      <c r="F54" s="184"/>
      <c r="G54" s="296"/>
      <c r="H54" s="2427"/>
      <c r="I54" s="2935"/>
      <c r="J54" s="2427"/>
      <c r="K54" s="2935"/>
      <c r="L54" s="2427"/>
      <c r="M54" s="2935"/>
      <c r="N54" s="2427"/>
      <c r="O54" s="2935"/>
      <c r="P54" s="2427"/>
      <c r="Q54" s="2935"/>
      <c r="R54" s="2427"/>
      <c r="S54" s="2935"/>
    </row>
    <row r="55" spans="1:19" ht="15.75" thickTop="1">
      <c r="A55" s="14"/>
      <c r="B55" s="15"/>
      <c r="C55" s="16"/>
      <c r="D55" s="16"/>
      <c r="E55" s="17"/>
      <c r="F55" s="18" t="s">
        <v>567</v>
      </c>
      <c r="G55" s="19"/>
      <c r="H55" s="20"/>
      <c r="I55" s="61">
        <f>SUM(I24:I54)</f>
        <v>83475.5</v>
      </c>
      <c r="J55" s="20"/>
      <c r="K55" s="61">
        <f>SUM(K24:K54)</f>
        <v>0</v>
      </c>
      <c r="L55" s="20"/>
      <c r="M55" s="61">
        <f>SUM(M24:M54)</f>
        <v>0</v>
      </c>
      <c r="N55" s="20"/>
      <c r="O55" s="61">
        <f>SUM(O24:O54)</f>
        <v>0</v>
      </c>
      <c r="P55" s="20"/>
      <c r="Q55" s="61">
        <f>SUM(Q24:Q54)</f>
        <v>0</v>
      </c>
      <c r="R55" s="20"/>
      <c r="S55" s="61">
        <f>SUM(S24:S54)</f>
        <v>0</v>
      </c>
    </row>
    <row r="56" spans="1:19">
      <c r="A56" s="2358"/>
      <c r="B56" s="2359"/>
      <c r="C56" s="2360"/>
      <c r="D56" s="2360"/>
      <c r="E56" s="2361"/>
      <c r="F56" s="2362" t="s">
        <v>568</v>
      </c>
      <c r="G56" s="2363"/>
      <c r="H56" s="2364">
        <v>0</v>
      </c>
      <c r="I56" s="2460"/>
      <c r="J56" s="2364">
        <v>0</v>
      </c>
      <c r="K56" s="2460"/>
      <c r="L56" s="2364">
        <v>0</v>
      </c>
      <c r="M56" s="2460"/>
      <c r="N56" s="2364">
        <v>0</v>
      </c>
      <c r="O56" s="2460"/>
      <c r="P56" s="2364">
        <v>0</v>
      </c>
      <c r="Q56" s="2460"/>
      <c r="R56" s="2364">
        <v>0</v>
      </c>
      <c r="S56" s="2460"/>
    </row>
    <row r="57" spans="1:19">
      <c r="A57" s="2358"/>
      <c r="B57" s="2359"/>
      <c r="C57" s="2360"/>
      <c r="D57" s="2360"/>
      <c r="E57" s="2361"/>
      <c r="F57" s="2362" t="s">
        <v>569</v>
      </c>
      <c r="G57" s="2363"/>
      <c r="H57" s="2366"/>
      <c r="I57" s="2462">
        <f>H56*I55</f>
        <v>0</v>
      </c>
      <c r="J57" s="2366"/>
      <c r="K57" s="2462">
        <f>J56*K55</f>
        <v>0</v>
      </c>
      <c r="L57" s="2366"/>
      <c r="M57" s="2462">
        <f>L56*M55</f>
        <v>0</v>
      </c>
      <c r="N57" s="2366"/>
      <c r="O57" s="2462">
        <f>N56*O55</f>
        <v>0</v>
      </c>
      <c r="P57" s="2366"/>
      <c r="Q57" s="2462">
        <f>P56*Q55</f>
        <v>0</v>
      </c>
      <c r="R57" s="2366"/>
      <c r="S57" s="2462">
        <f>R56*S55</f>
        <v>0</v>
      </c>
    </row>
    <row r="58" spans="1:19">
      <c r="A58" s="2358"/>
      <c r="B58" s="2359"/>
      <c r="C58" s="2360"/>
      <c r="D58" s="2360"/>
      <c r="E58" s="2361"/>
      <c r="F58" s="2362"/>
      <c r="G58" s="2363"/>
      <c r="H58" s="2366"/>
      <c r="I58" s="2464"/>
      <c r="J58" s="2366"/>
      <c r="K58" s="2464"/>
      <c r="L58" s="2366"/>
      <c r="M58" s="2464"/>
      <c r="N58" s="2366"/>
      <c r="O58" s="2464"/>
      <c r="P58" s="2366"/>
      <c r="Q58" s="2464"/>
      <c r="R58" s="2366"/>
      <c r="S58" s="2464"/>
    </row>
    <row r="59" spans="1:19">
      <c r="A59" s="2358"/>
      <c r="B59" s="2359"/>
      <c r="C59" s="2360"/>
      <c r="D59" s="2360"/>
      <c r="E59" s="2361"/>
      <c r="F59" s="2362" t="s">
        <v>570</v>
      </c>
      <c r="G59" s="2363"/>
      <c r="H59" s="2368"/>
      <c r="I59" s="2465">
        <f>SUM(I55:I57)</f>
        <v>83475.5</v>
      </c>
      <c r="J59" s="2368"/>
      <c r="K59" s="2465">
        <f>SUM(K55:K57)</f>
        <v>0</v>
      </c>
      <c r="L59" s="2368"/>
      <c r="M59" s="2465">
        <f>SUM(M55:M57)</f>
        <v>0</v>
      </c>
      <c r="N59" s="2368"/>
      <c r="O59" s="2465">
        <f>SUM(O55:O57)</f>
        <v>0</v>
      </c>
      <c r="P59" s="2368"/>
      <c r="Q59" s="2465">
        <f>SUM(Q55:Q57)</f>
        <v>0</v>
      </c>
      <c r="R59" s="2368"/>
      <c r="S59" s="2465">
        <f>SUM(S55:S57)</f>
        <v>0</v>
      </c>
    </row>
    <row r="60" spans="1:19">
      <c r="A60" s="2358"/>
      <c r="B60" s="2359"/>
      <c r="C60" s="2360"/>
      <c r="D60" s="2360"/>
      <c r="E60" s="2361"/>
      <c r="F60" s="2370" t="s">
        <v>571</v>
      </c>
      <c r="G60" s="2371"/>
      <c r="H60" s="2372"/>
      <c r="I60" s="2373" t="e">
        <f>I59/'Area Calculations'!$J$4</f>
        <v>#DIV/0!</v>
      </c>
      <c r="J60" s="2372"/>
      <c r="K60" s="2373" t="e">
        <f>K59/'Area Calculations'!$J$4</f>
        <v>#DIV/0!</v>
      </c>
      <c r="L60" s="2372"/>
      <c r="M60" s="2373" t="e">
        <f>M59/'Area Calculations'!$J$4</f>
        <v>#DIV/0!</v>
      </c>
      <c r="N60" s="2372"/>
      <c r="O60" s="2373" t="e">
        <f>O59/'Area Calculations'!$J$4</f>
        <v>#DIV/0!</v>
      </c>
      <c r="P60" s="2372"/>
      <c r="Q60" s="2373" t="e">
        <f>Q59/'Area Calculations'!$J$4</f>
        <v>#DIV/0!</v>
      </c>
      <c r="R60" s="2372"/>
      <c r="S60" s="2373" t="e">
        <f>S59/'Area Calculations'!$J$4</f>
        <v>#DIV/0!</v>
      </c>
    </row>
    <row r="61" spans="1:19">
      <c r="A61" s="2358"/>
      <c r="B61" s="2359"/>
      <c r="C61" s="2360"/>
      <c r="D61" s="2360"/>
      <c r="E61" s="2361"/>
      <c r="F61" s="2370" t="s">
        <v>572</v>
      </c>
      <c r="G61" s="2374"/>
      <c r="H61" s="2372"/>
      <c r="I61" s="2373" t="e">
        <f>I59/'Area Calculations'!#REF!</f>
        <v>#REF!</v>
      </c>
      <c r="J61" s="2372"/>
      <c r="K61" s="2373" t="e">
        <f>K59/'Area Calculations'!#REF!</f>
        <v>#REF!</v>
      </c>
      <c r="L61" s="2372"/>
      <c r="M61" s="2373" t="e">
        <f>M59/'Area Calculations'!#REF!</f>
        <v>#REF!</v>
      </c>
      <c r="N61" s="2372"/>
      <c r="O61" s="2373" t="e">
        <f>O59/'Area Calculations'!#REF!</f>
        <v>#REF!</v>
      </c>
      <c r="P61" s="2372"/>
      <c r="Q61" s="2373" t="e">
        <f>Q59/'Area Calculations'!#REF!</f>
        <v>#REF!</v>
      </c>
      <c r="R61" s="2372"/>
      <c r="S61" s="2373" t="e">
        <f>S59/'Area Calculations'!#REF!</f>
        <v>#REF!</v>
      </c>
    </row>
    <row r="62" spans="1:19" ht="15.75" thickBot="1">
      <c r="A62" s="2358"/>
      <c r="B62" s="2359"/>
      <c r="C62" s="2360"/>
      <c r="D62" s="2360"/>
      <c r="E62" s="2361"/>
      <c r="F62" s="2362"/>
      <c r="G62" s="2375"/>
      <c r="H62" s="2376"/>
      <c r="I62" s="2377"/>
      <c r="J62" s="2376"/>
      <c r="K62" s="2377"/>
      <c r="L62" s="2376"/>
      <c r="M62" s="2377"/>
      <c r="N62" s="2376"/>
      <c r="O62" s="2377"/>
      <c r="P62" s="2376"/>
      <c r="Q62" s="2377"/>
      <c r="R62" s="2376"/>
      <c r="S62" s="2377"/>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2923"/>
      <c r="B64" s="2404"/>
      <c r="C64" s="2906"/>
      <c r="D64" s="2906"/>
      <c r="E64" s="2906"/>
      <c r="F64" s="2906"/>
      <c r="G64" s="2907"/>
      <c r="H64" s="2926"/>
      <c r="I64" s="2926"/>
      <c r="J64" s="2926"/>
      <c r="K64" s="2926"/>
      <c r="L64" s="2926"/>
      <c r="M64" s="2926"/>
      <c r="N64" s="2926"/>
      <c r="O64" s="2926"/>
      <c r="P64" s="2926"/>
      <c r="Q64" s="2926"/>
      <c r="R64" s="2926"/>
      <c r="S64" s="2926"/>
    </row>
    <row r="65" spans="1:19" s="2" customFormat="1">
      <c r="A65" s="2923"/>
      <c r="B65" s="2404"/>
      <c r="C65" s="2906"/>
      <c r="D65" s="2906"/>
      <c r="E65" s="2906"/>
      <c r="F65" s="2906"/>
      <c r="G65" s="2907"/>
      <c r="H65" s="2926"/>
      <c r="I65" s="2926"/>
      <c r="J65" s="2926"/>
      <c r="K65" s="2926"/>
      <c r="L65" s="2926"/>
      <c r="M65" s="2926"/>
      <c r="N65" s="2926"/>
      <c r="O65" s="2926"/>
      <c r="P65" s="2926"/>
      <c r="Q65" s="2926"/>
      <c r="R65" s="2926"/>
      <c r="S65" s="2926"/>
    </row>
    <row r="66" spans="1:19" s="2" customFormat="1" ht="15.75" thickBot="1">
      <c r="A66" s="2923"/>
      <c r="B66" s="2404"/>
      <c r="C66" s="2906"/>
      <c r="D66" s="2906"/>
      <c r="E66" s="2906"/>
      <c r="F66" s="2906"/>
      <c r="G66" s="2907"/>
      <c r="H66" s="2926"/>
      <c r="I66" s="2926"/>
      <c r="J66" s="2926"/>
      <c r="K66" s="2926"/>
      <c r="L66" s="2926"/>
      <c r="M66" s="2926"/>
      <c r="N66" s="2926"/>
      <c r="O66" s="2926"/>
      <c r="P66" s="2926"/>
      <c r="Q66" s="2926"/>
      <c r="R66" s="2926"/>
      <c r="S66" s="2926"/>
    </row>
    <row r="67" spans="1:19" ht="16.5" thickTop="1" thickBot="1">
      <c r="A67" s="726" t="s">
        <v>574</v>
      </c>
      <c r="B67" s="727"/>
      <c r="C67" s="12"/>
      <c r="D67" s="12"/>
      <c r="E67" s="12"/>
      <c r="F67" s="12"/>
      <c r="G67" s="13"/>
      <c r="H67" s="21"/>
      <c r="I67" s="21"/>
      <c r="J67" s="21"/>
      <c r="K67" s="21"/>
      <c r="L67" s="21"/>
      <c r="M67" s="21"/>
      <c r="N67" s="21"/>
      <c r="O67" s="21"/>
      <c r="P67" s="21"/>
      <c r="Q67" s="21"/>
      <c r="R67" s="21"/>
      <c r="S67" s="21"/>
    </row>
    <row r="68" spans="1:19" s="2" customFormat="1" ht="15.75" thickTop="1">
      <c r="A68" s="2923"/>
      <c r="B68" s="2404"/>
      <c r="C68" s="2906"/>
      <c r="D68" s="2906"/>
      <c r="E68" s="2906"/>
      <c r="F68" s="2906"/>
      <c r="G68" s="2907"/>
      <c r="H68" s="2926"/>
      <c r="I68" s="2926"/>
      <c r="J68" s="2926"/>
      <c r="K68" s="2926"/>
      <c r="L68" s="2926"/>
      <c r="M68" s="2926"/>
      <c r="N68" s="2926"/>
      <c r="O68" s="2926"/>
      <c r="P68" s="2926"/>
      <c r="Q68" s="2926"/>
      <c r="R68" s="2926"/>
      <c r="S68" s="2926"/>
    </row>
    <row r="69" spans="1:19" s="2" customFormat="1">
      <c r="A69" s="2923"/>
      <c r="B69" s="2404"/>
      <c r="C69" s="2906"/>
      <c r="D69" s="2906"/>
      <c r="E69" s="2906"/>
      <c r="F69" s="2906"/>
      <c r="G69" s="2907"/>
      <c r="H69" s="2926"/>
      <c r="I69" s="2926"/>
      <c r="J69" s="2926"/>
      <c r="K69" s="2926"/>
      <c r="L69" s="2926"/>
      <c r="M69" s="2926"/>
      <c r="N69" s="2926"/>
      <c r="O69" s="2926"/>
      <c r="P69" s="2926"/>
      <c r="Q69" s="2926"/>
      <c r="R69" s="2926"/>
      <c r="S69" s="2926"/>
    </row>
    <row r="70" spans="1:19" ht="15.75" thickBot="1">
      <c r="A70" s="2923"/>
      <c r="B70" s="2404"/>
      <c r="C70" s="2906"/>
      <c r="D70" s="2906"/>
      <c r="E70" s="2906"/>
      <c r="F70" s="2906"/>
      <c r="G70" s="2907"/>
      <c r="H70" s="2926"/>
      <c r="I70" s="2926"/>
      <c r="J70" s="2926"/>
      <c r="K70" s="2926"/>
      <c r="L70" s="2926"/>
      <c r="M70" s="2926"/>
      <c r="N70" s="2926"/>
      <c r="O70" s="2926"/>
      <c r="P70" s="2926"/>
      <c r="Q70" s="2926"/>
      <c r="R70" s="2926"/>
      <c r="S70" s="2926"/>
    </row>
    <row r="71" spans="1:19" ht="16.5" thickTop="1" thickBot="1">
      <c r="A71" s="726" t="s">
        <v>575</v>
      </c>
      <c r="B71" s="727"/>
      <c r="C71" s="12"/>
      <c r="D71" s="12"/>
      <c r="E71" s="12"/>
      <c r="F71" s="12"/>
      <c r="G71" s="13"/>
      <c r="H71" s="21"/>
      <c r="I71" s="21"/>
      <c r="J71" s="21"/>
      <c r="K71" s="21"/>
      <c r="L71" s="21"/>
      <c r="M71" s="21"/>
      <c r="N71" s="21"/>
      <c r="O71" s="21"/>
      <c r="P71" s="21"/>
      <c r="Q71" s="21"/>
      <c r="R71" s="21"/>
      <c r="S71" s="21"/>
    </row>
    <row r="72" spans="1:19" ht="15.75" thickTop="1">
      <c r="A72" s="2923"/>
      <c r="B72" s="2404"/>
      <c r="C72" s="2906"/>
      <c r="D72" s="2906"/>
      <c r="E72" s="2906"/>
      <c r="F72" s="2906"/>
      <c r="G72" s="2907"/>
      <c r="H72" s="2926"/>
      <c r="I72" s="2926"/>
      <c r="J72" s="2926"/>
      <c r="K72" s="2926"/>
      <c r="L72" s="2926"/>
      <c r="M72" s="2926"/>
      <c r="N72" s="2926"/>
      <c r="O72" s="2926"/>
      <c r="P72" s="2926"/>
      <c r="Q72" s="2926"/>
      <c r="R72" s="2926"/>
      <c r="S72" s="2926"/>
    </row>
    <row r="73" spans="1:19">
      <c r="A73" s="2421"/>
      <c r="B73" s="2404"/>
      <c r="C73" s="2405"/>
      <c r="D73" s="2405"/>
      <c r="E73" s="2405"/>
      <c r="F73" s="2405"/>
      <c r="G73" s="2423"/>
      <c r="H73" s="2382"/>
      <c r="I73" s="2382"/>
      <c r="J73" s="2382"/>
      <c r="K73" s="2382"/>
      <c r="L73" s="2382"/>
      <c r="M73" s="2382"/>
      <c r="N73" s="2382"/>
      <c r="O73" s="2382"/>
      <c r="P73" s="2382"/>
      <c r="Q73" s="2382"/>
      <c r="R73" s="2382"/>
      <c r="S73" s="2382"/>
    </row>
    <row r="74" spans="1:19" ht="15.75" thickBot="1">
      <c r="A74" s="2383"/>
      <c r="B74" s="2384"/>
      <c r="C74" s="2405"/>
      <c r="D74" s="2405"/>
      <c r="E74" s="2405"/>
      <c r="F74" s="2405"/>
      <c r="G74" s="2423"/>
      <c r="H74" s="2385"/>
      <c r="I74" s="2385"/>
      <c r="J74" s="2385"/>
      <c r="K74" s="2385"/>
      <c r="L74" s="2385"/>
      <c r="M74" s="2385"/>
      <c r="N74" s="2385"/>
      <c r="O74" s="2385"/>
      <c r="P74" s="2385"/>
      <c r="Q74" s="2385"/>
      <c r="R74" s="2385"/>
      <c r="S74" s="2385"/>
    </row>
    <row r="75" spans="1:19"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2927"/>
      <c r="B76" s="2909"/>
      <c r="C76" s="2906"/>
      <c r="D76" s="2906"/>
      <c r="E76" s="2906"/>
      <c r="F76" s="2906"/>
      <c r="G76" s="2907"/>
      <c r="H76" s="2926"/>
      <c r="I76" s="2926"/>
      <c r="J76" s="2926"/>
      <c r="K76" s="2926"/>
      <c r="L76" s="2926"/>
      <c r="M76" s="2926"/>
      <c r="N76" s="2926"/>
      <c r="O76" s="2926"/>
      <c r="P76" s="2926"/>
      <c r="Q76" s="2926"/>
      <c r="R76" s="2926"/>
      <c r="S76" s="2926"/>
    </row>
    <row r="77" spans="1:19">
      <c r="A77" s="2383"/>
      <c r="B77" s="2384"/>
      <c r="C77" s="2405"/>
      <c r="D77" s="2405"/>
      <c r="E77" s="2405"/>
      <c r="F77" s="2405"/>
      <c r="G77" s="2423"/>
      <c r="H77" s="2388"/>
      <c r="I77" s="2388"/>
      <c r="J77" s="2388"/>
      <c r="K77" s="2388"/>
      <c r="L77" s="2388"/>
      <c r="M77" s="2388"/>
      <c r="N77" s="2388"/>
      <c r="O77" s="2388"/>
      <c r="P77" s="2388"/>
      <c r="Q77" s="2388"/>
      <c r="R77" s="2388"/>
      <c r="S77" s="2388"/>
    </row>
    <row r="78" spans="1:19" ht="15.75" thickBot="1">
      <c r="A78" s="2383"/>
      <c r="B78" s="2384"/>
      <c r="C78" s="2405"/>
      <c r="D78" s="2405"/>
      <c r="E78" s="2405"/>
      <c r="F78" s="2405"/>
      <c r="G78" s="2423"/>
      <c r="H78" s="2388"/>
      <c r="I78" s="2388"/>
      <c r="J78" s="2388"/>
      <c r="K78" s="2388"/>
      <c r="L78" s="2388"/>
      <c r="M78" s="2388"/>
      <c r="N78" s="2388"/>
      <c r="O78" s="2388"/>
      <c r="P78" s="2388"/>
      <c r="Q78" s="2388"/>
      <c r="R78" s="2388"/>
      <c r="S78" s="2388"/>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2421"/>
      <c r="B80" s="2404" t="s">
        <v>578</v>
      </c>
      <c r="C80" s="2405"/>
      <c r="D80" s="2405"/>
      <c r="E80" s="2405"/>
      <c r="F80" s="2405"/>
      <c r="G80" s="2423"/>
      <c r="H80" s="2388"/>
      <c r="I80" s="2388"/>
      <c r="J80" s="2388"/>
      <c r="K80" s="2388"/>
      <c r="L80" s="2388"/>
      <c r="M80" s="2388"/>
      <c r="N80" s="2388"/>
      <c r="O80" s="2388"/>
      <c r="P80" s="2388"/>
      <c r="Q80" s="2388"/>
      <c r="R80" s="2388"/>
      <c r="S80" s="2388"/>
    </row>
    <row r="81" spans="1:19">
      <c r="A81" s="2421"/>
      <c r="B81" s="2404" t="s">
        <v>579</v>
      </c>
      <c r="C81" s="2405"/>
      <c r="D81" s="2405"/>
      <c r="E81" s="2405"/>
      <c r="F81" s="2405"/>
      <c r="G81" s="2423"/>
      <c r="H81" s="2388"/>
      <c r="I81" s="2388"/>
      <c r="J81" s="2388"/>
      <c r="K81" s="2388"/>
      <c r="L81" s="2388"/>
      <c r="M81" s="2388"/>
      <c r="N81" s="2388"/>
      <c r="O81" s="2388"/>
      <c r="P81" s="2388"/>
      <c r="Q81" s="2388"/>
      <c r="R81" s="2388"/>
      <c r="S81" s="2388"/>
    </row>
    <row r="82" spans="1:19">
      <c r="A82" s="2421"/>
      <c r="B82" s="2404" t="s">
        <v>580</v>
      </c>
      <c r="C82" s="2405"/>
      <c r="D82" s="2405"/>
      <c r="E82" s="2405"/>
      <c r="F82" s="2405"/>
      <c r="G82" s="2423"/>
      <c r="H82" s="2388"/>
      <c r="I82" s="2388"/>
      <c r="J82" s="2388"/>
      <c r="K82" s="2388"/>
      <c r="L82" s="2388"/>
      <c r="M82" s="2388"/>
      <c r="N82" s="2388"/>
      <c r="O82" s="2388"/>
      <c r="P82" s="2388"/>
      <c r="Q82" s="2388"/>
      <c r="R82" s="2388"/>
      <c r="S82" s="2388"/>
    </row>
    <row r="83" spans="1:19">
      <c r="A83" s="2421"/>
      <c r="B83" s="2404" t="s">
        <v>581</v>
      </c>
      <c r="C83" s="2405"/>
      <c r="D83" s="2405"/>
      <c r="E83" s="2405"/>
      <c r="F83" s="2405"/>
      <c r="G83" s="2423"/>
      <c r="H83" s="2388"/>
      <c r="I83" s="2388"/>
      <c r="J83" s="2388"/>
      <c r="K83" s="2388"/>
      <c r="L83" s="2388"/>
      <c r="M83" s="2388"/>
      <c r="N83" s="2388"/>
      <c r="O83" s="2388"/>
      <c r="P83" s="2388"/>
      <c r="Q83" s="2388"/>
      <c r="R83" s="2388"/>
      <c r="S83" s="2388"/>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2923"/>
      <c r="B86" s="2910" t="s">
        <v>583</v>
      </c>
      <c r="C86" s="2906"/>
      <c r="D86" s="2906"/>
      <c r="E86" s="2906"/>
      <c r="F86" s="2906"/>
      <c r="G86" s="2907"/>
      <c r="H86" s="2930"/>
      <c r="I86" s="2930"/>
      <c r="J86" s="2930"/>
      <c r="K86" s="2930"/>
      <c r="L86" s="2930"/>
      <c r="M86" s="2930"/>
      <c r="N86" s="2930"/>
      <c r="O86" s="2930"/>
      <c r="P86" s="2930"/>
      <c r="Q86" s="2930"/>
      <c r="R86" s="2930"/>
      <c r="S86" s="2930"/>
    </row>
    <row r="87" spans="1:19">
      <c r="A87" s="2421"/>
      <c r="B87" s="2404" t="s">
        <v>584</v>
      </c>
      <c r="C87" s="2405"/>
      <c r="D87" s="2405"/>
      <c r="E87" s="2405"/>
      <c r="F87" s="2405"/>
      <c r="G87" s="2423"/>
      <c r="H87" s="2390"/>
      <c r="I87" s="2390"/>
      <c r="J87" s="2390"/>
      <c r="K87" s="2390"/>
      <c r="L87" s="2390"/>
      <c r="M87" s="2390"/>
      <c r="N87" s="2390"/>
      <c r="O87" s="2390"/>
      <c r="P87" s="2390"/>
      <c r="Q87" s="2390"/>
      <c r="R87" s="2390"/>
      <c r="S87" s="2390"/>
    </row>
    <row r="88" spans="1:19" ht="15.75" thickBot="1">
      <c r="A88" s="2391"/>
      <c r="B88" s="2392" t="s">
        <v>585</v>
      </c>
      <c r="C88" s="2393"/>
      <c r="D88" s="2393"/>
      <c r="E88" s="2393"/>
      <c r="F88" s="2393"/>
      <c r="G88" s="2394"/>
      <c r="H88" s="2395"/>
      <c r="I88" s="2395"/>
      <c r="J88" s="2395"/>
      <c r="K88" s="2395"/>
      <c r="L88" s="2395"/>
      <c r="M88" s="2395"/>
      <c r="N88" s="2395"/>
      <c r="O88" s="2395"/>
      <c r="P88" s="2395"/>
      <c r="Q88" s="2395"/>
      <c r="R88" s="2395"/>
      <c r="S88" s="2395"/>
    </row>
    <row r="89" spans="1:19" ht="16.5" thickTop="1" thickBot="1"/>
    <row r="90" spans="1:19" ht="16.5" thickTop="1" thickBot="1">
      <c r="A90" s="92" t="s">
        <v>586</v>
      </c>
      <c r="B90" s="94"/>
    </row>
    <row r="91" spans="1:19" ht="15.75" thickTop="1">
      <c r="A91" s="93" t="s">
        <v>487</v>
      </c>
      <c r="B91" s="2396"/>
    </row>
    <row r="92" spans="1:19">
      <c r="A92" s="2397" t="s">
        <v>491</v>
      </c>
      <c r="B92" s="2396"/>
    </row>
    <row r="93" spans="1:19">
      <c r="A93" s="2398" t="s">
        <v>494</v>
      </c>
      <c r="B93" s="2399"/>
    </row>
    <row r="94" spans="1:19">
      <c r="A94" s="2398" t="s">
        <v>497</v>
      </c>
      <c r="B94" s="2400"/>
    </row>
    <row r="95" spans="1:19" ht="15.75" thickBot="1">
      <c r="A95" s="2401" t="s">
        <v>587</v>
      </c>
      <c r="B95" s="2402">
        <f>H8</f>
        <v>83475.5</v>
      </c>
    </row>
    <row r="96" spans="1:19" ht="15.75" thickTop="1"/>
    <row r="97" spans="1:2">
      <c r="A97" s="95"/>
      <c r="B97" s="1" t="s">
        <v>588</v>
      </c>
    </row>
    <row r="98" spans="1:2">
      <c r="A98" s="96"/>
      <c r="B98" s="1" t="s">
        <v>589</v>
      </c>
    </row>
  </sheetData>
  <mergeCells count="47">
    <mergeCell ref="R7:S7"/>
    <mergeCell ref="R8:S8"/>
    <mergeCell ref="R2:S2"/>
    <mergeCell ref="R3:S3"/>
    <mergeCell ref="R4:S4"/>
    <mergeCell ref="R5:S5"/>
    <mergeCell ref="R6:S6"/>
    <mergeCell ref="P7:Q7"/>
    <mergeCell ref="P6:Q6"/>
    <mergeCell ref="J8:K8"/>
    <mergeCell ref="L8:M8"/>
    <mergeCell ref="N8:O8"/>
    <mergeCell ref="P8:Q8"/>
    <mergeCell ref="P5:Q5"/>
    <mergeCell ref="H4:I4"/>
    <mergeCell ref="J4:K4"/>
    <mergeCell ref="L4:M4"/>
    <mergeCell ref="N4:O4"/>
    <mergeCell ref="P4:Q4"/>
    <mergeCell ref="H8:I8"/>
    <mergeCell ref="H5:I5"/>
    <mergeCell ref="J5:K5"/>
    <mergeCell ref="L5:M5"/>
    <mergeCell ref="N5:O5"/>
    <mergeCell ref="H7:I7"/>
    <mergeCell ref="J7:K7"/>
    <mergeCell ref="L7:M7"/>
    <mergeCell ref="N7:O7"/>
    <mergeCell ref="H6:I6"/>
    <mergeCell ref="J6:K6"/>
    <mergeCell ref="L6:M6"/>
    <mergeCell ref="N6:O6"/>
    <mergeCell ref="H2:I2"/>
    <mergeCell ref="J2:K2"/>
    <mergeCell ref="L2:M2"/>
    <mergeCell ref="N2:O2"/>
    <mergeCell ref="P2:Q2"/>
    <mergeCell ref="H3:I3"/>
    <mergeCell ref="J3:K3"/>
    <mergeCell ref="L3:M3"/>
    <mergeCell ref="N3:O3"/>
    <mergeCell ref="P3:Q3"/>
    <mergeCell ref="A63:B63"/>
    <mergeCell ref="A67:B67"/>
    <mergeCell ref="A71:B71"/>
    <mergeCell ref="A75:B75"/>
    <mergeCell ref="A79:B79"/>
  </mergeCells>
  <conditionalFormatting sqref="H8 H33:H54 J33:J54 L33:L54 N33:N54 P33:P54 R33:R54">
    <cfRule type="cellIs" dxfId="291" priority="25" operator="equal">
      <formula>"X"</formula>
    </cfRule>
    <cfRule type="cellIs" dxfId="290" priority="26" operator="equal">
      <formula>"I"</formula>
    </cfRule>
  </conditionalFormatting>
  <conditionalFormatting sqref="H21:H31">
    <cfRule type="cellIs" dxfId="289" priority="23" operator="equal">
      <formula>"X"</formula>
    </cfRule>
    <cfRule type="cellIs" dxfId="288" priority="24" operator="equal">
      <formula>"I"</formula>
    </cfRule>
  </conditionalFormatting>
  <conditionalFormatting sqref="J21:J31">
    <cfRule type="cellIs" dxfId="287" priority="21" operator="equal">
      <formula>"X"</formula>
    </cfRule>
    <cfRule type="cellIs" dxfId="286" priority="22" operator="equal">
      <formula>"I"</formula>
    </cfRule>
  </conditionalFormatting>
  <conditionalFormatting sqref="L21:L31">
    <cfRule type="cellIs" dxfId="285" priority="19" operator="equal">
      <formula>"X"</formula>
    </cfRule>
    <cfRule type="cellIs" dxfId="284" priority="20" operator="equal">
      <formula>"I"</formula>
    </cfRule>
  </conditionalFormatting>
  <conditionalFormatting sqref="N21:N31">
    <cfRule type="cellIs" dxfId="283" priority="17" operator="equal">
      <formula>"X"</formula>
    </cfRule>
    <cfRule type="cellIs" dxfId="282" priority="18" operator="equal">
      <formula>"I"</formula>
    </cfRule>
  </conditionalFormatting>
  <conditionalFormatting sqref="P21:P31">
    <cfRule type="cellIs" dxfId="281" priority="15" operator="equal">
      <formula>"X"</formula>
    </cfRule>
    <cfRule type="cellIs" dxfId="280" priority="16" operator="equal">
      <formula>"I"</formula>
    </cfRule>
  </conditionalFormatting>
  <conditionalFormatting sqref="R21:R31">
    <cfRule type="cellIs" dxfId="279" priority="13" operator="equal">
      <formula>"X"</formula>
    </cfRule>
    <cfRule type="cellIs" dxfId="278" priority="14" operator="equal">
      <formula>"I"</formula>
    </cfRule>
  </conditionalFormatting>
  <hyperlinks>
    <hyperlink ref="B3" location="'Cost Summary'!A1" display="BACK TO SUMMARY SHEET" xr:uid="{6F7E3EE0-DC9D-4602-A943-4F9D980679B6}"/>
  </hyperlinks>
  <pageMargins left="0.7" right="0.7" top="0.75" bottom="0.75" header="0.3" footer="0.3"/>
  <pageSetup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9DC6-318E-4ACB-A19A-33E8EB166598}">
  <sheetPr>
    <tabColor rgb="FF92D050"/>
  </sheetPr>
  <dimension ref="A1:S112"/>
  <sheetViews>
    <sheetView workbookViewId="0">
      <pane xSplit="2" ySplit="9" topLeftCell="C40" activePane="bottomRight" state="frozen"/>
      <selection pane="bottomRight" activeCell="F47" sqref="F47"/>
      <selection pane="bottomLeft" sqref="A1:B1"/>
      <selection pane="topRight" sqref="A1:B1"/>
    </sheetView>
  </sheetViews>
  <sheetFormatPr defaultRowHeight="15"/>
  <cols>
    <col min="1" max="1" width="11" customWidth="1"/>
    <col min="2" max="2" width="70.7109375" style="1" customWidth="1"/>
    <col min="3" max="3" width="13.42578125" style="2" customWidth="1"/>
    <col min="4" max="4" width="11.7109375" style="2" customWidth="1"/>
    <col min="5" max="5" width="5.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66"/>
      <c r="I2" s="766"/>
      <c r="J2" s="766"/>
      <c r="K2" s="766"/>
      <c r="L2" s="766"/>
      <c r="M2" s="766"/>
      <c r="N2" s="732"/>
      <c r="O2" s="732"/>
      <c r="P2" s="732"/>
      <c r="Q2" s="732"/>
      <c r="R2" s="732"/>
      <c r="S2" s="732"/>
    </row>
    <row r="3" spans="1:19" ht="20.25">
      <c r="B3" s="161" t="s">
        <v>477</v>
      </c>
      <c r="E3" s="175"/>
      <c r="F3" s="148" t="s">
        <v>478</v>
      </c>
      <c r="G3" s="147" t="s">
        <v>479</v>
      </c>
      <c r="H3" s="730" t="s">
        <v>480</v>
      </c>
      <c r="I3" s="731"/>
      <c r="J3" s="730" t="s">
        <v>726</v>
      </c>
      <c r="K3" s="731"/>
      <c r="L3" s="730" t="s">
        <v>1229</v>
      </c>
      <c r="M3" s="731"/>
      <c r="N3" s="730" t="s">
        <v>868</v>
      </c>
      <c r="O3" s="731"/>
      <c r="P3" s="730" t="s">
        <v>484</v>
      </c>
      <c r="Q3" s="731"/>
      <c r="R3" s="730" t="s">
        <v>728</v>
      </c>
      <c r="S3" s="731"/>
    </row>
    <row r="4" spans="1:19" ht="15.75" customHeight="1">
      <c r="A4" s="3" t="s">
        <v>486</v>
      </c>
      <c r="B4" s="4" t="str">
        <f>'Area Calculations'!B4</f>
        <v>The Club at Ibis Conceptual Estimate</v>
      </c>
      <c r="C4" s="5"/>
      <c r="D4" s="5"/>
      <c r="E4" s="5"/>
      <c r="F4" s="5"/>
      <c r="G4" s="6" t="s">
        <v>487</v>
      </c>
      <c r="H4" s="728" t="s">
        <v>212</v>
      </c>
      <c r="I4" s="729"/>
      <c r="J4" s="728"/>
      <c r="K4" s="728"/>
      <c r="L4" s="728"/>
      <c r="M4" s="728"/>
      <c r="N4" s="728"/>
      <c r="O4" s="729"/>
      <c r="P4" s="728"/>
      <c r="Q4" s="729"/>
      <c r="R4" s="728"/>
      <c r="S4" s="729"/>
    </row>
    <row r="5" spans="1:19">
      <c r="A5" s="2403" t="s">
        <v>489</v>
      </c>
      <c r="B5" s="2404" t="s">
        <v>211</v>
      </c>
      <c r="C5" s="2405"/>
      <c r="D5" s="2405"/>
      <c r="E5" s="2405"/>
      <c r="F5" s="2405"/>
      <c r="G5" s="2406" t="s">
        <v>491</v>
      </c>
      <c r="H5" s="2407" t="s">
        <v>1230</v>
      </c>
      <c r="I5" s="2408"/>
      <c r="J5" s="2407"/>
      <c r="K5" s="2407"/>
      <c r="L5" s="2407"/>
      <c r="M5" s="2407"/>
      <c r="N5" s="2407"/>
      <c r="O5" s="2408"/>
      <c r="P5" s="2407"/>
      <c r="Q5" s="2408"/>
      <c r="R5" s="2407"/>
      <c r="S5" s="2408"/>
    </row>
    <row r="6" spans="1:19">
      <c r="A6" s="2403" t="s">
        <v>493</v>
      </c>
      <c r="B6" s="2410" t="s">
        <v>210</v>
      </c>
      <c r="C6" s="2405"/>
      <c r="D6" s="2405"/>
      <c r="E6" s="2405"/>
      <c r="F6" s="2405"/>
      <c r="G6" s="2406" t="s">
        <v>494</v>
      </c>
      <c r="H6" s="2407" t="s">
        <v>1231</v>
      </c>
      <c r="I6" s="2408"/>
      <c r="J6" s="2411"/>
      <c r="K6" s="2411"/>
      <c r="L6" s="2411"/>
      <c r="M6" s="2411"/>
      <c r="N6" s="2411"/>
      <c r="O6" s="2412"/>
      <c r="P6" s="2411"/>
      <c r="Q6" s="2412"/>
      <c r="R6" s="2411"/>
      <c r="S6" s="2412"/>
    </row>
    <row r="7" spans="1:19" ht="15" customHeight="1">
      <c r="A7" s="2403" t="s">
        <v>496</v>
      </c>
      <c r="B7" s="2414"/>
      <c r="C7" s="2405"/>
      <c r="D7" s="2405"/>
      <c r="E7" s="2405"/>
      <c r="F7" s="2405"/>
      <c r="G7" s="2406" t="s">
        <v>497</v>
      </c>
      <c r="H7" s="2968" t="s">
        <v>1232</v>
      </c>
      <c r="I7" s="2969"/>
      <c r="J7" s="2415"/>
      <c r="K7" s="2415"/>
      <c r="L7" s="2415"/>
      <c r="M7" s="2415"/>
      <c r="N7" s="2415"/>
      <c r="O7" s="2416"/>
      <c r="P7" s="2943"/>
      <c r="Q7" s="2944"/>
      <c r="R7" s="2945"/>
      <c r="S7" s="2946"/>
    </row>
    <row r="8" spans="1:19">
      <c r="A8" s="414" t="s">
        <v>499</v>
      </c>
      <c r="B8" s="295"/>
      <c r="C8" s="184"/>
      <c r="D8" s="184"/>
      <c r="E8" s="184"/>
      <c r="F8" s="184"/>
      <c r="G8" s="419" t="s">
        <v>499</v>
      </c>
      <c r="H8" s="2970">
        <f>I72</f>
        <v>531000</v>
      </c>
      <c r="I8" s="2971"/>
      <c r="J8" s="2970">
        <f>K72</f>
        <v>0</v>
      </c>
      <c r="K8" s="2971"/>
      <c r="L8" s="2970">
        <f>M72</f>
        <v>0</v>
      </c>
      <c r="M8" s="2971"/>
      <c r="N8" s="2970">
        <f>O72</f>
        <v>0</v>
      </c>
      <c r="O8" s="2971"/>
      <c r="P8" s="2970">
        <f>Q72</f>
        <v>0</v>
      </c>
      <c r="Q8" s="2971"/>
      <c r="R8" s="2970">
        <f>S72</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2911"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45" hidden="1">
      <c r="A20" s="2932">
        <v>1</v>
      </c>
      <c r="B20" s="2910" t="s">
        <v>1233</v>
      </c>
      <c r="C20" s="2972" t="s">
        <v>509</v>
      </c>
      <c r="D20" s="2906"/>
      <c r="E20" s="2906"/>
      <c r="F20" s="2906"/>
      <c r="G20" s="2907"/>
      <c r="H20" s="2930"/>
      <c r="I20" s="2913"/>
      <c r="J20" s="2424"/>
      <c r="K20" s="2913"/>
      <c r="L20" s="2424"/>
      <c r="M20" s="2913"/>
      <c r="N20" s="2913"/>
      <c r="O20" s="2913"/>
      <c r="P20" s="2913"/>
      <c r="Q20" s="2913"/>
      <c r="R20" s="2913"/>
      <c r="S20" s="2913"/>
    </row>
    <row r="21" spans="1:19" ht="45" hidden="1">
      <c r="A21" s="2685">
        <v>2</v>
      </c>
      <c r="B21" s="2404" t="s">
        <v>1234</v>
      </c>
      <c r="C21" s="2426" t="s">
        <v>509</v>
      </c>
      <c r="D21" s="2426"/>
      <c r="E21" s="2405"/>
      <c r="F21" s="2405"/>
      <c r="G21" s="2423"/>
      <c r="H21" s="2930"/>
      <c r="I21" s="2913"/>
      <c r="J21" s="2424"/>
      <c r="K21" s="2913"/>
      <c r="L21" s="2424"/>
      <c r="M21" s="2913"/>
      <c r="N21" s="2913"/>
      <c r="O21" s="2913"/>
      <c r="P21" s="2913"/>
      <c r="Q21" s="2913"/>
      <c r="R21" s="2913"/>
      <c r="S21" s="2913"/>
    </row>
    <row r="22" spans="1:19" s="1" customFormat="1" ht="16.5" thickTop="1" thickBot="1">
      <c r="A22" s="2973"/>
      <c r="B22" s="2428" t="s">
        <v>211</v>
      </c>
      <c r="C22" s="2974"/>
      <c r="D22" s="2384"/>
      <c r="E22" s="2384"/>
      <c r="F22" s="2384"/>
      <c r="G22" s="2975"/>
      <c r="H22" s="2537"/>
      <c r="I22" s="2976"/>
      <c r="J22" s="2424"/>
      <c r="K22" s="2976"/>
      <c r="L22" s="2424"/>
      <c r="M22" s="2976"/>
      <c r="N22" s="2976"/>
      <c r="O22" s="2976"/>
      <c r="P22" s="2976"/>
      <c r="Q22" s="2976"/>
      <c r="R22" s="2976"/>
      <c r="S22" s="2976"/>
    </row>
    <row r="23" spans="1:19">
      <c r="A23" s="2932"/>
      <c r="B23" s="2318" t="s">
        <v>512</v>
      </c>
      <c r="C23" s="2426"/>
      <c r="D23" s="2405"/>
      <c r="E23" s="2405"/>
      <c r="F23" s="2405"/>
      <c r="G23" s="2423"/>
      <c r="H23" s="2537"/>
      <c r="I23" s="2913"/>
      <c r="J23" s="2424"/>
      <c r="K23" s="2913"/>
      <c r="L23" s="2424"/>
      <c r="M23" s="2913"/>
      <c r="N23" s="2913"/>
      <c r="O23" s="2913"/>
      <c r="P23" s="2913"/>
      <c r="Q23" s="2913"/>
      <c r="R23" s="2913"/>
      <c r="S23" s="2913"/>
    </row>
    <row r="24" spans="1:19">
      <c r="A24" s="2932"/>
      <c r="B24" s="2977" t="s">
        <v>513</v>
      </c>
      <c r="C24" s="2426"/>
      <c r="D24" s="2405"/>
      <c r="E24" s="2405"/>
      <c r="F24" s="2405"/>
      <c r="G24" s="2423"/>
      <c r="H24" s="2427" t="s">
        <v>710</v>
      </c>
      <c r="I24" s="2912"/>
      <c r="J24" s="2427"/>
      <c r="K24" s="2912"/>
      <c r="L24" s="2424"/>
      <c r="M24" s="2912"/>
      <c r="N24" s="2427"/>
      <c r="O24" s="2912"/>
      <c r="P24" s="2427"/>
      <c r="Q24" s="2912"/>
      <c r="R24" s="2427"/>
      <c r="S24" s="2912"/>
    </row>
    <row r="25" spans="1:19">
      <c r="A25" s="2685"/>
      <c r="B25" s="2977" t="s">
        <v>514</v>
      </c>
      <c r="C25" s="2426"/>
      <c r="D25" s="2426"/>
      <c r="E25" s="2405"/>
      <c r="F25" s="2405"/>
      <c r="G25" s="2423"/>
      <c r="H25" s="2427" t="s">
        <v>710</v>
      </c>
      <c r="I25" s="2912"/>
      <c r="J25" s="2427"/>
      <c r="K25" s="2913"/>
      <c r="L25" s="2427"/>
      <c r="M25" s="2913"/>
      <c r="N25" s="2427"/>
      <c r="O25" s="2913"/>
      <c r="P25" s="2427"/>
      <c r="Q25" s="2913"/>
      <c r="R25" s="2427"/>
      <c r="S25" s="2913"/>
    </row>
    <row r="26" spans="1:19">
      <c r="A26" s="2932"/>
      <c r="B26" s="2978" t="s">
        <v>515</v>
      </c>
      <c r="C26" s="2426"/>
      <c r="D26" s="2405"/>
      <c r="E26" s="2405"/>
      <c r="F26" s="2405"/>
      <c r="G26" s="2423"/>
      <c r="H26" s="2427" t="s">
        <v>709</v>
      </c>
      <c r="I26" s="2913"/>
      <c r="J26" s="2427"/>
      <c r="K26" s="2913"/>
      <c r="L26" s="2427"/>
      <c r="M26" s="2913"/>
      <c r="N26" s="2427"/>
      <c r="O26" s="2913"/>
      <c r="P26" s="2427"/>
      <c r="Q26" s="2913"/>
      <c r="R26" s="2427"/>
      <c r="S26" s="2913"/>
    </row>
    <row r="27" spans="1:19">
      <c r="A27" s="2932"/>
      <c r="B27" s="2978" t="s">
        <v>516</v>
      </c>
      <c r="C27" s="2426"/>
      <c r="D27" s="2405"/>
      <c r="E27" s="2405"/>
      <c r="F27" s="2405"/>
      <c r="G27" s="2423"/>
      <c r="H27" s="2427" t="s">
        <v>710</v>
      </c>
      <c r="I27" s="2913"/>
      <c r="J27" s="2427"/>
      <c r="K27" s="2913"/>
      <c r="L27" s="2427"/>
      <c r="M27" s="2913"/>
      <c r="N27" s="2427"/>
      <c r="O27" s="2913"/>
      <c r="P27" s="2427"/>
      <c r="Q27" s="2913"/>
      <c r="R27" s="2427"/>
      <c r="S27" s="2913"/>
    </row>
    <row r="28" spans="1:19">
      <c r="A28" s="2685"/>
      <c r="B28" s="2978" t="s">
        <v>517</v>
      </c>
      <c r="C28" s="2426"/>
      <c r="D28" s="2405"/>
      <c r="E28" s="2405"/>
      <c r="F28" s="2405"/>
      <c r="G28" s="2423"/>
      <c r="H28" s="2427" t="s">
        <v>710</v>
      </c>
      <c r="I28" s="2913"/>
      <c r="J28" s="2427"/>
      <c r="K28" s="2913"/>
      <c r="L28" s="2427"/>
      <c r="M28" s="2913"/>
      <c r="N28" s="2427"/>
      <c r="O28" s="2913"/>
      <c r="P28" s="2427"/>
      <c r="Q28" s="2913"/>
      <c r="R28" s="2427"/>
      <c r="S28" s="2913"/>
    </row>
    <row r="29" spans="1:19">
      <c r="A29" s="2932"/>
      <c r="B29" s="2978" t="s">
        <v>518</v>
      </c>
      <c r="C29" s="2426"/>
      <c r="D29" s="2405"/>
      <c r="E29" s="2405"/>
      <c r="F29" s="2405"/>
      <c r="G29" s="2423"/>
      <c r="H29" s="2427" t="s">
        <v>710</v>
      </c>
      <c r="I29" s="2913"/>
      <c r="J29" s="2427"/>
      <c r="K29" s="2913"/>
      <c r="L29" s="2427"/>
      <c r="M29" s="2913"/>
      <c r="N29" s="2427"/>
      <c r="O29" s="2913"/>
      <c r="P29" s="2427"/>
      <c r="Q29" s="2913"/>
      <c r="R29" s="2427"/>
      <c r="S29" s="2913"/>
    </row>
    <row r="30" spans="1:19">
      <c r="A30" s="2932"/>
      <c r="B30" s="2978" t="s">
        <v>693</v>
      </c>
      <c r="C30" s="2426"/>
      <c r="D30" s="2405"/>
      <c r="E30" s="2405"/>
      <c r="F30" s="2405"/>
      <c r="G30" s="2423"/>
      <c r="H30" s="2427" t="s">
        <v>710</v>
      </c>
      <c r="I30" s="2913" t="s">
        <v>1235</v>
      </c>
      <c r="J30" s="2427"/>
      <c r="K30" s="2913"/>
      <c r="L30" s="2427"/>
      <c r="M30" s="2913"/>
      <c r="N30" s="2427"/>
      <c r="O30" s="2913"/>
      <c r="P30" s="2427"/>
      <c r="Q30" s="2913"/>
      <c r="R30" s="2427"/>
      <c r="S30" s="2913"/>
    </row>
    <row r="31" spans="1:19">
      <c r="A31" s="2932"/>
      <c r="B31" s="2901" t="s">
        <v>519</v>
      </c>
      <c r="C31" s="2426"/>
      <c r="D31" s="2405"/>
      <c r="E31" s="2405"/>
      <c r="F31" s="2405"/>
      <c r="G31" s="2423"/>
      <c r="H31" s="2427"/>
      <c r="I31" s="2913"/>
      <c r="J31" s="2427"/>
      <c r="K31" s="2913"/>
      <c r="L31" s="2427"/>
      <c r="M31" s="2913"/>
      <c r="N31" s="2427"/>
      <c r="O31" s="2913"/>
      <c r="P31" s="2427"/>
      <c r="Q31" s="2913"/>
      <c r="R31" s="2427"/>
      <c r="S31" s="2913"/>
    </row>
    <row r="32" spans="1:19">
      <c r="A32" s="2932"/>
      <c r="B32" s="2902" t="s">
        <v>520</v>
      </c>
      <c r="C32" s="2979"/>
      <c r="D32" s="2980"/>
      <c r="E32" s="2980"/>
      <c r="F32" s="2980"/>
      <c r="G32" s="2981"/>
      <c r="H32" s="2439"/>
      <c r="I32" s="2982"/>
      <c r="J32" s="2439"/>
      <c r="K32" s="2982"/>
      <c r="L32" s="2439"/>
      <c r="M32" s="2982"/>
      <c r="N32" s="2983"/>
      <c r="O32" s="2983"/>
      <c r="P32" s="2983"/>
      <c r="Q32" s="2983"/>
      <c r="R32" s="2983"/>
      <c r="S32" s="2983"/>
    </row>
    <row r="33" spans="1:19">
      <c r="A33" s="2984"/>
      <c r="B33" s="2985"/>
      <c r="C33" s="2426"/>
      <c r="D33" s="2405"/>
      <c r="E33" s="2405"/>
      <c r="F33" s="2405"/>
      <c r="G33" s="2423"/>
      <c r="H33" s="2427"/>
      <c r="I33" s="2913"/>
      <c r="J33" s="2427"/>
      <c r="K33" s="2913"/>
      <c r="L33" s="2427"/>
      <c r="M33" s="2913"/>
      <c r="N33" s="2427"/>
      <c r="O33" s="2913"/>
      <c r="P33" s="2427"/>
      <c r="Q33" s="2427"/>
      <c r="R33" s="2427"/>
      <c r="S33" s="2913"/>
    </row>
    <row r="34" spans="1:19">
      <c r="A34" s="2986"/>
      <c r="B34" s="2985" t="s">
        <v>1236</v>
      </c>
      <c r="C34" s="2426"/>
      <c r="D34" s="2405"/>
      <c r="E34" s="2405"/>
      <c r="F34" s="2405"/>
      <c r="G34" s="2423"/>
      <c r="H34" s="2427" t="s">
        <v>710</v>
      </c>
      <c r="I34" s="2913"/>
      <c r="J34" s="2427"/>
      <c r="K34" s="2913"/>
      <c r="L34" s="2427"/>
      <c r="M34" s="2913"/>
      <c r="N34" s="2427"/>
      <c r="O34" s="2913"/>
      <c r="P34" s="2427"/>
      <c r="Q34" s="2987"/>
      <c r="R34" s="2427"/>
      <c r="S34" s="2913"/>
    </row>
    <row r="35" spans="1:19">
      <c r="A35" s="2986"/>
      <c r="B35" s="2985" t="s">
        <v>1237</v>
      </c>
      <c r="C35" s="2426"/>
      <c r="D35" s="2405"/>
      <c r="E35" s="2405"/>
      <c r="F35" s="2405"/>
      <c r="G35" s="2423"/>
      <c r="H35" s="2427" t="s">
        <v>710</v>
      </c>
      <c r="I35" s="2988"/>
      <c r="J35" s="2427"/>
      <c r="K35" s="2988"/>
      <c r="L35" s="2427"/>
      <c r="M35" s="2988"/>
      <c r="N35" s="2427"/>
      <c r="O35" s="2988"/>
      <c r="P35" s="2427"/>
      <c r="Q35" s="2987"/>
      <c r="R35" s="2427"/>
      <c r="S35" s="2988"/>
    </row>
    <row r="36" spans="1:19">
      <c r="A36" s="2986"/>
      <c r="B36" s="2985" t="s">
        <v>1238</v>
      </c>
      <c r="C36" s="2426"/>
      <c r="D36" s="2405"/>
      <c r="E36" s="2405"/>
      <c r="F36" s="2405"/>
      <c r="G36" s="2423"/>
      <c r="H36" s="2427" t="s">
        <v>710</v>
      </c>
      <c r="I36" s="2913"/>
      <c r="J36" s="2427"/>
      <c r="K36" s="2913"/>
      <c r="L36" s="2427"/>
      <c r="M36" s="2913"/>
      <c r="N36" s="2427"/>
      <c r="O36" s="2913"/>
      <c r="P36" s="2427"/>
      <c r="Q36" s="2987"/>
      <c r="R36" s="2427"/>
      <c r="S36" s="2913"/>
    </row>
    <row r="37" spans="1:19">
      <c r="A37" s="2986"/>
      <c r="B37" s="2985" t="s">
        <v>1239</v>
      </c>
      <c r="C37" s="2426"/>
      <c r="D37" s="2405"/>
      <c r="E37" s="2405"/>
      <c r="F37" s="2405"/>
      <c r="G37" s="2423"/>
      <c r="H37" s="2427" t="s">
        <v>710</v>
      </c>
      <c r="I37" s="2913"/>
      <c r="J37" s="2427"/>
      <c r="K37" s="2913"/>
      <c r="L37" s="2427"/>
      <c r="M37" s="2913"/>
      <c r="N37" s="2427"/>
      <c r="O37" s="2913"/>
      <c r="P37" s="2427"/>
      <c r="Q37" s="2987"/>
      <c r="R37" s="2427"/>
      <c r="S37" s="2913"/>
    </row>
    <row r="38" spans="1:19">
      <c r="A38" s="2986"/>
      <c r="B38" s="2985" t="s">
        <v>1240</v>
      </c>
      <c r="C38" s="2426"/>
      <c r="D38" s="2405"/>
      <c r="E38" s="2405"/>
      <c r="F38" s="2405"/>
      <c r="G38" s="2423"/>
      <c r="H38" s="2427" t="s">
        <v>710</v>
      </c>
      <c r="I38" s="2913"/>
      <c r="J38" s="2427"/>
      <c r="K38" s="2913"/>
      <c r="L38" s="2427"/>
      <c r="M38" s="2913"/>
      <c r="N38" s="2427"/>
      <c r="O38" s="2913"/>
      <c r="P38" s="2427"/>
      <c r="Q38" s="2987"/>
      <c r="R38" s="2427"/>
      <c r="S38" s="2913"/>
    </row>
    <row r="39" spans="1:19">
      <c r="A39" s="2986"/>
      <c r="B39" s="2985" t="s">
        <v>1241</v>
      </c>
      <c r="C39" s="2426"/>
      <c r="D39" s="2405"/>
      <c r="E39" s="2405"/>
      <c r="F39" s="2405"/>
      <c r="G39" s="2423"/>
      <c r="H39" s="2427" t="s">
        <v>710</v>
      </c>
      <c r="I39" s="2913"/>
      <c r="J39" s="2427"/>
      <c r="K39" s="2913"/>
      <c r="L39" s="2427"/>
      <c r="M39" s="2913"/>
      <c r="N39" s="2427"/>
      <c r="O39" s="2913"/>
      <c r="P39" s="2427"/>
      <c r="Q39" s="2987"/>
      <c r="R39" s="2427"/>
      <c r="S39" s="2913"/>
    </row>
    <row r="40" spans="1:19">
      <c r="A40" s="2986"/>
      <c r="B40" s="2985" t="s">
        <v>1242</v>
      </c>
      <c r="C40" s="2426"/>
      <c r="D40" s="2405"/>
      <c r="E40" s="2405"/>
      <c r="F40" s="2405"/>
      <c r="G40" s="2423"/>
      <c r="H40" s="2427" t="s">
        <v>710</v>
      </c>
      <c r="I40" s="2988"/>
      <c r="J40" s="2427"/>
      <c r="K40" s="2988"/>
      <c r="L40" s="2427"/>
      <c r="M40" s="2988"/>
      <c r="N40" s="2427"/>
      <c r="O40" s="2988"/>
      <c r="P40" s="2427"/>
      <c r="Q40" s="2987"/>
      <c r="R40" s="2427"/>
      <c r="S40" s="2988"/>
    </row>
    <row r="41" spans="1:19">
      <c r="A41" s="2986"/>
      <c r="B41" s="2985" t="s">
        <v>1243</v>
      </c>
      <c r="C41" s="2426"/>
      <c r="D41" s="2405"/>
      <c r="E41" s="2405"/>
      <c r="F41" s="2405"/>
      <c r="G41" s="2423"/>
      <c r="H41" s="2427" t="s">
        <v>710</v>
      </c>
      <c r="I41" s="2913"/>
      <c r="J41" s="2427"/>
      <c r="K41" s="2913"/>
      <c r="L41" s="2427"/>
      <c r="M41" s="2913"/>
      <c r="N41" s="2427"/>
      <c r="O41" s="2913"/>
      <c r="P41" s="2427"/>
      <c r="Q41" s="2987"/>
      <c r="R41" s="2427"/>
      <c r="S41" s="2913"/>
    </row>
    <row r="42" spans="1:19">
      <c r="A42" s="2986"/>
      <c r="B42" s="2985" t="s">
        <v>1244</v>
      </c>
      <c r="C42" s="2426"/>
      <c r="D42" s="2405"/>
      <c r="E42" s="2405"/>
      <c r="F42" s="2405"/>
      <c r="G42" s="2423"/>
      <c r="H42" s="2427" t="s">
        <v>710</v>
      </c>
      <c r="I42" s="2913"/>
      <c r="J42" s="2427"/>
      <c r="K42" s="2913"/>
      <c r="L42" s="2427"/>
      <c r="M42" s="2913"/>
      <c r="N42" s="2427"/>
      <c r="O42" s="2913"/>
      <c r="P42" s="2427"/>
      <c r="Q42" s="2987"/>
      <c r="R42" s="2427"/>
      <c r="S42" s="2913"/>
    </row>
    <row r="43" spans="1:19">
      <c r="A43" s="2986"/>
      <c r="B43" s="2985"/>
      <c r="C43" s="2426"/>
      <c r="D43" s="2405"/>
      <c r="E43" s="2405"/>
      <c r="F43" s="2405"/>
      <c r="G43" s="2423"/>
      <c r="H43" s="2427"/>
      <c r="I43" s="2988"/>
      <c r="J43" s="2427"/>
      <c r="K43" s="2988"/>
      <c r="L43" s="2427"/>
      <c r="M43" s="2988"/>
      <c r="N43" s="2427"/>
      <c r="O43" s="2988"/>
      <c r="P43" s="2427"/>
      <c r="Q43" s="2987"/>
      <c r="R43" s="2427"/>
      <c r="S43" s="2988"/>
    </row>
    <row r="44" spans="1:19">
      <c r="A44" s="2986"/>
      <c r="B44" s="2989" t="s">
        <v>694</v>
      </c>
      <c r="C44" s="2990"/>
      <c r="D44" s="2450"/>
      <c r="E44" s="2450"/>
      <c r="F44" s="2450"/>
      <c r="G44" s="2531"/>
      <c r="H44" s="2453"/>
      <c r="I44" s="2991"/>
      <c r="J44" s="2453"/>
      <c r="K44" s="2991"/>
      <c r="L44" s="2453"/>
      <c r="M44" s="2991"/>
      <c r="N44" s="2453"/>
      <c r="O44" s="2991"/>
      <c r="P44" s="2453"/>
      <c r="Q44" s="2992"/>
      <c r="R44" s="2453"/>
      <c r="S44" s="2991"/>
    </row>
    <row r="45" spans="1:19">
      <c r="A45" s="2993"/>
      <c r="B45" s="2994"/>
      <c r="C45" s="2426"/>
      <c r="D45" s="2405"/>
      <c r="E45" s="2405"/>
      <c r="F45" s="2405"/>
      <c r="G45" s="2423"/>
      <c r="H45" s="2427"/>
      <c r="I45" s="2995"/>
      <c r="J45" s="2427"/>
      <c r="K45" s="2995"/>
      <c r="L45" s="2427"/>
      <c r="M45" s="2995"/>
      <c r="N45" s="2427"/>
      <c r="O45" s="2995"/>
      <c r="P45" s="2427"/>
      <c r="Q45" s="2996"/>
      <c r="R45" s="2427"/>
      <c r="S45" s="2995"/>
    </row>
    <row r="46" spans="1:19">
      <c r="A46" s="2997"/>
      <c r="B46" s="2998" t="s">
        <v>695</v>
      </c>
      <c r="C46" s="2999"/>
      <c r="D46" s="2456"/>
      <c r="E46" s="2456"/>
      <c r="F46" s="2456"/>
      <c r="G46" s="2532"/>
      <c r="H46" s="2459"/>
      <c r="I46" s="3000">
        <v>35000</v>
      </c>
      <c r="J46" s="2459"/>
      <c r="K46" s="3000"/>
      <c r="L46" s="2459"/>
      <c r="M46" s="3000"/>
      <c r="N46" s="2459"/>
      <c r="O46" s="3000"/>
      <c r="P46" s="2459"/>
      <c r="Q46" s="3001"/>
      <c r="R46" s="2459"/>
      <c r="S46" s="3000"/>
    </row>
    <row r="47" spans="1:19">
      <c r="A47" s="3002"/>
      <c r="B47" s="3003" t="s">
        <v>701</v>
      </c>
      <c r="C47" s="2432" t="s">
        <v>697</v>
      </c>
      <c r="D47" s="2405">
        <f>'Cost Summary'!$J$7</f>
        <v>663</v>
      </c>
      <c r="E47" s="2405" t="s">
        <v>723</v>
      </c>
      <c r="F47" s="2405">
        <v>55</v>
      </c>
      <c r="G47" s="2423">
        <f>D47*F47</f>
        <v>36465</v>
      </c>
      <c r="H47" s="2427"/>
      <c r="I47" s="3004"/>
      <c r="J47" s="2427"/>
      <c r="K47" s="3005"/>
      <c r="L47" s="2427"/>
      <c r="M47" s="3005"/>
      <c r="N47" s="2427"/>
      <c r="O47" s="3005"/>
      <c r="P47" s="2427"/>
      <c r="Q47" s="3006"/>
      <c r="R47" s="2427"/>
      <c r="S47" s="3005"/>
    </row>
    <row r="48" spans="1:19">
      <c r="A48" s="3007"/>
      <c r="B48" s="3008" t="s">
        <v>1245</v>
      </c>
      <c r="C48" s="2432" t="s">
        <v>697</v>
      </c>
      <c r="D48" s="2405">
        <v>1</v>
      </c>
      <c r="E48" s="2405" t="s">
        <v>714</v>
      </c>
      <c r="F48" s="2405">
        <v>3500</v>
      </c>
      <c r="G48" s="2423">
        <f>D48*F48</f>
        <v>3500</v>
      </c>
      <c r="H48" s="2427"/>
      <c r="I48" s="3004"/>
      <c r="J48" s="2427"/>
      <c r="K48" s="3009"/>
      <c r="L48" s="2427"/>
      <c r="M48" s="3009"/>
      <c r="N48" s="2427"/>
      <c r="O48" s="3009"/>
      <c r="P48" s="2427"/>
      <c r="Q48" s="3010"/>
      <c r="R48" s="2427"/>
      <c r="S48" s="3009"/>
    </row>
    <row r="49" spans="1:19">
      <c r="A49" s="3011"/>
      <c r="B49" s="3012" t="s">
        <v>1246</v>
      </c>
      <c r="C49" s="2432" t="s">
        <v>713</v>
      </c>
      <c r="D49" s="2405">
        <v>3</v>
      </c>
      <c r="E49" s="2405" t="s">
        <v>714</v>
      </c>
      <c r="F49" s="2405">
        <v>2000</v>
      </c>
      <c r="G49" s="2423">
        <f>D49*F49</f>
        <v>6000</v>
      </c>
      <c r="H49" s="2427"/>
      <c r="I49" s="3004"/>
      <c r="J49" s="2427"/>
      <c r="K49" s="3013"/>
      <c r="L49" s="2427"/>
      <c r="M49" s="3013"/>
      <c r="N49" s="2427"/>
      <c r="O49" s="3013"/>
      <c r="P49" s="2427"/>
      <c r="Q49" s="3014"/>
      <c r="R49" s="2427"/>
      <c r="S49" s="3013"/>
    </row>
    <row r="50" spans="1:19">
      <c r="A50" s="3015"/>
      <c r="B50" s="3016"/>
      <c r="C50" s="2426"/>
      <c r="D50" s="2405"/>
      <c r="E50" s="2405"/>
      <c r="F50" s="2405"/>
      <c r="G50" s="2423"/>
      <c r="H50" s="2427"/>
      <c r="I50" s="3017"/>
      <c r="J50" s="2427"/>
      <c r="K50" s="3017"/>
      <c r="L50" s="2427"/>
      <c r="M50" s="3017"/>
      <c r="N50" s="2427"/>
      <c r="O50" s="3017"/>
      <c r="P50" s="2427"/>
      <c r="Q50" s="3018"/>
      <c r="R50" s="2427"/>
      <c r="S50" s="3017"/>
    </row>
    <row r="51" spans="1:19">
      <c r="A51" s="3019"/>
      <c r="B51" s="3020" t="s">
        <v>649</v>
      </c>
      <c r="C51" s="2990"/>
      <c r="D51" s="2450"/>
      <c r="E51" s="2450"/>
      <c r="F51" s="2450"/>
      <c r="G51" s="2531"/>
      <c r="H51" s="2453"/>
      <c r="I51" s="3021"/>
      <c r="J51" s="2453"/>
      <c r="K51" s="3021"/>
      <c r="L51" s="2453"/>
      <c r="M51" s="3021"/>
      <c r="N51" s="2453"/>
      <c r="O51" s="3021"/>
      <c r="P51" s="2453"/>
      <c r="Q51" s="3022"/>
      <c r="R51" s="2453"/>
      <c r="S51" s="3021"/>
    </row>
    <row r="52" spans="1:19">
      <c r="A52" s="3023"/>
      <c r="B52" s="3024"/>
      <c r="C52" s="2426"/>
      <c r="D52" s="2405"/>
      <c r="E52" s="2405"/>
      <c r="F52" s="2405"/>
      <c r="G52" s="2423"/>
      <c r="H52" s="2427"/>
      <c r="I52" s="3025"/>
      <c r="J52" s="2427"/>
      <c r="K52" s="3025"/>
      <c r="L52" s="2427"/>
      <c r="M52" s="3025"/>
      <c r="N52" s="2427"/>
      <c r="O52" s="3025"/>
      <c r="P52" s="2427"/>
      <c r="Q52" s="3026"/>
      <c r="R52" s="2427"/>
      <c r="S52" s="3025"/>
    </row>
    <row r="53" spans="1:19">
      <c r="A53" s="2986"/>
      <c r="B53" s="3027" t="s">
        <v>700</v>
      </c>
      <c r="C53" s="2999"/>
      <c r="D53" s="2456"/>
      <c r="E53" s="2456"/>
      <c r="F53" s="2456"/>
      <c r="G53" s="2532"/>
      <c r="H53" s="2459"/>
      <c r="I53" s="3028"/>
      <c r="J53" s="2459"/>
      <c r="K53" s="3028"/>
      <c r="L53" s="2459"/>
      <c r="M53" s="3028"/>
      <c r="N53" s="2459"/>
      <c r="O53" s="3028"/>
      <c r="P53" s="2459"/>
      <c r="Q53" s="3029"/>
      <c r="R53" s="2459"/>
      <c r="S53" s="3028"/>
    </row>
    <row r="54" spans="1:19">
      <c r="A54" s="3030"/>
      <c r="B54" s="3031" t="s">
        <v>701</v>
      </c>
      <c r="C54" s="2432" t="s">
        <v>702</v>
      </c>
      <c r="D54" s="2567">
        <f>'Cost Summary'!$N$7</f>
        <v>11678</v>
      </c>
      <c r="E54" s="2433" t="s">
        <v>723</v>
      </c>
      <c r="F54" s="2952">
        <v>30</v>
      </c>
      <c r="G54" s="2953">
        <f>D54*F54</f>
        <v>350340</v>
      </c>
      <c r="H54" s="2427"/>
      <c r="I54" s="3032">
        <v>330000</v>
      </c>
      <c r="J54" s="2427"/>
      <c r="K54" s="3033"/>
      <c r="L54" s="2427"/>
      <c r="M54" s="3033"/>
      <c r="N54" s="2427"/>
      <c r="O54" s="3033"/>
      <c r="P54" s="2427"/>
      <c r="Q54" s="3034"/>
      <c r="R54" s="2427"/>
      <c r="S54" s="3033"/>
    </row>
    <row r="55" spans="1:19">
      <c r="A55" s="3035"/>
      <c r="B55" s="3036"/>
      <c r="C55" s="2426"/>
      <c r="D55" s="2405"/>
      <c r="E55" s="2405"/>
      <c r="F55" s="2405"/>
      <c r="G55" s="2423"/>
      <c r="H55" s="2427"/>
      <c r="I55" s="3004"/>
      <c r="J55" s="2427"/>
      <c r="K55" s="3037"/>
      <c r="L55" s="2427"/>
      <c r="M55" s="3037"/>
      <c r="N55" s="2427"/>
      <c r="O55" s="3037"/>
      <c r="P55" s="2427"/>
      <c r="Q55" s="3038"/>
      <c r="R55" s="2427"/>
      <c r="S55" s="3037"/>
    </row>
    <row r="56" spans="1:19">
      <c r="A56" s="2986"/>
      <c r="B56" s="2989" t="s">
        <v>703</v>
      </c>
      <c r="C56" s="2990"/>
      <c r="D56" s="2450"/>
      <c r="E56" s="2450"/>
      <c r="F56" s="2450"/>
      <c r="G56" s="2531"/>
      <c r="H56" s="2453"/>
      <c r="I56" s="2991"/>
      <c r="J56" s="2453"/>
      <c r="K56" s="2991"/>
      <c r="L56" s="2453"/>
      <c r="M56" s="2991"/>
      <c r="N56" s="2453"/>
      <c r="O56" s="2991"/>
      <c r="P56" s="2453"/>
      <c r="Q56" s="2992"/>
      <c r="R56" s="2453"/>
      <c r="S56" s="2991"/>
    </row>
    <row r="57" spans="1:19">
      <c r="A57" s="3039"/>
      <c r="B57" s="3040"/>
      <c r="C57" s="2426"/>
      <c r="D57" s="2405"/>
      <c r="E57" s="2405"/>
      <c r="F57" s="2405"/>
      <c r="G57" s="2423"/>
      <c r="H57" s="2427"/>
      <c r="I57" s="3041"/>
      <c r="J57" s="2427"/>
      <c r="K57" s="3041"/>
      <c r="L57" s="2427"/>
      <c r="M57" s="3041"/>
      <c r="N57" s="2427"/>
      <c r="O57" s="3041"/>
      <c r="P57" s="2427"/>
      <c r="Q57" s="3042"/>
      <c r="R57" s="2427"/>
      <c r="S57" s="3041"/>
    </row>
    <row r="58" spans="1:19">
      <c r="A58" s="3043"/>
      <c r="B58" s="3044" t="s">
        <v>704</v>
      </c>
      <c r="C58" s="2999"/>
      <c r="D58" s="2456"/>
      <c r="E58" s="2456"/>
      <c r="F58" s="2456"/>
      <c r="G58" s="2532"/>
      <c r="H58" s="2459"/>
      <c r="I58" s="3045"/>
      <c r="J58" s="2459"/>
      <c r="K58" s="3045"/>
      <c r="L58" s="2459"/>
      <c r="M58" s="3045"/>
      <c r="N58" s="2459"/>
      <c r="O58" s="3045"/>
      <c r="P58" s="2459"/>
      <c r="Q58" s="3046"/>
      <c r="R58" s="2459"/>
      <c r="S58" s="3045"/>
    </row>
    <row r="59" spans="1:19">
      <c r="A59" s="3047"/>
      <c r="B59" s="3031" t="s">
        <v>701</v>
      </c>
      <c r="C59" s="2432" t="s">
        <v>741</v>
      </c>
      <c r="D59" s="2567">
        <f>'Cost Summary'!$R$7</f>
        <v>11225</v>
      </c>
      <c r="E59" s="2433" t="s">
        <v>723</v>
      </c>
      <c r="F59" s="2952">
        <v>20</v>
      </c>
      <c r="G59" s="2953">
        <f>D59*F59</f>
        <v>224500</v>
      </c>
      <c r="H59" s="2427"/>
      <c r="I59" s="3032">
        <v>108000</v>
      </c>
      <c r="J59" s="2427"/>
      <c r="K59" s="3048"/>
      <c r="L59" s="2427"/>
      <c r="M59" s="3048"/>
      <c r="N59" s="2427"/>
      <c r="O59" s="3048"/>
      <c r="P59" s="2427"/>
      <c r="Q59" s="3049"/>
      <c r="R59" s="2427"/>
      <c r="S59" s="3048"/>
    </row>
    <row r="60" spans="1:19">
      <c r="A60" s="3047"/>
      <c r="B60" s="3050"/>
      <c r="C60" s="2432"/>
      <c r="D60" s="2567"/>
      <c r="E60" s="2433"/>
      <c r="F60" s="2952"/>
      <c r="G60" s="2953"/>
      <c r="H60" s="2427"/>
      <c r="I60" s="3051">
        <v>58000</v>
      </c>
      <c r="J60" s="2427"/>
      <c r="K60" s="3048"/>
      <c r="L60" s="2427"/>
      <c r="M60" s="3048"/>
      <c r="N60" s="2427"/>
      <c r="O60" s="3048"/>
      <c r="P60" s="2427"/>
      <c r="Q60" s="3049"/>
      <c r="R60" s="2427"/>
      <c r="S60" s="3048"/>
    </row>
    <row r="61" spans="1:19">
      <c r="A61" s="3047"/>
      <c r="B61" s="3050"/>
      <c r="C61" s="2426"/>
      <c r="D61" s="2405"/>
      <c r="E61" s="2405"/>
      <c r="F61" s="2405"/>
      <c r="G61" s="2423"/>
      <c r="H61" s="2427"/>
      <c r="I61" s="3004"/>
      <c r="J61" s="2427"/>
      <c r="K61" s="3048"/>
      <c r="L61" s="2427"/>
      <c r="M61" s="3048"/>
      <c r="N61" s="2427"/>
      <c r="O61" s="3048"/>
      <c r="P61" s="2427"/>
      <c r="Q61" s="3049"/>
      <c r="R61" s="2427"/>
      <c r="S61" s="3048"/>
    </row>
    <row r="62" spans="1:19">
      <c r="A62" s="3043"/>
      <c r="B62" s="3052" t="s">
        <v>705</v>
      </c>
      <c r="C62" s="2990"/>
      <c r="D62" s="2450"/>
      <c r="E62" s="2450"/>
      <c r="F62" s="2450"/>
      <c r="G62" s="2531"/>
      <c r="H62" s="2453"/>
      <c r="I62" s="3053"/>
      <c r="J62" s="2453"/>
      <c r="K62" s="3053"/>
      <c r="L62" s="2453"/>
      <c r="M62" s="3053"/>
      <c r="N62" s="2453"/>
      <c r="O62" s="3053"/>
      <c r="P62" s="2453"/>
      <c r="Q62" s="3054"/>
      <c r="R62" s="2453"/>
      <c r="S62" s="3053"/>
    </row>
    <row r="63" spans="1:19">
      <c r="A63" s="3047"/>
      <c r="B63" s="3050"/>
      <c r="C63" s="2426"/>
      <c r="D63" s="2405"/>
      <c r="E63" s="2405"/>
      <c r="F63" s="2405"/>
      <c r="G63" s="2423"/>
      <c r="H63" s="2427"/>
      <c r="I63" s="3048"/>
      <c r="J63" s="2427"/>
      <c r="K63" s="3048"/>
      <c r="L63" s="2427"/>
      <c r="M63" s="3048"/>
      <c r="N63" s="2427"/>
      <c r="O63" s="3048"/>
      <c r="P63" s="2427"/>
      <c r="Q63" s="3049"/>
      <c r="R63" s="2427"/>
      <c r="S63" s="3048"/>
    </row>
    <row r="64" spans="1:19">
      <c r="A64" s="3047"/>
      <c r="B64" s="3044" t="s">
        <v>602</v>
      </c>
      <c r="C64" s="2999"/>
      <c r="D64" s="2456"/>
      <c r="E64" s="2456"/>
      <c r="F64" s="2456"/>
      <c r="G64" s="2532"/>
      <c r="H64" s="2459"/>
      <c r="I64" s="3045"/>
      <c r="J64" s="2459"/>
      <c r="K64" s="3045"/>
      <c r="L64" s="2459"/>
      <c r="M64" s="3045"/>
      <c r="N64" s="2459"/>
      <c r="O64" s="3045"/>
      <c r="P64" s="2459"/>
      <c r="Q64" s="3046"/>
      <c r="R64" s="2459"/>
      <c r="S64" s="3045"/>
    </row>
    <row r="65" spans="1:19">
      <c r="A65" s="3047"/>
      <c r="B65" s="3050"/>
      <c r="C65" s="2426"/>
      <c r="D65" s="2405"/>
      <c r="E65" s="2405"/>
      <c r="F65" s="2405"/>
      <c r="G65" s="2423"/>
      <c r="H65" s="2427"/>
      <c r="I65" s="3048"/>
      <c r="J65" s="2427"/>
      <c r="K65" s="3048"/>
      <c r="L65" s="2427"/>
      <c r="M65" s="3048"/>
      <c r="N65" s="2427"/>
      <c r="O65" s="3048"/>
      <c r="P65" s="2427"/>
      <c r="Q65" s="3049"/>
      <c r="R65" s="2427"/>
      <c r="S65" s="3048"/>
    </row>
    <row r="66" spans="1:19">
      <c r="A66" s="3047"/>
      <c r="B66" s="2985"/>
      <c r="C66" s="2426"/>
      <c r="D66" s="2405"/>
      <c r="E66" s="2405"/>
      <c r="F66" s="2405"/>
      <c r="G66" s="2423"/>
      <c r="H66" s="2427"/>
      <c r="I66" s="3048"/>
      <c r="J66" s="2427"/>
      <c r="K66" s="3048"/>
      <c r="L66" s="2427"/>
      <c r="M66" s="3048"/>
      <c r="N66" s="2427"/>
      <c r="O66" s="3048"/>
      <c r="P66" s="2427"/>
      <c r="Q66" s="3049"/>
      <c r="R66" s="2427"/>
      <c r="S66" s="3048"/>
    </row>
    <row r="67" spans="1:19" ht="15.75" thickBot="1">
      <c r="A67" s="2984"/>
      <c r="B67" s="2985"/>
      <c r="C67" s="2426"/>
      <c r="D67" s="2405"/>
      <c r="E67" s="2405"/>
      <c r="F67" s="2405"/>
      <c r="G67" s="2423"/>
      <c r="H67" s="2427"/>
      <c r="I67" s="2913"/>
      <c r="J67" s="2427"/>
      <c r="K67" s="2913"/>
      <c r="L67" s="2427"/>
      <c r="M67" s="2913"/>
      <c r="N67" s="2427"/>
      <c r="O67" s="2913"/>
      <c r="P67" s="2427"/>
      <c r="Q67" s="2427"/>
      <c r="R67" s="2427"/>
      <c r="S67" s="2913"/>
    </row>
    <row r="68" spans="1:19" ht="15.75" thickTop="1">
      <c r="A68" s="14"/>
      <c r="B68" s="15"/>
      <c r="C68" s="16"/>
      <c r="D68" s="16"/>
      <c r="E68" s="17"/>
      <c r="F68" s="18" t="s">
        <v>567</v>
      </c>
      <c r="G68" s="19"/>
      <c r="H68" s="20"/>
      <c r="I68" s="61">
        <f>SUM(I24:I67)</f>
        <v>531000</v>
      </c>
      <c r="J68" s="20"/>
      <c r="K68" s="61">
        <f>SUM(K24:K67)</f>
        <v>0</v>
      </c>
      <c r="L68" s="20"/>
      <c r="M68" s="61">
        <f>SUM(M24:M67)</f>
        <v>0</v>
      </c>
      <c r="N68" s="20"/>
      <c r="O68" s="61">
        <f>SUM(O24:O67)</f>
        <v>0</v>
      </c>
      <c r="P68" s="20"/>
      <c r="Q68" s="61">
        <f>SUM(Q24:Q67)</f>
        <v>0</v>
      </c>
      <c r="R68" s="20"/>
      <c r="S68" s="61">
        <f>SUM(S24:S67)</f>
        <v>0</v>
      </c>
    </row>
    <row r="69" spans="1:19">
      <c r="A69" s="2358"/>
      <c r="B69" s="2359"/>
      <c r="C69" s="2360"/>
      <c r="D69" s="2360"/>
      <c r="E69" s="2361"/>
      <c r="F69" s="2362" t="s">
        <v>568</v>
      </c>
      <c r="G69" s="2363"/>
      <c r="H69" s="2364">
        <v>0</v>
      </c>
      <c r="I69" s="415"/>
      <c r="J69" s="2364">
        <v>0</v>
      </c>
      <c r="K69" s="415"/>
      <c r="L69" s="2364">
        <v>0</v>
      </c>
      <c r="M69" s="415"/>
      <c r="N69" s="2364">
        <v>0</v>
      </c>
      <c r="O69" s="415"/>
      <c r="P69" s="2364">
        <v>0</v>
      </c>
      <c r="Q69" s="415"/>
      <c r="R69" s="2364">
        <v>0</v>
      </c>
      <c r="S69" s="415"/>
    </row>
    <row r="70" spans="1:19">
      <c r="A70" s="2358"/>
      <c r="B70" s="2359"/>
      <c r="C70" s="2360"/>
      <c r="D70" s="2360"/>
      <c r="E70" s="2361"/>
      <c r="F70" s="2362" t="s">
        <v>569</v>
      </c>
      <c r="G70" s="2363"/>
      <c r="H70" s="2366"/>
      <c r="I70" s="2465">
        <f>I68*H69</f>
        <v>0</v>
      </c>
      <c r="J70" s="2366"/>
      <c r="K70" s="2465">
        <f>K68*J69</f>
        <v>0</v>
      </c>
      <c r="L70" s="2366"/>
      <c r="M70" s="2465">
        <f>M68*L69</f>
        <v>0</v>
      </c>
      <c r="N70" s="2366"/>
      <c r="O70" s="2465">
        <f>O68*N69</f>
        <v>0</v>
      </c>
      <c r="P70" s="2366"/>
      <c r="Q70" s="2465">
        <f>Q68*P69</f>
        <v>0</v>
      </c>
      <c r="R70" s="2366"/>
      <c r="S70" s="2465">
        <f>S68*R69</f>
        <v>0</v>
      </c>
    </row>
    <row r="71" spans="1:19">
      <c r="A71" s="2358"/>
      <c r="B71" s="2359"/>
      <c r="C71" s="2360"/>
      <c r="D71" s="2360"/>
      <c r="E71" s="2361"/>
      <c r="F71" s="2362"/>
      <c r="G71" s="2363"/>
      <c r="H71" s="2366"/>
      <c r="I71" s="2464"/>
      <c r="J71" s="2366"/>
      <c r="K71" s="2464"/>
      <c r="L71" s="2366"/>
      <c r="M71" s="2464"/>
      <c r="N71" s="2366"/>
      <c r="O71" s="2464"/>
      <c r="P71" s="2366"/>
      <c r="Q71" s="2464"/>
      <c r="R71" s="2366"/>
      <c r="S71" s="2464"/>
    </row>
    <row r="72" spans="1:19">
      <c r="A72" s="2358"/>
      <c r="B72" s="2359"/>
      <c r="C72" s="2360"/>
      <c r="D72" s="2360"/>
      <c r="E72" s="2361"/>
      <c r="F72" s="2362" t="s">
        <v>570</v>
      </c>
      <c r="G72" s="2363"/>
      <c r="H72" s="2368"/>
      <c r="I72" s="2465">
        <f>SUM(I68:I70)</f>
        <v>531000</v>
      </c>
      <c r="J72" s="2368"/>
      <c r="K72" s="2465">
        <f>SUM(K68:K70)</f>
        <v>0</v>
      </c>
      <c r="L72" s="2368"/>
      <c r="M72" s="2465">
        <f>SUM(M68:M70)</f>
        <v>0</v>
      </c>
      <c r="N72" s="2368"/>
      <c r="O72" s="2465">
        <f>SUM(O68:O70)</f>
        <v>0</v>
      </c>
      <c r="P72" s="2368"/>
      <c r="Q72" s="2465">
        <f>SUM(Q68:Q70)</f>
        <v>0</v>
      </c>
      <c r="R72" s="2368"/>
      <c r="S72" s="2465">
        <f>SUM(S68:S70)</f>
        <v>0</v>
      </c>
    </row>
    <row r="73" spans="1:19">
      <c r="A73" s="2358"/>
      <c r="B73" s="2359"/>
      <c r="C73" s="2360"/>
      <c r="D73" s="2360"/>
      <c r="E73" s="2361"/>
      <c r="F73" s="2370" t="s">
        <v>571</v>
      </c>
      <c r="G73" s="2371"/>
      <c r="H73" s="2372"/>
      <c r="I73" s="2373" t="e">
        <f>I72/'Area Calculations'!$J$4</f>
        <v>#DIV/0!</v>
      </c>
      <c r="J73" s="2372"/>
      <c r="K73" s="2373" t="e">
        <f>K72/'Area Calculations'!$J$4</f>
        <v>#DIV/0!</v>
      </c>
      <c r="L73" s="2372"/>
      <c r="M73" s="2373" t="e">
        <f>M72/'Area Calculations'!$J$4</f>
        <v>#DIV/0!</v>
      </c>
      <c r="N73" s="2372"/>
      <c r="O73" s="2373" t="e">
        <f>O72/'Area Calculations'!$J$4</f>
        <v>#DIV/0!</v>
      </c>
      <c r="P73" s="2372"/>
      <c r="Q73" s="2373" t="e">
        <f>Q72/'Area Calculations'!$J$4</f>
        <v>#DIV/0!</v>
      </c>
      <c r="R73" s="2372"/>
      <c r="S73" s="2373" t="e">
        <f>S72/'Area Calculations'!$J$4</f>
        <v>#DIV/0!</v>
      </c>
    </row>
    <row r="74" spans="1:19">
      <c r="A74" s="2358"/>
      <c r="B74" s="2359"/>
      <c r="C74" s="2360"/>
      <c r="D74" s="2360"/>
      <c r="E74" s="2361"/>
      <c r="F74" s="2370" t="s">
        <v>572</v>
      </c>
      <c r="G74" s="2374"/>
      <c r="H74" s="2372"/>
      <c r="I74" s="2373" t="e">
        <f>I72/'Area Calculations'!#REF!</f>
        <v>#REF!</v>
      </c>
      <c r="J74" s="2372"/>
      <c r="K74" s="2373" t="e">
        <f>K72/'Area Calculations'!#REF!</f>
        <v>#REF!</v>
      </c>
      <c r="L74" s="2372"/>
      <c r="M74" s="2373" t="e">
        <f>M72/'Area Calculations'!#REF!</f>
        <v>#REF!</v>
      </c>
      <c r="N74" s="2372"/>
      <c r="O74" s="2373" t="e">
        <f>O72/'Area Calculations'!#REF!</f>
        <v>#REF!</v>
      </c>
      <c r="P74" s="2372"/>
      <c r="Q74" s="2373" t="e">
        <f>Q72/'Area Calculations'!#REF!</f>
        <v>#REF!</v>
      </c>
      <c r="R74" s="2372"/>
      <c r="S74" s="2373" t="e">
        <f>S72/'Area Calculations'!#REF!</f>
        <v>#REF!</v>
      </c>
    </row>
    <row r="75" spans="1:19">
      <c r="A75" s="2358"/>
      <c r="B75" s="2359"/>
      <c r="C75" s="2360"/>
      <c r="D75" s="2360"/>
      <c r="E75" s="2361"/>
      <c r="F75" s="2370"/>
      <c r="G75" s="2374"/>
      <c r="H75" s="2372"/>
      <c r="I75" s="3055"/>
      <c r="J75" s="2372"/>
      <c r="K75" s="3055"/>
      <c r="L75" s="2372"/>
      <c r="M75" s="3055"/>
      <c r="N75" s="2372"/>
      <c r="O75" s="3055"/>
      <c r="P75" s="2372"/>
      <c r="Q75" s="3055"/>
      <c r="R75" s="2372"/>
      <c r="S75" s="3055"/>
    </row>
    <row r="76" spans="1:19" ht="15.75" thickBot="1">
      <c r="A76" s="2358"/>
      <c r="B76" s="2359"/>
      <c r="C76" s="2360"/>
      <c r="D76" s="2360"/>
      <c r="E76" s="2361"/>
      <c r="F76" s="2362"/>
      <c r="G76" s="2375"/>
      <c r="H76" s="2378"/>
      <c r="I76" s="3056"/>
      <c r="J76" s="2378"/>
      <c r="K76" s="3056"/>
      <c r="L76" s="2378"/>
      <c r="M76" s="3056"/>
      <c r="N76" s="2378"/>
      <c r="O76" s="3056"/>
      <c r="P76" s="2378"/>
      <c r="Q76" s="3056"/>
      <c r="R76" s="2378"/>
      <c r="S76" s="3056"/>
    </row>
    <row r="77" spans="1:19" ht="16.5" thickTop="1" thickBot="1">
      <c r="A77" s="726" t="s">
        <v>573</v>
      </c>
      <c r="B77" s="727"/>
      <c r="C77" s="12"/>
      <c r="D77" s="12"/>
      <c r="E77" s="12"/>
      <c r="F77" s="12"/>
      <c r="G77" s="13"/>
      <c r="H77" s="21"/>
      <c r="I77" s="21"/>
      <c r="J77" s="52"/>
      <c r="K77" s="21"/>
      <c r="L77" s="52"/>
      <c r="M77" s="21"/>
      <c r="N77" s="21"/>
      <c r="O77" s="21"/>
      <c r="P77" s="21"/>
      <c r="Q77" s="21"/>
      <c r="R77" s="21"/>
      <c r="S77" s="21"/>
    </row>
    <row r="78" spans="1:19" ht="15.75" thickTop="1">
      <c r="A78" s="3057"/>
      <c r="B78" s="2404"/>
      <c r="C78" s="2906"/>
      <c r="D78" s="2906"/>
      <c r="E78" s="2906"/>
      <c r="F78" s="2906"/>
      <c r="G78" s="2907"/>
      <c r="H78" s="3058"/>
      <c r="I78" s="3058"/>
      <c r="J78" s="3059"/>
      <c r="K78" s="3058"/>
      <c r="L78" s="3059"/>
      <c r="M78" s="3058"/>
      <c r="N78" s="3058"/>
      <c r="O78" s="3058"/>
      <c r="P78" s="3058"/>
      <c r="Q78" s="3058"/>
      <c r="R78" s="3058"/>
      <c r="S78" s="3058"/>
    </row>
    <row r="79" spans="1:19">
      <c r="A79" s="3057"/>
      <c r="B79" s="2404"/>
      <c r="C79" s="3060"/>
      <c r="D79" s="3060"/>
      <c r="E79" s="3060"/>
      <c r="F79" s="3060"/>
      <c r="G79" s="2907"/>
      <c r="H79" s="3058"/>
      <c r="I79" s="3058"/>
      <c r="J79" s="3059"/>
      <c r="K79" s="3058"/>
      <c r="L79" s="3059"/>
      <c r="M79" s="3058"/>
      <c r="N79" s="3058"/>
      <c r="O79" s="3058"/>
      <c r="P79" s="3058"/>
      <c r="Q79" s="3058"/>
      <c r="R79" s="3058"/>
      <c r="S79" s="3058"/>
    </row>
    <row r="80" spans="1:19" ht="15.75" thickBot="1">
      <c r="A80" s="3057"/>
      <c r="B80" s="2404"/>
      <c r="C80" s="3060"/>
      <c r="D80" s="3060"/>
      <c r="E80" s="3060"/>
      <c r="F80" s="3060"/>
      <c r="G80" s="2907"/>
      <c r="H80" s="3058"/>
      <c r="I80" s="3058"/>
      <c r="J80" s="3059"/>
      <c r="K80" s="3058"/>
      <c r="L80" s="3059"/>
      <c r="M80" s="3058"/>
      <c r="N80" s="3058"/>
      <c r="O80" s="3058"/>
      <c r="P80" s="3058"/>
      <c r="Q80" s="3058"/>
      <c r="R80" s="3058"/>
      <c r="S80" s="3058"/>
    </row>
    <row r="81" spans="1:19" s="2" customFormat="1" ht="16.5" thickTop="1" thickBot="1">
      <c r="A81" s="726" t="s">
        <v>574</v>
      </c>
      <c r="B81" s="727"/>
      <c r="C81" s="12"/>
      <c r="D81" s="12"/>
      <c r="E81" s="12"/>
      <c r="F81" s="12"/>
      <c r="G81" s="13"/>
      <c r="H81" s="21"/>
      <c r="I81" s="21"/>
      <c r="J81" s="52"/>
      <c r="K81" s="21"/>
      <c r="L81" s="52"/>
      <c r="M81" s="21"/>
      <c r="N81" s="21"/>
      <c r="O81" s="21"/>
      <c r="P81" s="21"/>
      <c r="Q81" s="21"/>
      <c r="R81" s="21"/>
      <c r="S81" s="21"/>
    </row>
    <row r="82" spans="1:19" s="2" customFormat="1" ht="15.75" thickTop="1">
      <c r="A82" s="3057"/>
      <c r="B82" s="2404"/>
      <c r="C82" s="3060"/>
      <c r="D82" s="3060"/>
      <c r="E82" s="3060"/>
      <c r="F82" s="3060"/>
      <c r="G82" s="2907"/>
      <c r="H82" s="3058"/>
      <c r="I82" s="3058"/>
      <c r="J82" s="3059"/>
      <c r="K82" s="3058"/>
      <c r="L82" s="3059"/>
      <c r="M82" s="3058"/>
      <c r="N82" s="3058"/>
      <c r="O82" s="3058"/>
      <c r="P82" s="3058"/>
      <c r="Q82" s="3058"/>
      <c r="R82" s="3058"/>
      <c r="S82" s="3058"/>
    </row>
    <row r="83" spans="1:19" s="2" customFormat="1">
      <c r="A83" s="3057"/>
      <c r="B83" s="2404"/>
      <c r="C83" s="3060"/>
      <c r="D83" s="3060"/>
      <c r="E83" s="3060"/>
      <c r="F83" s="3060"/>
      <c r="G83" s="2907"/>
      <c r="H83" s="3058"/>
      <c r="I83" s="3058"/>
      <c r="J83" s="3059"/>
      <c r="K83" s="3058"/>
      <c r="L83" s="3059"/>
      <c r="M83" s="3058"/>
      <c r="N83" s="3058"/>
      <c r="O83" s="3058"/>
      <c r="P83" s="3058"/>
      <c r="Q83" s="3058"/>
      <c r="R83" s="3058"/>
      <c r="S83" s="3058"/>
    </row>
    <row r="84" spans="1:19" ht="15.75" thickBot="1">
      <c r="A84" s="3057"/>
      <c r="B84" s="2404"/>
      <c r="C84" s="3060"/>
      <c r="D84" s="3060"/>
      <c r="E84" s="3060"/>
      <c r="F84" s="3060"/>
      <c r="G84" s="2907"/>
      <c r="H84" s="3058"/>
      <c r="I84" s="3058"/>
      <c r="J84" s="3059"/>
      <c r="K84" s="3058"/>
      <c r="L84" s="3059"/>
      <c r="M84" s="3058"/>
      <c r="N84" s="3058"/>
      <c r="O84" s="3058"/>
      <c r="P84" s="3058"/>
      <c r="Q84" s="3058"/>
      <c r="R84" s="3058"/>
      <c r="S84" s="3058"/>
    </row>
    <row r="85" spans="1:19" s="2" customFormat="1" ht="16.5" thickTop="1" thickBot="1">
      <c r="A85" s="726" t="s">
        <v>575</v>
      </c>
      <c r="B85" s="727"/>
      <c r="C85" s="12"/>
      <c r="D85" s="12"/>
      <c r="E85" s="12"/>
      <c r="F85" s="12"/>
      <c r="G85" s="13"/>
      <c r="H85" s="21"/>
      <c r="I85" s="21"/>
      <c r="J85" s="52"/>
      <c r="K85" s="21"/>
      <c r="L85" s="52"/>
      <c r="M85" s="21"/>
      <c r="N85" s="21"/>
      <c r="O85" s="21"/>
      <c r="P85" s="21"/>
      <c r="Q85" s="21"/>
      <c r="R85" s="21"/>
      <c r="S85" s="21"/>
    </row>
    <row r="86" spans="1:19" s="2" customFormat="1" ht="15.75" thickTop="1">
      <c r="A86" s="3057"/>
      <c r="B86" s="2404"/>
      <c r="C86" s="3060"/>
      <c r="D86" s="3060"/>
      <c r="E86" s="3060"/>
      <c r="F86" s="3060"/>
      <c r="G86" s="2907"/>
      <c r="H86" s="3058"/>
      <c r="I86" s="3058"/>
      <c r="J86" s="3059"/>
      <c r="K86" s="3058"/>
      <c r="L86" s="3059"/>
      <c r="M86" s="3058"/>
      <c r="N86" s="3058"/>
      <c r="O86" s="3058"/>
      <c r="P86" s="3058"/>
      <c r="Q86" s="3058"/>
      <c r="R86" s="3058"/>
      <c r="S86" s="3058"/>
    </row>
    <row r="87" spans="1:19" s="2" customFormat="1">
      <c r="A87" s="2421"/>
      <c r="B87" s="2404"/>
      <c r="C87" s="2405"/>
      <c r="D87" s="2405"/>
      <c r="E87" s="2405"/>
      <c r="F87" s="2405"/>
      <c r="G87" s="2423"/>
      <c r="H87" s="2382"/>
      <c r="I87" s="2382"/>
      <c r="J87" s="2474"/>
      <c r="K87" s="2382"/>
      <c r="L87" s="2474"/>
      <c r="M87" s="2382"/>
      <c r="N87" s="2382"/>
      <c r="O87" s="2382"/>
      <c r="P87" s="2382"/>
      <c r="Q87" s="2382"/>
      <c r="R87" s="2382"/>
      <c r="S87" s="2382"/>
    </row>
    <row r="88" spans="1:19" s="2" customFormat="1" ht="15.75" thickBot="1">
      <c r="A88" s="2383"/>
      <c r="B88" s="2384"/>
      <c r="C88" s="2405"/>
      <c r="D88" s="2405"/>
      <c r="E88" s="2405"/>
      <c r="F88" s="2405"/>
      <c r="G88" s="2423"/>
      <c r="H88" s="2385"/>
      <c r="I88" s="2385"/>
      <c r="J88" s="2475"/>
      <c r="K88" s="2385"/>
      <c r="L88" s="2475"/>
      <c r="M88" s="2385"/>
      <c r="N88" s="2385"/>
      <c r="O88" s="2385"/>
      <c r="P88" s="2385"/>
      <c r="Q88" s="2385"/>
      <c r="R88" s="2385"/>
      <c r="S88" s="2385"/>
    </row>
    <row r="89" spans="1:19" s="2" customFormat="1" ht="16.5" thickTop="1" thickBot="1">
      <c r="A89" s="726" t="s">
        <v>576</v>
      </c>
      <c r="B89" s="727"/>
      <c r="C89" s="12"/>
      <c r="D89" s="12"/>
      <c r="E89" s="12"/>
      <c r="F89" s="12"/>
      <c r="G89" s="13"/>
      <c r="H89" s="21"/>
      <c r="I89" s="21"/>
      <c r="J89" s="52"/>
      <c r="K89" s="21"/>
      <c r="L89" s="52"/>
      <c r="M89" s="21"/>
      <c r="N89" s="21"/>
      <c r="O89" s="21"/>
      <c r="P89" s="21"/>
      <c r="Q89" s="21"/>
      <c r="R89" s="21"/>
      <c r="S89" s="21"/>
    </row>
    <row r="90" spans="1:19" ht="15.75" thickTop="1">
      <c r="A90" s="3061"/>
      <c r="B90" s="3062"/>
      <c r="C90" s="2906"/>
      <c r="D90" s="2906"/>
      <c r="E90" s="2906"/>
      <c r="F90" s="2906"/>
      <c r="G90" s="2907"/>
      <c r="H90" s="3058"/>
      <c r="I90" s="3058"/>
      <c r="J90" s="3059"/>
      <c r="K90" s="3063"/>
      <c r="L90" s="3059"/>
      <c r="M90" s="3063"/>
      <c r="N90" s="3058"/>
      <c r="O90" s="3058"/>
      <c r="P90" s="3058"/>
      <c r="Q90" s="3058"/>
      <c r="R90" s="3058"/>
      <c r="S90" s="3058"/>
    </row>
    <row r="91" spans="1:19">
      <c r="A91" s="2383"/>
      <c r="B91" s="2384"/>
      <c r="C91" s="2405"/>
      <c r="D91" s="2405"/>
      <c r="E91" s="2405"/>
      <c r="F91" s="2405"/>
      <c r="G91" s="2423"/>
      <c r="H91" s="2388"/>
      <c r="I91" s="2388"/>
      <c r="J91" s="2478"/>
      <c r="K91" s="3063"/>
      <c r="L91" s="2478"/>
      <c r="M91" s="3063"/>
      <c r="N91" s="2388"/>
      <c r="O91" s="2388"/>
      <c r="P91" s="2388"/>
      <c r="Q91" s="2388"/>
      <c r="R91" s="2388"/>
      <c r="S91" s="2388"/>
    </row>
    <row r="92" spans="1:19" ht="15.75" thickBot="1">
      <c r="A92" s="2383"/>
      <c r="B92" s="2384"/>
      <c r="C92" s="2405"/>
      <c r="D92" s="2405"/>
      <c r="E92" s="2405"/>
      <c r="F92" s="2405"/>
      <c r="G92" s="2423"/>
      <c r="H92" s="2388"/>
      <c r="I92" s="2388"/>
      <c r="J92" s="2478"/>
      <c r="K92" s="3063"/>
      <c r="L92" s="2478"/>
      <c r="M92" s="3063"/>
      <c r="N92" s="2388"/>
      <c r="O92" s="2388"/>
      <c r="P92" s="2388"/>
      <c r="Q92" s="2388"/>
      <c r="R92" s="2388"/>
      <c r="S92" s="2388"/>
    </row>
    <row r="93" spans="1:19" ht="16.5" thickTop="1" thickBot="1">
      <c r="A93" s="726" t="s">
        <v>577</v>
      </c>
      <c r="B93" s="727"/>
      <c r="C93" s="12"/>
      <c r="D93" s="12"/>
      <c r="E93" s="12"/>
      <c r="F93" s="12"/>
      <c r="G93" s="13"/>
      <c r="H93" s="21"/>
      <c r="I93" s="21"/>
      <c r="J93" s="52"/>
      <c r="K93" s="21"/>
      <c r="L93" s="52"/>
      <c r="M93" s="21"/>
      <c r="N93" s="21"/>
      <c r="O93" s="21"/>
      <c r="P93" s="21"/>
      <c r="Q93" s="21"/>
      <c r="R93" s="21"/>
      <c r="S93" s="21"/>
    </row>
    <row r="94" spans="1:19" ht="15.75" thickTop="1">
      <c r="A94" s="2421"/>
      <c r="B94" s="2404" t="s">
        <v>578</v>
      </c>
      <c r="C94" s="2405"/>
      <c r="D94" s="2405"/>
      <c r="E94" s="2405"/>
      <c r="F94" s="2405"/>
      <c r="G94" s="2423"/>
      <c r="H94" s="2388"/>
      <c r="I94" s="2388"/>
      <c r="J94" s="2478"/>
      <c r="K94" s="2388"/>
      <c r="L94" s="2478"/>
      <c r="M94" s="2388"/>
      <c r="N94" s="2388"/>
      <c r="O94" s="2388"/>
      <c r="P94" s="2388"/>
      <c r="Q94" s="2388"/>
      <c r="R94" s="2388"/>
      <c r="S94" s="2388"/>
    </row>
    <row r="95" spans="1:19">
      <c r="A95" s="2421"/>
      <c r="B95" s="2404" t="s">
        <v>579</v>
      </c>
      <c r="C95" s="2405"/>
      <c r="D95" s="2405"/>
      <c r="E95" s="2405"/>
      <c r="F95" s="2405"/>
      <c r="G95" s="2423"/>
      <c r="H95" s="2388"/>
      <c r="I95" s="2388"/>
      <c r="J95" s="2478"/>
      <c r="K95" s="2388"/>
      <c r="L95" s="2478"/>
      <c r="M95" s="2388"/>
      <c r="N95" s="2388"/>
      <c r="O95" s="2388"/>
      <c r="P95" s="2388"/>
      <c r="Q95" s="2388"/>
      <c r="R95" s="2388"/>
      <c r="S95" s="2388"/>
    </row>
    <row r="96" spans="1:19">
      <c r="A96" s="2421"/>
      <c r="B96" s="2404" t="s">
        <v>580</v>
      </c>
      <c r="C96" s="2405"/>
      <c r="D96" s="2405"/>
      <c r="E96" s="2405"/>
      <c r="F96" s="2405"/>
      <c r="G96" s="2423"/>
      <c r="H96" s="2388"/>
      <c r="I96" s="2388"/>
      <c r="J96" s="2478"/>
      <c r="K96" s="2388"/>
      <c r="L96" s="2478"/>
      <c r="M96" s="2388"/>
      <c r="N96" s="2388"/>
      <c r="O96" s="2388"/>
      <c r="P96" s="2388"/>
      <c r="Q96" s="2388"/>
      <c r="R96" s="2388"/>
      <c r="S96" s="2388"/>
    </row>
    <row r="97" spans="1:19">
      <c r="A97" s="2421"/>
      <c r="B97" s="2404" t="s">
        <v>581</v>
      </c>
      <c r="C97" s="2405"/>
      <c r="D97" s="2405"/>
      <c r="E97" s="2405"/>
      <c r="F97" s="2405"/>
      <c r="G97" s="2423"/>
      <c r="H97" s="2388"/>
      <c r="I97" s="2388"/>
      <c r="J97" s="2478"/>
      <c r="K97" s="2388"/>
      <c r="L97" s="2478"/>
      <c r="M97" s="2388"/>
      <c r="N97" s="2388"/>
      <c r="O97" s="2388"/>
      <c r="P97" s="2388"/>
      <c r="Q97" s="2388"/>
      <c r="R97" s="2388"/>
      <c r="S97" s="2388"/>
    </row>
    <row r="98" spans="1:19" ht="15.75" thickBot="1">
      <c r="A98" s="416"/>
      <c r="B98" s="295"/>
      <c r="C98" s="184"/>
      <c r="D98" s="184"/>
      <c r="E98" s="184"/>
      <c r="F98" s="184"/>
      <c r="G98" s="296"/>
      <c r="H98" s="418"/>
      <c r="I98" s="418"/>
      <c r="J98" s="53"/>
      <c r="K98" s="418"/>
      <c r="L98" s="53"/>
      <c r="M98" s="418"/>
      <c r="N98" s="418"/>
      <c r="O98" s="418"/>
      <c r="P98" s="418"/>
      <c r="Q98" s="418"/>
      <c r="R98" s="418"/>
      <c r="S98" s="418"/>
    </row>
    <row r="99" spans="1:19" ht="16.5" thickTop="1" thickBot="1">
      <c r="A99" s="7" t="s">
        <v>582</v>
      </c>
      <c r="B99" s="8"/>
      <c r="C99" s="12"/>
      <c r="D99" s="12"/>
      <c r="E99" s="12"/>
      <c r="F99" s="12"/>
      <c r="G99" s="13"/>
      <c r="H99" s="21"/>
      <c r="I99" s="21"/>
      <c r="J99" s="52"/>
      <c r="K99" s="21"/>
      <c r="L99" s="52"/>
      <c r="M99" s="21"/>
      <c r="N99" s="21"/>
      <c r="O99" s="21"/>
      <c r="P99" s="21"/>
      <c r="Q99" s="21"/>
      <c r="R99" s="21"/>
      <c r="S99" s="21"/>
    </row>
    <row r="100" spans="1:19" ht="15.75" thickTop="1">
      <c r="A100" s="3057"/>
      <c r="B100" s="2910" t="s">
        <v>583</v>
      </c>
      <c r="C100" s="2906"/>
      <c r="D100" s="2906"/>
      <c r="E100" s="2906"/>
      <c r="F100" s="2906"/>
      <c r="G100" s="2907"/>
      <c r="H100" s="2930"/>
      <c r="I100" s="2930"/>
      <c r="J100" s="2913"/>
      <c r="K100" s="2930"/>
      <c r="L100" s="2913"/>
      <c r="M100" s="2930"/>
      <c r="N100" s="2930"/>
      <c r="O100" s="2930"/>
      <c r="P100" s="2930"/>
      <c r="Q100" s="2930"/>
      <c r="R100" s="2930"/>
      <c r="S100" s="2930"/>
    </row>
    <row r="101" spans="1:19">
      <c r="A101" s="2421"/>
      <c r="B101" s="2404" t="s">
        <v>584</v>
      </c>
      <c r="C101" s="2405"/>
      <c r="D101" s="2405"/>
      <c r="E101" s="2405"/>
      <c r="F101" s="2405"/>
      <c r="G101" s="2423"/>
      <c r="H101" s="2390"/>
      <c r="I101" s="2390"/>
      <c r="J101" s="2481"/>
      <c r="K101" s="2390"/>
      <c r="L101" s="2481"/>
      <c r="M101" s="2390"/>
      <c r="N101" s="2390"/>
      <c r="O101" s="2390"/>
      <c r="P101" s="2390"/>
      <c r="Q101" s="2390"/>
      <c r="R101" s="2390"/>
      <c r="S101" s="2390"/>
    </row>
    <row r="102" spans="1:19" ht="15.75" thickBot="1">
      <c r="A102" s="2391"/>
      <c r="B102" s="2392" t="s">
        <v>585</v>
      </c>
      <c r="C102" s="2393"/>
      <c r="D102" s="2393"/>
      <c r="E102" s="2393"/>
      <c r="F102" s="2393"/>
      <c r="G102" s="2394"/>
      <c r="H102" s="2395"/>
      <c r="I102" s="2395"/>
      <c r="J102" s="2482"/>
      <c r="K102" s="2395"/>
      <c r="L102" s="2482"/>
      <c r="M102" s="2395"/>
      <c r="N102" s="2395"/>
      <c r="O102" s="2395"/>
      <c r="P102" s="2395"/>
      <c r="Q102" s="2395"/>
      <c r="R102" s="2395"/>
      <c r="S102" s="2395"/>
    </row>
    <row r="103" spans="1:19" ht="16.5" thickTop="1" thickBot="1"/>
    <row r="104" spans="1:19" ht="16.5" thickTop="1" thickBot="1">
      <c r="A104" s="92" t="s">
        <v>586</v>
      </c>
      <c r="B104" s="94"/>
    </row>
    <row r="105" spans="1:19" ht="15.75" thickTop="1">
      <c r="A105" s="93" t="s">
        <v>487</v>
      </c>
      <c r="B105" s="2396"/>
    </row>
    <row r="106" spans="1:19">
      <c r="A106" s="2397" t="s">
        <v>491</v>
      </c>
      <c r="B106" s="2396"/>
    </row>
    <row r="107" spans="1:19">
      <c r="A107" s="2398" t="s">
        <v>494</v>
      </c>
      <c r="B107" s="2399"/>
    </row>
    <row r="108" spans="1:19">
      <c r="A108" s="2398" t="s">
        <v>497</v>
      </c>
      <c r="B108" s="2400"/>
    </row>
    <row r="109" spans="1:19" ht="15.75" thickBot="1">
      <c r="A109" s="2401" t="s">
        <v>587</v>
      </c>
      <c r="B109" s="2402">
        <f>H8</f>
        <v>531000</v>
      </c>
    </row>
    <row r="110" spans="1:19" ht="15.75" thickTop="1"/>
    <row r="111" spans="1:19">
      <c r="A111" s="95"/>
      <c r="B111" s="1" t="s">
        <v>588</v>
      </c>
    </row>
    <row r="112" spans="1:19">
      <c r="A112" s="96"/>
      <c r="B112" s="1" t="s">
        <v>589</v>
      </c>
    </row>
  </sheetData>
  <mergeCells count="47">
    <mergeCell ref="J4:K4"/>
    <mergeCell ref="J5:K5"/>
    <mergeCell ref="R2:S2"/>
    <mergeCell ref="L3:M3"/>
    <mergeCell ref="N3:O3"/>
    <mergeCell ref="P3:Q3"/>
    <mergeCell ref="R3:S3"/>
    <mergeCell ref="L2:M2"/>
    <mergeCell ref="N2:O2"/>
    <mergeCell ref="P2:Q2"/>
    <mergeCell ref="J2:K2"/>
    <mergeCell ref="J3:K3"/>
    <mergeCell ref="R4:S4"/>
    <mergeCell ref="R5:S5"/>
    <mergeCell ref="L5:M5"/>
    <mergeCell ref="N5:O5"/>
    <mergeCell ref="P5:Q5"/>
    <mergeCell ref="L4:M4"/>
    <mergeCell ref="N4:O4"/>
    <mergeCell ref="P4:Q4"/>
    <mergeCell ref="R8:S8"/>
    <mergeCell ref="L8:M8"/>
    <mergeCell ref="R7:S7"/>
    <mergeCell ref="L6:M6"/>
    <mergeCell ref="N6:O6"/>
    <mergeCell ref="P6:Q6"/>
    <mergeCell ref="R6:S6"/>
    <mergeCell ref="L7:M7"/>
    <mergeCell ref="N7:O7"/>
    <mergeCell ref="P7:Q7"/>
    <mergeCell ref="N8:O8"/>
    <mergeCell ref="A93:B93"/>
    <mergeCell ref="H6:I6"/>
    <mergeCell ref="H7:I7"/>
    <mergeCell ref="H8:I8"/>
    <mergeCell ref="P8:Q8"/>
    <mergeCell ref="A77:B77"/>
    <mergeCell ref="A81:B81"/>
    <mergeCell ref="A85:B85"/>
    <mergeCell ref="J8:K8"/>
    <mergeCell ref="J6:K6"/>
    <mergeCell ref="J7:K7"/>
    <mergeCell ref="H2:I2"/>
    <mergeCell ref="H3:I3"/>
    <mergeCell ref="H4:I4"/>
    <mergeCell ref="H5:I5"/>
    <mergeCell ref="A89:B89"/>
  </mergeCells>
  <conditionalFormatting sqref="H24:H31 J33:J67 L33:L67 N33:N67 P33:R67">
    <cfRule type="cellIs" dxfId="277" priority="5" operator="equal">
      <formula>"X"</formula>
    </cfRule>
    <cfRule type="cellIs" dxfId="276" priority="6" operator="equal">
      <formula>"I"</formula>
    </cfRule>
  </conditionalFormatting>
  <conditionalFormatting sqref="H33:H67">
    <cfRule type="cellIs" dxfId="275" priority="1" operator="equal">
      <formula>"X"</formula>
    </cfRule>
    <cfRule type="cellIs" dxfId="274" priority="2" operator="equal">
      <formula>"I"</formula>
    </cfRule>
  </conditionalFormatting>
  <conditionalFormatting sqref="J24:J31">
    <cfRule type="cellIs" dxfId="273" priority="7" operator="equal">
      <formula>"X"</formula>
    </cfRule>
    <cfRule type="cellIs" dxfId="272" priority="8" operator="equal">
      <formula>"I"</formula>
    </cfRule>
  </conditionalFormatting>
  <conditionalFormatting sqref="L25:L31">
    <cfRule type="cellIs" dxfId="271" priority="9" operator="equal">
      <formula>"X"</formula>
    </cfRule>
    <cfRule type="cellIs" dxfId="270" priority="10" operator="equal">
      <formula>"I"</formula>
    </cfRule>
  </conditionalFormatting>
  <conditionalFormatting sqref="N24:N31">
    <cfRule type="cellIs" dxfId="269" priority="11" operator="equal">
      <formula>"X"</formula>
    </cfRule>
    <cfRule type="cellIs" dxfId="268" priority="12" operator="equal">
      <formula>"I"</formula>
    </cfRule>
  </conditionalFormatting>
  <conditionalFormatting sqref="P24:P31">
    <cfRule type="cellIs" dxfId="267" priority="13" operator="equal">
      <formula>"X"</formula>
    </cfRule>
    <cfRule type="cellIs" dxfId="266" priority="14" operator="equal">
      <formula>"I"</formula>
    </cfRule>
  </conditionalFormatting>
  <conditionalFormatting sqref="R24:R31">
    <cfRule type="cellIs" dxfId="265" priority="15" operator="equal">
      <formula>"X"</formula>
    </cfRule>
    <cfRule type="cellIs" dxfId="264" priority="16" operator="equal">
      <formula>"I"</formula>
    </cfRule>
  </conditionalFormatting>
  <hyperlinks>
    <hyperlink ref="B3" location="'Cost Summary'!A1" display="BACK TO SUMMARY SHEET" xr:uid="{29C96B6A-6DF8-456C-859F-76E5CCF39974}"/>
    <hyperlink ref="H7:I7" r:id="rId1" display="rgliniewicz@everestmech.com" xr:uid="{AAA9B27C-9D5F-470F-B8CF-BD8A5652362B}"/>
  </hyperlinks>
  <pageMargins left="0.7" right="0.7" top="0.75" bottom="0.75" header="0.3" footer="0.3"/>
  <pageSetup orientation="portrait"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04C-5E10-4F64-9C8D-35B2752A3E7D}">
  <sheetPr>
    <tabColor rgb="FF92D050"/>
    <pageSetUpPr fitToPage="1"/>
  </sheetPr>
  <dimension ref="A1:AA117"/>
  <sheetViews>
    <sheetView zoomScale="96" zoomScaleNormal="96" workbookViewId="0">
      <pane xSplit="2" ySplit="9" topLeftCell="C42" activePane="bottomRight" state="frozen"/>
      <selection pane="bottomRight" activeCell="F61" sqref="F61"/>
      <selection pane="bottomLeft" sqref="A1:B1"/>
      <selection pane="topRight" sqref="A1:B1"/>
    </sheetView>
  </sheetViews>
  <sheetFormatPr defaultRowHeight="15"/>
  <cols>
    <col min="1" max="1" width="13.140625" customWidth="1"/>
    <col min="2" max="2" width="77.42578125" style="1" bestFit="1" customWidth="1"/>
    <col min="3" max="3" width="11.7109375" style="2" customWidth="1"/>
    <col min="4" max="4" width="10.28515625" style="2" bestFit="1" customWidth="1"/>
    <col min="5" max="5" width="5.140625" style="2" bestFit="1" customWidth="1"/>
    <col min="6" max="6" width="16.5703125" style="2" bestFit="1" customWidth="1"/>
    <col min="7" max="7" width="13.28515625" style="2" bestFit="1"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4.85546875" style="2" customWidth="1"/>
    <col min="14" max="14" width="7.42578125" style="2" customWidth="1"/>
    <col min="15" max="15" width="14.85546875" style="2" customWidth="1"/>
    <col min="16" max="16" width="7.42578125" style="154" customWidth="1"/>
    <col min="17" max="17" width="15.7109375" style="2" customWidth="1"/>
    <col min="18" max="18" width="7.42578125" style="2" customWidth="1"/>
    <col min="19" max="19" width="14.85546875" style="2" customWidth="1"/>
    <col min="20" max="20" width="7.42578125" style="2" hidden="1" customWidth="1"/>
    <col min="21" max="21" width="14.85546875" style="2" hidden="1" customWidth="1"/>
    <col min="22" max="22" width="7.42578125" style="2" hidden="1" customWidth="1"/>
    <col min="23" max="23" width="14.85546875" style="2" hidden="1" customWidth="1"/>
    <col min="24" max="25" width="9.140625" hidden="1" customWidth="1"/>
    <col min="26" max="26" width="11" hidden="1" customWidth="1"/>
    <col min="27" max="27" width="0" hidden="1" customWidth="1"/>
  </cols>
  <sheetData>
    <row r="1" spans="1:27">
      <c r="E1" s="175"/>
      <c r="F1" s="149"/>
      <c r="G1" s="147" t="s">
        <v>474</v>
      </c>
    </row>
    <row r="2" spans="1:27" ht="15.75" thickBot="1">
      <c r="E2" s="175"/>
      <c r="F2" s="146" t="s">
        <v>475</v>
      </c>
      <c r="G2" s="147" t="s">
        <v>476</v>
      </c>
      <c r="H2" s="732"/>
      <c r="I2" s="732"/>
      <c r="J2" s="766"/>
      <c r="K2" s="766"/>
      <c r="L2" s="766"/>
      <c r="M2" s="766"/>
      <c r="N2" s="732"/>
      <c r="O2" s="732"/>
      <c r="P2" s="766"/>
      <c r="Q2" s="766"/>
      <c r="R2" s="732"/>
      <c r="S2" s="732"/>
      <c r="T2" s="732"/>
      <c r="U2" s="732"/>
      <c r="V2" s="732"/>
      <c r="W2" s="732"/>
    </row>
    <row r="3" spans="1:27"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c r="T3" s="730" t="s">
        <v>1247</v>
      </c>
      <c r="U3" s="731"/>
      <c r="V3" s="730" t="s">
        <v>481</v>
      </c>
      <c r="W3" s="731"/>
    </row>
    <row r="4" spans="1:27" ht="15.75" thickTop="1">
      <c r="A4" s="3" t="s">
        <v>486</v>
      </c>
      <c r="B4" s="4" t="str">
        <f>'Area Calculations'!B4</f>
        <v>The Club at Ibis Conceptual Estimate</v>
      </c>
      <c r="C4" s="5"/>
      <c r="D4" s="5"/>
      <c r="E4" s="5"/>
      <c r="F4" s="5"/>
      <c r="G4" s="6" t="s">
        <v>487</v>
      </c>
      <c r="H4" s="728" t="s">
        <v>212</v>
      </c>
      <c r="I4" s="729"/>
      <c r="J4" s="728"/>
      <c r="K4" s="729"/>
      <c r="L4" s="786"/>
      <c r="M4" s="729"/>
      <c r="N4" s="728"/>
      <c r="O4" s="729"/>
      <c r="P4" s="728"/>
      <c r="Q4" s="729"/>
      <c r="R4" s="760"/>
      <c r="S4" s="729"/>
      <c r="T4" s="760" t="s">
        <v>1248</v>
      </c>
      <c r="U4" s="729"/>
      <c r="V4" s="760" t="s">
        <v>1249</v>
      </c>
      <c r="W4" s="729"/>
      <c r="X4" s="760" t="s">
        <v>1250</v>
      </c>
      <c r="Y4" s="729"/>
      <c r="Z4" s="728" t="s">
        <v>1251</v>
      </c>
      <c r="AA4" s="729"/>
    </row>
    <row r="5" spans="1:27">
      <c r="A5" s="2403" t="s">
        <v>489</v>
      </c>
      <c r="B5" s="2404" t="s">
        <v>216</v>
      </c>
      <c r="C5" s="2405"/>
      <c r="D5" s="2405"/>
      <c r="E5" s="2405"/>
      <c r="F5" s="2405"/>
      <c r="G5" s="2406" t="s">
        <v>491</v>
      </c>
      <c r="H5" s="2407" t="s">
        <v>1230</v>
      </c>
      <c r="I5" s="2408"/>
      <c r="J5" s="2407"/>
      <c r="K5" s="2408"/>
      <c r="L5" s="2407"/>
      <c r="M5" s="2408"/>
      <c r="N5" s="2407"/>
      <c r="O5" s="2408"/>
      <c r="P5" s="2407"/>
      <c r="Q5" s="2408"/>
      <c r="R5" s="2409"/>
      <c r="S5" s="2408"/>
      <c r="T5" s="2409" t="s">
        <v>1252</v>
      </c>
      <c r="U5" s="2408"/>
      <c r="V5" s="2409" t="s">
        <v>1253</v>
      </c>
      <c r="W5" s="2408"/>
      <c r="X5" s="2409" t="s">
        <v>1254</v>
      </c>
      <c r="Y5" s="2408"/>
      <c r="Z5" s="2407" t="s">
        <v>1255</v>
      </c>
      <c r="AA5" s="2408"/>
    </row>
    <row r="6" spans="1:27">
      <c r="A6" s="2403" t="s">
        <v>493</v>
      </c>
      <c r="B6" s="2410" t="s">
        <v>215</v>
      </c>
      <c r="C6" s="2405"/>
      <c r="D6" s="2405"/>
      <c r="E6" s="2405"/>
      <c r="F6" s="2405"/>
      <c r="G6" s="2406" t="s">
        <v>494</v>
      </c>
      <c r="H6" s="2407" t="s">
        <v>1231</v>
      </c>
      <c r="I6" s="2408"/>
      <c r="J6" s="2411"/>
      <c r="K6" s="2412"/>
      <c r="L6" s="2411"/>
      <c r="M6" s="2412"/>
      <c r="N6" s="2411"/>
      <c r="O6" s="2412"/>
      <c r="P6" s="2411"/>
      <c r="Q6" s="2412"/>
      <c r="R6" s="2413"/>
      <c r="S6" s="2412"/>
      <c r="T6" s="2413">
        <v>9549681288</v>
      </c>
      <c r="U6" s="2412"/>
      <c r="V6" s="2413">
        <v>9549677200</v>
      </c>
      <c r="W6" s="2412"/>
      <c r="X6" s="2413">
        <v>3867602346</v>
      </c>
      <c r="Y6" s="2412"/>
      <c r="Z6" s="2411">
        <v>3058253004</v>
      </c>
      <c r="AA6" s="2412"/>
    </row>
    <row r="7" spans="1:27">
      <c r="A7" s="2403" t="s">
        <v>496</v>
      </c>
      <c r="B7" s="2414"/>
      <c r="C7" s="2405"/>
      <c r="D7" s="2405"/>
      <c r="E7" s="2405"/>
      <c r="F7" s="2405"/>
      <c r="G7" s="2406" t="s">
        <v>497</v>
      </c>
      <c r="H7" s="2968" t="s">
        <v>1232</v>
      </c>
      <c r="I7" s="2969"/>
      <c r="J7" s="2415"/>
      <c r="K7" s="2416"/>
      <c r="L7" s="2415"/>
      <c r="M7" s="2416"/>
      <c r="N7" s="2415"/>
      <c r="O7" s="2416"/>
      <c r="P7" s="2415"/>
      <c r="Q7" s="2416"/>
      <c r="R7" s="2417"/>
      <c r="S7" s="2416"/>
      <c r="T7" s="2417" t="s">
        <v>1256</v>
      </c>
      <c r="U7" s="2416"/>
      <c r="V7" s="2417" t="s">
        <v>1257</v>
      </c>
      <c r="W7" s="2416"/>
      <c r="X7" s="2417" t="s">
        <v>1258</v>
      </c>
      <c r="Y7" s="2416"/>
      <c r="Z7" s="2415" t="s">
        <v>1259</v>
      </c>
      <c r="AA7" s="2416"/>
    </row>
    <row r="8" spans="1:27">
      <c r="A8" s="414" t="s">
        <v>499</v>
      </c>
      <c r="B8" s="295"/>
      <c r="C8" s="184"/>
      <c r="D8" s="184"/>
      <c r="E8" s="184"/>
      <c r="F8" s="184"/>
      <c r="G8" s="419" t="s">
        <v>499</v>
      </c>
      <c r="H8" s="3064">
        <f>I78</f>
        <v>1559000</v>
      </c>
      <c r="I8" s="3064"/>
      <c r="J8" s="3064">
        <f>K78</f>
        <v>0</v>
      </c>
      <c r="K8" s="3064"/>
      <c r="L8" s="2970">
        <f>M78</f>
        <v>0</v>
      </c>
      <c r="M8" s="3065"/>
      <c r="N8" s="3064">
        <f>O78</f>
        <v>0</v>
      </c>
      <c r="O8" s="3064"/>
      <c r="P8" s="3064">
        <f>Q78</f>
        <v>0</v>
      </c>
      <c r="Q8" s="3064"/>
      <c r="R8" s="3064">
        <f>S78</f>
        <v>0</v>
      </c>
      <c r="S8" s="3064"/>
      <c r="T8" s="3064">
        <v>0</v>
      </c>
      <c r="U8" s="3064"/>
      <c r="V8" s="2970">
        <v>0</v>
      </c>
      <c r="W8" s="3065"/>
      <c r="X8" s="3064">
        <v>0</v>
      </c>
      <c r="Y8" s="3064"/>
    </row>
    <row r="9" spans="1:27"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c r="T9" s="11" t="s">
        <v>506</v>
      </c>
      <c r="U9" s="11" t="s">
        <v>507</v>
      </c>
      <c r="V9" s="11" t="s">
        <v>506</v>
      </c>
      <c r="W9" s="11" t="s">
        <v>507</v>
      </c>
    </row>
    <row r="10" spans="1:27" ht="15.75" hidden="1" thickTop="1">
      <c r="A10" s="2421"/>
      <c r="B10" s="3066" t="s">
        <v>508</v>
      </c>
      <c r="C10" s="2405"/>
      <c r="D10" s="2405"/>
      <c r="E10" s="2405"/>
      <c r="F10" s="2405"/>
      <c r="G10" s="2423"/>
      <c r="H10" s="2424"/>
      <c r="I10" s="2424"/>
      <c r="J10" s="2424"/>
      <c r="K10" s="2424"/>
      <c r="L10" s="2424"/>
      <c r="M10" s="2424"/>
      <c r="N10" s="2424"/>
      <c r="O10" s="2424"/>
      <c r="P10" s="3067"/>
      <c r="Q10" s="2424"/>
      <c r="R10" s="2424"/>
      <c r="S10" s="2424"/>
      <c r="T10" s="2424"/>
      <c r="U10" s="2424"/>
      <c r="V10" s="2424"/>
      <c r="W10" s="2424"/>
    </row>
    <row r="11" spans="1:27" ht="15.75" hidden="1" thickTop="1">
      <c r="A11" s="2421"/>
      <c r="B11" s="2404" t="s">
        <v>1260</v>
      </c>
      <c r="C11" s="2426" t="s">
        <v>509</v>
      </c>
      <c r="D11" s="2405"/>
      <c r="E11" s="2405"/>
      <c r="F11" s="2405"/>
      <c r="G11" s="2423"/>
      <c r="H11" s="2424"/>
      <c r="I11" s="2424"/>
      <c r="J11" s="2424"/>
      <c r="K11" s="2424"/>
      <c r="L11" s="2424"/>
      <c r="M11" s="2424"/>
      <c r="N11" s="2424"/>
      <c r="O11" s="2424"/>
      <c r="P11" s="3067"/>
      <c r="Q11" s="2424"/>
      <c r="R11" s="2424"/>
      <c r="S11" s="2424"/>
      <c r="T11" s="2424"/>
      <c r="U11" s="2424"/>
      <c r="V11" s="2424"/>
      <c r="W11" s="2424"/>
    </row>
    <row r="12" spans="1:27" ht="15.75" hidden="1" thickTop="1">
      <c r="A12" s="2421"/>
      <c r="B12" s="2404" t="s">
        <v>1261</v>
      </c>
      <c r="C12" s="2426" t="s">
        <v>509</v>
      </c>
      <c r="D12" s="2405"/>
      <c r="E12" s="2405"/>
      <c r="F12" s="2405"/>
      <c r="G12" s="2423"/>
      <c r="H12" s="2424"/>
      <c r="I12" s="2424"/>
      <c r="J12" s="2424"/>
      <c r="K12" s="2424"/>
      <c r="L12" s="2424"/>
      <c r="M12" s="2424"/>
      <c r="N12" s="2424"/>
      <c r="O12" s="2424"/>
      <c r="P12" s="3067"/>
      <c r="Q12" s="2424"/>
      <c r="R12" s="2424"/>
      <c r="S12" s="2424"/>
      <c r="T12" s="2424"/>
      <c r="U12" s="2424"/>
      <c r="V12" s="2424"/>
      <c r="W12" s="2424"/>
    </row>
    <row r="13" spans="1:27" ht="15.75" hidden="1" thickTop="1">
      <c r="A13" s="2421"/>
      <c r="B13" s="2404" t="s">
        <v>1262</v>
      </c>
      <c r="C13" s="2426" t="s">
        <v>509</v>
      </c>
      <c r="D13" s="2405"/>
      <c r="E13" s="2405"/>
      <c r="F13" s="2405"/>
      <c r="G13" s="2423"/>
      <c r="H13" s="2424"/>
      <c r="I13" s="2424"/>
      <c r="J13" s="2424"/>
      <c r="K13" s="2424"/>
      <c r="L13" s="2424"/>
      <c r="M13" s="2424"/>
      <c r="N13" s="2424"/>
      <c r="O13" s="2424"/>
      <c r="P13" s="3067"/>
      <c r="Q13" s="2424"/>
      <c r="R13" s="2424"/>
      <c r="S13" s="2424"/>
      <c r="T13" s="2424"/>
      <c r="U13" s="2424"/>
      <c r="V13" s="2424"/>
      <c r="W13" s="2424"/>
    </row>
    <row r="14" spans="1:27" ht="15.75" hidden="1" thickTop="1">
      <c r="A14" s="2421"/>
      <c r="B14" s="2404" t="s">
        <v>1263</v>
      </c>
      <c r="C14" s="2426" t="s">
        <v>509</v>
      </c>
      <c r="D14" s="2405"/>
      <c r="E14" s="2405"/>
      <c r="F14" s="2405"/>
      <c r="G14" s="2423"/>
      <c r="H14" s="2424"/>
      <c r="I14" s="2424"/>
      <c r="J14" s="2424"/>
      <c r="K14" s="2424"/>
      <c r="L14" s="2424"/>
      <c r="M14" s="2424"/>
      <c r="N14" s="2424"/>
      <c r="O14" s="2424"/>
      <c r="P14" s="3067"/>
      <c r="Q14" s="2424"/>
      <c r="R14" s="2424"/>
      <c r="S14" s="2424"/>
      <c r="T14" s="2424"/>
      <c r="U14" s="2424"/>
      <c r="V14" s="2424"/>
      <c r="W14" s="2424"/>
    </row>
    <row r="15" spans="1:27" ht="15.75" hidden="1" thickTop="1">
      <c r="A15" s="2421"/>
      <c r="B15" s="2404" t="s">
        <v>1264</v>
      </c>
      <c r="C15" s="2426" t="s">
        <v>509</v>
      </c>
      <c r="D15" s="2405"/>
      <c r="E15" s="2405"/>
      <c r="F15" s="2405"/>
      <c r="G15" s="2423"/>
      <c r="H15" s="2424"/>
      <c r="I15" s="2424"/>
      <c r="J15" s="2424"/>
      <c r="K15" s="2424"/>
      <c r="L15" s="2424"/>
      <c r="M15" s="2424"/>
      <c r="N15" s="2424"/>
      <c r="O15" s="2424"/>
      <c r="P15" s="3067"/>
      <c r="Q15" s="2424"/>
      <c r="R15" s="2424"/>
      <c r="S15" s="2424"/>
      <c r="T15" s="2424"/>
      <c r="U15" s="2424"/>
      <c r="V15" s="2424"/>
      <c r="W15" s="2424"/>
    </row>
    <row r="16" spans="1:27" ht="15.75" hidden="1" thickTop="1">
      <c r="A16" s="2421"/>
      <c r="B16" s="2404" t="s">
        <v>1265</v>
      </c>
      <c r="C16" s="2426" t="s">
        <v>509</v>
      </c>
      <c r="D16" s="2405"/>
      <c r="E16" s="2405"/>
      <c r="F16" s="2405"/>
      <c r="G16" s="2423"/>
      <c r="H16" s="2424"/>
      <c r="I16" s="2424"/>
      <c r="J16" s="2424"/>
      <c r="K16" s="2424"/>
      <c r="L16" s="2424"/>
      <c r="M16" s="2424"/>
      <c r="N16" s="2424"/>
      <c r="O16" s="2424"/>
      <c r="P16" s="3067"/>
      <c r="Q16" s="2424"/>
      <c r="R16" s="2424"/>
      <c r="S16" s="2424"/>
      <c r="T16" s="2424"/>
      <c r="U16" s="2424"/>
      <c r="V16" s="2424"/>
      <c r="W16" s="2424"/>
    </row>
    <row r="17" spans="1:27" ht="15.75" hidden="1" thickTop="1">
      <c r="A17" s="2421"/>
      <c r="B17" s="2404" t="str">
        <f>'Area Calculations'!M68</f>
        <v>Storefront Designer by</v>
      </c>
      <c r="C17" s="2426" t="s">
        <v>509</v>
      </c>
      <c r="D17" s="2405"/>
      <c r="E17" s="2405"/>
      <c r="F17" s="2405"/>
      <c r="G17" s="2423"/>
      <c r="H17" s="2424"/>
      <c r="I17" s="2424"/>
      <c r="J17" s="2424"/>
      <c r="K17" s="2424"/>
      <c r="L17" s="2424"/>
      <c r="M17" s="2424"/>
      <c r="N17" s="2424"/>
      <c r="O17" s="2424"/>
      <c r="P17" s="3067"/>
      <c r="Q17" s="2424"/>
      <c r="R17" s="2424"/>
      <c r="S17" s="2424"/>
      <c r="T17" s="2424"/>
      <c r="U17" s="2424"/>
      <c r="V17" s="2424"/>
      <c r="W17" s="2424"/>
    </row>
    <row r="18" spans="1:27" ht="15.75" hidden="1" thickTop="1">
      <c r="A18" s="2421"/>
      <c r="B18" s="2404" t="s">
        <v>1266</v>
      </c>
      <c r="C18" s="2426" t="s">
        <v>509</v>
      </c>
      <c r="D18" s="2405"/>
      <c r="E18" s="2405"/>
      <c r="F18" s="2405"/>
      <c r="G18" s="2423"/>
      <c r="H18" s="2424"/>
      <c r="I18" s="2424"/>
      <c r="J18" s="2424"/>
      <c r="K18" s="2424"/>
      <c r="L18" s="2424"/>
      <c r="M18" s="2424"/>
      <c r="N18" s="2424"/>
      <c r="O18" s="2424"/>
      <c r="P18" s="3067"/>
      <c r="Q18" s="2424"/>
      <c r="R18" s="2424"/>
      <c r="S18" s="2424"/>
      <c r="T18" s="2424"/>
      <c r="U18" s="2424"/>
      <c r="V18" s="2424"/>
      <c r="W18" s="2424"/>
    </row>
    <row r="19" spans="1:27" ht="15.75" hidden="1" thickTop="1">
      <c r="A19" s="2421"/>
      <c r="B19" s="2404" t="s">
        <v>111</v>
      </c>
      <c r="C19" s="2426" t="s">
        <v>509</v>
      </c>
      <c r="D19" s="2405"/>
      <c r="E19" s="2405"/>
      <c r="F19" s="2405"/>
      <c r="G19" s="2423"/>
      <c r="H19" s="2424"/>
      <c r="I19" s="2424"/>
      <c r="J19" s="2424"/>
      <c r="K19" s="2424"/>
      <c r="L19" s="2424"/>
      <c r="M19" s="2424"/>
      <c r="N19" s="2424"/>
      <c r="O19" s="2424"/>
      <c r="P19" s="3067"/>
      <c r="Q19" s="2424"/>
      <c r="R19" s="2424"/>
      <c r="S19" s="2424"/>
      <c r="T19" s="2424"/>
      <c r="U19" s="2424"/>
      <c r="V19" s="2424"/>
      <c r="W19" s="2424"/>
    </row>
    <row r="20" spans="1:27" ht="15.75" thickTop="1">
      <c r="A20" s="2421"/>
      <c r="B20" s="2404"/>
      <c r="C20" s="2426"/>
      <c r="D20" s="2405"/>
      <c r="E20" s="2405"/>
      <c r="F20" s="2405"/>
      <c r="G20" s="2423"/>
      <c r="H20" s="2427"/>
      <c r="I20" s="2424"/>
      <c r="J20" s="2427"/>
      <c r="K20" s="2424"/>
      <c r="L20" s="2427"/>
      <c r="M20" s="2424"/>
      <c r="N20" s="2427"/>
      <c r="O20" s="2424"/>
      <c r="P20" s="2427"/>
      <c r="Q20" s="2424"/>
      <c r="R20" s="2427"/>
      <c r="S20" s="2424"/>
      <c r="T20" s="2424"/>
      <c r="U20" s="2424"/>
      <c r="V20" s="2424"/>
      <c r="W20" s="2424"/>
    </row>
    <row r="21" spans="1:27" ht="15.75" thickBot="1">
      <c r="A21" s="2421"/>
      <c r="B21" s="2428" t="s">
        <v>216</v>
      </c>
      <c r="C21" s="2426"/>
      <c r="D21" s="2405"/>
      <c r="E21" s="2405"/>
      <c r="F21" s="2405"/>
      <c r="G21" s="2423"/>
      <c r="H21" s="2427"/>
      <c r="I21" s="2424"/>
      <c r="J21" s="2427"/>
      <c r="K21" s="2424"/>
      <c r="L21" s="2427"/>
      <c r="M21" s="2424"/>
      <c r="N21" s="2427"/>
      <c r="O21" s="2424"/>
      <c r="P21" s="2427"/>
      <c r="Q21" s="2424"/>
      <c r="R21" s="2427"/>
      <c r="S21" s="2424"/>
      <c r="T21" s="2424"/>
      <c r="U21" s="2424"/>
      <c r="V21" s="2424"/>
      <c r="W21" s="2424"/>
    </row>
    <row r="22" spans="1:27">
      <c r="A22" s="3068"/>
      <c r="B22" s="2318" t="s">
        <v>512</v>
      </c>
      <c r="C22" s="2426"/>
      <c r="D22" s="2405"/>
      <c r="E22" s="2405"/>
      <c r="F22" s="2405"/>
      <c r="G22" s="2423"/>
      <c r="H22" s="2427"/>
      <c r="I22" s="3048"/>
      <c r="J22" s="2427"/>
      <c r="K22" s="3048"/>
      <c r="L22" s="2427"/>
      <c r="M22" s="3048"/>
      <c r="N22" s="2427"/>
      <c r="O22" s="3048"/>
      <c r="P22" s="2427"/>
      <c r="Q22" s="3048"/>
      <c r="R22" s="2427"/>
      <c r="S22" s="3048"/>
      <c r="T22" s="3048"/>
      <c r="U22" s="3048"/>
      <c r="V22" s="3048"/>
      <c r="W22" s="3048"/>
    </row>
    <row r="23" spans="1:27">
      <c r="A23" s="3068"/>
      <c r="B23" s="3069" t="s">
        <v>513</v>
      </c>
      <c r="C23" s="2426"/>
      <c r="D23" s="3070"/>
      <c r="E23" s="2405"/>
      <c r="F23" s="2405"/>
      <c r="G23" s="2423"/>
      <c r="H23" s="2427" t="s">
        <v>710</v>
      </c>
      <c r="I23" s="3071"/>
      <c r="J23" s="2427"/>
      <c r="K23" s="3048"/>
      <c r="L23" s="2427"/>
      <c r="M23" s="3071"/>
      <c r="N23" s="2427"/>
      <c r="O23" s="3048"/>
      <c r="P23" s="2427"/>
      <c r="Q23" s="3048"/>
      <c r="R23" s="2427"/>
      <c r="S23" s="3048"/>
      <c r="T23" s="3048"/>
      <c r="U23" s="3048"/>
      <c r="V23" s="3048"/>
      <c r="W23" s="3048"/>
    </row>
    <row r="24" spans="1:27">
      <c r="A24" s="3068"/>
      <c r="B24" s="3069" t="s">
        <v>514</v>
      </c>
      <c r="C24" s="3072"/>
      <c r="D24" s="3070"/>
      <c r="E24" s="2405"/>
      <c r="F24" s="2405"/>
      <c r="G24" s="2423"/>
      <c r="H24" s="2427" t="s">
        <v>710</v>
      </c>
      <c r="I24" s="3071"/>
      <c r="J24" s="2427"/>
      <c r="K24" s="3071"/>
      <c r="L24" s="2427"/>
      <c r="M24" s="3071"/>
      <c r="N24" s="2427"/>
      <c r="O24" s="3071"/>
      <c r="P24" s="2427"/>
      <c r="Q24" s="3071"/>
      <c r="R24" s="2427"/>
      <c r="S24" s="3071"/>
      <c r="T24" s="3048"/>
      <c r="U24" s="3071"/>
      <c r="V24" s="2537" t="s">
        <v>509</v>
      </c>
      <c r="W24" s="3071"/>
    </row>
    <row r="25" spans="1:27">
      <c r="A25" s="3068"/>
      <c r="B25" s="3073" t="s">
        <v>515</v>
      </c>
      <c r="C25" s="3072"/>
      <c r="D25" s="3070"/>
      <c r="E25" s="2405"/>
      <c r="F25" s="2405"/>
      <c r="G25" s="2423"/>
      <c r="H25" s="2427" t="s">
        <v>709</v>
      </c>
      <c r="I25" s="3048"/>
      <c r="J25" s="2427"/>
      <c r="K25" s="3071"/>
      <c r="L25" s="2427"/>
      <c r="M25" s="3071"/>
      <c r="N25" s="2427"/>
      <c r="O25" s="3071"/>
      <c r="P25" s="2427"/>
      <c r="Q25" s="3071"/>
      <c r="R25" s="2427"/>
      <c r="S25" s="3071"/>
      <c r="T25" s="3048"/>
      <c r="U25" s="3071"/>
      <c r="V25" s="2537"/>
      <c r="W25" s="3071"/>
    </row>
    <row r="26" spans="1:27">
      <c r="A26" s="3068"/>
      <c r="B26" s="3073" t="s">
        <v>516</v>
      </c>
      <c r="C26" s="3072"/>
      <c r="D26" s="3070"/>
      <c r="E26" s="2405"/>
      <c r="F26" s="2405"/>
      <c r="G26" s="2423"/>
      <c r="H26" s="2427" t="s">
        <v>710</v>
      </c>
      <c r="I26" s="3048"/>
      <c r="J26" s="2427"/>
      <c r="K26" s="3048"/>
      <c r="L26" s="2427"/>
      <c r="M26" s="3071"/>
      <c r="N26" s="2427"/>
      <c r="O26" s="3048"/>
      <c r="P26" s="2427"/>
      <c r="Q26" s="3048"/>
      <c r="R26" s="2427"/>
      <c r="S26" s="3048"/>
      <c r="T26" s="3048"/>
      <c r="U26" s="3048"/>
      <c r="V26" s="2537" t="s">
        <v>509</v>
      </c>
      <c r="W26" s="3071"/>
    </row>
    <row r="27" spans="1:27">
      <c r="A27" s="3068"/>
      <c r="B27" s="3073" t="s">
        <v>517</v>
      </c>
      <c r="C27" s="3072"/>
      <c r="D27" s="3070"/>
      <c r="E27" s="2405"/>
      <c r="F27" s="2405"/>
      <c r="G27" s="2423"/>
      <c r="H27" s="2427" t="s">
        <v>710</v>
      </c>
      <c r="I27" s="3048"/>
      <c r="J27" s="2427"/>
      <c r="K27" s="3048"/>
      <c r="L27" s="2427"/>
      <c r="M27" s="3048"/>
      <c r="N27" s="2427"/>
      <c r="O27" s="3048"/>
      <c r="P27" s="2427"/>
      <c r="Q27" s="3048"/>
      <c r="R27" s="2427"/>
      <c r="S27" s="3048"/>
      <c r="T27" s="3048"/>
      <c r="U27" s="3048"/>
      <c r="V27" s="2537" t="s">
        <v>509</v>
      </c>
      <c r="W27" s="3048"/>
    </row>
    <row r="28" spans="1:27">
      <c r="A28" s="3068"/>
      <c r="B28" s="3073" t="s">
        <v>518</v>
      </c>
      <c r="C28" s="3072"/>
      <c r="D28" s="3070"/>
      <c r="E28" s="2405"/>
      <c r="F28" s="2405"/>
      <c r="G28" s="2423"/>
      <c r="H28" s="2427" t="s">
        <v>710</v>
      </c>
      <c r="I28" s="3048"/>
      <c r="J28" s="2427"/>
      <c r="K28" s="3048"/>
      <c r="L28" s="2427"/>
      <c r="M28" s="3048"/>
      <c r="N28" s="2427"/>
      <c r="O28" s="3048"/>
      <c r="P28" s="2427"/>
      <c r="Q28" s="3048"/>
      <c r="R28" s="2427"/>
      <c r="S28" s="3048"/>
      <c r="T28" s="3048"/>
      <c r="U28" s="3048"/>
      <c r="V28" s="2537" t="s">
        <v>509</v>
      </c>
      <c r="W28" s="3048"/>
    </row>
    <row r="29" spans="1:27">
      <c r="A29" s="3068"/>
      <c r="B29" s="3073" t="s">
        <v>693</v>
      </c>
      <c r="C29" s="3072"/>
      <c r="D29" s="3070"/>
      <c r="E29" s="2405"/>
      <c r="F29" s="2405"/>
      <c r="G29" s="2423"/>
      <c r="H29" s="2427" t="s">
        <v>710</v>
      </c>
      <c r="I29" s="3048" t="s">
        <v>1235</v>
      </c>
      <c r="J29" s="2427"/>
      <c r="K29" s="3048"/>
      <c r="L29" s="2427"/>
      <c r="M29" s="3048"/>
      <c r="N29" s="2427"/>
      <c r="O29" s="3048"/>
      <c r="P29" s="2427"/>
      <c r="Q29" s="3048"/>
      <c r="R29" s="2427"/>
      <c r="S29" s="3048"/>
      <c r="T29" s="3048"/>
      <c r="U29" s="3048"/>
      <c r="V29" s="2537"/>
      <c r="W29" s="3048"/>
    </row>
    <row r="30" spans="1:27">
      <c r="A30" s="3068"/>
      <c r="B30" s="3074" t="s">
        <v>519</v>
      </c>
      <c r="C30" s="3072"/>
      <c r="D30" s="3070"/>
      <c r="E30" s="2405"/>
      <c r="F30" s="2405"/>
      <c r="G30" s="2423"/>
      <c r="H30" s="2427"/>
      <c r="I30" s="3048"/>
      <c r="J30" s="2427"/>
      <c r="K30" s="3048"/>
      <c r="L30" s="2427"/>
      <c r="M30" s="3048"/>
      <c r="N30" s="2427"/>
      <c r="O30" s="3048"/>
      <c r="P30" s="2427"/>
      <c r="Q30" s="3048"/>
      <c r="R30" s="2427"/>
      <c r="S30" s="3048"/>
      <c r="T30" s="3048"/>
      <c r="U30" s="3048"/>
      <c r="V30" s="2537" t="s">
        <v>509</v>
      </c>
      <c r="W30" s="3048"/>
    </row>
    <row r="31" spans="1:27">
      <c r="A31" s="3068"/>
      <c r="B31" s="3075" t="s">
        <v>520</v>
      </c>
      <c r="C31" s="3076"/>
      <c r="D31" s="3077"/>
      <c r="E31" s="2980"/>
      <c r="F31" s="3078"/>
      <c r="G31" s="3079"/>
      <c r="H31" s="3080"/>
      <c r="I31" s="3081"/>
      <c r="J31" s="2439"/>
      <c r="K31" s="3081"/>
      <c r="L31" s="3082"/>
      <c r="M31" s="3081"/>
      <c r="N31" s="3080"/>
      <c r="O31" s="3081"/>
      <c r="P31" s="3083"/>
      <c r="Q31" s="3081"/>
      <c r="R31" s="3084"/>
      <c r="S31" s="3081"/>
      <c r="T31" s="3084"/>
      <c r="U31" s="3084"/>
      <c r="V31" s="2439" t="s">
        <v>509</v>
      </c>
      <c r="W31" s="3084"/>
      <c r="X31" s="187"/>
      <c r="Y31" s="187"/>
      <c r="Z31" s="187"/>
      <c r="AA31" s="187"/>
    </row>
    <row r="32" spans="1:27">
      <c r="A32" s="3085"/>
      <c r="B32" s="3086"/>
      <c r="C32" s="3087"/>
      <c r="D32" s="3088"/>
      <c r="E32" s="2405"/>
      <c r="F32" s="2446"/>
      <c r="G32" s="2447"/>
      <c r="H32" s="2427"/>
      <c r="I32" s="3048"/>
      <c r="J32" s="2427"/>
      <c r="K32" s="3048"/>
      <c r="L32" s="2427"/>
      <c r="M32" s="3048"/>
      <c r="N32" s="2427"/>
      <c r="O32" s="3048"/>
      <c r="P32" s="2427"/>
      <c r="Q32" s="3048"/>
      <c r="R32" s="2427"/>
      <c r="S32" s="3048"/>
      <c r="T32" s="3048"/>
      <c r="U32" s="3048"/>
      <c r="V32" s="2537"/>
      <c r="W32" s="3048"/>
    </row>
    <row r="33" spans="1:23">
      <c r="A33" s="3085"/>
      <c r="B33" s="3086" t="s">
        <v>1267</v>
      </c>
      <c r="C33" s="3087"/>
      <c r="D33" s="3088"/>
      <c r="E33" s="2405"/>
      <c r="F33" s="2446"/>
      <c r="G33" s="2447"/>
      <c r="H33" s="2427" t="s">
        <v>710</v>
      </c>
      <c r="I33" s="3048"/>
      <c r="J33" s="2427"/>
      <c r="K33" s="3048"/>
      <c r="L33" s="2427"/>
      <c r="M33" s="3048"/>
      <c r="N33" s="2427"/>
      <c r="O33" s="3048"/>
      <c r="P33" s="2427"/>
      <c r="Q33" s="3048"/>
      <c r="R33" s="2427"/>
      <c r="S33" s="3048"/>
      <c r="T33" s="3048"/>
      <c r="U33" s="3048"/>
      <c r="V33" s="2537"/>
      <c r="W33" s="3048"/>
    </row>
    <row r="34" spans="1:23">
      <c r="A34" s="3085"/>
      <c r="B34" s="3086" t="s">
        <v>1268</v>
      </c>
      <c r="C34" s="3087"/>
      <c r="D34" s="3088"/>
      <c r="E34" s="2405"/>
      <c r="F34" s="2446"/>
      <c r="G34" s="2447"/>
      <c r="H34" s="2427" t="s">
        <v>710</v>
      </c>
      <c r="I34" s="3048"/>
      <c r="J34" s="2427"/>
      <c r="K34" s="3048"/>
      <c r="L34" s="2427"/>
      <c r="M34" s="3048"/>
      <c r="N34" s="2427"/>
      <c r="O34" s="3048"/>
      <c r="P34" s="2427"/>
      <c r="Q34" s="3048"/>
      <c r="R34" s="2427"/>
      <c r="S34" s="3048"/>
      <c r="T34" s="3048"/>
      <c r="U34" s="3048"/>
      <c r="V34" s="2537"/>
      <c r="W34" s="3048"/>
    </row>
    <row r="35" spans="1:23">
      <c r="A35" s="3085"/>
      <c r="B35" s="3086" t="s">
        <v>1237</v>
      </c>
      <c r="C35" s="3087"/>
      <c r="D35" s="3088"/>
      <c r="E35" s="2405"/>
      <c r="F35" s="2446"/>
      <c r="G35" s="2447"/>
      <c r="H35" s="2427" t="s">
        <v>710</v>
      </c>
      <c r="I35" s="3089"/>
      <c r="J35" s="2427"/>
      <c r="K35" s="3089"/>
      <c r="L35" s="2427"/>
      <c r="M35" s="3089"/>
      <c r="N35" s="2427"/>
      <c r="O35" s="3089"/>
      <c r="P35" s="2427"/>
      <c r="Q35" s="3089"/>
      <c r="R35" s="2427"/>
      <c r="S35" s="3089"/>
      <c r="T35" s="3089"/>
      <c r="U35" s="3089"/>
      <c r="V35" s="2537"/>
      <c r="W35" s="3089"/>
    </row>
    <row r="36" spans="1:23">
      <c r="A36" s="3090"/>
      <c r="B36" s="3091" t="s">
        <v>1269</v>
      </c>
      <c r="C36" s="3087"/>
      <c r="D36" s="3088"/>
      <c r="E36" s="2405"/>
      <c r="F36" s="2446"/>
      <c r="G36" s="2447"/>
      <c r="H36" s="2427" t="s">
        <v>710</v>
      </c>
      <c r="I36" s="3092"/>
      <c r="J36" s="2427"/>
      <c r="K36" s="3092"/>
      <c r="L36" s="2427"/>
      <c r="M36" s="3092"/>
      <c r="N36" s="2427"/>
      <c r="O36" s="3092"/>
      <c r="P36" s="2427"/>
      <c r="Q36" s="3092"/>
      <c r="R36" s="2427"/>
      <c r="S36" s="3092"/>
      <c r="T36" s="3092"/>
      <c r="U36" s="3092"/>
      <c r="V36" s="2537"/>
      <c r="W36" s="3092"/>
    </row>
    <row r="37" spans="1:23">
      <c r="A37" s="3093"/>
      <c r="B37" s="3094" t="s">
        <v>1270</v>
      </c>
      <c r="C37" s="3087"/>
      <c r="D37" s="3088"/>
      <c r="E37" s="2405"/>
      <c r="F37" s="2446"/>
      <c r="G37" s="2447"/>
      <c r="H37" s="2427" t="s">
        <v>710</v>
      </c>
      <c r="I37" s="3095"/>
      <c r="J37" s="2427"/>
      <c r="K37" s="3095"/>
      <c r="L37" s="2427"/>
      <c r="M37" s="3095"/>
      <c r="N37" s="2427"/>
      <c r="O37" s="3095"/>
      <c r="P37" s="2427"/>
      <c r="Q37" s="3095"/>
      <c r="R37" s="2427"/>
      <c r="S37" s="3095"/>
      <c r="T37" s="3095"/>
      <c r="U37" s="3095"/>
      <c r="V37" s="2537"/>
      <c r="W37" s="3095"/>
    </row>
    <row r="38" spans="1:23">
      <c r="A38" s="3096"/>
      <c r="B38" s="3097" t="s">
        <v>1271</v>
      </c>
      <c r="C38" s="3087"/>
      <c r="D38" s="3088"/>
      <c r="E38" s="2405"/>
      <c r="F38" s="2446"/>
      <c r="G38" s="2447"/>
      <c r="H38" s="2427" t="s">
        <v>710</v>
      </c>
      <c r="I38" s="3098"/>
      <c r="J38" s="2427"/>
      <c r="K38" s="3098"/>
      <c r="L38" s="2427"/>
      <c r="M38" s="3098"/>
      <c r="N38" s="2427"/>
      <c r="O38" s="3098"/>
      <c r="P38" s="2427"/>
      <c r="Q38" s="3098"/>
      <c r="R38" s="2427"/>
      <c r="S38" s="3098"/>
      <c r="T38" s="3098"/>
      <c r="U38" s="3098"/>
      <c r="V38" s="2537"/>
      <c r="W38" s="3098"/>
    </row>
    <row r="39" spans="1:23">
      <c r="A39" s="3099"/>
      <c r="B39" s="3100" t="s">
        <v>1272</v>
      </c>
      <c r="C39" s="3087"/>
      <c r="D39" s="3088"/>
      <c r="E39" s="2405"/>
      <c r="F39" s="2446"/>
      <c r="G39" s="2447"/>
      <c r="H39" s="2427" t="s">
        <v>710</v>
      </c>
      <c r="I39" s="3101"/>
      <c r="J39" s="2427"/>
      <c r="K39" s="3101"/>
      <c r="L39" s="2427"/>
      <c r="M39" s="3101"/>
      <c r="N39" s="2427"/>
      <c r="O39" s="3101"/>
      <c r="P39" s="2427"/>
      <c r="Q39" s="3101"/>
      <c r="R39" s="2427"/>
      <c r="S39" s="3101"/>
      <c r="T39" s="3101"/>
      <c r="U39" s="3101"/>
      <c r="V39" s="2537"/>
      <c r="W39" s="3101"/>
    </row>
    <row r="40" spans="1:23">
      <c r="A40" s="3102"/>
      <c r="B40" s="3103" t="s">
        <v>1273</v>
      </c>
      <c r="C40" s="3087"/>
      <c r="D40" s="3088"/>
      <c r="E40" s="2405"/>
      <c r="F40" s="2446"/>
      <c r="G40" s="2447"/>
      <c r="H40" s="2427" t="s">
        <v>710</v>
      </c>
      <c r="I40" s="3104"/>
      <c r="J40" s="2427"/>
      <c r="K40" s="3104"/>
      <c r="L40" s="2427"/>
      <c r="M40" s="3104"/>
      <c r="N40" s="2427"/>
      <c r="O40" s="3104"/>
      <c r="P40" s="2427"/>
      <c r="Q40" s="3104"/>
      <c r="R40" s="2427"/>
      <c r="S40" s="3104"/>
      <c r="T40" s="3104"/>
      <c r="U40" s="3104"/>
      <c r="V40" s="2537"/>
      <c r="W40" s="3104"/>
    </row>
    <row r="41" spans="1:23">
      <c r="A41" s="3085"/>
      <c r="B41" s="3086"/>
      <c r="C41" s="3087"/>
      <c r="D41" s="3088"/>
      <c r="E41" s="2405"/>
      <c r="F41" s="2446"/>
      <c r="G41" s="2447"/>
      <c r="H41" s="2427"/>
      <c r="I41" s="3048"/>
      <c r="J41" s="2427"/>
      <c r="K41" s="3048"/>
      <c r="L41" s="2427"/>
      <c r="M41" s="3048"/>
      <c r="N41" s="2427"/>
      <c r="O41" s="3048"/>
      <c r="P41" s="2427"/>
      <c r="Q41" s="3048"/>
      <c r="R41" s="2427"/>
      <c r="S41" s="3048"/>
      <c r="T41" s="3048"/>
      <c r="U41" s="3048"/>
      <c r="V41" s="2537"/>
      <c r="W41" s="3048"/>
    </row>
    <row r="42" spans="1:23">
      <c r="A42" s="3068"/>
      <c r="B42" s="3105" t="s">
        <v>748</v>
      </c>
      <c r="C42" s="3072"/>
      <c r="D42" s="3088"/>
      <c r="E42" s="2405"/>
      <c r="F42" s="2446"/>
      <c r="G42" s="2447"/>
      <c r="H42" s="2427"/>
      <c r="I42" s="3048"/>
      <c r="J42" s="2427"/>
      <c r="K42" s="3048"/>
      <c r="L42" s="2427"/>
      <c r="M42" s="3048"/>
      <c r="N42" s="2427"/>
      <c r="O42" s="3048"/>
      <c r="P42" s="2427"/>
      <c r="Q42" s="3048"/>
      <c r="R42" s="2427"/>
      <c r="S42" s="3048"/>
      <c r="T42" s="3048"/>
      <c r="U42" s="3048"/>
      <c r="V42" s="2537" t="s">
        <v>509</v>
      </c>
      <c r="W42" s="3048"/>
    </row>
    <row r="43" spans="1:23">
      <c r="A43" s="3068"/>
      <c r="B43" s="3106" t="s">
        <v>694</v>
      </c>
      <c r="C43" s="3107"/>
      <c r="D43" s="3108"/>
      <c r="E43" s="2450"/>
      <c r="F43" s="2451"/>
      <c r="G43" s="2452"/>
      <c r="H43" s="2453"/>
      <c r="I43" s="3109"/>
      <c r="J43" s="2453"/>
      <c r="K43" s="3109"/>
      <c r="L43" s="2453"/>
      <c r="M43" s="3109"/>
      <c r="N43" s="2453"/>
      <c r="O43" s="3109"/>
      <c r="P43" s="2453"/>
      <c r="Q43" s="3109"/>
      <c r="R43" s="2453"/>
      <c r="S43" s="3109"/>
      <c r="T43" s="3048"/>
      <c r="U43" s="3048"/>
      <c r="V43" s="2537"/>
      <c r="W43" s="3048"/>
    </row>
    <row r="44" spans="1:23">
      <c r="A44" s="3068"/>
      <c r="B44" s="3105"/>
      <c r="C44" s="3072"/>
      <c r="D44" s="3088"/>
      <c r="E44" s="2405"/>
      <c r="F44" s="2446"/>
      <c r="G44" s="2447"/>
      <c r="H44" s="2427"/>
      <c r="I44" s="3048"/>
      <c r="J44" s="2427"/>
      <c r="K44" s="3048"/>
      <c r="L44" s="2427"/>
      <c r="M44" s="3048"/>
      <c r="N44" s="2427"/>
      <c r="O44" s="3048"/>
      <c r="P44" s="2427"/>
      <c r="Q44" s="3048"/>
      <c r="R44" s="2427"/>
      <c r="S44" s="3048"/>
      <c r="T44" s="3048"/>
      <c r="U44" s="3048"/>
      <c r="V44" s="2537"/>
      <c r="W44" s="3048"/>
    </row>
    <row r="45" spans="1:23">
      <c r="A45" s="3068"/>
      <c r="B45" s="3110" t="s">
        <v>695</v>
      </c>
      <c r="C45" s="3111"/>
      <c r="D45" s="3112"/>
      <c r="E45" s="2456"/>
      <c r="F45" s="2457"/>
      <c r="G45" s="2458"/>
      <c r="H45" s="2459"/>
      <c r="I45" s="3113"/>
      <c r="J45" s="2459"/>
      <c r="K45" s="3113"/>
      <c r="L45" s="2459"/>
      <c r="M45" s="3113"/>
      <c r="N45" s="2459"/>
      <c r="O45" s="3113"/>
      <c r="P45" s="2459"/>
      <c r="Q45" s="3113"/>
      <c r="R45" s="2459"/>
      <c r="S45" s="3113"/>
      <c r="T45" s="3048"/>
      <c r="U45" s="3048"/>
      <c r="V45" s="2537"/>
      <c r="W45" s="3048"/>
    </row>
    <row r="46" spans="1:23">
      <c r="A46" s="3068"/>
      <c r="B46" s="3105" t="s">
        <v>701</v>
      </c>
      <c r="C46" s="3072" t="s">
        <v>697</v>
      </c>
      <c r="D46" s="3088">
        <f>'Cost Summary'!$J$7</f>
        <v>663</v>
      </c>
      <c r="E46" s="2405" t="s">
        <v>723</v>
      </c>
      <c r="F46" s="2446">
        <v>60</v>
      </c>
      <c r="G46" s="2447">
        <f>D46*F46</f>
        <v>39780</v>
      </c>
      <c r="H46" s="2427" t="s">
        <v>710</v>
      </c>
      <c r="I46" s="3114">
        <v>42000</v>
      </c>
      <c r="J46" s="2427"/>
      <c r="K46" s="3048"/>
      <c r="L46" s="2427"/>
      <c r="M46" s="3048"/>
      <c r="N46" s="2427"/>
      <c r="O46" s="3048"/>
      <c r="P46" s="2427"/>
      <c r="Q46" s="3048"/>
      <c r="R46" s="2427"/>
      <c r="S46" s="3048"/>
      <c r="T46" s="3048"/>
      <c r="U46" s="3048"/>
      <c r="V46" s="2537"/>
      <c r="W46" s="3048"/>
    </row>
    <row r="47" spans="1:23">
      <c r="A47" s="3068"/>
      <c r="B47" s="3105"/>
      <c r="C47" s="3072"/>
      <c r="D47" s="3088"/>
      <c r="E47" s="2405"/>
      <c r="F47" s="2446"/>
      <c r="G47" s="2447"/>
      <c r="H47" s="2427"/>
      <c r="I47" s="3048"/>
      <c r="J47" s="2427"/>
      <c r="K47" s="3048"/>
      <c r="L47" s="2427"/>
      <c r="M47" s="3048"/>
      <c r="N47" s="2427"/>
      <c r="O47" s="3048"/>
      <c r="P47" s="2427"/>
      <c r="Q47" s="3048"/>
      <c r="R47" s="2427"/>
      <c r="S47" s="3048"/>
      <c r="T47" s="3048"/>
      <c r="U47" s="3048"/>
      <c r="V47" s="2537"/>
      <c r="W47" s="3048"/>
    </row>
    <row r="48" spans="1:23">
      <c r="A48" s="3068"/>
      <c r="B48" s="3106" t="s">
        <v>649</v>
      </c>
      <c r="C48" s="3107"/>
      <c r="D48" s="3108"/>
      <c r="E48" s="2450"/>
      <c r="F48" s="2451"/>
      <c r="G48" s="2452"/>
      <c r="H48" s="2453"/>
      <c r="I48" s="3109"/>
      <c r="J48" s="2453"/>
      <c r="K48" s="3109"/>
      <c r="L48" s="2453"/>
      <c r="M48" s="3109"/>
      <c r="N48" s="2453"/>
      <c r="O48" s="3109"/>
      <c r="P48" s="2453"/>
      <c r="Q48" s="3109"/>
      <c r="R48" s="2453"/>
      <c r="S48" s="3109"/>
      <c r="T48" s="3048"/>
      <c r="U48" s="3048"/>
      <c r="V48" s="2537"/>
      <c r="W48" s="3048"/>
    </row>
    <row r="49" spans="1:23">
      <c r="A49" s="3068"/>
      <c r="B49" s="3105"/>
      <c r="C49" s="3072"/>
      <c r="D49" s="3088"/>
      <c r="E49" s="2405"/>
      <c r="F49" s="2446"/>
      <c r="G49" s="2447"/>
      <c r="H49" s="2427"/>
      <c r="I49" s="3104"/>
      <c r="J49" s="2427"/>
      <c r="K49" s="3104"/>
      <c r="L49" s="2427"/>
      <c r="M49" s="3104"/>
      <c r="N49" s="2427"/>
      <c r="O49" s="3104"/>
      <c r="P49" s="2427"/>
      <c r="Q49" s="3104"/>
      <c r="R49" s="2427"/>
      <c r="S49" s="3104"/>
      <c r="T49" s="3104"/>
      <c r="U49" s="3104"/>
      <c r="V49" s="2537"/>
      <c r="W49" s="3104"/>
    </row>
    <row r="50" spans="1:23">
      <c r="A50" s="3115"/>
      <c r="B50" s="3116" t="s">
        <v>700</v>
      </c>
      <c r="C50" s="3111"/>
      <c r="D50" s="3112"/>
      <c r="E50" s="2456"/>
      <c r="F50" s="2457"/>
      <c r="G50" s="2458"/>
      <c r="H50" s="2459"/>
      <c r="I50" s="3117"/>
      <c r="J50" s="2459"/>
      <c r="K50" s="3117"/>
      <c r="L50" s="2459"/>
      <c r="M50" s="3117"/>
      <c r="N50" s="2459"/>
      <c r="O50" s="3117"/>
      <c r="P50" s="2459"/>
      <c r="Q50" s="3117"/>
      <c r="R50" s="2459"/>
      <c r="S50" s="3117"/>
      <c r="T50" s="3118"/>
      <c r="U50" s="3118"/>
      <c r="V50" s="2537"/>
      <c r="W50" s="3118"/>
    </row>
    <row r="51" spans="1:23">
      <c r="A51" s="3119"/>
      <c r="B51" s="3120" t="s">
        <v>701</v>
      </c>
      <c r="C51" s="2432" t="s">
        <v>702</v>
      </c>
      <c r="D51" s="2567">
        <f>'Cost Summary'!$N$7</f>
        <v>11678</v>
      </c>
      <c r="E51" s="2433" t="s">
        <v>723</v>
      </c>
      <c r="F51" s="2446">
        <v>80</v>
      </c>
      <c r="G51" s="2953">
        <f>D51*F51</f>
        <v>934240</v>
      </c>
      <c r="H51" s="2427" t="s">
        <v>710</v>
      </c>
      <c r="I51" s="3114">
        <v>1088000</v>
      </c>
      <c r="J51" s="2427"/>
      <c r="K51" s="3121"/>
      <c r="L51" s="2427"/>
      <c r="M51" s="3121"/>
      <c r="N51" s="2427"/>
      <c r="O51" s="3121"/>
      <c r="P51" s="2427"/>
      <c r="Q51" s="3121"/>
      <c r="R51" s="2427"/>
      <c r="S51" s="3121"/>
      <c r="T51" s="3121"/>
      <c r="U51" s="3121"/>
      <c r="V51" s="2537"/>
      <c r="W51" s="3121"/>
    </row>
    <row r="52" spans="1:23">
      <c r="A52" s="3122"/>
      <c r="B52" s="3123" t="s">
        <v>1274</v>
      </c>
      <c r="C52" s="3087"/>
      <c r="D52" s="3088"/>
      <c r="E52" s="2405"/>
      <c r="F52" s="2446"/>
      <c r="G52" s="2447"/>
      <c r="H52" s="2427" t="s">
        <v>710</v>
      </c>
      <c r="I52" s="3124"/>
      <c r="J52" s="2427"/>
      <c r="K52" s="3124"/>
      <c r="L52" s="2427"/>
      <c r="M52" s="3124"/>
      <c r="N52" s="2427"/>
      <c r="O52" s="3124"/>
      <c r="P52" s="2427"/>
      <c r="Q52" s="3124"/>
      <c r="R52" s="2427"/>
      <c r="S52" s="3124"/>
      <c r="T52" s="3124"/>
      <c r="U52" s="3124"/>
      <c r="V52" s="2537"/>
      <c r="W52" s="3124"/>
    </row>
    <row r="53" spans="1:23">
      <c r="A53" s="3125"/>
      <c r="B53" s="3126" t="s">
        <v>1275</v>
      </c>
      <c r="C53" s="3087"/>
      <c r="D53" s="3088"/>
      <c r="E53" s="2405"/>
      <c r="F53" s="2446"/>
      <c r="G53" s="2447"/>
      <c r="H53" s="2427" t="s">
        <v>710</v>
      </c>
      <c r="I53" s="3127"/>
      <c r="J53" s="2427"/>
      <c r="K53" s="3127"/>
      <c r="L53" s="2427"/>
      <c r="M53" s="3127"/>
      <c r="N53" s="2427"/>
      <c r="O53" s="3127"/>
      <c r="P53" s="2427"/>
      <c r="Q53" s="3127"/>
      <c r="R53" s="2427"/>
      <c r="S53" s="3127"/>
      <c r="T53" s="3127"/>
      <c r="U53" s="3127"/>
      <c r="V53" s="2537"/>
      <c r="W53" s="3127"/>
    </row>
    <row r="54" spans="1:23">
      <c r="A54" s="3128"/>
      <c r="B54" s="3129" t="s">
        <v>1276</v>
      </c>
      <c r="C54" s="3087"/>
      <c r="D54" s="3088"/>
      <c r="E54" s="2405"/>
      <c r="F54" s="2446"/>
      <c r="G54" s="2447"/>
      <c r="H54" s="2427" t="s">
        <v>710</v>
      </c>
      <c r="I54" s="3130"/>
      <c r="J54" s="2427"/>
      <c r="K54" s="3130"/>
      <c r="L54" s="2427"/>
      <c r="M54" s="3130"/>
      <c r="N54" s="2427"/>
      <c r="O54" s="3130"/>
      <c r="P54" s="2427"/>
      <c r="Q54" s="3130"/>
      <c r="R54" s="2427"/>
      <c r="S54" s="3130"/>
      <c r="T54" s="3130"/>
      <c r="U54" s="3130"/>
      <c r="V54" s="2537"/>
      <c r="W54" s="3130"/>
    </row>
    <row r="55" spans="1:23">
      <c r="A55" s="3131"/>
      <c r="B55" s="3132" t="s">
        <v>1277</v>
      </c>
      <c r="C55" s="3087"/>
      <c r="D55" s="3088"/>
      <c r="E55" s="2405"/>
      <c r="F55" s="2446"/>
      <c r="G55" s="2447"/>
      <c r="H55" s="2427" t="s">
        <v>710</v>
      </c>
      <c r="I55" s="3133"/>
      <c r="J55" s="2427"/>
      <c r="K55" s="3133"/>
      <c r="L55" s="2427"/>
      <c r="M55" s="3133"/>
      <c r="N55" s="2427"/>
      <c r="O55" s="3133"/>
      <c r="P55" s="2427"/>
      <c r="Q55" s="3133"/>
      <c r="R55" s="2427"/>
      <c r="S55" s="3133"/>
      <c r="T55" s="3133"/>
      <c r="U55" s="3133"/>
      <c r="V55" s="2537"/>
      <c r="W55" s="3133"/>
    </row>
    <row r="56" spans="1:23">
      <c r="A56" s="3134"/>
      <c r="B56" s="3135" t="s">
        <v>1278</v>
      </c>
      <c r="C56" s="3087"/>
      <c r="D56" s="3088"/>
      <c r="E56" s="2405"/>
      <c r="F56" s="2446"/>
      <c r="G56" s="2447"/>
      <c r="H56" s="2427" t="s">
        <v>710</v>
      </c>
      <c r="I56" s="3136"/>
      <c r="J56" s="2427"/>
      <c r="K56" s="3136"/>
      <c r="L56" s="2427"/>
      <c r="M56" s="3136"/>
      <c r="N56" s="2427"/>
      <c r="O56" s="3136"/>
      <c r="P56" s="2427"/>
      <c r="Q56" s="3136"/>
      <c r="R56" s="2427"/>
      <c r="S56" s="3136"/>
      <c r="T56" s="3136"/>
      <c r="U56" s="3136"/>
      <c r="V56" s="2537"/>
      <c r="W56" s="3136"/>
    </row>
    <row r="57" spans="1:23">
      <c r="A57" s="3137"/>
      <c r="B57" s="3138"/>
      <c r="C57" s="3072"/>
      <c r="D57" s="3088"/>
      <c r="E57" s="2405"/>
      <c r="F57" s="2446"/>
      <c r="G57" s="2447"/>
      <c r="H57" s="2427"/>
      <c r="I57" s="3139"/>
      <c r="J57" s="2427"/>
      <c r="K57" s="3139"/>
      <c r="L57" s="2427"/>
      <c r="M57" s="3139"/>
      <c r="N57" s="2427"/>
      <c r="O57" s="3139"/>
      <c r="P57" s="2427"/>
      <c r="Q57" s="3139"/>
      <c r="R57" s="2427"/>
      <c r="S57" s="3139"/>
      <c r="T57" s="3139"/>
      <c r="U57" s="3139"/>
      <c r="V57" s="2537"/>
      <c r="W57" s="3139"/>
    </row>
    <row r="58" spans="1:23">
      <c r="A58" s="3140"/>
      <c r="B58" s="3141" t="s">
        <v>703</v>
      </c>
      <c r="C58" s="3107"/>
      <c r="D58" s="3108"/>
      <c r="E58" s="2450"/>
      <c r="F58" s="2451"/>
      <c r="G58" s="2452"/>
      <c r="H58" s="2453"/>
      <c r="I58" s="3142"/>
      <c r="J58" s="2453"/>
      <c r="K58" s="3142"/>
      <c r="L58" s="2453"/>
      <c r="M58" s="3142"/>
      <c r="N58" s="2453"/>
      <c r="O58" s="3142"/>
      <c r="P58" s="2453"/>
      <c r="Q58" s="3142"/>
      <c r="R58" s="2453"/>
      <c r="S58" s="3142"/>
      <c r="T58" s="3143"/>
      <c r="U58" s="3143"/>
      <c r="V58" s="2537"/>
      <c r="W58" s="3143"/>
    </row>
    <row r="59" spans="1:23">
      <c r="A59" s="3144"/>
      <c r="B59" s="3145"/>
      <c r="C59" s="3072"/>
      <c r="D59" s="3088"/>
      <c r="E59" s="2405"/>
      <c r="F59" s="2446"/>
      <c r="G59" s="2447"/>
      <c r="H59" s="2427"/>
      <c r="I59" s="3146"/>
      <c r="J59" s="2427"/>
      <c r="K59" s="3146"/>
      <c r="L59" s="2427"/>
      <c r="M59" s="3146"/>
      <c r="N59" s="2427"/>
      <c r="O59" s="3146"/>
      <c r="P59" s="2427"/>
      <c r="Q59" s="3146"/>
      <c r="R59" s="2427"/>
      <c r="S59" s="3146"/>
      <c r="T59" s="3146"/>
      <c r="U59" s="3146"/>
      <c r="V59" s="2537"/>
      <c r="W59" s="3146"/>
    </row>
    <row r="60" spans="1:23">
      <c r="A60" s="3147"/>
      <c r="B60" s="3148" t="s">
        <v>704</v>
      </c>
      <c r="C60" s="3111"/>
      <c r="D60" s="3112"/>
      <c r="E60" s="2456"/>
      <c r="F60" s="2457"/>
      <c r="G60" s="2458"/>
      <c r="H60" s="2459"/>
      <c r="I60" s="3149"/>
      <c r="J60" s="2459"/>
      <c r="K60" s="3149"/>
      <c r="L60" s="2459"/>
      <c r="M60" s="3149"/>
      <c r="N60" s="2459"/>
      <c r="O60" s="3149"/>
      <c r="P60" s="2459"/>
      <c r="Q60" s="3149"/>
      <c r="R60" s="2459"/>
      <c r="S60" s="3149"/>
      <c r="T60" s="3150"/>
      <c r="U60" s="3150"/>
      <c r="V60" s="2537"/>
      <c r="W60" s="3150"/>
    </row>
    <row r="61" spans="1:23">
      <c r="A61" s="3151"/>
      <c r="B61" s="3120" t="s">
        <v>701</v>
      </c>
      <c r="C61" s="2432" t="s">
        <v>741</v>
      </c>
      <c r="D61" s="2567">
        <f>'Cost Summary'!$R$7</f>
        <v>11225</v>
      </c>
      <c r="E61" s="2433" t="s">
        <v>723</v>
      </c>
      <c r="F61" s="2446">
        <v>45</v>
      </c>
      <c r="G61" s="2953">
        <f>D61*F61</f>
        <v>505125</v>
      </c>
      <c r="H61" s="2427" t="s">
        <v>710</v>
      </c>
      <c r="I61" s="3114">
        <v>402000</v>
      </c>
      <c r="J61" s="2427"/>
      <c r="K61" s="3150"/>
      <c r="L61" s="2427"/>
      <c r="M61" s="3150"/>
      <c r="N61" s="2427"/>
      <c r="O61" s="3150"/>
      <c r="P61" s="2427"/>
      <c r="Q61" s="3150"/>
      <c r="R61" s="2427"/>
      <c r="S61" s="3150"/>
      <c r="T61" s="3150"/>
      <c r="U61" s="3150"/>
      <c r="V61" s="2537"/>
      <c r="W61" s="3150"/>
    </row>
    <row r="62" spans="1:23">
      <c r="A62" s="3151"/>
      <c r="B62" s="3120" t="s">
        <v>1279</v>
      </c>
      <c r="C62" s="2432"/>
      <c r="D62" s="2567"/>
      <c r="E62" s="2433"/>
      <c r="F62" s="2446"/>
      <c r="G62" s="2953"/>
      <c r="H62" s="2427" t="s">
        <v>710</v>
      </c>
      <c r="I62" s="3150"/>
      <c r="J62" s="2427"/>
      <c r="K62" s="3150"/>
      <c r="L62" s="2427"/>
      <c r="M62" s="3150"/>
      <c r="N62" s="2427"/>
      <c r="O62" s="3150"/>
      <c r="P62" s="2427"/>
      <c r="Q62" s="3150"/>
      <c r="R62" s="2427"/>
      <c r="S62" s="3150"/>
      <c r="T62" s="3150"/>
      <c r="U62" s="3150"/>
      <c r="V62" s="2537"/>
      <c r="W62" s="3150"/>
    </row>
    <row r="63" spans="1:23">
      <c r="A63" s="3151"/>
      <c r="B63" s="3120" t="s">
        <v>1280</v>
      </c>
      <c r="C63" s="2432"/>
      <c r="D63" s="2567"/>
      <c r="E63" s="2433"/>
      <c r="F63" s="2446"/>
      <c r="G63" s="2953"/>
      <c r="H63" s="2427" t="s">
        <v>710</v>
      </c>
      <c r="I63" s="3150"/>
      <c r="J63" s="2427"/>
      <c r="K63" s="3150"/>
      <c r="L63" s="2427"/>
      <c r="M63" s="3150"/>
      <c r="N63" s="2427"/>
      <c r="O63" s="3150"/>
      <c r="P63" s="2427"/>
      <c r="Q63" s="3150"/>
      <c r="R63" s="2427"/>
      <c r="S63" s="3150"/>
      <c r="T63" s="3150"/>
      <c r="U63" s="3150"/>
      <c r="V63" s="2537"/>
      <c r="W63" s="3150"/>
    </row>
    <row r="64" spans="1:23">
      <c r="A64" s="3151"/>
      <c r="B64" s="3152" t="s">
        <v>1277</v>
      </c>
      <c r="C64" s="2432"/>
      <c r="D64" s="2567"/>
      <c r="E64" s="2433"/>
      <c r="F64" s="2446"/>
      <c r="G64" s="2953"/>
      <c r="H64" s="2427" t="s">
        <v>710</v>
      </c>
      <c r="I64" s="3153"/>
      <c r="J64" s="2427"/>
      <c r="K64" s="3153"/>
      <c r="L64" s="2427"/>
      <c r="M64" s="3153"/>
      <c r="N64" s="2427"/>
      <c r="O64" s="3153"/>
      <c r="P64" s="2427"/>
      <c r="Q64" s="3153"/>
      <c r="R64" s="2427"/>
      <c r="S64" s="3153"/>
      <c r="T64" s="3153"/>
      <c r="U64" s="3153"/>
      <c r="V64" s="2537"/>
      <c r="W64" s="3153"/>
    </row>
    <row r="65" spans="1:23">
      <c r="A65" s="3151"/>
      <c r="B65" s="3120" t="s">
        <v>1281</v>
      </c>
      <c r="C65" s="2432"/>
      <c r="D65" s="2567"/>
      <c r="E65" s="2433"/>
      <c r="F65" s="2446"/>
      <c r="G65" s="2953"/>
      <c r="H65" s="2427" t="s">
        <v>710</v>
      </c>
      <c r="I65" s="3150"/>
      <c r="J65" s="2427"/>
      <c r="K65" s="3150"/>
      <c r="L65" s="2427"/>
      <c r="M65" s="3150"/>
      <c r="N65" s="2427"/>
      <c r="O65" s="3150"/>
      <c r="P65" s="2427"/>
      <c r="Q65" s="3150"/>
      <c r="R65" s="2427"/>
      <c r="S65" s="3150"/>
      <c r="T65" s="3150"/>
      <c r="U65" s="3150"/>
      <c r="V65" s="2537"/>
      <c r="W65" s="3150"/>
    </row>
    <row r="66" spans="1:23">
      <c r="A66" s="3151"/>
      <c r="B66" s="3120" t="s">
        <v>1282</v>
      </c>
      <c r="C66" s="2432"/>
      <c r="D66" s="2567"/>
      <c r="E66" s="2433"/>
      <c r="F66" s="2446"/>
      <c r="G66" s="2953"/>
      <c r="H66" s="2427" t="s">
        <v>710</v>
      </c>
      <c r="I66" s="3154">
        <v>27000</v>
      </c>
      <c r="J66" s="2427"/>
      <c r="K66" s="3150"/>
      <c r="L66" s="2427"/>
      <c r="M66" s="3150"/>
      <c r="N66" s="2427"/>
      <c r="O66" s="3150"/>
      <c r="P66" s="2427"/>
      <c r="Q66" s="3150"/>
      <c r="R66" s="2427"/>
      <c r="S66" s="3150"/>
      <c r="T66" s="3150"/>
      <c r="U66" s="3150"/>
      <c r="V66" s="2537"/>
      <c r="W66" s="3150"/>
    </row>
    <row r="67" spans="1:23">
      <c r="A67" s="3151"/>
      <c r="B67" s="3155"/>
      <c r="C67" s="3072"/>
      <c r="D67" s="3088"/>
      <c r="E67" s="2405"/>
      <c r="F67" s="2446"/>
      <c r="G67" s="2447"/>
      <c r="H67" s="2427"/>
      <c r="I67" s="3150"/>
      <c r="J67" s="2427"/>
      <c r="K67" s="3150"/>
      <c r="L67" s="2427"/>
      <c r="M67" s="3150"/>
      <c r="N67" s="2427"/>
      <c r="O67" s="3150"/>
      <c r="P67" s="2427"/>
      <c r="Q67" s="3150"/>
      <c r="R67" s="2427"/>
      <c r="S67" s="3150"/>
      <c r="T67" s="3150"/>
      <c r="U67" s="3150"/>
      <c r="V67" s="2537"/>
      <c r="W67" s="3150"/>
    </row>
    <row r="68" spans="1:23">
      <c r="A68" s="3151"/>
      <c r="B68" s="3156" t="s">
        <v>705</v>
      </c>
      <c r="C68" s="3107"/>
      <c r="D68" s="3108"/>
      <c r="E68" s="2450"/>
      <c r="F68" s="2451"/>
      <c r="G68" s="2452"/>
      <c r="H68" s="2453"/>
      <c r="I68" s="3157"/>
      <c r="J68" s="2453"/>
      <c r="K68" s="3157"/>
      <c r="L68" s="2453"/>
      <c r="M68" s="3157"/>
      <c r="N68" s="2453"/>
      <c r="O68" s="3157"/>
      <c r="P68" s="2453"/>
      <c r="Q68" s="3157"/>
      <c r="R68" s="2453"/>
      <c r="S68" s="3157"/>
      <c r="T68" s="3153"/>
      <c r="U68" s="3153"/>
      <c r="V68" s="2537"/>
      <c r="W68" s="3153"/>
    </row>
    <row r="69" spans="1:23">
      <c r="A69" s="3158"/>
      <c r="B69" s="3159"/>
      <c r="C69" s="3072"/>
      <c r="D69" s="3088"/>
      <c r="E69" s="2405"/>
      <c r="F69" s="2446"/>
      <c r="G69" s="2447"/>
      <c r="H69" s="2427"/>
      <c r="I69" s="3160"/>
      <c r="J69" s="2427"/>
      <c r="K69" s="3160"/>
      <c r="L69" s="2427"/>
      <c r="M69" s="3160"/>
      <c r="N69" s="2427"/>
      <c r="O69" s="3160"/>
      <c r="P69" s="2427"/>
      <c r="Q69" s="3160"/>
      <c r="R69" s="2427"/>
      <c r="S69" s="3160"/>
      <c r="T69" s="3160"/>
      <c r="U69" s="3160"/>
      <c r="V69" s="2537"/>
      <c r="W69" s="3160"/>
    </row>
    <row r="70" spans="1:23">
      <c r="A70" s="3161"/>
      <c r="B70" s="3162" t="s">
        <v>602</v>
      </c>
      <c r="C70" s="3111"/>
      <c r="D70" s="3112"/>
      <c r="E70" s="2456"/>
      <c r="F70" s="2457"/>
      <c r="G70" s="2458"/>
      <c r="H70" s="2459"/>
      <c r="I70" s="3163"/>
      <c r="J70" s="2459"/>
      <c r="K70" s="3163"/>
      <c r="L70" s="2459"/>
      <c r="M70" s="3163"/>
      <c r="N70" s="2459"/>
      <c r="O70" s="3163"/>
      <c r="P70" s="2459"/>
      <c r="Q70" s="3163"/>
      <c r="R70" s="2459"/>
      <c r="S70" s="3163"/>
      <c r="T70" s="3164"/>
      <c r="U70" s="3164"/>
      <c r="V70" s="2537"/>
      <c r="W70" s="3164"/>
    </row>
    <row r="71" spans="1:23">
      <c r="A71" s="3165"/>
      <c r="B71" s="3166"/>
      <c r="C71" s="3072"/>
      <c r="D71" s="3088"/>
      <c r="E71" s="2405"/>
      <c r="F71" s="2446"/>
      <c r="G71" s="2447"/>
      <c r="H71" s="2427"/>
      <c r="I71" s="3167"/>
      <c r="J71" s="2427"/>
      <c r="K71" s="3167"/>
      <c r="L71" s="2427"/>
      <c r="M71" s="3167"/>
      <c r="N71" s="2427"/>
      <c r="O71" s="3167"/>
      <c r="P71" s="2427"/>
      <c r="Q71" s="3167"/>
      <c r="R71" s="2427"/>
      <c r="S71" s="3167"/>
      <c r="T71" s="3167"/>
      <c r="U71" s="3167"/>
      <c r="V71" s="2537"/>
      <c r="W71" s="3167"/>
    </row>
    <row r="72" spans="1:23">
      <c r="A72" s="3168"/>
      <c r="B72" s="3105"/>
      <c r="C72" s="3072"/>
      <c r="D72" s="3088"/>
      <c r="E72" s="2405"/>
      <c r="F72" s="2446"/>
      <c r="G72" s="2447"/>
      <c r="H72" s="2427"/>
      <c r="I72" s="3167"/>
      <c r="J72" s="2427"/>
      <c r="K72" s="3167"/>
      <c r="L72" s="2427"/>
      <c r="M72" s="3167"/>
      <c r="N72" s="2427"/>
      <c r="O72" s="3167"/>
      <c r="P72" s="2427"/>
      <c r="Q72" s="3167"/>
      <c r="R72" s="2427"/>
      <c r="S72" s="3167"/>
      <c r="T72" s="3167"/>
      <c r="U72" s="3167"/>
      <c r="V72" s="2537"/>
      <c r="W72" s="3167"/>
    </row>
    <row r="73" spans="1:23">
      <c r="A73" s="3169"/>
      <c r="B73" s="3170"/>
      <c r="C73" s="3087"/>
      <c r="D73" s="3088"/>
      <c r="E73" s="2405"/>
      <c r="F73" s="2446"/>
      <c r="G73" s="2447"/>
      <c r="H73" s="2427"/>
      <c r="I73" s="3171"/>
      <c r="J73" s="2427"/>
      <c r="K73" s="3048"/>
      <c r="L73" s="2427"/>
      <c r="M73" s="3048"/>
      <c r="N73" s="2427"/>
      <c r="O73" s="3171"/>
      <c r="P73" s="2427"/>
      <c r="Q73" s="3171"/>
      <c r="R73" s="2427"/>
      <c r="S73" s="3171"/>
      <c r="T73" s="3048"/>
      <c r="U73" s="3048"/>
      <c r="V73" s="2537" t="s">
        <v>509</v>
      </c>
      <c r="W73" s="3048"/>
    </row>
    <row r="74" spans="1:23" ht="15.75" thickTop="1">
      <c r="A74" s="14"/>
      <c r="B74" s="15"/>
      <c r="C74" s="16"/>
      <c r="D74" s="16"/>
      <c r="E74" s="17"/>
      <c r="F74" s="18" t="s">
        <v>567</v>
      </c>
      <c r="G74" s="108"/>
      <c r="H74" s="20"/>
      <c r="I74" s="20">
        <f>SUM(I31:I73)</f>
        <v>1559000</v>
      </c>
      <c r="J74" s="20"/>
      <c r="K74" s="61">
        <f>SUM(K24:K73)</f>
        <v>0</v>
      </c>
      <c r="L74" s="20"/>
      <c r="M74" s="61">
        <f>SUM(M23:M73)</f>
        <v>0</v>
      </c>
      <c r="N74" s="20"/>
      <c r="O74" s="20">
        <f>SUM(O31:O73)</f>
        <v>0</v>
      </c>
      <c r="P74" s="194"/>
      <c r="Q74" s="61">
        <f>SUM(Q24:Q73)</f>
        <v>0</v>
      </c>
      <c r="R74" s="20"/>
      <c r="S74" s="20">
        <f>SUM(S31:S73)</f>
        <v>0</v>
      </c>
      <c r="T74" s="20"/>
      <c r="U74" s="20">
        <v>0</v>
      </c>
      <c r="V74" s="20"/>
      <c r="W74" s="61">
        <v>0</v>
      </c>
    </row>
    <row r="75" spans="1:23">
      <c r="A75" s="2358"/>
      <c r="B75" s="2359"/>
      <c r="C75" s="2360"/>
      <c r="D75" s="2360"/>
      <c r="E75" s="2361"/>
      <c r="F75" s="2362" t="s">
        <v>568</v>
      </c>
      <c r="G75" s="3172"/>
      <c r="H75" s="3173">
        <v>0</v>
      </c>
      <c r="I75" s="2364"/>
      <c r="J75" s="3173">
        <v>0</v>
      </c>
      <c r="K75" s="2460"/>
      <c r="L75" s="3173">
        <v>0</v>
      </c>
      <c r="M75" s="2460"/>
      <c r="N75" s="3173">
        <v>0</v>
      </c>
      <c r="O75" s="2364"/>
      <c r="P75" s="3174">
        <v>0</v>
      </c>
      <c r="Q75" s="2460"/>
      <c r="R75" s="3173">
        <v>0</v>
      </c>
      <c r="S75" s="2364"/>
      <c r="T75" s="3173">
        <v>0.02</v>
      </c>
      <c r="U75" s="2364"/>
      <c r="V75" s="3173">
        <v>0</v>
      </c>
      <c r="W75" s="2460"/>
    </row>
    <row r="76" spans="1:23">
      <c r="A76" s="2358"/>
      <c r="B76" s="2359"/>
      <c r="C76" s="2360"/>
      <c r="D76" s="2360"/>
      <c r="E76" s="2361"/>
      <c r="F76" s="2362" t="s">
        <v>569</v>
      </c>
      <c r="G76" s="3172"/>
      <c r="H76" s="2366"/>
      <c r="I76" s="2462">
        <f>I74*H75</f>
        <v>0</v>
      </c>
      <c r="J76" s="2366"/>
      <c r="K76" s="2462">
        <f>K74*J75</f>
        <v>0</v>
      </c>
      <c r="L76" s="2366"/>
      <c r="M76" s="2462">
        <v>0</v>
      </c>
      <c r="N76" s="2366"/>
      <c r="O76" s="2462">
        <f>O74*N75</f>
        <v>0</v>
      </c>
      <c r="P76" s="3175"/>
      <c r="Q76" s="2462">
        <v>0</v>
      </c>
      <c r="R76" s="2366"/>
      <c r="S76" s="2462">
        <v>0</v>
      </c>
      <c r="T76" s="2366"/>
      <c r="U76" s="2462">
        <v>0</v>
      </c>
      <c r="V76" s="2366"/>
      <c r="W76" s="2462">
        <v>0</v>
      </c>
    </row>
    <row r="77" spans="1:23">
      <c r="A77" s="2358"/>
      <c r="B77" s="2359"/>
      <c r="C77" s="2360"/>
      <c r="D77" s="2360"/>
      <c r="E77" s="2361"/>
      <c r="F77" s="2362"/>
      <c r="G77" s="3172"/>
      <c r="H77" s="2366"/>
      <c r="I77" s="2366"/>
      <c r="J77" s="2366"/>
      <c r="K77" s="2464"/>
      <c r="L77" s="2366"/>
      <c r="M77" s="2464"/>
      <c r="N77" s="2366"/>
      <c r="O77" s="2366"/>
      <c r="P77" s="3175"/>
      <c r="Q77" s="2464"/>
      <c r="R77" s="2366"/>
      <c r="S77" s="2366"/>
      <c r="T77" s="2366"/>
      <c r="U77" s="2366"/>
      <c r="V77" s="2366"/>
      <c r="W77" s="2464"/>
    </row>
    <row r="78" spans="1:23">
      <c r="A78" s="2358"/>
      <c r="B78" s="2359"/>
      <c r="C78" s="2360"/>
      <c r="D78" s="2360"/>
      <c r="E78" s="2361"/>
      <c r="F78" s="2362" t="s">
        <v>570</v>
      </c>
      <c r="G78" s="3172"/>
      <c r="H78" s="2368"/>
      <c r="I78" s="3176">
        <f>SUM(I74:I76)</f>
        <v>1559000</v>
      </c>
      <c r="J78" s="2368"/>
      <c r="K78" s="2465">
        <f>SUM(K74:K77)</f>
        <v>0</v>
      </c>
      <c r="L78" s="2368"/>
      <c r="M78" s="2465">
        <f>SUM(M74:M77)</f>
        <v>0</v>
      </c>
      <c r="N78" s="2368"/>
      <c r="O78" s="3176">
        <f>SUM(O74:O77)</f>
        <v>0</v>
      </c>
      <c r="P78" s="3177"/>
      <c r="Q78" s="2465">
        <f>SUM(Q74:Q77)</f>
        <v>0</v>
      </c>
      <c r="R78" s="2368"/>
      <c r="S78" s="3176">
        <f>SUM(S74:S76)</f>
        <v>0</v>
      </c>
      <c r="T78" s="2368"/>
      <c r="U78" s="3176">
        <v>0</v>
      </c>
      <c r="V78" s="2368"/>
      <c r="W78" s="2465">
        <v>0</v>
      </c>
    </row>
    <row r="79" spans="1:23">
      <c r="A79" s="2358"/>
      <c r="B79" s="2359"/>
      <c r="C79" s="2360"/>
      <c r="D79" s="2360"/>
      <c r="E79" s="2361"/>
      <c r="F79" s="2370" t="s">
        <v>571</v>
      </c>
      <c r="G79" s="3178"/>
      <c r="H79" s="2372"/>
      <c r="I79" s="2373" t="e">
        <f>I78/'Area Calculations'!$J$4</f>
        <v>#DIV/0!</v>
      </c>
      <c r="J79" s="2372"/>
      <c r="K79" s="2373" t="e">
        <f>K78/'Area Calculations'!$J$4</f>
        <v>#DIV/0!</v>
      </c>
      <c r="L79" s="2372"/>
      <c r="M79" s="2373" t="e">
        <f>M78/'Area Calculations'!$J$4</f>
        <v>#DIV/0!</v>
      </c>
      <c r="N79" s="2372"/>
      <c r="O79" s="2373" t="e">
        <f>O78/'Area Calculations'!$J$4</f>
        <v>#DIV/0!</v>
      </c>
      <c r="P79" s="2372"/>
      <c r="Q79" s="2373" t="e">
        <f>Q78/'Area Calculations'!$J$4</f>
        <v>#DIV/0!</v>
      </c>
      <c r="R79" s="2372"/>
      <c r="S79" s="2373" t="e">
        <f>S78/'Area Calculations'!$J$4</f>
        <v>#DIV/0!</v>
      </c>
      <c r="T79" s="2372"/>
      <c r="U79" s="2372">
        <v>0</v>
      </c>
      <c r="V79" s="2372"/>
      <c r="W79" s="2373">
        <v>0</v>
      </c>
    </row>
    <row r="80" spans="1:23">
      <c r="A80" s="2358"/>
      <c r="B80" s="2359"/>
      <c r="C80" s="2360"/>
      <c r="D80" s="2360"/>
      <c r="E80" s="2361"/>
      <c r="F80" s="2370" t="s">
        <v>572</v>
      </c>
      <c r="G80" s="3179"/>
      <c r="H80" s="2372"/>
      <c r="I80" s="2373" t="e">
        <f>I78/'Area Calculations'!#REF!</f>
        <v>#REF!</v>
      </c>
      <c r="J80" s="2372"/>
      <c r="K80" s="2373" t="e">
        <f>K78/'Area Calculations'!#REF!</f>
        <v>#REF!</v>
      </c>
      <c r="L80" s="2372"/>
      <c r="M80" s="2373" t="e">
        <f>M78/'Area Calculations'!#REF!</f>
        <v>#REF!</v>
      </c>
      <c r="N80" s="2372"/>
      <c r="O80" s="2373" t="e">
        <f>O78/'Area Calculations'!#REF!</f>
        <v>#REF!</v>
      </c>
      <c r="P80" s="2372"/>
      <c r="Q80" s="2373" t="e">
        <f>Q78/'Area Calculations'!#REF!</f>
        <v>#REF!</v>
      </c>
      <c r="R80" s="2372"/>
      <c r="S80" s="2373" t="e">
        <f>S78/'Area Calculations'!#REF!</f>
        <v>#REF!</v>
      </c>
      <c r="T80" s="2372"/>
      <c r="U80" s="2372">
        <v>0</v>
      </c>
      <c r="V80" s="2372"/>
      <c r="W80" s="2373">
        <v>0</v>
      </c>
    </row>
    <row r="81" spans="1:23" ht="15.75" thickBot="1">
      <c r="A81" s="2358"/>
      <c r="B81" s="2359"/>
      <c r="C81" s="2360"/>
      <c r="D81" s="2360"/>
      <c r="E81" s="2361"/>
      <c r="F81" s="2362"/>
      <c r="G81" s="2375"/>
      <c r="H81" s="2378"/>
      <c r="I81" s="2378"/>
      <c r="J81" s="2376"/>
      <c r="K81" s="2376"/>
      <c r="L81" s="2376"/>
      <c r="M81" s="2377"/>
      <c r="N81" s="2378"/>
      <c r="O81" s="2378"/>
      <c r="P81" s="2378"/>
      <c r="Q81" s="2378"/>
      <c r="R81" s="2378"/>
      <c r="S81" s="2378"/>
      <c r="T81" s="2378"/>
      <c r="U81" s="2378"/>
      <c r="V81" s="2378"/>
      <c r="W81" s="2378"/>
    </row>
    <row r="82" spans="1:23" ht="16.5" thickTop="1" thickBot="1">
      <c r="A82" s="726" t="s">
        <v>573</v>
      </c>
      <c r="B82" s="727"/>
      <c r="C82" s="12"/>
      <c r="D82" s="12"/>
      <c r="E82" s="12"/>
      <c r="F82" s="12"/>
      <c r="G82" s="13"/>
      <c r="H82" s="21"/>
      <c r="I82" s="21"/>
      <c r="J82" s="21"/>
      <c r="K82" s="21"/>
      <c r="L82" s="21"/>
      <c r="M82" s="21"/>
      <c r="N82" s="21"/>
      <c r="O82" s="21"/>
      <c r="P82" s="195"/>
      <c r="Q82" s="21"/>
      <c r="R82" s="21"/>
      <c r="S82" s="21"/>
      <c r="T82" s="21"/>
      <c r="U82" s="21"/>
      <c r="V82" s="21"/>
      <c r="W82" s="21"/>
    </row>
    <row r="83" spans="1:23" ht="15.75" thickTop="1">
      <c r="A83" s="3180"/>
      <c r="B83" s="2404"/>
      <c r="C83" s="3181"/>
      <c r="D83" s="3181"/>
      <c r="E83" s="3181"/>
      <c r="F83" s="3181"/>
      <c r="G83" s="3182"/>
      <c r="H83" s="3183"/>
      <c r="I83" s="3183"/>
      <c r="J83" s="3183"/>
      <c r="K83" s="3183"/>
      <c r="L83" s="3183"/>
      <c r="M83" s="3183"/>
      <c r="N83" s="3183"/>
      <c r="O83" s="3183"/>
      <c r="P83" s="3184"/>
      <c r="Q83" s="3183"/>
      <c r="R83" s="3183"/>
      <c r="S83" s="3183"/>
      <c r="T83" s="3183"/>
      <c r="U83" s="3183"/>
      <c r="V83" s="3183"/>
      <c r="W83" s="3183"/>
    </row>
    <row r="84" spans="1:23" hidden="1">
      <c r="A84" s="3180"/>
      <c r="B84" s="2404"/>
      <c r="C84" s="3181"/>
      <c r="D84" s="3181"/>
      <c r="E84" s="3181"/>
      <c r="F84" s="3181"/>
      <c r="G84" s="3182"/>
      <c r="H84" s="3183"/>
      <c r="I84" s="3183"/>
      <c r="J84" s="3183"/>
      <c r="K84" s="3183"/>
      <c r="L84" s="2769" t="s">
        <v>509</v>
      </c>
      <c r="M84" s="3183"/>
      <c r="N84" s="3183"/>
      <c r="O84" s="3183"/>
      <c r="P84" s="3184"/>
      <c r="Q84" s="3183"/>
      <c r="R84" s="3183"/>
      <c r="S84" s="3183"/>
      <c r="T84" s="3183"/>
      <c r="U84" s="3183"/>
      <c r="V84" s="2382"/>
      <c r="W84" s="2382"/>
    </row>
    <row r="85" spans="1:23" hidden="1">
      <c r="A85" s="3180"/>
      <c r="B85" s="2404"/>
      <c r="C85" s="3181"/>
      <c r="D85" s="3181"/>
      <c r="E85" s="3181"/>
      <c r="F85" s="3181"/>
      <c r="G85" s="3182"/>
      <c r="H85" s="3183"/>
      <c r="I85" s="3183"/>
      <c r="J85" s="3183"/>
      <c r="K85" s="3183"/>
      <c r="L85" s="3185"/>
      <c r="M85" s="3183"/>
      <c r="N85" s="3183"/>
      <c r="O85" s="3183"/>
      <c r="P85" s="3184"/>
      <c r="Q85" s="3183"/>
      <c r="R85" s="3183"/>
      <c r="S85" s="3183"/>
      <c r="T85" s="3183"/>
      <c r="U85" s="3183"/>
      <c r="V85" s="2382"/>
      <c r="W85" s="2382"/>
    </row>
    <row r="86" spans="1:23" s="2" customFormat="1" ht="16.5" hidden="1" thickTop="1" thickBot="1">
      <c r="A86" s="726" t="s">
        <v>574</v>
      </c>
      <c r="B86" s="727"/>
      <c r="C86" s="12"/>
      <c r="D86" s="12"/>
      <c r="E86" s="12"/>
      <c r="F86" s="12"/>
      <c r="G86" s="13"/>
      <c r="H86" s="21"/>
      <c r="I86" s="21"/>
      <c r="J86" s="21"/>
      <c r="K86" s="21"/>
      <c r="L86" s="52"/>
      <c r="M86" s="21"/>
      <c r="N86" s="21"/>
      <c r="O86" s="21"/>
      <c r="P86" s="195"/>
      <c r="Q86" s="21"/>
      <c r="R86" s="21"/>
      <c r="S86" s="21"/>
      <c r="T86" s="21"/>
      <c r="U86" s="21"/>
      <c r="V86" s="3186"/>
      <c r="W86" s="3186"/>
    </row>
    <row r="87" spans="1:23" s="2" customFormat="1">
      <c r="A87" s="3180"/>
      <c r="B87" s="2404"/>
      <c r="C87" s="3181"/>
      <c r="D87" s="3181"/>
      <c r="E87" s="3181"/>
      <c r="F87" s="3181"/>
      <c r="G87" s="3182"/>
      <c r="H87" s="3183"/>
      <c r="I87" s="3183"/>
      <c r="J87" s="3183"/>
      <c r="K87" s="3183"/>
      <c r="L87" s="3185"/>
      <c r="M87" s="3183"/>
      <c r="N87" s="3183"/>
      <c r="O87" s="3183"/>
      <c r="P87" s="3184"/>
      <c r="Q87" s="3183"/>
      <c r="R87" s="3183"/>
      <c r="S87" s="3183"/>
      <c r="T87" s="3183"/>
      <c r="U87" s="3183"/>
      <c r="V87" s="2385"/>
      <c r="W87" s="2385"/>
    </row>
    <row r="88" spans="1:23" s="2" customFormat="1" ht="15.75" thickBot="1">
      <c r="A88" s="3180"/>
      <c r="B88" s="2404"/>
      <c r="C88" s="3181"/>
      <c r="D88" s="3181"/>
      <c r="E88" s="3181"/>
      <c r="F88" s="3181"/>
      <c r="G88" s="3182"/>
      <c r="H88" s="3183"/>
      <c r="I88" s="3183"/>
      <c r="J88" s="3183"/>
      <c r="K88" s="3183"/>
      <c r="L88" s="3185"/>
      <c r="M88" s="3183"/>
      <c r="N88" s="3183"/>
      <c r="O88" s="3183"/>
      <c r="P88" s="3184"/>
      <c r="Q88" s="3183"/>
      <c r="R88" s="3183"/>
      <c r="S88" s="3183"/>
      <c r="T88" s="3183"/>
      <c r="U88" s="3183"/>
      <c r="V88" s="2385"/>
      <c r="W88" s="2385"/>
    </row>
    <row r="89" spans="1:23" ht="16.5" thickTop="1" thickBot="1">
      <c r="A89" s="3180"/>
      <c r="B89" s="2404"/>
      <c r="C89" s="3181"/>
      <c r="D89" s="3181"/>
      <c r="E89" s="3181"/>
      <c r="F89" s="3181"/>
      <c r="G89" s="3182"/>
      <c r="H89" s="3183"/>
      <c r="I89" s="3183"/>
      <c r="J89" s="3183"/>
      <c r="K89" s="3183"/>
      <c r="L89" s="3185"/>
      <c r="M89" s="3183"/>
      <c r="N89" s="3183"/>
      <c r="O89" s="3183"/>
      <c r="P89" s="3184"/>
      <c r="Q89" s="3183"/>
      <c r="R89" s="3183"/>
      <c r="S89" s="3183"/>
      <c r="T89" s="3183"/>
      <c r="U89" s="3183"/>
      <c r="V89" s="21"/>
      <c r="W89" s="21"/>
    </row>
    <row r="90" spans="1:23" s="2" customFormat="1" ht="16.5" thickTop="1" thickBot="1">
      <c r="A90" s="726" t="s">
        <v>575</v>
      </c>
      <c r="B90" s="727"/>
      <c r="C90" s="12"/>
      <c r="D90" s="12"/>
      <c r="E90" s="12"/>
      <c r="F90" s="12"/>
      <c r="G90" s="13"/>
      <c r="H90" s="21"/>
      <c r="I90" s="21"/>
      <c r="J90" s="21"/>
      <c r="K90" s="21"/>
      <c r="L90" s="52"/>
      <c r="M90" s="21"/>
      <c r="N90" s="21"/>
      <c r="O90" s="21"/>
      <c r="P90" s="195"/>
      <c r="Q90" s="21"/>
      <c r="R90" s="21"/>
      <c r="S90" s="21"/>
      <c r="T90" s="21"/>
      <c r="U90" s="21"/>
      <c r="V90" s="3183"/>
      <c r="W90" s="3183"/>
    </row>
    <row r="91" spans="1:23" s="2" customFormat="1" ht="15.75" thickTop="1">
      <c r="A91" s="3180"/>
      <c r="B91" s="2404"/>
      <c r="C91" s="3181"/>
      <c r="D91" s="3181"/>
      <c r="E91" s="3181"/>
      <c r="F91" s="3181"/>
      <c r="G91" s="3182"/>
      <c r="H91" s="3183"/>
      <c r="I91" s="3183"/>
      <c r="J91" s="3183"/>
      <c r="K91" s="3183"/>
      <c r="L91" s="3185"/>
      <c r="M91" s="3183"/>
      <c r="N91" s="3183"/>
      <c r="O91" s="3183"/>
      <c r="P91" s="3184"/>
      <c r="Q91" s="3183"/>
      <c r="R91" s="3183"/>
      <c r="S91" s="3183"/>
      <c r="T91" s="3183"/>
      <c r="U91" s="3183"/>
      <c r="V91" s="2388"/>
      <c r="W91" s="2388"/>
    </row>
    <row r="92" spans="1:23" s="2" customFormat="1">
      <c r="A92" s="2421"/>
      <c r="B92" s="2404"/>
      <c r="C92" s="2405"/>
      <c r="D92" s="2405"/>
      <c r="E92" s="2405"/>
      <c r="F92" s="2405"/>
      <c r="G92" s="2423"/>
      <c r="H92" s="2382"/>
      <c r="I92" s="2382"/>
      <c r="J92" s="2382"/>
      <c r="K92" s="2382"/>
      <c r="L92" s="2474"/>
      <c r="M92" s="2382"/>
      <c r="N92" s="2382"/>
      <c r="O92" s="2382"/>
      <c r="P92" s="3187"/>
      <c r="Q92" s="2382"/>
      <c r="R92" s="2382"/>
      <c r="S92" s="2382"/>
      <c r="T92" s="2382"/>
      <c r="U92" s="2382"/>
      <c r="V92" s="2388"/>
      <c r="W92" s="2388"/>
    </row>
    <row r="93" spans="1:23" s="2" customFormat="1" ht="15.75" thickBot="1">
      <c r="A93" s="2383"/>
      <c r="B93" s="2404"/>
      <c r="C93" s="2405"/>
      <c r="D93" s="2405"/>
      <c r="E93" s="2405"/>
      <c r="F93" s="2405"/>
      <c r="G93" s="2423"/>
      <c r="H93" s="2385"/>
      <c r="I93" s="2385"/>
      <c r="J93" s="2385"/>
      <c r="K93" s="2385"/>
      <c r="L93" s="2475"/>
      <c r="M93" s="2385"/>
      <c r="N93" s="2385"/>
      <c r="O93" s="2385"/>
      <c r="P93" s="3188"/>
      <c r="Q93" s="2385"/>
      <c r="R93" s="2385"/>
      <c r="S93" s="2385"/>
      <c r="T93" s="2385"/>
      <c r="U93" s="2385"/>
      <c r="V93" s="2388"/>
      <c r="W93" s="2388"/>
    </row>
    <row r="94" spans="1:23" s="2" customFormat="1" ht="16.5" thickTop="1" thickBot="1">
      <c r="A94" s="726" t="s">
        <v>576</v>
      </c>
      <c r="B94" s="727"/>
      <c r="C94" s="12"/>
      <c r="D94" s="12"/>
      <c r="E94" s="12"/>
      <c r="F94" s="12"/>
      <c r="G94" s="13"/>
      <c r="H94" s="21"/>
      <c r="I94" s="21"/>
      <c r="J94" s="21"/>
      <c r="K94" s="21"/>
      <c r="L94" s="52"/>
      <c r="M94" s="21"/>
      <c r="N94" s="21"/>
      <c r="O94" s="21"/>
      <c r="P94" s="195"/>
      <c r="Q94" s="21"/>
      <c r="R94" s="21"/>
      <c r="S94" s="21"/>
      <c r="T94" s="21"/>
      <c r="U94" s="21"/>
      <c r="V94" s="2388"/>
      <c r="W94" s="2388"/>
    </row>
    <row r="95" spans="1:23" ht="15.75" thickTop="1">
      <c r="A95" s="3189"/>
      <c r="B95" s="3190"/>
      <c r="C95" s="3181"/>
      <c r="D95" s="3181"/>
      <c r="E95" s="3181"/>
      <c r="F95" s="3181"/>
      <c r="G95" s="3182"/>
      <c r="H95" s="3183"/>
      <c r="I95" s="3183"/>
      <c r="J95" s="3183"/>
      <c r="K95" s="3183"/>
      <c r="L95" s="3185"/>
      <c r="M95" s="3183"/>
      <c r="N95" s="3183"/>
      <c r="O95" s="3183"/>
      <c r="P95" s="3184"/>
      <c r="Q95" s="3183"/>
      <c r="R95" s="3183"/>
      <c r="S95" s="3183"/>
      <c r="T95" s="3183"/>
      <c r="U95" s="3183"/>
      <c r="V95" s="3191"/>
      <c r="W95" s="3191"/>
    </row>
    <row r="96" spans="1:23">
      <c r="A96" s="2383"/>
      <c r="B96" s="2384"/>
      <c r="C96" s="2405"/>
      <c r="D96" s="2405"/>
      <c r="E96" s="2405"/>
      <c r="F96" s="2405"/>
      <c r="G96" s="2423"/>
      <c r="H96" s="2388"/>
      <c r="I96" s="2388"/>
      <c r="J96" s="2388"/>
      <c r="K96" s="2388"/>
      <c r="L96" s="2478"/>
      <c r="M96" s="2388"/>
      <c r="N96" s="2388"/>
      <c r="O96" s="2388"/>
      <c r="P96" s="3187"/>
      <c r="Q96" s="2388"/>
      <c r="R96" s="2388"/>
      <c r="S96" s="2388"/>
      <c r="T96" s="2388"/>
      <c r="U96" s="2388"/>
      <c r="V96" s="2388"/>
      <c r="W96" s="2388"/>
    </row>
    <row r="97" spans="1:23" ht="15.75" thickBot="1">
      <c r="A97" s="2383"/>
      <c r="B97" s="2384"/>
      <c r="C97" s="2405"/>
      <c r="D97" s="2405"/>
      <c r="E97" s="2405"/>
      <c r="F97" s="2405"/>
      <c r="G97" s="2423"/>
      <c r="H97" s="2388"/>
      <c r="I97" s="2388"/>
      <c r="J97" s="2388"/>
      <c r="K97" s="2388"/>
      <c r="L97" s="2478"/>
      <c r="M97" s="2388"/>
      <c r="N97" s="2388"/>
      <c r="O97" s="2388"/>
      <c r="P97" s="3187"/>
      <c r="Q97" s="2388"/>
      <c r="R97" s="2388"/>
      <c r="S97" s="2388"/>
      <c r="T97" s="2388"/>
      <c r="U97" s="2388"/>
      <c r="V97" s="2388"/>
      <c r="W97" s="2388"/>
    </row>
    <row r="98" spans="1:23" ht="16.5" thickTop="1" thickBot="1">
      <c r="A98" s="726" t="s">
        <v>577</v>
      </c>
      <c r="B98" s="727"/>
      <c r="C98" s="12"/>
      <c r="D98" s="12"/>
      <c r="E98" s="12"/>
      <c r="F98" s="12"/>
      <c r="G98" s="13"/>
      <c r="H98" s="21"/>
      <c r="I98" s="21"/>
      <c r="J98" s="21"/>
      <c r="K98" s="21"/>
      <c r="L98" s="52"/>
      <c r="M98" s="21"/>
      <c r="N98" s="21"/>
      <c r="O98" s="21"/>
      <c r="P98" s="195"/>
      <c r="Q98" s="21"/>
      <c r="R98" s="21"/>
      <c r="S98" s="21"/>
      <c r="T98" s="21"/>
      <c r="U98" s="21"/>
      <c r="V98" s="2388"/>
      <c r="W98" s="2388"/>
    </row>
    <row r="99" spans="1:23" ht="15.75" thickTop="1">
      <c r="A99" s="2421"/>
      <c r="B99" s="2404" t="s">
        <v>578</v>
      </c>
      <c r="C99" s="2405"/>
      <c r="D99" s="2405"/>
      <c r="E99" s="2405"/>
      <c r="F99" s="2405"/>
      <c r="G99" s="2423"/>
      <c r="H99" s="2388"/>
      <c r="I99" s="2388"/>
      <c r="J99" s="2388"/>
      <c r="K99" s="2388"/>
      <c r="L99" s="2478"/>
      <c r="M99" s="2388"/>
      <c r="N99" s="2388"/>
      <c r="O99" s="2388"/>
      <c r="P99" s="3187"/>
      <c r="Q99" s="2388"/>
      <c r="R99" s="2388"/>
      <c r="S99" s="2388"/>
      <c r="T99" s="2388"/>
      <c r="U99" s="2388"/>
      <c r="V99" s="2388"/>
      <c r="W99" s="2388"/>
    </row>
    <row r="100" spans="1:23" ht="15.75" thickBot="1">
      <c r="A100" s="2421"/>
      <c r="B100" s="2404" t="s">
        <v>579</v>
      </c>
      <c r="C100" s="2405"/>
      <c r="D100" s="2405"/>
      <c r="E100" s="2405"/>
      <c r="F100" s="2405"/>
      <c r="G100" s="2423"/>
      <c r="H100" s="2388"/>
      <c r="I100" s="2388"/>
      <c r="J100" s="2388"/>
      <c r="K100" s="2388"/>
      <c r="L100" s="2478"/>
      <c r="M100" s="2388"/>
      <c r="N100" s="2388"/>
      <c r="O100" s="2388"/>
      <c r="P100" s="3187"/>
      <c r="Q100" s="2388"/>
      <c r="R100" s="2388"/>
      <c r="S100" s="2388"/>
      <c r="T100" s="2388"/>
      <c r="U100" s="2388"/>
      <c r="V100" s="418"/>
      <c r="W100" s="418"/>
    </row>
    <row r="101" spans="1:23" ht="16.5" thickTop="1" thickBot="1">
      <c r="A101" s="2421"/>
      <c r="B101" s="2404" t="s">
        <v>580</v>
      </c>
      <c r="C101" s="2405"/>
      <c r="D101" s="2405"/>
      <c r="E101" s="2405"/>
      <c r="F101" s="2405"/>
      <c r="G101" s="2423"/>
      <c r="H101" s="2388"/>
      <c r="I101" s="2388"/>
      <c r="J101" s="2388"/>
      <c r="K101" s="2388"/>
      <c r="L101" s="2478"/>
      <c r="M101" s="2388"/>
      <c r="N101" s="2388"/>
      <c r="O101" s="2388"/>
      <c r="P101" s="3187"/>
      <c r="Q101" s="2388"/>
      <c r="R101" s="2388"/>
      <c r="S101" s="2388"/>
      <c r="T101" s="2388"/>
      <c r="U101" s="2388"/>
      <c r="V101" s="21"/>
      <c r="W101" s="21"/>
    </row>
    <row r="102" spans="1:23" ht="15.75" thickTop="1">
      <c r="A102" s="2421"/>
      <c r="B102" s="2404" t="s">
        <v>581</v>
      </c>
      <c r="C102" s="2405"/>
      <c r="D102" s="2405"/>
      <c r="E102" s="2405"/>
      <c r="F102" s="2405"/>
      <c r="G102" s="2423"/>
      <c r="H102" s="2388"/>
      <c r="I102" s="2388"/>
      <c r="J102" s="2388"/>
      <c r="K102" s="2388"/>
      <c r="L102" s="2478"/>
      <c r="M102" s="2388"/>
      <c r="N102" s="2388"/>
      <c r="O102" s="2388"/>
      <c r="P102" s="3187"/>
      <c r="Q102" s="2388"/>
      <c r="R102" s="2388"/>
      <c r="S102" s="2388"/>
      <c r="T102" s="2388"/>
      <c r="U102" s="2388"/>
      <c r="V102" s="3192"/>
      <c r="W102" s="3192"/>
    </row>
    <row r="103" spans="1:23" ht="15.75" thickBot="1">
      <c r="A103" s="416"/>
      <c r="B103" s="295"/>
      <c r="C103" s="184"/>
      <c r="D103" s="184"/>
      <c r="E103" s="184"/>
      <c r="F103" s="184"/>
      <c r="G103" s="296"/>
      <c r="H103" s="418"/>
      <c r="I103" s="418"/>
      <c r="J103" s="418"/>
      <c r="K103" s="418"/>
      <c r="L103" s="53"/>
      <c r="M103" s="418"/>
      <c r="N103" s="418"/>
      <c r="O103" s="418"/>
      <c r="P103" s="429"/>
      <c r="Q103" s="418"/>
      <c r="R103" s="418"/>
      <c r="S103" s="418"/>
      <c r="T103" s="418"/>
      <c r="U103" s="418"/>
      <c r="V103" s="2390"/>
      <c r="W103" s="2390"/>
    </row>
    <row r="104" spans="1:23" ht="16.5" thickTop="1" thickBot="1">
      <c r="A104" s="7" t="s">
        <v>582</v>
      </c>
      <c r="B104" s="8"/>
      <c r="C104" s="12"/>
      <c r="D104" s="12"/>
      <c r="E104" s="12"/>
      <c r="F104" s="12"/>
      <c r="G104" s="13"/>
      <c r="H104" s="21"/>
      <c r="I104" s="21"/>
      <c r="J104" s="21"/>
      <c r="K104" s="21"/>
      <c r="L104" s="52"/>
      <c r="M104" s="21"/>
      <c r="N104" s="21"/>
      <c r="O104" s="21"/>
      <c r="P104" s="195"/>
      <c r="Q104" s="21"/>
      <c r="R104" s="21"/>
      <c r="S104" s="21"/>
      <c r="T104" s="21"/>
      <c r="U104" s="21"/>
      <c r="V104" s="2395"/>
      <c r="W104" s="2395"/>
    </row>
    <row r="105" spans="1:23" ht="15.75" thickTop="1">
      <c r="A105" s="3180"/>
      <c r="B105" s="3193" t="s">
        <v>583</v>
      </c>
      <c r="C105" s="3181"/>
      <c r="D105" s="3181"/>
      <c r="E105" s="3181"/>
      <c r="F105" s="3181"/>
      <c r="G105" s="3182"/>
      <c r="H105" s="3192"/>
      <c r="I105" s="3192"/>
      <c r="J105" s="3192"/>
      <c r="K105" s="3192"/>
      <c r="L105" s="3048"/>
      <c r="M105" s="3192"/>
      <c r="N105" s="3192"/>
      <c r="O105" s="3192"/>
      <c r="P105" s="3194"/>
      <c r="Q105" s="3192"/>
      <c r="R105" s="3192"/>
      <c r="S105" s="3192"/>
      <c r="T105" s="3192"/>
      <c r="U105" s="3192"/>
    </row>
    <row r="106" spans="1:23">
      <c r="A106" s="2421"/>
      <c r="B106" s="2404" t="s">
        <v>584</v>
      </c>
      <c r="C106" s="2405"/>
      <c r="D106" s="2405"/>
      <c r="E106" s="2405"/>
      <c r="F106" s="2405"/>
      <c r="G106" s="2423"/>
      <c r="H106" s="2390"/>
      <c r="I106" s="2390"/>
      <c r="J106" s="2390"/>
      <c r="K106" s="2390"/>
      <c r="L106" s="2481"/>
      <c r="M106" s="2390"/>
      <c r="N106" s="2390"/>
      <c r="O106" s="2390"/>
      <c r="P106" s="2396"/>
      <c r="Q106" s="2390"/>
      <c r="R106" s="2390"/>
      <c r="S106" s="2390"/>
      <c r="T106" s="2390"/>
      <c r="U106" s="2390"/>
    </row>
    <row r="107" spans="1:23" ht="15.75" thickBot="1">
      <c r="A107" s="2391"/>
      <c r="B107" s="2392" t="s">
        <v>585</v>
      </c>
      <c r="C107" s="2393"/>
      <c r="D107" s="2393"/>
      <c r="E107" s="2393"/>
      <c r="F107" s="2393"/>
      <c r="G107" s="2394"/>
      <c r="H107" s="2395"/>
      <c r="I107" s="2395"/>
      <c r="J107" s="2395"/>
      <c r="K107" s="2395"/>
      <c r="L107" s="2482"/>
      <c r="M107" s="2395"/>
      <c r="N107" s="2395"/>
      <c r="O107" s="2395"/>
      <c r="P107" s="3195"/>
      <c r="Q107" s="2395"/>
      <c r="R107" s="2395"/>
      <c r="S107" s="2395"/>
      <c r="T107" s="2395"/>
      <c r="U107" s="2395"/>
    </row>
    <row r="108" spans="1:23" ht="16.5" thickTop="1" thickBot="1"/>
    <row r="109" spans="1:23" ht="16.5" thickTop="1" thickBot="1">
      <c r="A109" s="92" t="s">
        <v>586</v>
      </c>
      <c r="B109" s="94"/>
    </row>
    <row r="110" spans="1:23" ht="15.75" thickTop="1">
      <c r="A110" s="93" t="s">
        <v>487</v>
      </c>
      <c r="B110" s="2396"/>
    </row>
    <row r="111" spans="1:23">
      <c r="A111" s="2397" t="s">
        <v>491</v>
      </c>
      <c r="B111" s="2396"/>
    </row>
    <row r="112" spans="1:23">
      <c r="A112" s="2398" t="s">
        <v>494</v>
      </c>
      <c r="B112" s="2399"/>
    </row>
    <row r="113" spans="1:2">
      <c r="A113" s="2398" t="s">
        <v>497</v>
      </c>
      <c r="B113" s="2400"/>
    </row>
    <row r="114" spans="1:2" ht="15.75" thickBot="1">
      <c r="A114" s="2401" t="s">
        <v>587</v>
      </c>
      <c r="B114" s="2402">
        <f>H8</f>
        <v>1559000</v>
      </c>
    </row>
    <row r="115" spans="1:2" ht="15.75" thickTop="1"/>
    <row r="116" spans="1:2">
      <c r="A116" s="95"/>
      <c r="B116" s="1" t="s">
        <v>588</v>
      </c>
    </row>
    <row r="117" spans="1:2">
      <c r="A117" s="96"/>
      <c r="B117" s="1" t="s">
        <v>589</v>
      </c>
    </row>
  </sheetData>
  <mergeCells count="70">
    <mergeCell ref="H7:I7"/>
    <mergeCell ref="H8:I8"/>
    <mergeCell ref="H2:I2"/>
    <mergeCell ref="H3:I3"/>
    <mergeCell ref="H4:I4"/>
    <mergeCell ref="H5:I5"/>
    <mergeCell ref="H6:I6"/>
    <mergeCell ref="T8:U8"/>
    <mergeCell ref="T2:U2"/>
    <mergeCell ref="T3:U3"/>
    <mergeCell ref="T4:U4"/>
    <mergeCell ref="T5:U5"/>
    <mergeCell ref="T6:U6"/>
    <mergeCell ref="T7:U7"/>
    <mergeCell ref="R4:S4"/>
    <mergeCell ref="R5:S5"/>
    <mergeCell ref="R6:S6"/>
    <mergeCell ref="R7:S7"/>
    <mergeCell ref="R8:S8"/>
    <mergeCell ref="P4:Q4"/>
    <mergeCell ref="P5:Q5"/>
    <mergeCell ref="P6:Q6"/>
    <mergeCell ref="P7:Q7"/>
    <mergeCell ref="N8:O8"/>
    <mergeCell ref="N4:O4"/>
    <mergeCell ref="N5:O5"/>
    <mergeCell ref="N6:O6"/>
    <mergeCell ref="N7:O7"/>
    <mergeCell ref="J4:K4"/>
    <mergeCell ref="J5:K5"/>
    <mergeCell ref="J6:K6"/>
    <mergeCell ref="J7:K7"/>
    <mergeCell ref="J8:K8"/>
    <mergeCell ref="J3:K3"/>
    <mergeCell ref="N3:O3"/>
    <mergeCell ref="L2:M2"/>
    <mergeCell ref="V2:W2"/>
    <mergeCell ref="P2:Q2"/>
    <mergeCell ref="J2:K2"/>
    <mergeCell ref="N2:O2"/>
    <mergeCell ref="R3:S3"/>
    <mergeCell ref="X8:Y8"/>
    <mergeCell ref="R2:S2"/>
    <mergeCell ref="L3:M3"/>
    <mergeCell ref="V3:W3"/>
    <mergeCell ref="P3:Q3"/>
    <mergeCell ref="L8:M8"/>
    <mergeCell ref="V4:W4"/>
    <mergeCell ref="V5:W5"/>
    <mergeCell ref="V6:W6"/>
    <mergeCell ref="V7:W7"/>
    <mergeCell ref="V8:W8"/>
    <mergeCell ref="L4:M4"/>
    <mergeCell ref="L5:M5"/>
    <mergeCell ref="L6:M6"/>
    <mergeCell ref="L7:M7"/>
    <mergeCell ref="P8:Q8"/>
    <mergeCell ref="Z4:AA4"/>
    <mergeCell ref="Z5:AA5"/>
    <mergeCell ref="Z6:AA6"/>
    <mergeCell ref="Z7:AA7"/>
    <mergeCell ref="X4:Y4"/>
    <mergeCell ref="X5:Y5"/>
    <mergeCell ref="X6:Y6"/>
    <mergeCell ref="X7:Y7"/>
    <mergeCell ref="A82:B82"/>
    <mergeCell ref="A86:B86"/>
    <mergeCell ref="A90:B90"/>
    <mergeCell ref="A94:B94"/>
    <mergeCell ref="A98:B98"/>
  </mergeCells>
  <conditionalFormatting sqref="H20:H30">
    <cfRule type="cellIs" dxfId="263" priority="1" operator="equal">
      <formula>"X"</formula>
    </cfRule>
    <cfRule type="cellIs" dxfId="262" priority="2" operator="equal">
      <formula>"I"</formula>
    </cfRule>
  </conditionalFormatting>
  <conditionalFormatting sqref="H32:H73">
    <cfRule type="cellIs" dxfId="261" priority="3" operator="equal">
      <formula>"X"</formula>
    </cfRule>
    <cfRule type="cellIs" dxfId="260" priority="4" operator="equal">
      <formula>"I"</formula>
    </cfRule>
  </conditionalFormatting>
  <conditionalFormatting sqref="J20:J30">
    <cfRule type="cellIs" dxfId="259" priority="15" operator="equal">
      <formula>"X"</formula>
    </cfRule>
    <cfRule type="cellIs" dxfId="258" priority="16" operator="equal">
      <formula>"I"</formula>
    </cfRule>
  </conditionalFormatting>
  <conditionalFormatting sqref="J32:J73 L32:L73 N32:N73 P32:P73 R32:R73">
    <cfRule type="cellIs" dxfId="257" priority="17" operator="equal">
      <formula>"X"</formula>
    </cfRule>
    <cfRule type="cellIs" dxfId="256" priority="18" operator="equal">
      <formula>"I"</formula>
    </cfRule>
  </conditionalFormatting>
  <conditionalFormatting sqref="L20:L30">
    <cfRule type="cellIs" dxfId="255" priority="13" operator="equal">
      <formula>"X"</formula>
    </cfRule>
    <cfRule type="cellIs" dxfId="254" priority="14" operator="equal">
      <formula>"I"</formula>
    </cfRule>
  </conditionalFormatting>
  <conditionalFormatting sqref="N20:N30">
    <cfRule type="cellIs" dxfId="253" priority="11" operator="equal">
      <formula>"X"</formula>
    </cfRule>
    <cfRule type="cellIs" dxfId="252" priority="12" operator="equal">
      <formula>"I"</formula>
    </cfRule>
  </conditionalFormatting>
  <conditionalFormatting sqref="P20:P30">
    <cfRule type="cellIs" dxfId="251" priority="9" operator="equal">
      <formula>"X"</formula>
    </cfRule>
    <cfRule type="cellIs" dxfId="250" priority="10" operator="equal">
      <formula>"I"</formula>
    </cfRule>
  </conditionalFormatting>
  <conditionalFormatting sqref="R20:R30">
    <cfRule type="cellIs" dxfId="249" priority="7" operator="equal">
      <formula>"X"</formula>
    </cfRule>
    <cfRule type="cellIs" dxfId="248" priority="8" operator="equal">
      <formula>"I"</formula>
    </cfRule>
  </conditionalFormatting>
  <hyperlinks>
    <hyperlink ref="T7" r:id="rId1" xr:uid="{E318A2A2-8A3C-4401-A933-82A0079F6CBD}"/>
    <hyperlink ref="V7" r:id="rId2" display="mailto:gschmidt.sms@gmail.com" xr:uid="{5763B4C8-97A4-4A59-BCE2-E1050331D868}"/>
    <hyperlink ref="X7" r:id="rId3" xr:uid="{40986CA0-0865-4A06-9248-1F5FA9BA2156}"/>
    <hyperlink ref="Z7" r:id="rId4" display="mailto:info@mastermechanicalservices.com" xr:uid="{4B2B8E40-AC0A-4C08-B147-F2F050BF06D0}"/>
    <hyperlink ref="B3" location="'Cost Summary'!A1" display="BACK TO SUMMARY SHEET" xr:uid="{E4DB86A9-F814-42BE-B9C7-10010718EB0B}"/>
    <hyperlink ref="H7:I7" r:id="rId5" display="rgliniewicz@everestmech.com" xr:uid="{2DC90740-CF8A-4108-BDEA-E9FF13137EB9}"/>
  </hyperlinks>
  <pageMargins left="0.7" right="0.7" top="0.75" bottom="0.75" header="0.3" footer="0.3"/>
  <pageSetup paperSize="3" scale="46" orientation="portrait" horizontalDpi="1200" verticalDpi="1200" r:id="rId6"/>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817-CF9C-4828-ABD2-1020E0A36F75}">
  <sheetPr>
    <tabColor rgb="FF92D050"/>
    <pageSetUpPr fitToPage="1"/>
  </sheetPr>
  <dimension ref="A1:Q129"/>
  <sheetViews>
    <sheetView zoomScale="96" zoomScaleNormal="96" workbookViewId="0">
      <pane xSplit="2" ySplit="9" topLeftCell="C60" activePane="bottomRight" state="frozen"/>
      <selection pane="bottomRight" activeCell="B3" sqref="B3"/>
      <selection pane="bottomLeft" sqref="A1:B1"/>
      <selection pane="topRight" sqref="A1:B1"/>
    </sheetView>
  </sheetViews>
  <sheetFormatPr defaultRowHeight="15"/>
  <cols>
    <col min="1" max="1" width="11" customWidth="1"/>
    <col min="2" max="2" width="80.5703125" style="1" customWidth="1"/>
    <col min="3" max="3" width="13.85546875" style="2" customWidth="1"/>
    <col min="4" max="4" width="11.42578125" style="2" customWidth="1"/>
    <col min="5" max="5" width="7.5703125" style="2" customWidth="1"/>
    <col min="6" max="6" width="11.42578125" style="2" customWidth="1"/>
    <col min="7" max="7" width="13.28515625" style="2" bestFit="1" customWidth="1"/>
    <col min="8" max="8" width="7.42578125" style="2" customWidth="1"/>
    <col min="9" max="9" width="14.85546875" style="2" customWidth="1"/>
    <col min="10" max="10" width="7.42578125" style="2" bestFit="1" customWidth="1"/>
    <col min="11" max="11" width="14.85546875" style="2" customWidth="1"/>
    <col min="12" max="12" width="7.42578125" style="2" customWidth="1"/>
    <col min="13" max="13" width="16.7109375" style="2" customWidth="1"/>
    <col min="14" max="14" width="7.42578125" style="2" customWidth="1"/>
    <col min="15" max="15" width="14.85546875" style="2" customWidth="1"/>
    <col min="16" max="16" width="7.42578125" style="2" customWidth="1"/>
    <col min="17" max="17" width="14.85546875" style="2" customWidth="1"/>
  </cols>
  <sheetData>
    <row r="1" spans="1:17">
      <c r="E1" s="175"/>
      <c r="F1" s="149"/>
      <c r="G1" s="147" t="s">
        <v>474</v>
      </c>
    </row>
    <row r="2" spans="1:17" ht="15.75" thickBot="1">
      <c r="E2" s="175"/>
      <c r="F2" s="146" t="s">
        <v>475</v>
      </c>
      <c r="G2" s="147" t="s">
        <v>476</v>
      </c>
      <c r="H2" s="732"/>
      <c r="I2" s="732"/>
      <c r="J2" s="787"/>
      <c r="K2" s="732"/>
      <c r="L2" s="788"/>
      <c r="M2" s="773"/>
      <c r="N2" s="732"/>
      <c r="O2" s="732"/>
      <c r="P2" s="732"/>
      <c r="Q2" s="732"/>
    </row>
    <row r="3" spans="1:17" ht="21.75" thickTop="1" thickBot="1">
      <c r="B3" s="161" t="s">
        <v>477</v>
      </c>
      <c r="F3" s="148" t="s">
        <v>478</v>
      </c>
      <c r="G3" s="147" t="s">
        <v>479</v>
      </c>
      <c r="H3" s="730" t="s">
        <v>745</v>
      </c>
      <c r="I3" s="731"/>
      <c r="J3" s="730" t="s">
        <v>481</v>
      </c>
      <c r="K3" s="731"/>
      <c r="L3" s="789" t="s">
        <v>482</v>
      </c>
      <c r="M3" s="790"/>
      <c r="N3" s="730" t="s">
        <v>727</v>
      </c>
      <c r="O3" s="731"/>
      <c r="P3" s="730" t="s">
        <v>728</v>
      </c>
      <c r="Q3" s="731"/>
    </row>
    <row r="4" spans="1:17" ht="15.75" thickTop="1">
      <c r="A4" s="3" t="s">
        <v>486</v>
      </c>
      <c r="B4" s="4" t="str">
        <f>'Area Calculations'!B4</f>
        <v>The Club at Ibis Conceptual Estimate</v>
      </c>
      <c r="C4" s="5"/>
      <c r="D4" s="5"/>
      <c r="E4" s="5"/>
      <c r="F4" s="5"/>
      <c r="G4" s="6" t="s">
        <v>487</v>
      </c>
      <c r="H4" s="728" t="s">
        <v>1283</v>
      </c>
      <c r="I4" s="729"/>
      <c r="J4" s="728"/>
      <c r="K4" s="729"/>
      <c r="L4" s="728"/>
      <c r="M4" s="729"/>
      <c r="N4" s="728"/>
      <c r="O4" s="729"/>
      <c r="P4" s="728"/>
      <c r="Q4" s="729"/>
    </row>
    <row r="5" spans="1:17">
      <c r="A5" s="2403" t="s">
        <v>489</v>
      </c>
      <c r="B5" s="2404" t="s">
        <v>1284</v>
      </c>
      <c r="C5" s="2405"/>
      <c r="D5" s="2405"/>
      <c r="E5" s="2405"/>
      <c r="F5" s="2405"/>
      <c r="G5" s="2406" t="s">
        <v>491</v>
      </c>
      <c r="H5" s="2407" t="s">
        <v>1285</v>
      </c>
      <c r="I5" s="2408"/>
      <c r="J5" s="2407"/>
      <c r="K5" s="2408"/>
      <c r="L5" s="2407"/>
      <c r="M5" s="2408"/>
      <c r="N5" s="2407"/>
      <c r="O5" s="2408"/>
      <c r="P5" s="2407"/>
      <c r="Q5" s="2408"/>
    </row>
    <row r="6" spans="1:17">
      <c r="A6" s="2403" t="s">
        <v>493</v>
      </c>
      <c r="B6" s="2410" t="s">
        <v>219</v>
      </c>
      <c r="C6" s="2405"/>
      <c r="D6" s="2405"/>
      <c r="E6" s="2405"/>
      <c r="F6" s="2405"/>
      <c r="G6" s="2406" t="s">
        <v>494</v>
      </c>
      <c r="H6" s="2411" t="s">
        <v>1286</v>
      </c>
      <c r="I6" s="2412"/>
      <c r="J6" s="2411"/>
      <c r="K6" s="2412"/>
      <c r="L6" s="3196"/>
      <c r="M6" s="2412"/>
      <c r="N6" s="2411"/>
      <c r="O6" s="2412"/>
      <c r="P6" s="2411"/>
      <c r="Q6" s="2412"/>
    </row>
    <row r="7" spans="1:17">
      <c r="A7" s="2403" t="s">
        <v>496</v>
      </c>
      <c r="B7" s="2414"/>
      <c r="C7" s="2405"/>
      <c r="D7" s="2405"/>
      <c r="E7" s="2405"/>
      <c r="F7" s="2405"/>
      <c r="G7" s="2406" t="s">
        <v>497</v>
      </c>
      <c r="H7" s="2415" t="s">
        <v>1287</v>
      </c>
      <c r="I7" s="2416"/>
      <c r="J7" s="2943"/>
      <c r="K7" s="2944"/>
      <c r="L7" s="2415"/>
      <c r="M7" s="2416"/>
      <c r="N7" s="2415"/>
      <c r="O7" s="2416"/>
      <c r="P7" s="2415"/>
      <c r="Q7" s="2416"/>
    </row>
    <row r="8" spans="1:17" ht="15.75" thickBot="1">
      <c r="A8" s="414" t="s">
        <v>499</v>
      </c>
      <c r="B8" s="295"/>
      <c r="C8" s="184"/>
      <c r="D8" s="184"/>
      <c r="E8" s="184"/>
      <c r="F8" s="184"/>
      <c r="G8" s="419" t="s">
        <v>499</v>
      </c>
      <c r="H8" s="2970">
        <f>I90</f>
        <v>1685779.62</v>
      </c>
      <c r="I8" s="2971"/>
      <c r="J8" s="2970">
        <f>K90</f>
        <v>0</v>
      </c>
      <c r="K8" s="2971"/>
      <c r="L8" s="2970">
        <f>M90</f>
        <v>0</v>
      </c>
      <c r="M8" s="2971"/>
      <c r="N8" s="2970">
        <f>O90</f>
        <v>0</v>
      </c>
      <c r="O8" s="2971"/>
      <c r="P8" s="2970">
        <f>Q90</f>
        <v>0</v>
      </c>
      <c r="Q8" s="2971"/>
    </row>
    <row r="9" spans="1:17"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row>
    <row r="10" spans="1:17" ht="15.75" hidden="1" thickTop="1">
      <c r="A10" s="2421"/>
      <c r="B10" s="3197" t="s">
        <v>508</v>
      </c>
      <c r="C10" s="2405"/>
      <c r="D10" s="2405"/>
      <c r="E10" s="2405"/>
      <c r="F10" s="2405"/>
      <c r="G10" s="2423"/>
      <c r="H10" s="2424"/>
      <c r="I10" s="2424"/>
      <c r="J10" s="2424"/>
      <c r="K10" s="2424"/>
      <c r="L10" s="2424"/>
      <c r="M10" s="2424"/>
      <c r="N10" s="2424"/>
      <c r="O10" s="2424"/>
      <c r="P10" s="2424"/>
      <c r="Q10" s="2424"/>
    </row>
    <row r="11" spans="1:17"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row>
    <row r="12" spans="1:17"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row>
    <row r="13" spans="1:17"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row>
    <row r="14" spans="1:17" ht="15" hidden="1" customHeight="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row>
    <row r="15" spans="1:17"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row>
    <row r="16" spans="1:17"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row>
    <row r="17" spans="1:17"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row>
    <row r="18" spans="1:17"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row>
    <row r="19" spans="1:17" ht="15" hidden="1" customHeight="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row>
    <row r="20" spans="1:17" ht="15" hidden="1" customHeight="1">
      <c r="A20" s="2421"/>
      <c r="B20" s="2404"/>
      <c r="C20" s="2426"/>
      <c r="D20" s="2405"/>
      <c r="E20" s="2405"/>
      <c r="F20" s="2405"/>
      <c r="G20" s="2423"/>
      <c r="H20" s="2424"/>
      <c r="I20" s="2424"/>
      <c r="J20" s="2424"/>
      <c r="K20" s="2424"/>
      <c r="L20" s="2424"/>
      <c r="M20" s="2424"/>
      <c r="N20" s="2424"/>
      <c r="O20" s="2424"/>
      <c r="P20" s="2424"/>
      <c r="Q20" s="2424"/>
    </row>
    <row r="21" spans="1:17" ht="15" hidden="1" customHeight="1">
      <c r="A21" s="2421"/>
      <c r="B21" s="2404"/>
      <c r="C21" s="2426"/>
      <c r="D21" s="2405"/>
      <c r="E21" s="2405"/>
      <c r="F21" s="2405"/>
      <c r="G21" s="2423"/>
      <c r="H21" s="2427"/>
      <c r="I21" s="2424"/>
      <c r="J21" s="2427"/>
      <c r="K21" s="2424"/>
      <c r="L21" s="2427"/>
      <c r="M21" s="2424"/>
      <c r="N21" s="2427"/>
      <c r="O21" s="2424"/>
      <c r="P21" s="2427"/>
      <c r="Q21" s="2424"/>
    </row>
    <row r="22" spans="1:17" ht="15" customHeight="1" thickTop="1" thickBot="1">
      <c r="A22" s="2421"/>
      <c r="B22" s="2428" t="s">
        <v>1284</v>
      </c>
      <c r="C22" s="2426"/>
      <c r="D22" s="2405"/>
      <c r="E22" s="2405"/>
      <c r="F22" s="2405"/>
      <c r="G22" s="2423"/>
      <c r="H22" s="2427"/>
      <c r="I22" s="2424"/>
      <c r="J22" s="2427"/>
      <c r="K22" s="2424"/>
      <c r="L22" s="2427"/>
      <c r="M22" s="2424"/>
      <c r="N22" s="2427"/>
      <c r="O22" s="2424"/>
      <c r="P22" s="2427"/>
      <c r="Q22" s="2424"/>
    </row>
    <row r="23" spans="1:17">
      <c r="A23" s="3168"/>
      <c r="B23" s="2318" t="s">
        <v>512</v>
      </c>
      <c r="C23" s="2426"/>
      <c r="D23" s="2405"/>
      <c r="E23" s="2405"/>
      <c r="F23" s="2405"/>
      <c r="G23" s="2423"/>
      <c r="H23" s="2427"/>
      <c r="I23" s="3167"/>
      <c r="J23" s="2427"/>
      <c r="K23" s="3167"/>
      <c r="L23" s="2427"/>
      <c r="M23" s="3167"/>
      <c r="N23" s="2427"/>
      <c r="O23" s="3167"/>
      <c r="P23" s="2427"/>
      <c r="Q23" s="3167"/>
    </row>
    <row r="24" spans="1:17">
      <c r="A24" s="3168"/>
      <c r="B24" s="3198" t="s">
        <v>513</v>
      </c>
      <c r="C24" s="2426"/>
      <c r="D24" s="2405"/>
      <c r="E24" s="2405"/>
      <c r="F24" s="2405"/>
      <c r="G24" s="2423"/>
      <c r="H24" s="2427"/>
      <c r="I24" s="3199"/>
      <c r="J24" s="2427"/>
      <c r="K24" s="3199"/>
      <c r="L24" s="2427"/>
      <c r="M24" s="3199"/>
      <c r="N24" s="2427"/>
      <c r="O24" s="3199"/>
      <c r="P24" s="2427"/>
      <c r="Q24" s="3199"/>
    </row>
    <row r="25" spans="1:17">
      <c r="A25" s="3168"/>
      <c r="B25" s="3198" t="s">
        <v>514</v>
      </c>
      <c r="C25" s="2426"/>
      <c r="D25" s="2405"/>
      <c r="E25" s="2405"/>
      <c r="F25" s="2405"/>
      <c r="G25" s="2423"/>
      <c r="H25" s="2427"/>
      <c r="I25" s="3199"/>
      <c r="J25" s="2427"/>
      <c r="K25" s="3199"/>
      <c r="L25" s="2427"/>
      <c r="M25" s="3199"/>
      <c r="N25" s="2427"/>
      <c r="O25" s="3199"/>
      <c r="P25" s="2427"/>
      <c r="Q25" s="3199"/>
    </row>
    <row r="26" spans="1:17">
      <c r="A26" s="3168"/>
      <c r="B26" s="3200" t="s">
        <v>515</v>
      </c>
      <c r="C26" s="2426"/>
      <c r="D26" s="2405"/>
      <c r="E26" s="2405"/>
      <c r="F26" s="2405"/>
      <c r="G26" s="2423"/>
      <c r="H26" s="2427"/>
      <c r="I26" s="3199"/>
      <c r="J26" s="2427"/>
      <c r="K26" s="3199"/>
      <c r="L26" s="2427"/>
      <c r="M26" s="3199"/>
      <c r="N26" s="2427"/>
      <c r="O26" s="3199"/>
      <c r="P26" s="2427"/>
      <c r="Q26" s="3199"/>
    </row>
    <row r="27" spans="1:17">
      <c r="A27" s="3168"/>
      <c r="B27" s="3200" t="s">
        <v>516</v>
      </c>
      <c r="C27" s="2426"/>
      <c r="D27" s="2405"/>
      <c r="E27" s="2405"/>
      <c r="F27" s="2405"/>
      <c r="G27" s="2423"/>
      <c r="H27" s="2427"/>
      <c r="I27" s="3199"/>
      <c r="J27" s="2427"/>
      <c r="K27" s="3199"/>
      <c r="L27" s="2427"/>
      <c r="M27" s="3199"/>
      <c r="N27" s="2427"/>
      <c r="O27" s="3199"/>
      <c r="P27" s="2427"/>
      <c r="Q27" s="3199"/>
    </row>
    <row r="28" spans="1:17">
      <c r="A28" s="3168"/>
      <c r="B28" s="3200" t="s">
        <v>517</v>
      </c>
      <c r="C28" s="2426"/>
      <c r="D28" s="2405"/>
      <c r="E28" s="2405"/>
      <c r="F28" s="2405"/>
      <c r="G28" s="2423"/>
      <c r="H28" s="2427"/>
      <c r="I28" s="3199"/>
      <c r="J28" s="2427"/>
      <c r="K28" s="3199"/>
      <c r="L28" s="2427"/>
      <c r="M28" s="3199"/>
      <c r="N28" s="2427"/>
      <c r="O28" s="3199"/>
      <c r="P28" s="2427"/>
      <c r="Q28" s="3199"/>
    </row>
    <row r="29" spans="1:17">
      <c r="A29" s="3168"/>
      <c r="B29" s="3200" t="s">
        <v>518</v>
      </c>
      <c r="C29" s="2426"/>
      <c r="D29" s="2405"/>
      <c r="E29" s="2405"/>
      <c r="F29" s="2405"/>
      <c r="G29" s="2423"/>
      <c r="H29" s="2427"/>
      <c r="I29" s="3199"/>
      <c r="J29" s="2427"/>
      <c r="K29" s="3199"/>
      <c r="L29" s="2427"/>
      <c r="M29" s="3199"/>
      <c r="N29" s="2427"/>
      <c r="O29" s="3199"/>
      <c r="P29" s="2427"/>
      <c r="Q29" s="3199"/>
    </row>
    <row r="30" spans="1:17">
      <c r="A30" s="3168"/>
      <c r="B30" s="3200" t="s">
        <v>693</v>
      </c>
      <c r="C30" s="2426"/>
      <c r="D30" s="2405"/>
      <c r="E30" s="2405"/>
      <c r="F30" s="2405"/>
      <c r="G30" s="2423"/>
      <c r="H30" s="2427"/>
      <c r="I30" s="3199"/>
      <c r="J30" s="2427"/>
      <c r="K30" s="3199"/>
      <c r="L30" s="2427"/>
      <c r="M30" s="3199"/>
      <c r="N30" s="2427"/>
      <c r="O30" s="3199"/>
      <c r="P30" s="2427"/>
      <c r="Q30" s="3199"/>
    </row>
    <row r="31" spans="1:17">
      <c r="A31" s="3168"/>
      <c r="B31" s="3201" t="s">
        <v>519</v>
      </c>
      <c r="C31" s="2426"/>
      <c r="D31" s="2405"/>
      <c r="E31" s="2405"/>
      <c r="F31" s="2405"/>
      <c r="G31" s="2423"/>
      <c r="H31" s="2427"/>
      <c r="I31" s="3199"/>
      <c r="J31" s="2427"/>
      <c r="K31" s="3199"/>
      <c r="L31" s="2427"/>
      <c r="M31" s="3199"/>
      <c r="N31" s="2427"/>
      <c r="O31" s="3199"/>
      <c r="P31" s="2427"/>
      <c r="Q31" s="3199"/>
    </row>
    <row r="32" spans="1:17">
      <c r="A32" s="3168"/>
      <c r="B32" s="3202" t="s">
        <v>520</v>
      </c>
      <c r="C32" s="2979"/>
      <c r="D32" s="2980"/>
      <c r="E32" s="2980"/>
      <c r="F32" s="2980"/>
      <c r="G32" s="3079"/>
      <c r="H32" s="3203"/>
      <c r="I32" s="3204"/>
      <c r="J32" s="3205"/>
      <c r="K32" s="3204"/>
      <c r="L32" s="3206"/>
      <c r="M32" s="3204"/>
      <c r="N32" s="3205"/>
      <c r="O32" s="3204"/>
      <c r="P32" s="3205"/>
      <c r="Q32" s="3204"/>
    </row>
    <row r="33" spans="1:17">
      <c r="A33" s="3168"/>
      <c r="B33" s="3207"/>
      <c r="C33" s="2426"/>
      <c r="D33" s="2405"/>
      <c r="E33" s="2405"/>
      <c r="F33" s="2405"/>
      <c r="G33" s="2423"/>
      <c r="H33" s="2427"/>
      <c r="I33" s="3199"/>
      <c r="J33" s="2427"/>
      <c r="K33" s="3199"/>
      <c r="L33" s="2427"/>
      <c r="M33" s="3199"/>
      <c r="N33" s="2427"/>
      <c r="O33" s="3199"/>
      <c r="P33" s="2427"/>
      <c r="Q33" s="3199"/>
    </row>
    <row r="34" spans="1:17" ht="25.5">
      <c r="A34" s="3168"/>
      <c r="B34" s="3207" t="s">
        <v>1288</v>
      </c>
      <c r="C34" s="3072"/>
      <c r="D34" s="2405"/>
      <c r="E34" s="2405"/>
      <c r="F34" s="2405"/>
      <c r="G34" s="2423"/>
      <c r="H34" s="2427" t="s">
        <v>710</v>
      </c>
      <c r="I34" s="3208"/>
      <c r="J34" s="2427"/>
      <c r="K34" s="3208"/>
      <c r="L34" s="2427"/>
      <c r="M34" s="3208"/>
      <c r="N34" s="2427"/>
      <c r="O34" s="3208"/>
      <c r="P34" s="2427"/>
      <c r="Q34" s="3208"/>
    </row>
    <row r="35" spans="1:17">
      <c r="A35" s="3209"/>
      <c r="B35" s="3210" t="s">
        <v>1289</v>
      </c>
      <c r="C35" s="3072"/>
      <c r="D35" s="2405"/>
      <c r="E35" s="2405"/>
      <c r="F35" s="2405"/>
      <c r="G35" s="2423"/>
      <c r="H35" s="2427" t="s">
        <v>710</v>
      </c>
      <c r="I35" s="3211"/>
      <c r="J35" s="2427"/>
      <c r="K35" s="3211"/>
      <c r="L35" s="2427"/>
      <c r="M35" s="3211"/>
      <c r="N35" s="2427"/>
      <c r="O35" s="3211"/>
      <c r="P35" s="2427"/>
      <c r="Q35" s="3211"/>
    </row>
    <row r="36" spans="1:17">
      <c r="A36" s="3212"/>
      <c r="B36" s="3213" t="s">
        <v>1290</v>
      </c>
      <c r="C36" s="3072"/>
      <c r="D36" s="2405"/>
      <c r="E36" s="2405"/>
      <c r="F36" s="2405"/>
      <c r="G36" s="2423"/>
      <c r="H36" s="2427" t="s">
        <v>710</v>
      </c>
      <c r="I36" s="3214"/>
      <c r="J36" s="2427"/>
      <c r="K36" s="3214"/>
      <c r="L36" s="2427"/>
      <c r="M36" s="3214"/>
      <c r="N36" s="2427"/>
      <c r="O36" s="3214"/>
      <c r="P36" s="2427"/>
      <c r="Q36" s="3214"/>
    </row>
    <row r="37" spans="1:17">
      <c r="A37" s="3215"/>
      <c r="B37" s="3216" t="s">
        <v>1291</v>
      </c>
      <c r="C37" s="3072"/>
      <c r="D37" s="2405"/>
      <c r="E37" s="2405"/>
      <c r="F37" s="2405"/>
      <c r="G37" s="2423"/>
      <c r="H37" s="2427" t="s">
        <v>710</v>
      </c>
      <c r="I37" s="3217"/>
      <c r="J37" s="2427"/>
      <c r="K37" s="3217"/>
      <c r="L37" s="2427"/>
      <c r="M37" s="3217"/>
      <c r="N37" s="2427"/>
      <c r="O37" s="3217"/>
      <c r="P37" s="2427"/>
      <c r="Q37" s="3217"/>
    </row>
    <row r="38" spans="1:17">
      <c r="A38" s="3218"/>
      <c r="B38" s="3219" t="s">
        <v>1292</v>
      </c>
      <c r="C38" s="3072"/>
      <c r="D38" s="2405"/>
      <c r="E38" s="2405"/>
      <c r="F38" s="2405"/>
      <c r="G38" s="2423"/>
      <c r="H38" s="2427" t="s">
        <v>710</v>
      </c>
      <c r="I38" s="3220"/>
      <c r="J38" s="2427"/>
      <c r="K38" s="3220"/>
      <c r="L38" s="2427"/>
      <c r="M38" s="3220"/>
      <c r="N38" s="2427"/>
      <c r="O38" s="3220"/>
      <c r="P38" s="2427"/>
      <c r="Q38" s="3220"/>
    </row>
    <row r="39" spans="1:17">
      <c r="A39" s="3221"/>
      <c r="B39" s="3222" t="s">
        <v>1293</v>
      </c>
      <c r="C39" s="3072"/>
      <c r="D39" s="2405"/>
      <c r="E39" s="2405"/>
      <c r="F39" s="2405"/>
      <c r="G39" s="2423"/>
      <c r="H39" s="2427" t="s">
        <v>710</v>
      </c>
      <c r="I39" s="3223"/>
      <c r="J39" s="2427"/>
      <c r="K39" s="3223"/>
      <c r="L39" s="2427"/>
      <c r="M39" s="3223"/>
      <c r="N39" s="2427"/>
      <c r="O39" s="3223"/>
      <c r="P39" s="2427"/>
      <c r="Q39" s="3223"/>
    </row>
    <row r="40" spans="1:17">
      <c r="A40" s="3224"/>
      <c r="B40" s="3225" t="s">
        <v>1294</v>
      </c>
      <c r="C40" s="3072"/>
      <c r="D40" s="2405"/>
      <c r="E40" s="2405"/>
      <c r="F40" s="2405"/>
      <c r="G40" s="2423"/>
      <c r="H40" s="2427" t="s">
        <v>710</v>
      </c>
      <c r="I40" s="3226"/>
      <c r="J40" s="2427"/>
      <c r="K40" s="3226"/>
      <c r="L40" s="2427"/>
      <c r="M40" s="3226"/>
      <c r="N40" s="2427"/>
      <c r="O40" s="3226"/>
      <c r="P40" s="2427"/>
      <c r="Q40" s="3226"/>
    </row>
    <row r="41" spans="1:17">
      <c r="A41" s="3227"/>
      <c r="B41" s="3228" t="s">
        <v>1295</v>
      </c>
      <c r="C41" s="3072"/>
      <c r="D41" s="2405"/>
      <c r="E41" s="2405"/>
      <c r="F41" s="2405"/>
      <c r="G41" s="2423"/>
      <c r="H41" s="2427" t="s">
        <v>710</v>
      </c>
      <c r="I41" s="3229"/>
      <c r="J41" s="2427"/>
      <c r="K41" s="3229"/>
      <c r="L41" s="2427"/>
      <c r="M41" s="3229"/>
      <c r="N41" s="2427"/>
      <c r="O41" s="3229"/>
      <c r="P41" s="2427"/>
      <c r="Q41" s="3229"/>
    </row>
    <row r="42" spans="1:17">
      <c r="A42" s="3230"/>
      <c r="B42" s="3231" t="s">
        <v>1296</v>
      </c>
      <c r="C42" s="3072"/>
      <c r="D42" s="2405"/>
      <c r="E42" s="2405"/>
      <c r="F42" s="2405"/>
      <c r="G42" s="2423"/>
      <c r="H42" s="2427" t="s">
        <v>710</v>
      </c>
      <c r="I42" s="3232"/>
      <c r="J42" s="2427"/>
      <c r="K42" s="3232"/>
      <c r="L42" s="2427"/>
      <c r="M42" s="3232"/>
      <c r="N42" s="2427"/>
      <c r="O42" s="3232"/>
      <c r="P42" s="2427"/>
      <c r="Q42" s="3232"/>
    </row>
    <row r="43" spans="1:17">
      <c r="A43" s="3233"/>
      <c r="B43" s="3234" t="s">
        <v>1297</v>
      </c>
      <c r="C43" s="2426"/>
      <c r="D43" s="2405"/>
      <c r="E43" s="2405"/>
      <c r="F43" s="2405"/>
      <c r="G43" s="2423"/>
      <c r="H43" s="2427" t="s">
        <v>710</v>
      </c>
      <c r="I43" s="3235"/>
      <c r="J43" s="2427"/>
      <c r="K43" s="3235"/>
      <c r="L43" s="2427"/>
      <c r="M43" s="3235"/>
      <c r="N43" s="2427"/>
      <c r="O43" s="3235"/>
      <c r="P43" s="2427"/>
      <c r="Q43" s="3235"/>
    </row>
    <row r="44" spans="1:17">
      <c r="A44" s="3236"/>
      <c r="B44" s="3237" t="s">
        <v>1298</v>
      </c>
      <c r="C44" s="2426"/>
      <c r="D44" s="2405"/>
      <c r="E44" s="2405"/>
      <c r="F44" s="2405"/>
      <c r="G44" s="2423"/>
      <c r="H44" s="2427" t="s">
        <v>709</v>
      </c>
      <c r="I44" s="3238"/>
      <c r="J44" s="2427"/>
      <c r="K44" s="3238"/>
      <c r="L44" s="2427"/>
      <c r="M44" s="3238"/>
      <c r="N44" s="2427"/>
      <c r="O44" s="3238"/>
      <c r="P44" s="2427"/>
      <c r="Q44" s="3238"/>
    </row>
    <row r="45" spans="1:17">
      <c r="A45" s="3239"/>
      <c r="B45" s="3240" t="s">
        <v>1299</v>
      </c>
      <c r="C45" s="2426"/>
      <c r="D45" s="2405"/>
      <c r="E45" s="2405"/>
      <c r="F45" s="2405"/>
      <c r="G45" s="2423"/>
      <c r="H45" s="2427" t="s">
        <v>710</v>
      </c>
      <c r="I45" s="3241"/>
      <c r="J45" s="2427"/>
      <c r="K45" s="3241"/>
      <c r="L45" s="2427"/>
      <c r="M45" s="3241"/>
      <c r="N45" s="2427"/>
      <c r="O45" s="3241"/>
      <c r="P45" s="2427"/>
      <c r="Q45" s="3241"/>
    </row>
    <row r="46" spans="1:17">
      <c r="A46" s="3242"/>
      <c r="B46" s="3243" t="s">
        <v>1300</v>
      </c>
      <c r="C46" s="2426"/>
      <c r="D46" s="2405"/>
      <c r="E46" s="2405"/>
      <c r="F46" s="2405"/>
      <c r="G46" s="2423"/>
      <c r="H46" s="2427" t="s">
        <v>710</v>
      </c>
      <c r="I46" s="3244"/>
      <c r="J46" s="2427"/>
      <c r="K46" s="3244"/>
      <c r="L46" s="2427"/>
      <c r="M46" s="3244"/>
      <c r="N46" s="2427"/>
      <c r="O46" s="3244"/>
      <c r="P46" s="2427"/>
      <c r="Q46" s="3244"/>
    </row>
    <row r="47" spans="1:17">
      <c r="A47" s="3245"/>
      <c r="B47" s="3246" t="s">
        <v>1301</v>
      </c>
      <c r="C47" s="2426"/>
      <c r="D47" s="2405"/>
      <c r="E47" s="2405"/>
      <c r="F47" s="2405"/>
      <c r="G47" s="2423"/>
      <c r="H47" s="2427" t="s">
        <v>710</v>
      </c>
      <c r="I47" s="3247"/>
      <c r="J47" s="2427"/>
      <c r="K47" s="3247"/>
      <c r="L47" s="2427"/>
      <c r="M47" s="3247"/>
      <c r="N47" s="2427"/>
      <c r="O47" s="3247"/>
      <c r="P47" s="2427"/>
      <c r="Q47" s="3247"/>
    </row>
    <row r="48" spans="1:17">
      <c r="A48" s="3248"/>
      <c r="B48" s="3249" t="s">
        <v>1302</v>
      </c>
      <c r="C48" s="2426"/>
      <c r="D48" s="2405"/>
      <c r="E48" s="2405"/>
      <c r="F48" s="2405"/>
      <c r="G48" s="2423"/>
      <c r="H48" s="2427" t="s">
        <v>710</v>
      </c>
      <c r="I48" s="3250"/>
      <c r="J48" s="2427"/>
      <c r="K48" s="3250"/>
      <c r="L48" s="2427"/>
      <c r="M48" s="3250"/>
      <c r="N48" s="2427"/>
      <c r="O48" s="3250"/>
      <c r="P48" s="2427"/>
      <c r="Q48" s="3250"/>
    </row>
    <row r="49" spans="1:17" ht="25.5">
      <c r="A49" s="3251"/>
      <c r="B49" s="3252" t="s">
        <v>1303</v>
      </c>
      <c r="C49" s="2426"/>
      <c r="D49" s="2405"/>
      <c r="E49" s="2405"/>
      <c r="F49" s="2405"/>
      <c r="G49" s="2423"/>
      <c r="H49" s="2427" t="s">
        <v>710</v>
      </c>
      <c r="I49" s="3253"/>
      <c r="J49" s="2427"/>
      <c r="K49" s="3253"/>
      <c r="L49" s="2427"/>
      <c r="M49" s="3253"/>
      <c r="N49" s="2427"/>
      <c r="O49" s="3253"/>
      <c r="P49" s="2427"/>
      <c r="Q49" s="3253"/>
    </row>
    <row r="50" spans="1:17">
      <c r="A50" s="3254"/>
      <c r="B50" s="3255" t="s">
        <v>880</v>
      </c>
      <c r="C50" s="2426"/>
      <c r="D50" s="2405"/>
      <c r="E50" s="2405"/>
      <c r="F50" s="2405"/>
      <c r="G50" s="2423"/>
      <c r="H50" s="2427" t="s">
        <v>709</v>
      </c>
      <c r="I50" s="3256"/>
      <c r="J50" s="2427"/>
      <c r="K50" s="3256"/>
      <c r="L50" s="2427"/>
      <c r="M50" s="3256"/>
      <c r="N50" s="2427"/>
      <c r="O50" s="3256"/>
      <c r="P50" s="2427"/>
      <c r="Q50" s="3256"/>
    </row>
    <row r="51" spans="1:17">
      <c r="A51" s="3257"/>
      <c r="B51" s="3258"/>
      <c r="C51" s="2426"/>
      <c r="D51" s="2405"/>
      <c r="E51" s="2405"/>
      <c r="F51" s="2405"/>
      <c r="G51" s="2423"/>
      <c r="H51" s="2427"/>
      <c r="I51" s="3259"/>
      <c r="J51" s="2427"/>
      <c r="K51" s="3259"/>
      <c r="L51" s="2427"/>
      <c r="M51" s="3259"/>
      <c r="N51" s="2427"/>
      <c r="O51" s="3259"/>
      <c r="P51" s="2427"/>
      <c r="Q51" s="3259"/>
    </row>
    <row r="52" spans="1:17">
      <c r="A52" s="3168"/>
      <c r="B52" s="3260" t="s">
        <v>694</v>
      </c>
      <c r="C52" s="2990"/>
      <c r="D52" s="2450"/>
      <c r="E52" s="2450"/>
      <c r="F52" s="2450"/>
      <c r="G52" s="2531"/>
      <c r="H52" s="2453"/>
      <c r="I52" s="3261"/>
      <c r="J52" s="2453"/>
      <c r="K52" s="3261"/>
      <c r="L52" s="2453"/>
      <c r="M52" s="3261"/>
      <c r="N52" s="2453"/>
      <c r="O52" s="3261"/>
      <c r="P52" s="2453"/>
      <c r="Q52" s="3261"/>
    </row>
    <row r="53" spans="1:17">
      <c r="A53" s="3168"/>
      <c r="B53" s="3207"/>
      <c r="C53" s="2426"/>
      <c r="D53" s="2405"/>
      <c r="E53" s="2405"/>
      <c r="F53" s="2405"/>
      <c r="G53" s="2423"/>
      <c r="H53" s="2427"/>
      <c r="I53" s="3199"/>
      <c r="J53" s="2427"/>
      <c r="K53" s="3199"/>
      <c r="L53" s="2427"/>
      <c r="M53" s="3199"/>
      <c r="N53" s="2427"/>
      <c r="O53" s="3199"/>
      <c r="P53" s="2427"/>
      <c r="Q53" s="3199"/>
    </row>
    <row r="54" spans="1:17">
      <c r="A54" s="3168"/>
      <c r="B54" s="3262" t="s">
        <v>695</v>
      </c>
      <c r="C54" s="2999"/>
      <c r="D54" s="2456"/>
      <c r="E54" s="2456"/>
      <c r="F54" s="2456"/>
      <c r="G54" s="2532"/>
      <c r="H54" s="2459"/>
      <c r="I54" s="3263"/>
      <c r="J54" s="2459"/>
      <c r="K54" s="3263"/>
      <c r="L54" s="2459"/>
      <c r="M54" s="3263"/>
      <c r="N54" s="2459"/>
      <c r="O54" s="3263"/>
      <c r="P54" s="2459"/>
      <c r="Q54" s="3263"/>
    </row>
    <row r="55" spans="1:17">
      <c r="A55" s="3264"/>
      <c r="B55" s="3265" t="s">
        <v>701</v>
      </c>
      <c r="C55" s="3072" t="s">
        <v>697</v>
      </c>
      <c r="D55" s="2405">
        <f>'Cost Summary'!$J$7</f>
        <v>663</v>
      </c>
      <c r="E55" s="2405" t="s">
        <v>723</v>
      </c>
      <c r="F55" s="2405">
        <v>60</v>
      </c>
      <c r="G55" s="2423">
        <f>D55*F55</f>
        <v>39780</v>
      </c>
      <c r="H55" s="2427"/>
      <c r="I55" s="3266">
        <v>265616.87</v>
      </c>
      <c r="J55" s="2427"/>
      <c r="K55" s="3267"/>
      <c r="L55" s="2427"/>
      <c r="M55" s="3267"/>
      <c r="N55" s="2427"/>
      <c r="O55" s="3267"/>
      <c r="P55" s="2427"/>
      <c r="Q55" s="3267"/>
    </row>
    <row r="56" spans="1:17">
      <c r="A56" s="3268"/>
      <c r="B56" s="3269" t="s">
        <v>1304</v>
      </c>
      <c r="C56" s="3072" t="s">
        <v>736</v>
      </c>
      <c r="D56" s="2405">
        <v>1</v>
      </c>
      <c r="E56" s="2405" t="s">
        <v>698</v>
      </c>
      <c r="F56" s="2405">
        <v>50000</v>
      </c>
      <c r="G56" s="2423">
        <f>D56*F56</f>
        <v>50000</v>
      </c>
      <c r="H56" s="2427" t="s">
        <v>710</v>
      </c>
      <c r="I56" s="3270"/>
      <c r="J56" s="2427"/>
      <c r="K56" s="3271"/>
      <c r="L56" s="2427"/>
      <c r="M56" s="3271"/>
      <c r="N56" s="2427"/>
      <c r="O56" s="3271"/>
      <c r="P56" s="2427"/>
      <c r="Q56" s="3271"/>
    </row>
    <row r="57" spans="1:17">
      <c r="A57" s="3272"/>
      <c r="B57" s="3273" t="s">
        <v>1305</v>
      </c>
      <c r="C57" s="2432" t="s">
        <v>713</v>
      </c>
      <c r="D57" s="2405">
        <v>3</v>
      </c>
      <c r="E57" s="2405" t="s">
        <v>714</v>
      </c>
      <c r="F57" s="2405">
        <v>5000</v>
      </c>
      <c r="G57" s="2423">
        <f>D57*F57</f>
        <v>15000</v>
      </c>
      <c r="H57" s="2427" t="s">
        <v>710</v>
      </c>
      <c r="I57" s="3270"/>
      <c r="J57" s="2427"/>
      <c r="K57" s="3274"/>
      <c r="L57" s="2427"/>
      <c r="M57" s="3274"/>
      <c r="N57" s="2427"/>
      <c r="O57" s="3274"/>
      <c r="P57" s="2427"/>
      <c r="Q57" s="3274"/>
    </row>
    <row r="58" spans="1:17">
      <c r="A58" s="3275"/>
      <c r="B58" s="3276" t="s">
        <v>1296</v>
      </c>
      <c r="C58" s="2432"/>
      <c r="D58" s="2405"/>
      <c r="E58" s="2405"/>
      <c r="F58" s="2405"/>
      <c r="G58" s="2423"/>
      <c r="H58" s="2427" t="s">
        <v>709</v>
      </c>
      <c r="I58" s="3277"/>
      <c r="J58" s="2427"/>
      <c r="K58" s="3278"/>
      <c r="L58" s="2427"/>
      <c r="M58" s="3278"/>
      <c r="N58" s="2427"/>
      <c r="O58" s="3278"/>
      <c r="P58" s="2427"/>
      <c r="Q58" s="3278"/>
    </row>
    <row r="59" spans="1:17">
      <c r="A59" s="3279"/>
      <c r="B59" s="3280" t="s">
        <v>1299</v>
      </c>
      <c r="C59" s="2432"/>
      <c r="D59" s="2405"/>
      <c r="E59" s="2405"/>
      <c r="F59" s="2405"/>
      <c r="G59" s="2423"/>
      <c r="H59" s="2427" t="s">
        <v>709</v>
      </c>
      <c r="I59" s="3281"/>
      <c r="J59" s="2427"/>
      <c r="K59" s="3282"/>
      <c r="L59" s="2427"/>
      <c r="M59" s="3282"/>
      <c r="N59" s="2427"/>
      <c r="O59" s="3282"/>
      <c r="P59" s="2427"/>
      <c r="Q59" s="3282"/>
    </row>
    <row r="60" spans="1:17">
      <c r="A60" s="3283"/>
      <c r="B60" s="3284" t="s">
        <v>1297</v>
      </c>
      <c r="C60" s="2432"/>
      <c r="D60" s="2405">
        <f>'Cost Summary'!$J$7</f>
        <v>663</v>
      </c>
      <c r="E60" s="2405" t="s">
        <v>723</v>
      </c>
      <c r="F60" s="2405">
        <v>15</v>
      </c>
      <c r="G60" s="2423">
        <f t="shared" ref="G60:G61" si="0">D60*F60</f>
        <v>9945</v>
      </c>
      <c r="H60" s="2427"/>
      <c r="I60" s="3285">
        <v>12000</v>
      </c>
      <c r="J60" s="2427"/>
      <c r="K60" s="3286"/>
      <c r="L60" s="2427"/>
      <c r="M60" s="3286"/>
      <c r="N60" s="2427"/>
      <c r="O60" s="3286"/>
      <c r="P60" s="2427"/>
      <c r="Q60" s="3286"/>
    </row>
    <row r="61" spans="1:17">
      <c r="A61" s="3287"/>
      <c r="B61" s="3288" t="s">
        <v>1306</v>
      </c>
      <c r="C61" s="2432"/>
      <c r="D61" s="2405">
        <f>'Cost Summary'!$J$7</f>
        <v>663</v>
      </c>
      <c r="E61" s="2405" t="s">
        <v>723</v>
      </c>
      <c r="F61" s="2405"/>
      <c r="G61" s="2423">
        <f t="shared" si="0"/>
        <v>0</v>
      </c>
      <c r="H61" s="2427"/>
      <c r="I61" s="3289"/>
      <c r="J61" s="2427"/>
      <c r="K61" s="3289"/>
      <c r="L61" s="2427"/>
      <c r="M61" s="3289"/>
      <c r="N61" s="2427"/>
      <c r="O61" s="3289"/>
      <c r="P61" s="2427"/>
      <c r="Q61" s="3289"/>
    </row>
    <row r="62" spans="1:17">
      <c r="A62" s="3290"/>
      <c r="B62" s="3291" t="s">
        <v>880</v>
      </c>
      <c r="C62" s="2432"/>
      <c r="D62" s="2405"/>
      <c r="E62" s="2405"/>
      <c r="F62" s="2405"/>
      <c r="G62" s="2423"/>
      <c r="H62" s="2427"/>
      <c r="I62" s="3289"/>
      <c r="J62" s="2427"/>
      <c r="K62" s="3292"/>
      <c r="L62" s="2427"/>
      <c r="M62" s="3292"/>
      <c r="N62" s="2427"/>
      <c r="O62" s="3292"/>
      <c r="P62" s="2427"/>
      <c r="Q62" s="3292"/>
    </row>
    <row r="63" spans="1:17">
      <c r="A63" s="3293"/>
      <c r="B63" s="3294"/>
      <c r="C63" s="2426"/>
      <c r="D63" s="2405"/>
      <c r="E63" s="2405"/>
      <c r="F63" s="2405"/>
      <c r="G63" s="2423"/>
      <c r="H63" s="2427"/>
      <c r="I63" s="3289"/>
      <c r="J63" s="2427"/>
      <c r="K63" s="3289"/>
      <c r="L63" s="2427"/>
      <c r="M63" s="3289"/>
      <c r="N63" s="2427"/>
      <c r="O63" s="3289"/>
      <c r="P63" s="2427"/>
      <c r="Q63" s="3289"/>
    </row>
    <row r="64" spans="1:17">
      <c r="A64" s="3293"/>
      <c r="B64" s="3295" t="s">
        <v>649</v>
      </c>
      <c r="C64" s="2990"/>
      <c r="D64" s="2450"/>
      <c r="E64" s="2450"/>
      <c r="F64" s="2450"/>
      <c r="G64" s="2531"/>
      <c r="H64" s="2453"/>
      <c r="I64" s="3296"/>
      <c r="J64" s="2453"/>
      <c r="K64" s="3296"/>
      <c r="L64" s="2453"/>
      <c r="M64" s="3296"/>
      <c r="N64" s="2453"/>
      <c r="O64" s="3296"/>
      <c r="P64" s="2453"/>
      <c r="Q64" s="3296"/>
    </row>
    <row r="65" spans="1:17">
      <c r="A65" s="3297"/>
      <c r="B65" s="3298"/>
      <c r="C65" s="2426"/>
      <c r="D65" s="2405"/>
      <c r="E65" s="2405"/>
      <c r="F65" s="2405"/>
      <c r="G65" s="2423"/>
      <c r="H65" s="2427"/>
      <c r="I65" s="3299"/>
      <c r="J65" s="2427"/>
      <c r="K65" s="3299"/>
      <c r="L65" s="2427"/>
      <c r="M65" s="3299"/>
      <c r="N65" s="2427"/>
      <c r="O65" s="3299"/>
      <c r="P65" s="2427"/>
      <c r="Q65" s="3299"/>
    </row>
    <row r="66" spans="1:17">
      <c r="A66" s="3300"/>
      <c r="B66" s="3301" t="s">
        <v>700</v>
      </c>
      <c r="C66" s="2999"/>
      <c r="D66" s="2456"/>
      <c r="E66" s="2456"/>
      <c r="F66" s="2456"/>
      <c r="G66" s="2532"/>
      <c r="H66" s="2459"/>
      <c r="I66" s="3302"/>
      <c r="J66" s="2459"/>
      <c r="K66" s="3302"/>
      <c r="L66" s="2459"/>
      <c r="M66" s="3302"/>
      <c r="N66" s="2459"/>
      <c r="O66" s="3302"/>
      <c r="P66" s="2459"/>
      <c r="Q66" s="3302"/>
    </row>
    <row r="67" spans="1:17">
      <c r="A67" s="3303"/>
      <c r="B67" s="3304" t="s">
        <v>701</v>
      </c>
      <c r="C67" s="2432" t="s">
        <v>702</v>
      </c>
      <c r="D67" s="2567">
        <f>'Cost Summary'!$N$7</f>
        <v>11678</v>
      </c>
      <c r="E67" s="2433" t="s">
        <v>723</v>
      </c>
      <c r="F67" s="2446">
        <v>60</v>
      </c>
      <c r="G67" s="2953">
        <f>D67*F67</f>
        <v>700680</v>
      </c>
      <c r="H67" s="2427"/>
      <c r="I67" s="3305">
        <v>670630.75</v>
      </c>
      <c r="J67" s="2427"/>
      <c r="K67" s="3306"/>
      <c r="L67" s="2427"/>
      <c r="M67" s="3306"/>
      <c r="N67" s="2427"/>
      <c r="O67" s="3306"/>
      <c r="P67" s="2427"/>
      <c r="Q67" s="3306"/>
    </row>
    <row r="68" spans="1:17">
      <c r="A68" s="3307"/>
      <c r="B68" s="3308" t="s">
        <v>1297</v>
      </c>
      <c r="C68" s="2432"/>
      <c r="D68" s="3309">
        <f>D67</f>
        <v>11678</v>
      </c>
      <c r="E68" s="2405" t="s">
        <v>723</v>
      </c>
      <c r="F68" s="2405">
        <v>5</v>
      </c>
      <c r="G68" s="2423">
        <f t="shared" ref="G68:G69" si="1">D68*F68</f>
        <v>58390</v>
      </c>
      <c r="H68" s="2427"/>
      <c r="I68" s="3310">
        <v>53000</v>
      </c>
      <c r="J68" s="2427"/>
      <c r="K68" s="3311"/>
      <c r="L68" s="2427"/>
      <c r="M68" s="3311"/>
      <c r="N68" s="2427"/>
      <c r="O68" s="3311"/>
      <c r="P68" s="2427"/>
      <c r="Q68" s="3311"/>
    </row>
    <row r="69" spans="1:17">
      <c r="A69" s="3312"/>
      <c r="B69" s="3313" t="s">
        <v>1306</v>
      </c>
      <c r="C69" s="2432"/>
      <c r="D69" s="3309">
        <f>D68</f>
        <v>11678</v>
      </c>
      <c r="E69" s="2405" t="s">
        <v>723</v>
      </c>
      <c r="F69" s="2405"/>
      <c r="G69" s="2423">
        <f t="shared" si="1"/>
        <v>0</v>
      </c>
      <c r="H69" s="2427"/>
      <c r="I69" s="3314"/>
      <c r="J69" s="2427"/>
      <c r="K69" s="3314"/>
      <c r="L69" s="2427"/>
      <c r="M69" s="3314"/>
      <c r="N69" s="2427"/>
      <c r="O69" s="3314"/>
      <c r="P69" s="2427"/>
      <c r="Q69" s="3314"/>
    </row>
    <row r="70" spans="1:17">
      <c r="A70" s="3315"/>
      <c r="B70" s="3316" t="s">
        <v>880</v>
      </c>
      <c r="C70" s="2432"/>
      <c r="D70" s="2567"/>
      <c r="E70" s="2433"/>
      <c r="F70" s="2446"/>
      <c r="G70" s="2953"/>
      <c r="H70" s="2427"/>
      <c r="I70" s="3314"/>
      <c r="J70" s="2427"/>
      <c r="K70" s="3317"/>
      <c r="L70" s="2427"/>
      <c r="M70" s="3317"/>
      <c r="N70" s="2427"/>
      <c r="O70" s="3317"/>
      <c r="P70" s="2427"/>
      <c r="Q70" s="3317"/>
    </row>
    <row r="71" spans="1:17">
      <c r="A71" s="3318"/>
      <c r="B71" s="3319"/>
      <c r="C71" s="2426"/>
      <c r="D71" s="2405"/>
      <c r="E71" s="2405"/>
      <c r="F71" s="2405"/>
      <c r="G71" s="2423"/>
      <c r="H71" s="2427"/>
      <c r="I71" s="3314"/>
      <c r="J71" s="2427"/>
      <c r="K71" s="3314"/>
      <c r="L71" s="2427"/>
      <c r="M71" s="3314"/>
      <c r="N71" s="2427"/>
      <c r="O71" s="3314"/>
      <c r="P71" s="2427"/>
      <c r="Q71" s="3314"/>
    </row>
    <row r="72" spans="1:17">
      <c r="A72" s="3318"/>
      <c r="B72" s="3320" t="s">
        <v>703</v>
      </c>
      <c r="C72" s="2990"/>
      <c r="D72" s="2450"/>
      <c r="E72" s="2450"/>
      <c r="F72" s="2450"/>
      <c r="G72" s="2531"/>
      <c r="H72" s="2453"/>
      <c r="I72" s="3321"/>
      <c r="J72" s="2453"/>
      <c r="K72" s="3321"/>
      <c r="L72" s="2453"/>
      <c r="M72" s="3321"/>
      <c r="N72" s="2453"/>
      <c r="O72" s="3321"/>
      <c r="P72" s="2453"/>
      <c r="Q72" s="3321"/>
    </row>
    <row r="73" spans="1:17">
      <c r="A73" s="3322"/>
      <c r="B73" s="3323"/>
      <c r="C73" s="2426"/>
      <c r="D73" s="2405"/>
      <c r="E73" s="2405"/>
      <c r="F73" s="2405"/>
      <c r="G73" s="2423"/>
      <c r="H73" s="2427"/>
      <c r="I73" s="3324"/>
      <c r="J73" s="2427"/>
      <c r="K73" s="3324"/>
      <c r="L73" s="2427"/>
      <c r="M73" s="3324"/>
      <c r="N73" s="2427"/>
      <c r="O73" s="3324"/>
      <c r="P73" s="2427"/>
      <c r="Q73" s="3324"/>
    </row>
    <row r="74" spans="1:17">
      <c r="A74" s="3325"/>
      <c r="B74" s="3326" t="s">
        <v>704</v>
      </c>
      <c r="C74" s="2999"/>
      <c r="D74" s="2456"/>
      <c r="E74" s="2456"/>
      <c r="F74" s="2456"/>
      <c r="G74" s="2532"/>
      <c r="H74" s="2459"/>
      <c r="I74" s="3327"/>
      <c r="J74" s="2459"/>
      <c r="K74" s="3327"/>
      <c r="L74" s="2459"/>
      <c r="M74" s="3327"/>
      <c r="N74" s="2459"/>
      <c r="O74" s="3327"/>
      <c r="P74" s="2459"/>
      <c r="Q74" s="3327"/>
    </row>
    <row r="75" spans="1:17">
      <c r="A75" s="3328"/>
      <c r="B75" s="3304" t="s">
        <v>701</v>
      </c>
      <c r="C75" s="2432" t="s">
        <v>741</v>
      </c>
      <c r="D75" s="2567">
        <f>'Cost Summary'!$R$7</f>
        <v>11225</v>
      </c>
      <c r="E75" s="2433" t="s">
        <v>723</v>
      </c>
      <c r="F75" s="2446">
        <v>45</v>
      </c>
      <c r="G75" s="2953">
        <f>D75*F75</f>
        <v>505125</v>
      </c>
      <c r="H75" s="2427"/>
      <c r="I75" s="3305">
        <v>636532</v>
      </c>
      <c r="J75" s="2427"/>
      <c r="K75" s="3329"/>
      <c r="L75" s="2427"/>
      <c r="M75" s="3329"/>
      <c r="N75" s="2427"/>
      <c r="O75" s="3329"/>
      <c r="P75" s="2427"/>
      <c r="Q75" s="3329"/>
    </row>
    <row r="76" spans="1:17">
      <c r="A76" s="3328"/>
      <c r="B76" s="3330" t="s">
        <v>1297</v>
      </c>
      <c r="C76" s="2432"/>
      <c r="D76" s="3309">
        <f>D75</f>
        <v>11225</v>
      </c>
      <c r="E76" s="2405" t="s">
        <v>723</v>
      </c>
      <c r="F76" s="2405">
        <v>5</v>
      </c>
      <c r="G76" s="2423">
        <f t="shared" ref="G76:G77" si="2">D76*F76</f>
        <v>56125</v>
      </c>
      <c r="H76" s="2427"/>
      <c r="I76" s="3331">
        <v>48000</v>
      </c>
      <c r="J76" s="2427"/>
      <c r="K76" s="3329"/>
      <c r="L76" s="2427"/>
      <c r="M76" s="3329"/>
      <c r="N76" s="2427"/>
      <c r="O76" s="3329"/>
      <c r="P76" s="2427"/>
      <c r="Q76" s="3329"/>
    </row>
    <row r="77" spans="1:17">
      <c r="A77" s="3328"/>
      <c r="B77" s="3330" t="s">
        <v>1306</v>
      </c>
      <c r="C77" s="2432"/>
      <c r="D77" s="3309">
        <f>D75</f>
        <v>11225</v>
      </c>
      <c r="E77" s="2405" t="s">
        <v>723</v>
      </c>
      <c r="F77" s="2405"/>
      <c r="G77" s="2423">
        <f t="shared" si="2"/>
        <v>0</v>
      </c>
      <c r="H77" s="2427"/>
      <c r="I77" s="3329"/>
      <c r="J77" s="2427"/>
      <c r="K77" s="3329"/>
      <c r="L77" s="2427"/>
      <c r="M77" s="3329"/>
      <c r="N77" s="2427"/>
      <c r="O77" s="3329"/>
      <c r="P77" s="2427"/>
      <c r="Q77" s="3329"/>
    </row>
    <row r="78" spans="1:17">
      <c r="A78" s="3328"/>
      <c r="B78" s="3330" t="s">
        <v>880</v>
      </c>
      <c r="C78" s="2432"/>
      <c r="D78" s="2567"/>
      <c r="E78" s="2433"/>
      <c r="F78" s="2446"/>
      <c r="G78" s="2953"/>
      <c r="H78" s="2427"/>
      <c r="I78" s="3329"/>
      <c r="J78" s="2427"/>
      <c r="K78" s="3329"/>
      <c r="L78" s="2427"/>
      <c r="M78" s="3329"/>
      <c r="N78" s="2427"/>
      <c r="O78" s="3329"/>
      <c r="P78" s="2427"/>
      <c r="Q78" s="3329"/>
    </row>
    <row r="79" spans="1:17">
      <c r="A79" s="3328"/>
      <c r="B79" s="3332"/>
      <c r="C79" s="2426"/>
      <c r="D79" s="2405"/>
      <c r="E79" s="2405"/>
      <c r="F79" s="2405"/>
      <c r="G79" s="2423"/>
      <c r="H79" s="2427"/>
      <c r="I79" s="3329"/>
      <c r="J79" s="2427"/>
      <c r="K79" s="3329"/>
      <c r="L79" s="2427"/>
      <c r="M79" s="3329"/>
      <c r="N79" s="2427"/>
      <c r="O79" s="3329"/>
      <c r="P79" s="2427"/>
      <c r="Q79" s="3329"/>
    </row>
    <row r="80" spans="1:17">
      <c r="A80" s="3328"/>
      <c r="B80" s="3333" t="s">
        <v>705</v>
      </c>
      <c r="C80" s="2990"/>
      <c r="D80" s="2450"/>
      <c r="E80" s="2450"/>
      <c r="F80" s="2450"/>
      <c r="G80" s="2531"/>
      <c r="H80" s="2453"/>
      <c r="I80" s="3334"/>
      <c r="J80" s="2453"/>
      <c r="K80" s="3334"/>
      <c r="L80" s="2453"/>
      <c r="M80" s="3334"/>
      <c r="N80" s="2453"/>
      <c r="O80" s="3334"/>
      <c r="P80" s="2453"/>
      <c r="Q80" s="3334"/>
    </row>
    <row r="81" spans="1:17">
      <c r="A81" s="3328"/>
      <c r="B81" s="3332"/>
      <c r="C81" s="2426"/>
      <c r="D81" s="2405"/>
      <c r="E81" s="2405"/>
      <c r="F81" s="2405"/>
      <c r="G81" s="2423"/>
      <c r="H81" s="2427"/>
      <c r="I81" s="3329"/>
      <c r="J81" s="2427"/>
      <c r="K81" s="3329"/>
      <c r="L81" s="2427"/>
      <c r="M81" s="3329"/>
      <c r="N81" s="2427"/>
      <c r="O81" s="3329"/>
      <c r="P81" s="2427"/>
      <c r="Q81" s="3329"/>
    </row>
    <row r="82" spans="1:17">
      <c r="A82" s="3328"/>
      <c r="B82" s="3326" t="s">
        <v>602</v>
      </c>
      <c r="C82" s="2999"/>
      <c r="D82" s="2456"/>
      <c r="E82" s="2456"/>
      <c r="F82" s="2456"/>
      <c r="G82" s="2532"/>
      <c r="H82" s="2459"/>
      <c r="I82" s="3327"/>
      <c r="J82" s="2459"/>
      <c r="K82" s="3327"/>
      <c r="L82" s="2459"/>
      <c r="M82" s="3327"/>
      <c r="N82" s="2459"/>
      <c r="O82" s="3327"/>
      <c r="P82" s="2459"/>
      <c r="Q82" s="3327"/>
    </row>
    <row r="83" spans="1:17">
      <c r="A83" s="3328"/>
      <c r="B83" s="3332"/>
      <c r="C83" s="2426"/>
      <c r="D83" s="2405"/>
      <c r="E83" s="2405"/>
      <c r="F83" s="2405"/>
      <c r="G83" s="2423"/>
      <c r="H83" s="2427"/>
      <c r="I83" s="3329"/>
      <c r="J83" s="2427"/>
      <c r="K83" s="3329"/>
      <c r="L83" s="2427"/>
      <c r="M83" s="3329"/>
      <c r="N83" s="2427"/>
      <c r="O83" s="3329"/>
      <c r="P83" s="2427"/>
      <c r="Q83" s="3329"/>
    </row>
    <row r="84" spans="1:17">
      <c r="A84" s="3328"/>
      <c r="B84" s="3207"/>
      <c r="C84" s="2426"/>
      <c r="D84" s="2405"/>
      <c r="E84" s="2405"/>
      <c r="F84" s="2405"/>
      <c r="G84" s="2423"/>
      <c r="H84" s="2427"/>
      <c r="I84" s="3329"/>
      <c r="J84" s="2427"/>
      <c r="K84" s="3329"/>
      <c r="L84" s="2427"/>
      <c r="M84" s="3329"/>
      <c r="N84" s="2427"/>
      <c r="O84" s="3329"/>
      <c r="P84" s="2427"/>
      <c r="Q84" s="3329"/>
    </row>
    <row r="85" spans="1:17">
      <c r="A85" s="3168"/>
      <c r="B85" s="3330"/>
      <c r="C85" s="2426"/>
      <c r="D85" s="2405"/>
      <c r="E85" s="2405"/>
      <c r="F85" s="2405"/>
      <c r="G85" s="2423"/>
      <c r="H85" s="2427"/>
      <c r="I85" s="3199"/>
      <c r="J85" s="2427"/>
      <c r="K85" s="3199"/>
      <c r="L85" s="2427"/>
      <c r="M85" s="3199"/>
      <c r="N85" s="2427"/>
      <c r="O85" s="3199"/>
      <c r="P85" s="2427"/>
      <c r="Q85" s="3199"/>
    </row>
    <row r="86" spans="1:17" ht="15.75" thickTop="1">
      <c r="A86" s="14"/>
      <c r="B86" s="15"/>
      <c r="C86" s="16"/>
      <c r="D86" s="16"/>
      <c r="E86" s="17"/>
      <c r="F86" s="18" t="s">
        <v>567</v>
      </c>
      <c r="G86" s="19"/>
      <c r="H86" s="20"/>
      <c r="I86" s="61">
        <f>SUM(I24:I85)</f>
        <v>1685779.62</v>
      </c>
      <c r="J86" s="20"/>
      <c r="K86" s="61">
        <f>SUM(K24:K85)</f>
        <v>0</v>
      </c>
      <c r="L86" s="20"/>
      <c r="M86" s="61">
        <f>SUM(M24:M85)</f>
        <v>0</v>
      </c>
      <c r="N86" s="20"/>
      <c r="O86" s="61">
        <f>SUM(O24:O85)</f>
        <v>0</v>
      </c>
      <c r="P86" s="20"/>
      <c r="Q86" s="61">
        <f>SUM(Q24:Q85)</f>
        <v>0</v>
      </c>
    </row>
    <row r="87" spans="1:17">
      <c r="A87" s="2358"/>
      <c r="B87" s="2359"/>
      <c r="C87" s="2360"/>
      <c r="D87" s="2360"/>
      <c r="E87" s="2361"/>
      <c r="F87" s="2362" t="s">
        <v>568</v>
      </c>
      <c r="G87" s="2363"/>
      <c r="H87" s="3173">
        <v>0</v>
      </c>
      <c r="I87" s="415"/>
      <c r="J87" s="3173">
        <v>0</v>
      </c>
      <c r="K87" s="415"/>
      <c r="L87" s="3173">
        <v>0</v>
      </c>
      <c r="M87" s="415"/>
      <c r="N87" s="3173">
        <v>0</v>
      </c>
      <c r="O87" s="415"/>
      <c r="P87" s="3173">
        <v>0</v>
      </c>
      <c r="Q87" s="415"/>
    </row>
    <row r="88" spans="1:17">
      <c r="A88" s="2358"/>
      <c r="B88" s="2359"/>
      <c r="C88" s="2360"/>
      <c r="D88" s="2360"/>
      <c r="E88" s="2361"/>
      <c r="F88" s="2362" t="s">
        <v>569</v>
      </c>
      <c r="G88" s="2363"/>
      <c r="H88" s="2366"/>
      <c r="I88" s="2465">
        <f>I86*H87</f>
        <v>0</v>
      </c>
      <c r="J88" s="2366"/>
      <c r="K88" s="2465">
        <f>K86*J87</f>
        <v>0</v>
      </c>
      <c r="L88" s="2366"/>
      <c r="M88" s="2465">
        <f>M86*L87</f>
        <v>0</v>
      </c>
      <c r="N88" s="2366"/>
      <c r="O88" s="2465">
        <f>O86*N87</f>
        <v>0</v>
      </c>
      <c r="P88" s="2366"/>
      <c r="Q88" s="2465">
        <f>Q86*P87</f>
        <v>0</v>
      </c>
    </row>
    <row r="89" spans="1:17">
      <c r="A89" s="2358"/>
      <c r="B89" s="2359"/>
      <c r="C89" s="2360"/>
      <c r="D89" s="2360"/>
      <c r="E89" s="2361"/>
      <c r="F89" s="2362"/>
      <c r="G89" s="2363"/>
      <c r="H89" s="2366"/>
      <c r="I89" s="2464"/>
      <c r="J89" s="2366"/>
      <c r="K89" s="2464"/>
      <c r="L89" s="2366"/>
      <c r="M89" s="2464"/>
      <c r="N89" s="2366"/>
      <c r="O89" s="2464"/>
      <c r="P89" s="2366"/>
      <c r="Q89" s="2464"/>
    </row>
    <row r="90" spans="1:17">
      <c r="A90" s="2358"/>
      <c r="B90" s="2359"/>
      <c r="C90" s="2360"/>
      <c r="D90" s="2360"/>
      <c r="E90" s="2361"/>
      <c r="F90" s="2362" t="s">
        <v>570</v>
      </c>
      <c r="G90" s="2363"/>
      <c r="H90" s="2368"/>
      <c r="I90" s="2465">
        <f>SUM(I86:I88)</f>
        <v>1685779.62</v>
      </c>
      <c r="J90" s="2368"/>
      <c r="K90" s="2465">
        <f>SUM(K86:K88)</f>
        <v>0</v>
      </c>
      <c r="L90" s="2368"/>
      <c r="M90" s="2465">
        <f>SUM(M86:M88)</f>
        <v>0</v>
      </c>
      <c r="N90" s="2368"/>
      <c r="O90" s="2465">
        <f>SUM(O86:O88)</f>
        <v>0</v>
      </c>
      <c r="P90" s="2368"/>
      <c r="Q90" s="2465">
        <f>SUM(Q86:Q88)</f>
        <v>0</v>
      </c>
    </row>
    <row r="91" spans="1:17">
      <c r="A91" s="2358"/>
      <c r="B91" s="2359"/>
      <c r="C91" s="2360"/>
      <c r="D91" s="2360"/>
      <c r="E91" s="2361"/>
      <c r="F91" s="2370" t="s">
        <v>571</v>
      </c>
      <c r="G91" s="2371"/>
      <c r="H91" s="2372"/>
      <c r="I91" s="2373" t="e">
        <f>I90/'Area Calculations'!$J$4</f>
        <v>#DIV/0!</v>
      </c>
      <c r="J91" s="2372"/>
      <c r="K91" s="2373" t="e">
        <f>K90/'Area Calculations'!$J$4</f>
        <v>#DIV/0!</v>
      </c>
      <c r="L91" s="2372"/>
      <c r="M91" s="2373" t="e">
        <f>M90/'Area Calculations'!$J$4</f>
        <v>#DIV/0!</v>
      </c>
      <c r="N91" s="2372"/>
      <c r="O91" s="2373" t="e">
        <f>O90/'Area Calculations'!$J$4</f>
        <v>#DIV/0!</v>
      </c>
      <c r="P91" s="2372"/>
      <c r="Q91" s="2373" t="e">
        <f>Q90/'Area Calculations'!$J$4</f>
        <v>#DIV/0!</v>
      </c>
    </row>
    <row r="92" spans="1:17">
      <c r="A92" s="2358"/>
      <c r="B92" s="2359"/>
      <c r="C92" s="2360"/>
      <c r="D92" s="2360"/>
      <c r="E92" s="2361"/>
      <c r="F92" s="2370" t="s">
        <v>572</v>
      </c>
      <c r="G92" s="2374"/>
      <c r="H92" s="2372"/>
      <c r="I92" s="2373" t="e">
        <f>I90/'Area Calculations'!#REF!</f>
        <v>#REF!</v>
      </c>
      <c r="J92" s="2372"/>
      <c r="K92" s="2373" t="e">
        <f>K90/'Area Calculations'!#REF!</f>
        <v>#REF!</v>
      </c>
      <c r="L92" s="2372"/>
      <c r="M92" s="2373" t="e">
        <f>M90/'Area Calculations'!#REF!</f>
        <v>#REF!</v>
      </c>
      <c r="N92" s="2372"/>
      <c r="O92" s="2373" t="e">
        <f>O90/'Area Calculations'!#REF!</f>
        <v>#REF!</v>
      </c>
      <c r="P92" s="2372"/>
      <c r="Q92" s="2373" t="e">
        <f>Q90/'Area Calculations'!#REF!</f>
        <v>#REF!</v>
      </c>
    </row>
    <row r="93" spans="1:17" ht="15.75" thickBot="1">
      <c r="A93" s="2358"/>
      <c r="B93" s="2359"/>
      <c r="C93" s="2360"/>
      <c r="D93" s="2360"/>
      <c r="E93" s="2361"/>
      <c r="F93" s="2362"/>
      <c r="G93" s="2375"/>
      <c r="H93" s="2376"/>
      <c r="I93" s="2377"/>
      <c r="J93" s="2376"/>
      <c r="K93" s="2377"/>
      <c r="L93" s="2376"/>
      <c r="M93" s="2377"/>
      <c r="N93" s="2376"/>
      <c r="O93" s="2377"/>
      <c r="P93" s="2376"/>
      <c r="Q93" s="2377"/>
    </row>
    <row r="94" spans="1:17" ht="16.5" thickTop="1" thickBot="1">
      <c r="A94" s="726" t="s">
        <v>573</v>
      </c>
      <c r="B94" s="727"/>
      <c r="C94" s="12"/>
      <c r="D94" s="12"/>
      <c r="E94" s="12"/>
      <c r="F94" s="12"/>
      <c r="G94" s="13"/>
      <c r="H94" s="21"/>
      <c r="I94" s="21"/>
      <c r="J94" s="21"/>
      <c r="K94" s="21"/>
      <c r="L94" s="52"/>
      <c r="M94" s="21"/>
      <c r="N94" s="21"/>
      <c r="O94" s="21"/>
      <c r="P94" s="21"/>
      <c r="Q94" s="21"/>
    </row>
    <row r="95" spans="1:17" ht="15.75" thickTop="1">
      <c r="A95" s="3335"/>
      <c r="B95" s="2404"/>
      <c r="C95" s="3336"/>
      <c r="D95" s="3336"/>
      <c r="E95" s="3336"/>
      <c r="F95" s="3336"/>
      <c r="G95" s="3337"/>
      <c r="H95" s="3338"/>
      <c r="I95" s="3338"/>
      <c r="J95" s="3338"/>
      <c r="K95" s="3338"/>
      <c r="L95" s="3339"/>
      <c r="M95" s="3338"/>
      <c r="N95" s="3338"/>
      <c r="O95" s="3338"/>
      <c r="P95" s="3338"/>
      <c r="Q95" s="3338"/>
    </row>
    <row r="96" spans="1:17">
      <c r="A96" s="3335"/>
      <c r="B96" s="2404"/>
      <c r="C96" s="3336"/>
      <c r="D96" s="3336"/>
      <c r="E96" s="3336"/>
      <c r="F96" s="3336"/>
      <c r="G96" s="3337"/>
      <c r="H96" s="3338"/>
      <c r="I96" s="3338"/>
      <c r="J96" s="3338"/>
      <c r="K96" s="3338"/>
      <c r="L96" s="3339"/>
      <c r="M96" s="3338"/>
      <c r="N96" s="3338"/>
      <c r="O96" s="3338"/>
      <c r="P96" s="3338"/>
      <c r="Q96" s="3338"/>
    </row>
    <row r="97" spans="1:17" ht="15.75" thickBot="1">
      <c r="A97" s="3335"/>
      <c r="B97" s="2404"/>
      <c r="C97" s="3336"/>
      <c r="D97" s="3336"/>
      <c r="E97" s="3336"/>
      <c r="F97" s="3336"/>
      <c r="G97" s="3337"/>
      <c r="H97" s="3338"/>
      <c r="I97" s="3338"/>
      <c r="J97" s="3338"/>
      <c r="K97" s="3338"/>
      <c r="L97" s="3339"/>
      <c r="M97" s="3338"/>
      <c r="N97" s="3338"/>
      <c r="O97" s="3338"/>
      <c r="P97" s="3338"/>
      <c r="Q97" s="3338"/>
    </row>
    <row r="98" spans="1:17" s="2" customFormat="1" ht="16.5" thickTop="1" thickBot="1">
      <c r="A98" s="726" t="s">
        <v>574</v>
      </c>
      <c r="B98" s="727"/>
      <c r="C98" s="12"/>
      <c r="D98" s="12"/>
      <c r="E98" s="12"/>
      <c r="F98" s="12"/>
      <c r="G98" s="13"/>
      <c r="H98" s="21"/>
      <c r="I98" s="21"/>
      <c r="J98" s="21"/>
      <c r="K98" s="21"/>
      <c r="L98" s="52"/>
      <c r="M98" s="21"/>
      <c r="N98" s="21"/>
      <c r="O98" s="21"/>
      <c r="P98" s="21"/>
      <c r="Q98" s="21"/>
    </row>
    <row r="99" spans="1:17" s="2" customFormat="1" ht="15.75" thickTop="1">
      <c r="A99" s="3335"/>
      <c r="B99" s="2404"/>
      <c r="C99" s="3336"/>
      <c r="D99" s="3336"/>
      <c r="E99" s="3336"/>
      <c r="F99" s="3336"/>
      <c r="G99" s="3337"/>
      <c r="H99" s="3338"/>
      <c r="I99" s="3338"/>
      <c r="J99" s="3338"/>
      <c r="K99" s="3338"/>
      <c r="L99" s="3339"/>
      <c r="M99" s="3338"/>
      <c r="N99" s="3338"/>
      <c r="O99" s="3338"/>
      <c r="P99" s="3338"/>
      <c r="Q99" s="3338"/>
    </row>
    <row r="100" spans="1:17" s="2" customFormat="1">
      <c r="A100" s="3335"/>
      <c r="B100" s="2404"/>
      <c r="C100" s="3336"/>
      <c r="D100" s="3336"/>
      <c r="E100" s="3336"/>
      <c r="F100" s="3336"/>
      <c r="G100" s="3337"/>
      <c r="H100" s="3338"/>
      <c r="I100" s="3338"/>
      <c r="J100" s="3338"/>
      <c r="K100" s="3338"/>
      <c r="L100" s="3339"/>
      <c r="M100" s="3338"/>
      <c r="N100" s="3338"/>
      <c r="O100" s="3338"/>
      <c r="P100" s="3338"/>
      <c r="Q100" s="3338"/>
    </row>
    <row r="101" spans="1:17" ht="15.75" thickBot="1">
      <c r="A101" s="3335"/>
      <c r="B101" s="2404"/>
      <c r="C101" s="3336"/>
      <c r="D101" s="3336"/>
      <c r="E101" s="3336"/>
      <c r="F101" s="3336"/>
      <c r="G101" s="3337"/>
      <c r="H101" s="3338"/>
      <c r="I101" s="3338"/>
      <c r="J101" s="3338"/>
      <c r="K101" s="3338"/>
      <c r="L101" s="3339"/>
      <c r="M101" s="3338"/>
      <c r="N101" s="3338"/>
      <c r="O101" s="3338"/>
      <c r="P101" s="3338"/>
      <c r="Q101" s="3338"/>
    </row>
    <row r="102" spans="1:17" s="2" customFormat="1" ht="16.5" thickTop="1" thickBot="1">
      <c r="A102" s="726" t="s">
        <v>575</v>
      </c>
      <c r="B102" s="727"/>
      <c r="C102" s="12"/>
      <c r="D102" s="12"/>
      <c r="E102" s="12"/>
      <c r="F102" s="12"/>
      <c r="G102" s="13"/>
      <c r="H102" s="21"/>
      <c r="I102" s="21"/>
      <c r="J102" s="21"/>
      <c r="K102" s="21"/>
      <c r="L102" s="52"/>
      <c r="M102" s="21"/>
      <c r="N102" s="21"/>
      <c r="O102" s="21"/>
      <c r="P102" s="21"/>
      <c r="Q102" s="21"/>
    </row>
    <row r="103" spans="1:17" s="2" customFormat="1" ht="15.75" thickTop="1">
      <c r="A103" s="3335"/>
      <c r="B103" s="2404"/>
      <c r="C103" s="3336"/>
      <c r="D103" s="3336"/>
      <c r="E103" s="3336"/>
      <c r="F103" s="3336"/>
      <c r="G103" s="3337"/>
      <c r="H103" s="3338"/>
      <c r="I103" s="3338"/>
      <c r="J103" s="3338"/>
      <c r="K103" s="3338"/>
      <c r="L103" s="3339"/>
      <c r="M103" s="3338"/>
      <c r="N103" s="3338"/>
      <c r="O103" s="3338"/>
      <c r="P103" s="3338"/>
      <c r="Q103" s="3338"/>
    </row>
    <row r="104" spans="1:17" s="2" customFormat="1">
      <c r="A104" s="2421"/>
      <c r="B104" s="2404"/>
      <c r="C104" s="2405"/>
      <c r="D104" s="2405"/>
      <c r="E104" s="2405"/>
      <c r="F104" s="2405"/>
      <c r="G104" s="2423"/>
      <c r="H104" s="2382"/>
      <c r="I104" s="2382"/>
      <c r="J104" s="2382"/>
      <c r="K104" s="2382"/>
      <c r="L104" s="2474"/>
      <c r="M104" s="2382"/>
      <c r="N104" s="2382"/>
      <c r="O104" s="2382"/>
      <c r="P104" s="2382"/>
      <c r="Q104" s="2382"/>
    </row>
    <row r="105" spans="1:17" s="2" customFormat="1" ht="15.75" thickBot="1">
      <c r="A105" s="2383"/>
      <c r="B105" s="2384"/>
      <c r="C105" s="2405"/>
      <c r="D105" s="2405"/>
      <c r="E105" s="2405"/>
      <c r="F105" s="2405"/>
      <c r="G105" s="2423"/>
      <c r="H105" s="2385"/>
      <c r="I105" s="2385"/>
      <c r="J105" s="2385"/>
      <c r="K105" s="2385"/>
      <c r="L105" s="2475"/>
      <c r="M105" s="2385"/>
      <c r="N105" s="2385"/>
      <c r="O105" s="2385"/>
      <c r="P105" s="2385"/>
      <c r="Q105" s="2385"/>
    </row>
    <row r="106" spans="1:17" s="2" customFormat="1" ht="16.5" thickTop="1" thickBot="1">
      <c r="A106" s="726" t="s">
        <v>576</v>
      </c>
      <c r="B106" s="727"/>
      <c r="C106" s="12"/>
      <c r="D106" s="12"/>
      <c r="E106" s="12"/>
      <c r="F106" s="12"/>
      <c r="G106" s="13"/>
      <c r="H106" s="21"/>
      <c r="I106" s="21"/>
      <c r="J106" s="21"/>
      <c r="K106" s="21"/>
      <c r="L106" s="52"/>
      <c r="M106" s="21"/>
      <c r="N106" s="21"/>
      <c r="O106" s="21"/>
      <c r="P106" s="21"/>
      <c r="Q106" s="21"/>
    </row>
    <row r="107" spans="1:17" ht="15.75" thickTop="1">
      <c r="A107" s="3340"/>
      <c r="B107" s="3341"/>
      <c r="C107" s="3336"/>
      <c r="D107" s="3336"/>
      <c r="E107" s="3336"/>
      <c r="F107" s="3336"/>
      <c r="G107" s="3337"/>
      <c r="H107" s="3338"/>
      <c r="I107" s="3338"/>
      <c r="J107" s="3338"/>
      <c r="K107" s="3338"/>
      <c r="L107" s="3339"/>
      <c r="M107" s="3338"/>
      <c r="N107" s="3338"/>
      <c r="O107" s="3338"/>
      <c r="P107" s="3338"/>
      <c r="Q107" s="3338"/>
    </row>
    <row r="108" spans="1:17">
      <c r="A108" s="2383"/>
      <c r="B108" s="2384"/>
      <c r="C108" s="2405"/>
      <c r="D108" s="2405"/>
      <c r="E108" s="2405"/>
      <c r="F108" s="2405"/>
      <c r="G108" s="2423"/>
      <c r="H108" s="2388"/>
      <c r="I108" s="2388"/>
      <c r="J108" s="2388"/>
      <c r="K108" s="2388"/>
      <c r="L108" s="2478"/>
      <c r="M108" s="2388"/>
      <c r="N108" s="2388"/>
      <c r="O108" s="2388"/>
      <c r="P108" s="2388"/>
      <c r="Q108" s="2388"/>
    </row>
    <row r="109" spans="1:17" ht="15.75" thickBot="1">
      <c r="A109" s="2383"/>
      <c r="B109" s="2384"/>
      <c r="C109" s="2405"/>
      <c r="D109" s="2405"/>
      <c r="E109" s="2405"/>
      <c r="F109" s="2405"/>
      <c r="G109" s="2423"/>
      <c r="H109" s="2388"/>
      <c r="I109" s="2388"/>
      <c r="J109" s="2388"/>
      <c r="K109" s="2388"/>
      <c r="L109" s="2478"/>
      <c r="M109" s="2388"/>
      <c r="N109" s="2388"/>
      <c r="O109" s="2388"/>
      <c r="P109" s="2388"/>
      <c r="Q109" s="2388"/>
    </row>
    <row r="110" spans="1:17" ht="16.5" thickTop="1" thickBot="1">
      <c r="A110" s="726" t="s">
        <v>577</v>
      </c>
      <c r="B110" s="727"/>
      <c r="C110" s="12"/>
      <c r="D110" s="12"/>
      <c r="E110" s="12"/>
      <c r="F110" s="12"/>
      <c r="G110" s="13"/>
      <c r="H110" s="21"/>
      <c r="I110" s="21"/>
      <c r="J110" s="21"/>
      <c r="K110" s="21"/>
      <c r="L110" s="52"/>
      <c r="M110" s="21"/>
      <c r="N110" s="21"/>
      <c r="O110" s="21"/>
      <c r="P110" s="21"/>
      <c r="Q110" s="21"/>
    </row>
    <row r="111" spans="1:17" ht="15.75" thickTop="1">
      <c r="A111" s="2421"/>
      <c r="B111" s="2404" t="s">
        <v>578</v>
      </c>
      <c r="C111" s="2405"/>
      <c r="D111" s="2405"/>
      <c r="E111" s="2405"/>
      <c r="F111" s="2405"/>
      <c r="G111" s="2423"/>
      <c r="H111" s="2388"/>
      <c r="I111" s="2388"/>
      <c r="J111" s="2388"/>
      <c r="K111" s="2388"/>
      <c r="L111" s="2478"/>
      <c r="M111" s="2388"/>
      <c r="N111" s="2388"/>
      <c r="O111" s="2388"/>
      <c r="P111" s="2388"/>
      <c r="Q111" s="2388"/>
    </row>
    <row r="112" spans="1:17">
      <c r="A112" s="2421"/>
      <c r="B112" s="2404" t="s">
        <v>579</v>
      </c>
      <c r="C112" s="2405"/>
      <c r="D112" s="2405"/>
      <c r="E112" s="2405"/>
      <c r="F112" s="2405"/>
      <c r="G112" s="2423"/>
      <c r="H112" s="2388"/>
      <c r="I112" s="2388"/>
      <c r="J112" s="2388"/>
      <c r="K112" s="2388"/>
      <c r="L112" s="2478"/>
      <c r="M112" s="2388"/>
      <c r="N112" s="2388"/>
      <c r="O112" s="2388"/>
      <c r="P112" s="2388"/>
      <c r="Q112" s="2388"/>
    </row>
    <row r="113" spans="1:17">
      <c r="A113" s="2421"/>
      <c r="B113" s="2404" t="s">
        <v>580</v>
      </c>
      <c r="C113" s="2405"/>
      <c r="D113" s="2405"/>
      <c r="E113" s="2405"/>
      <c r="F113" s="2405"/>
      <c r="G113" s="2423"/>
      <c r="H113" s="2388"/>
      <c r="I113" s="2388"/>
      <c r="J113" s="2388"/>
      <c r="K113" s="2388"/>
      <c r="L113" s="2478"/>
      <c r="M113" s="2388"/>
      <c r="N113" s="2388"/>
      <c r="O113" s="2388"/>
      <c r="P113" s="2388"/>
      <c r="Q113" s="2388"/>
    </row>
    <row r="114" spans="1:17">
      <c r="A114" s="2421"/>
      <c r="B114" s="2404" t="s">
        <v>581</v>
      </c>
      <c r="C114" s="2405"/>
      <c r="D114" s="2405"/>
      <c r="E114" s="2405"/>
      <c r="F114" s="2405"/>
      <c r="G114" s="2423"/>
      <c r="H114" s="2388"/>
      <c r="I114" s="2388"/>
      <c r="J114" s="2388"/>
      <c r="K114" s="2388"/>
      <c r="L114" s="2478"/>
      <c r="M114" s="2388"/>
      <c r="N114" s="2388"/>
      <c r="O114" s="2388"/>
      <c r="P114" s="2388"/>
      <c r="Q114" s="2388"/>
    </row>
    <row r="115" spans="1:17" ht="15.75" thickBot="1">
      <c r="A115" s="416"/>
      <c r="B115" s="295"/>
      <c r="C115" s="184"/>
      <c r="D115" s="184"/>
      <c r="E115" s="184"/>
      <c r="F115" s="184"/>
      <c r="G115" s="296"/>
      <c r="H115" s="418"/>
      <c r="I115" s="418"/>
      <c r="J115" s="418"/>
      <c r="K115" s="418"/>
      <c r="L115" s="53"/>
      <c r="M115" s="418"/>
      <c r="N115" s="418"/>
      <c r="O115" s="418"/>
      <c r="P115" s="418"/>
      <c r="Q115" s="418"/>
    </row>
    <row r="116" spans="1:17" ht="16.5" thickTop="1" thickBot="1">
      <c r="A116" s="7" t="s">
        <v>582</v>
      </c>
      <c r="B116" s="8"/>
      <c r="C116" s="12"/>
      <c r="D116" s="12"/>
      <c r="E116" s="12"/>
      <c r="F116" s="12"/>
      <c r="G116" s="13"/>
      <c r="H116" s="21"/>
      <c r="I116" s="21"/>
      <c r="J116" s="21"/>
      <c r="K116" s="21"/>
      <c r="L116" s="52"/>
      <c r="M116" s="21"/>
      <c r="N116" s="21"/>
      <c r="O116" s="21"/>
      <c r="P116" s="21"/>
      <c r="Q116" s="21"/>
    </row>
    <row r="117" spans="1:17" ht="15.75" thickTop="1">
      <c r="A117" s="3335"/>
      <c r="B117" s="3342" t="s">
        <v>583</v>
      </c>
      <c r="C117" s="3336"/>
      <c r="D117" s="3336"/>
      <c r="E117" s="3336"/>
      <c r="F117" s="3336"/>
      <c r="G117" s="3337"/>
      <c r="H117" s="3343"/>
      <c r="I117" s="3343"/>
      <c r="J117" s="3343"/>
      <c r="K117" s="3343"/>
      <c r="L117" s="3167"/>
      <c r="M117" s="3343"/>
      <c r="N117" s="3343"/>
      <c r="O117" s="3343"/>
      <c r="P117" s="3343"/>
      <c r="Q117" s="3343"/>
    </row>
    <row r="118" spans="1:17">
      <c r="A118" s="2421"/>
      <c r="B118" s="2404" t="s">
        <v>584</v>
      </c>
      <c r="C118" s="2405"/>
      <c r="D118" s="2405"/>
      <c r="E118" s="2405"/>
      <c r="F118" s="2405"/>
      <c r="G118" s="2423"/>
      <c r="H118" s="2390"/>
      <c r="I118" s="2390"/>
      <c r="J118" s="2390"/>
      <c r="K118" s="2390"/>
      <c r="L118" s="2481"/>
      <c r="M118" s="2390"/>
      <c r="N118" s="2390"/>
      <c r="O118" s="2390"/>
      <c r="P118" s="2390"/>
      <c r="Q118" s="2390"/>
    </row>
    <row r="119" spans="1:17" ht="15.75" thickBot="1">
      <c r="A119" s="2391"/>
      <c r="B119" s="2392" t="s">
        <v>585</v>
      </c>
      <c r="C119" s="2393"/>
      <c r="D119" s="2393"/>
      <c r="E119" s="2393"/>
      <c r="F119" s="2393"/>
      <c r="G119" s="2394"/>
      <c r="H119" s="2395"/>
      <c r="I119" s="2395"/>
      <c r="J119" s="2395"/>
      <c r="K119" s="2395"/>
      <c r="L119" s="2482"/>
      <c r="M119" s="2395"/>
      <c r="N119" s="2395"/>
      <c r="O119" s="2395"/>
      <c r="P119" s="2395"/>
      <c r="Q119" s="2395"/>
    </row>
    <row r="120" spans="1:17" ht="16.5" thickTop="1" thickBot="1"/>
    <row r="121" spans="1:17" ht="16.5" thickTop="1" thickBot="1">
      <c r="A121" s="92" t="s">
        <v>586</v>
      </c>
      <c r="B121" s="94"/>
    </row>
    <row r="122" spans="1:17" ht="15.75" thickTop="1">
      <c r="A122" s="93" t="s">
        <v>487</v>
      </c>
      <c r="B122" s="2396"/>
    </row>
    <row r="123" spans="1:17">
      <c r="A123" s="2397" t="s">
        <v>491</v>
      </c>
      <c r="B123" s="2396"/>
    </row>
    <row r="124" spans="1:17">
      <c r="A124" s="2398" t="s">
        <v>494</v>
      </c>
      <c r="B124" s="2399"/>
    </row>
    <row r="125" spans="1:17">
      <c r="A125" s="2398" t="s">
        <v>497</v>
      </c>
      <c r="B125" s="2400"/>
    </row>
    <row r="126" spans="1:17" ht="15.75" thickBot="1">
      <c r="A126" s="2401" t="s">
        <v>587</v>
      </c>
      <c r="B126" s="2402">
        <f>H8</f>
        <v>1685779.62</v>
      </c>
    </row>
    <row r="127" spans="1:17" ht="15.75" thickTop="1"/>
    <row r="128" spans="1:17">
      <c r="A128" s="95"/>
      <c r="B128" s="1" t="s">
        <v>588</v>
      </c>
    </row>
    <row r="129" spans="1:2">
      <c r="A129" s="96"/>
      <c r="B129" s="1" t="s">
        <v>589</v>
      </c>
    </row>
  </sheetData>
  <mergeCells count="40">
    <mergeCell ref="N2:O2"/>
    <mergeCell ref="N3:O3"/>
    <mergeCell ref="P3:Q3"/>
    <mergeCell ref="H5:I5"/>
    <mergeCell ref="H2:I2"/>
    <mergeCell ref="H3:I3"/>
    <mergeCell ref="J2:K2"/>
    <mergeCell ref="J3:K3"/>
    <mergeCell ref="L2:M2"/>
    <mergeCell ref="L3:M3"/>
    <mergeCell ref="P2:Q2"/>
    <mergeCell ref="L4:M4"/>
    <mergeCell ref="L5:M5"/>
    <mergeCell ref="P4:Q4"/>
    <mergeCell ref="P5:Q5"/>
    <mergeCell ref="P6:Q6"/>
    <mergeCell ref="P7:Q7"/>
    <mergeCell ref="N8:O8"/>
    <mergeCell ref="P8:Q8"/>
    <mergeCell ref="N7:O7"/>
    <mergeCell ref="L7:M7"/>
    <mergeCell ref="A94:B94"/>
    <mergeCell ref="A98:B98"/>
    <mergeCell ref="N4:O4"/>
    <mergeCell ref="N5:O5"/>
    <mergeCell ref="N6:O6"/>
    <mergeCell ref="H8:I8"/>
    <mergeCell ref="H4:I4"/>
    <mergeCell ref="L8:M8"/>
    <mergeCell ref="J8:K8"/>
    <mergeCell ref="J4:K4"/>
    <mergeCell ref="J5:K5"/>
    <mergeCell ref="J6:K6"/>
    <mergeCell ref="H6:I6"/>
    <mergeCell ref="L6:M6"/>
    <mergeCell ref="A102:B102"/>
    <mergeCell ref="A106:B106"/>
    <mergeCell ref="A110:B110"/>
    <mergeCell ref="J7:K7"/>
    <mergeCell ref="H7:I7"/>
  </mergeCells>
  <conditionalFormatting sqref="H21:H31 J21:J31 L21:L31 N21:N31 P21:P31 J33:J85 L33:L85 N33:N85 P33:P85">
    <cfRule type="cellIs" dxfId="247" priority="7" operator="equal">
      <formula>"X"</formula>
    </cfRule>
    <cfRule type="cellIs" dxfId="246" priority="8" operator="equal">
      <formula>"I"</formula>
    </cfRule>
  </conditionalFormatting>
  <conditionalFormatting sqref="H33:H85">
    <cfRule type="cellIs" dxfId="245" priority="1" operator="equal">
      <formula>"X"</formula>
    </cfRule>
    <cfRule type="cellIs" dxfId="244" priority="2" operator="equal">
      <formula>"I"</formula>
    </cfRule>
  </conditionalFormatting>
  <hyperlinks>
    <hyperlink ref="B3" location="'Cost Summary'!A1" display="BACK TO SUMMARY SHEET" xr:uid="{BC4461EB-D273-4A47-839C-5E1D041E55CF}"/>
    <hyperlink ref="H7:I7" r:id="rId1" display="christian@voltelectric.us" xr:uid="{AEE7F3C2-8E23-45B9-9154-24953DA4875A}"/>
  </hyperlinks>
  <printOptions horizontalCentered="1"/>
  <pageMargins left="0.7" right="0.7" top="0.75" bottom="0.75" header="0.3" footer="0.3"/>
  <pageSetup paperSize="3" scale="57" orientation="portrait"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F032-A882-4FFA-88F8-D0C9F91C5E8E}">
  <sheetPr>
    <tabColor rgb="FF92D050"/>
  </sheetPr>
  <dimension ref="A1:S91"/>
  <sheetViews>
    <sheetView workbookViewId="0">
      <pane xSplit="2" ySplit="9" topLeftCell="H21" activePane="bottomRight" state="frozen"/>
      <selection pane="bottomRight" activeCell="B28" sqref="B2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66"/>
      <c r="K2" s="766"/>
      <c r="L2" s="732"/>
      <c r="M2" s="732"/>
      <c r="N2" s="732"/>
      <c r="O2" s="732"/>
      <c r="P2" s="732"/>
      <c r="Q2" s="732"/>
      <c r="R2" s="732"/>
      <c r="S2" s="732"/>
    </row>
    <row r="3" spans="1:19" ht="19.5" thickBot="1">
      <c r="B3" s="150"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403" t="s">
        <v>489</v>
      </c>
      <c r="B5" s="2404" t="s">
        <v>1307</v>
      </c>
      <c r="C5" s="2405"/>
      <c r="D5" s="2405"/>
      <c r="E5" s="2405"/>
      <c r="F5" s="2405"/>
      <c r="G5" s="2406" t="s">
        <v>491</v>
      </c>
      <c r="H5" s="2407"/>
      <c r="I5" s="2408"/>
      <c r="J5" s="2407"/>
      <c r="K5" s="2408"/>
      <c r="L5" s="2407"/>
      <c r="M5" s="2408"/>
      <c r="N5" s="2407"/>
      <c r="O5" s="2408"/>
      <c r="P5" s="2407"/>
      <c r="Q5" s="2408"/>
      <c r="R5" s="2407"/>
      <c r="S5" s="2408"/>
    </row>
    <row r="6" spans="1:19">
      <c r="A6" s="2403" t="s">
        <v>493</v>
      </c>
      <c r="B6" s="2410" t="s">
        <v>1308</v>
      </c>
      <c r="C6" s="2405"/>
      <c r="D6" s="2405"/>
      <c r="E6" s="2405"/>
      <c r="F6" s="2405"/>
      <c r="G6" s="2406" t="s">
        <v>494</v>
      </c>
      <c r="H6" s="2411"/>
      <c r="I6" s="2412"/>
      <c r="J6" s="2411"/>
      <c r="K6" s="2412"/>
      <c r="L6" s="2411"/>
      <c r="M6" s="2412"/>
      <c r="N6" s="2411"/>
      <c r="O6" s="2412"/>
      <c r="P6" s="2411"/>
      <c r="Q6" s="2412"/>
      <c r="R6" s="2411"/>
      <c r="S6" s="2412"/>
    </row>
    <row r="7" spans="1:19">
      <c r="A7" s="2403" t="s">
        <v>496</v>
      </c>
      <c r="B7" s="2414"/>
      <c r="C7" s="2405"/>
      <c r="D7" s="2405"/>
      <c r="E7" s="2405"/>
      <c r="F7" s="2405"/>
      <c r="G7" s="2406" t="s">
        <v>497</v>
      </c>
      <c r="H7" s="2943"/>
      <c r="I7" s="2944"/>
      <c r="J7" s="2943"/>
      <c r="K7" s="2944"/>
      <c r="L7" s="2943"/>
      <c r="M7" s="2944"/>
      <c r="N7" s="2943"/>
      <c r="O7" s="2944"/>
      <c r="P7" s="2943"/>
      <c r="Q7" s="2944"/>
      <c r="R7" s="2943"/>
      <c r="S7" s="2944"/>
    </row>
    <row r="8" spans="1:19" ht="15.75" thickBot="1">
      <c r="A8" s="414" t="s">
        <v>499</v>
      </c>
      <c r="B8" s="295"/>
      <c r="C8" s="184"/>
      <c r="D8" s="184"/>
      <c r="E8" s="184"/>
      <c r="F8" s="184"/>
      <c r="G8" s="419" t="s">
        <v>499</v>
      </c>
      <c r="H8" s="2970"/>
      <c r="I8" s="2971"/>
      <c r="J8" s="2970"/>
      <c r="K8" s="2971"/>
      <c r="L8" s="2970"/>
      <c r="M8" s="2971"/>
      <c r="N8" s="2970"/>
      <c r="O8" s="2971"/>
      <c r="P8" s="2970"/>
      <c r="Q8" s="2971"/>
      <c r="R8" s="2970"/>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344" t="s">
        <v>508</v>
      </c>
      <c r="C10" s="2405"/>
      <c r="D10" s="2405"/>
      <c r="E10" s="2405"/>
      <c r="F10" s="2405"/>
      <c r="G10" s="2423"/>
      <c r="H10" s="2427"/>
      <c r="I10" s="2424"/>
      <c r="J10" s="2427"/>
      <c r="K10" s="2424"/>
      <c r="L10" s="2427"/>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7"/>
      <c r="I11" s="2424"/>
      <c r="J11" s="2427"/>
      <c r="K11" s="2424"/>
      <c r="L11" s="2427"/>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7"/>
      <c r="I12" s="2424"/>
      <c r="J12" s="2427"/>
      <c r="K12" s="2424"/>
      <c r="L12" s="2427"/>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7"/>
      <c r="I13" s="2424"/>
      <c r="J13" s="2427"/>
      <c r="K13" s="2424"/>
      <c r="L13" s="2427"/>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7"/>
      <c r="I14" s="2424"/>
      <c r="J14" s="2427"/>
      <c r="K14" s="2424"/>
      <c r="L14" s="2427"/>
      <c r="M14" s="2424"/>
      <c r="N14" s="2427"/>
      <c r="O14" s="2424"/>
      <c r="P14" s="2427"/>
      <c r="Q14" s="2424"/>
      <c r="R14" s="2427"/>
      <c r="S14" s="2424"/>
    </row>
    <row r="15" spans="1:19" hidden="1">
      <c r="A15" s="2421"/>
      <c r="B15" s="2404" t="str">
        <f>'Area Calculations'!M66</f>
        <v>Land scape Drawings by</v>
      </c>
      <c r="C15" s="2426" t="s">
        <v>509</v>
      </c>
      <c r="D15" s="2405"/>
      <c r="E15" s="2405"/>
      <c r="F15" s="2405"/>
      <c r="G15" s="2423"/>
      <c r="H15" s="2427"/>
      <c r="I15" s="2424"/>
      <c r="J15" s="2427"/>
      <c r="K15" s="2424"/>
      <c r="L15" s="2427"/>
      <c r="M15" s="2424"/>
      <c r="N15" s="2427"/>
      <c r="O15" s="2424"/>
      <c r="P15" s="2427"/>
      <c r="Q15" s="2424"/>
      <c r="R15" s="2427"/>
      <c r="S15" s="2424"/>
    </row>
    <row r="16" spans="1:19" hidden="1">
      <c r="A16" s="2421"/>
      <c r="B16" s="2404" t="str">
        <f>'Area Calculations'!M67</f>
        <v>Kitchen Drawings by</v>
      </c>
      <c r="C16" s="2426" t="s">
        <v>509</v>
      </c>
      <c r="D16" s="2405"/>
      <c r="E16" s="2405"/>
      <c r="F16" s="2405"/>
      <c r="G16" s="2423"/>
      <c r="H16" s="2427"/>
      <c r="I16" s="2424"/>
      <c r="J16" s="2427"/>
      <c r="K16" s="2424"/>
      <c r="L16" s="2427"/>
      <c r="M16" s="2424"/>
      <c r="N16" s="2427"/>
      <c r="O16" s="2424"/>
      <c r="P16" s="2427"/>
      <c r="Q16" s="2424"/>
      <c r="R16" s="2427"/>
      <c r="S16" s="2424"/>
    </row>
    <row r="17" spans="1:19" hidden="1">
      <c r="A17" s="2421"/>
      <c r="B17" s="2404" t="str">
        <f>'Area Calculations'!M68</f>
        <v>Storefront Designer by</v>
      </c>
      <c r="C17" s="2426" t="s">
        <v>509</v>
      </c>
      <c r="D17" s="2405"/>
      <c r="E17" s="2405"/>
      <c r="F17" s="2405"/>
      <c r="G17" s="2423"/>
      <c r="H17" s="2427"/>
      <c r="I17" s="2424"/>
      <c r="J17" s="2427"/>
      <c r="K17" s="2424"/>
      <c r="L17" s="2427"/>
      <c r="M17" s="2424"/>
      <c r="N17" s="2427"/>
      <c r="O17" s="2424"/>
      <c r="P17" s="2427"/>
      <c r="Q17" s="2424"/>
      <c r="R17" s="2427"/>
      <c r="S17" s="2424"/>
    </row>
    <row r="18" spans="1:19" hidden="1">
      <c r="A18" s="2421"/>
      <c r="B18" s="2404" t="str">
        <f>'Area Calculations'!M69</f>
        <v>Geotech report by</v>
      </c>
      <c r="C18" s="2426" t="s">
        <v>509</v>
      </c>
      <c r="D18" s="2405"/>
      <c r="E18" s="2405"/>
      <c r="F18" s="2405"/>
      <c r="G18" s="2423"/>
      <c r="H18" s="2427"/>
      <c r="I18" s="2424"/>
      <c r="J18" s="2427"/>
      <c r="K18" s="2424"/>
      <c r="L18" s="2427"/>
      <c r="M18" s="2424"/>
      <c r="N18" s="2427"/>
      <c r="O18" s="2424"/>
      <c r="P18" s="2427"/>
      <c r="Q18" s="2424"/>
      <c r="R18" s="2427"/>
      <c r="S18" s="2424"/>
    </row>
    <row r="19" spans="1:19" hidden="1">
      <c r="A19" s="2421"/>
      <c r="B19" s="2404" t="str">
        <f>'Area Calculations'!M70</f>
        <v>Specifications</v>
      </c>
      <c r="C19" s="2426" t="s">
        <v>509</v>
      </c>
      <c r="D19" s="2405"/>
      <c r="E19" s="2405"/>
      <c r="F19" s="2405"/>
      <c r="G19" s="2423"/>
      <c r="H19" s="2427"/>
      <c r="I19" s="2424"/>
      <c r="J19" s="2427"/>
      <c r="K19" s="2424"/>
      <c r="L19" s="2427"/>
      <c r="M19" s="2424"/>
      <c r="N19" s="2427"/>
      <c r="O19" s="2424"/>
      <c r="P19" s="2427"/>
      <c r="Q19" s="2424"/>
      <c r="R19" s="2427"/>
      <c r="S19" s="2424"/>
    </row>
    <row r="20" spans="1:19" hidden="1">
      <c r="A20" s="2421"/>
      <c r="B20" s="2404"/>
      <c r="C20" s="2426"/>
      <c r="D20" s="2405"/>
      <c r="E20" s="2405"/>
      <c r="F20" s="2405"/>
      <c r="G20" s="2423"/>
      <c r="H20" s="2427"/>
      <c r="I20" s="2424"/>
      <c r="J20" s="2427"/>
      <c r="K20" s="2424"/>
      <c r="L20" s="2427"/>
      <c r="M20" s="2424"/>
      <c r="N20" s="2427"/>
      <c r="O20" s="2424"/>
      <c r="P20" s="2427"/>
      <c r="Q20" s="2424"/>
      <c r="R20" s="2427"/>
      <c r="S20" s="2424"/>
    </row>
    <row r="21" spans="1:19" ht="16.5" thickTop="1" thickBot="1">
      <c r="A21" s="59"/>
      <c r="B21" s="2428" t="s">
        <v>1307</v>
      </c>
      <c r="C21" s="56"/>
      <c r="D21" s="57"/>
      <c r="E21" s="57"/>
      <c r="F21" s="57"/>
      <c r="G21" s="63"/>
      <c r="H21" s="2427"/>
      <c r="I21" s="3345"/>
      <c r="J21" s="2427"/>
      <c r="K21" s="3346"/>
      <c r="L21" s="2427"/>
      <c r="M21" s="3346"/>
      <c r="N21" s="2427"/>
      <c r="O21" s="3346"/>
      <c r="P21" s="2427"/>
      <c r="Q21" s="3346"/>
      <c r="R21" s="2427"/>
      <c r="S21" s="3346"/>
    </row>
    <row r="22" spans="1:19">
      <c r="A22" s="3328"/>
      <c r="B22" s="2318" t="s">
        <v>512</v>
      </c>
      <c r="C22" s="2426"/>
      <c r="D22" s="2405"/>
      <c r="E22" s="2405"/>
      <c r="F22" s="2405"/>
      <c r="G22" s="2423"/>
      <c r="H22" s="2427"/>
      <c r="I22" s="3345"/>
      <c r="J22" s="2427"/>
      <c r="K22" s="3346"/>
      <c r="L22" s="2427"/>
      <c r="M22" s="3346"/>
      <c r="N22" s="2427"/>
      <c r="O22" s="3346"/>
      <c r="P22" s="2427"/>
      <c r="Q22" s="3346"/>
      <c r="R22" s="2427"/>
      <c r="S22" s="3346"/>
    </row>
    <row r="23" spans="1:19">
      <c r="A23" s="3328"/>
      <c r="B23" s="3347" t="s">
        <v>513</v>
      </c>
      <c r="C23" s="2426"/>
      <c r="D23" s="2405"/>
      <c r="E23" s="2405"/>
      <c r="F23" s="2405"/>
      <c r="G23" s="2423"/>
      <c r="H23" s="2427"/>
      <c r="I23" s="3345"/>
      <c r="J23" s="2427"/>
      <c r="K23" s="3346"/>
      <c r="L23" s="2427"/>
      <c r="M23" s="3346"/>
      <c r="N23" s="2427"/>
      <c r="O23" s="3346"/>
      <c r="P23" s="2427"/>
      <c r="Q23" s="3346"/>
      <c r="R23" s="2427"/>
      <c r="S23" s="3346"/>
    </row>
    <row r="24" spans="1:19">
      <c r="A24" s="3328"/>
      <c r="B24" s="3347" t="s">
        <v>514</v>
      </c>
      <c r="C24" s="2426"/>
      <c r="D24" s="2405"/>
      <c r="E24" s="2405"/>
      <c r="F24" s="2405"/>
      <c r="G24" s="2423"/>
      <c r="H24" s="2427"/>
      <c r="I24" s="3345"/>
      <c r="J24" s="2427"/>
      <c r="K24" s="3346"/>
      <c r="L24" s="2427"/>
      <c r="M24" s="3346"/>
      <c r="N24" s="2427"/>
      <c r="O24" s="3346"/>
      <c r="P24" s="2427"/>
      <c r="Q24" s="3346"/>
      <c r="R24" s="2427"/>
      <c r="S24" s="3346"/>
    </row>
    <row r="25" spans="1:19">
      <c r="A25" s="2685"/>
      <c r="B25" s="3348" t="s">
        <v>515</v>
      </c>
      <c r="C25" s="2426"/>
      <c r="D25" s="2405"/>
      <c r="E25" s="2405"/>
      <c r="F25" s="2405"/>
      <c r="G25" s="2423"/>
      <c r="H25" s="2427"/>
      <c r="I25" s="3345"/>
      <c r="J25" s="2427"/>
      <c r="K25" s="3346"/>
      <c r="L25" s="2427"/>
      <c r="M25" s="3346"/>
      <c r="N25" s="2427"/>
      <c r="O25" s="3346"/>
      <c r="P25" s="2427"/>
      <c r="Q25" s="3346"/>
      <c r="R25" s="2427"/>
      <c r="S25" s="3346"/>
    </row>
    <row r="26" spans="1:19">
      <c r="A26" s="3328"/>
      <c r="B26" s="3348" t="s">
        <v>516</v>
      </c>
      <c r="C26" s="2426"/>
      <c r="D26" s="2405"/>
      <c r="E26" s="2405"/>
      <c r="F26" s="2405"/>
      <c r="G26" s="2423"/>
      <c r="H26" s="2427"/>
      <c r="I26" s="3345"/>
      <c r="J26" s="2427"/>
      <c r="K26" s="3346"/>
      <c r="L26" s="2427"/>
      <c r="M26" s="3346"/>
      <c r="N26" s="2427"/>
      <c r="O26" s="3346"/>
      <c r="P26" s="2427"/>
      <c r="Q26" s="3346"/>
      <c r="R26" s="2427"/>
      <c r="S26" s="3346"/>
    </row>
    <row r="27" spans="1:19">
      <c r="A27" s="2685"/>
      <c r="B27" s="3348" t="s">
        <v>1309</v>
      </c>
      <c r="C27" s="2426"/>
      <c r="D27" s="2405"/>
      <c r="E27" s="2405"/>
      <c r="F27" s="2405"/>
      <c r="G27" s="2423"/>
      <c r="H27" s="2427"/>
      <c r="I27" s="3345"/>
      <c r="J27" s="2427"/>
      <c r="K27" s="3346"/>
      <c r="L27" s="2427"/>
      <c r="M27" s="3349"/>
      <c r="N27" s="2427"/>
      <c r="O27" s="3346"/>
      <c r="P27" s="2427"/>
      <c r="Q27" s="3346"/>
      <c r="R27" s="2427"/>
      <c r="S27" s="3346"/>
    </row>
    <row r="28" spans="1:19">
      <c r="A28" s="2685"/>
      <c r="B28" s="3348" t="s">
        <v>517</v>
      </c>
      <c r="C28" s="2426"/>
      <c r="D28" s="2405"/>
      <c r="E28" s="2405"/>
      <c r="F28" s="2405"/>
      <c r="G28" s="2423"/>
      <c r="H28" s="2427"/>
      <c r="I28" s="3345"/>
      <c r="J28" s="2427"/>
      <c r="K28" s="3346"/>
      <c r="L28" s="2427"/>
      <c r="M28" s="3346"/>
      <c r="N28" s="2427"/>
      <c r="O28" s="3346"/>
      <c r="P28" s="2427"/>
      <c r="Q28" s="3346"/>
      <c r="R28" s="2427"/>
      <c r="S28" s="3346"/>
    </row>
    <row r="29" spans="1:19">
      <c r="A29" s="3350"/>
      <c r="B29" s="3351" t="s">
        <v>693</v>
      </c>
      <c r="C29" s="2426"/>
      <c r="D29" s="2405"/>
      <c r="E29" s="2405"/>
      <c r="F29" s="2405"/>
      <c r="G29" s="2423"/>
      <c r="H29" s="2427"/>
      <c r="I29" s="3352"/>
      <c r="J29" s="2427"/>
      <c r="K29" s="3353"/>
      <c r="L29" s="2427"/>
      <c r="M29" s="3353"/>
      <c r="N29" s="2427"/>
      <c r="O29" s="3353"/>
      <c r="P29" s="2427"/>
      <c r="Q29" s="3353"/>
      <c r="R29" s="2427"/>
      <c r="S29" s="3353"/>
    </row>
    <row r="30" spans="1:19" ht="20.25" customHeight="1">
      <c r="A30" s="3328"/>
      <c r="B30" s="3354" t="s">
        <v>518</v>
      </c>
      <c r="C30" s="2426"/>
      <c r="D30" s="2405"/>
      <c r="E30" s="2405"/>
      <c r="F30" s="2405"/>
      <c r="G30" s="2423"/>
      <c r="H30" s="2427"/>
      <c r="I30" s="3345"/>
      <c r="J30" s="2427"/>
      <c r="K30" s="3346"/>
      <c r="L30" s="2427"/>
      <c r="M30" s="3346"/>
      <c r="N30" s="2427"/>
      <c r="O30" s="3346"/>
      <c r="P30" s="2427"/>
      <c r="Q30" s="3346"/>
      <c r="R30" s="2427"/>
      <c r="S30" s="3346"/>
    </row>
    <row r="31" spans="1:19">
      <c r="A31" s="2685"/>
      <c r="B31" s="3355" t="s">
        <v>520</v>
      </c>
      <c r="C31" s="3356"/>
      <c r="D31" s="2980"/>
      <c r="E31" s="2980"/>
      <c r="F31" s="2980"/>
      <c r="G31" s="3079"/>
      <c r="H31" s="3357"/>
      <c r="I31" s="3358"/>
      <c r="J31" s="3358"/>
      <c r="K31" s="3358"/>
      <c r="L31" s="3359"/>
      <c r="M31" s="3360"/>
      <c r="N31" s="3358"/>
      <c r="O31" s="3358"/>
      <c r="P31" s="3358"/>
      <c r="Q31" s="3358"/>
      <c r="R31" s="2439"/>
      <c r="S31" s="3360"/>
    </row>
    <row r="32" spans="1:19">
      <c r="A32" s="2685"/>
      <c r="B32" s="3361"/>
      <c r="C32" s="2426"/>
      <c r="D32" s="2405"/>
      <c r="E32" s="2405"/>
      <c r="F32" s="2405"/>
      <c r="G32" s="2423"/>
      <c r="H32" s="2427"/>
      <c r="I32" s="3345"/>
      <c r="J32" s="2427"/>
      <c r="K32" s="3346"/>
      <c r="L32" s="2427"/>
      <c r="M32" s="3346"/>
      <c r="N32" s="2427"/>
      <c r="O32" s="3346"/>
      <c r="P32" s="2427"/>
      <c r="Q32" s="3346"/>
      <c r="R32" s="2427"/>
      <c r="S32" s="3346"/>
    </row>
    <row r="33" spans="1:19">
      <c r="A33" s="3328"/>
      <c r="B33" s="3361"/>
      <c r="C33" s="2426"/>
      <c r="D33" s="2405"/>
      <c r="E33" s="2405"/>
      <c r="F33" s="2405"/>
      <c r="G33" s="2423"/>
      <c r="H33" s="2427"/>
      <c r="I33" s="3345"/>
      <c r="J33" s="2427"/>
      <c r="K33" s="3346"/>
      <c r="L33" s="2427"/>
      <c r="M33" s="3346"/>
      <c r="N33" s="2427"/>
      <c r="O33" s="3346"/>
      <c r="P33" s="2427"/>
      <c r="Q33" s="3346"/>
      <c r="R33" s="2427"/>
      <c r="S33" s="3346"/>
    </row>
    <row r="34" spans="1:19">
      <c r="A34" s="2685"/>
      <c r="B34" s="3361"/>
      <c r="C34" s="2426"/>
      <c r="D34" s="2405"/>
      <c r="E34" s="2405"/>
      <c r="F34" s="2405"/>
      <c r="G34" s="2423"/>
      <c r="H34" s="2427"/>
      <c r="I34" s="3345"/>
      <c r="J34" s="2427"/>
      <c r="K34" s="3346"/>
      <c r="L34" s="2427"/>
      <c r="M34" s="3346"/>
      <c r="N34" s="2427"/>
      <c r="O34" s="3346"/>
      <c r="P34" s="2427"/>
      <c r="Q34" s="3346"/>
      <c r="R34" s="2427"/>
      <c r="S34" s="3346"/>
    </row>
    <row r="35" spans="1:19">
      <c r="A35" s="3328"/>
      <c r="B35" s="3362"/>
      <c r="C35" s="2426"/>
      <c r="D35" s="2405"/>
      <c r="E35" s="2405"/>
      <c r="F35" s="2405"/>
      <c r="G35" s="2423"/>
      <c r="H35" s="2427"/>
      <c r="I35" s="3345"/>
      <c r="J35" s="2427"/>
      <c r="K35" s="3346"/>
      <c r="L35" s="2427"/>
      <c r="M35" s="3346"/>
      <c r="N35" s="2427"/>
      <c r="O35" s="3346"/>
      <c r="P35" s="2427"/>
      <c r="Q35" s="3346"/>
      <c r="R35" s="2427"/>
      <c r="S35" s="3346"/>
    </row>
    <row r="36" spans="1:19">
      <c r="A36" s="3328"/>
      <c r="B36" s="3362"/>
      <c r="C36" s="2426"/>
      <c r="D36" s="2405"/>
      <c r="E36" s="2405"/>
      <c r="F36" s="2405"/>
      <c r="G36" s="2423"/>
      <c r="H36" s="2427"/>
      <c r="I36" s="3345"/>
      <c r="J36" s="2427"/>
      <c r="K36" s="3346"/>
      <c r="L36" s="2427"/>
      <c r="M36" s="3346"/>
      <c r="N36" s="2427"/>
      <c r="O36" s="3346"/>
      <c r="P36" s="2427"/>
      <c r="Q36" s="3346"/>
      <c r="R36" s="2427"/>
      <c r="S36" s="3346"/>
    </row>
    <row r="37" spans="1:19">
      <c r="A37" s="2685"/>
      <c r="B37" s="3363"/>
      <c r="C37" s="2426"/>
      <c r="D37" s="2405"/>
      <c r="E37" s="2405"/>
      <c r="F37" s="2405"/>
      <c r="G37" s="2423"/>
      <c r="H37" s="2427"/>
      <c r="I37" s="3349"/>
      <c r="J37" s="2427"/>
      <c r="K37" s="3349"/>
      <c r="L37" s="2427"/>
      <c r="M37" s="3349"/>
      <c r="N37" s="2427"/>
      <c r="O37" s="3346"/>
      <c r="P37" s="2427"/>
      <c r="Q37" s="3346"/>
      <c r="R37" s="2427"/>
      <c r="S37" s="3346"/>
    </row>
    <row r="38" spans="1:19">
      <c r="A38" s="3328"/>
      <c r="B38" s="3363"/>
      <c r="C38" s="2426"/>
      <c r="D38" s="2405"/>
      <c r="E38" s="2405"/>
      <c r="F38" s="2405"/>
      <c r="G38" s="2423"/>
      <c r="H38" s="2427"/>
      <c r="I38" s="3349"/>
      <c r="J38" s="2427"/>
      <c r="K38" s="3349"/>
      <c r="L38" s="2427"/>
      <c r="M38" s="3349"/>
      <c r="N38" s="2427"/>
      <c r="O38" s="3346"/>
      <c r="P38" s="2427"/>
      <c r="Q38" s="3346"/>
      <c r="R38" s="2427"/>
      <c r="S38" s="3346"/>
    </row>
    <row r="39" spans="1:19">
      <c r="A39" s="2685"/>
      <c r="B39" s="3363"/>
      <c r="C39" s="2426"/>
      <c r="D39" s="2405"/>
      <c r="E39" s="2405"/>
      <c r="F39" s="2405"/>
      <c r="G39" s="2423"/>
      <c r="H39" s="2427"/>
      <c r="I39" s="3349"/>
      <c r="J39" s="2427"/>
      <c r="K39" s="3349"/>
      <c r="L39" s="2427"/>
      <c r="M39" s="3349"/>
      <c r="N39" s="2427"/>
      <c r="O39" s="3346"/>
      <c r="P39" s="2427"/>
      <c r="Q39" s="3346"/>
      <c r="R39" s="2427"/>
      <c r="S39" s="3346"/>
    </row>
    <row r="40" spans="1:19">
      <c r="A40" s="3328"/>
      <c r="B40" s="3363"/>
      <c r="C40" s="2426"/>
      <c r="D40" s="2405"/>
      <c r="E40" s="2405"/>
      <c r="F40" s="2405"/>
      <c r="G40" s="2423"/>
      <c r="H40" s="2427"/>
      <c r="I40" s="3349"/>
      <c r="J40" s="2427"/>
      <c r="K40" s="3349"/>
      <c r="L40" s="2427"/>
      <c r="M40" s="3349"/>
      <c r="N40" s="2427"/>
      <c r="O40" s="3346"/>
      <c r="P40" s="2427"/>
      <c r="Q40" s="3346"/>
      <c r="R40" s="2427"/>
      <c r="S40" s="3346"/>
    </row>
    <row r="41" spans="1:19">
      <c r="A41" s="2685"/>
      <c r="B41" s="3363"/>
      <c r="C41" s="2426"/>
      <c r="D41" s="2405"/>
      <c r="E41" s="2405"/>
      <c r="F41" s="2405"/>
      <c r="G41" s="2423"/>
      <c r="H41" s="2427"/>
      <c r="I41" s="3349"/>
      <c r="J41" s="2427"/>
      <c r="K41" s="3349"/>
      <c r="L41" s="2427"/>
      <c r="M41" s="3349"/>
      <c r="N41" s="2427"/>
      <c r="O41" s="3346"/>
      <c r="P41" s="2427"/>
      <c r="Q41" s="3346"/>
      <c r="R41" s="2427"/>
      <c r="S41" s="3346"/>
    </row>
    <row r="42" spans="1:19" ht="18.600000000000001" customHeight="1">
      <c r="A42" s="3328"/>
      <c r="B42" s="3364"/>
      <c r="C42" s="2426"/>
      <c r="D42" s="2405"/>
      <c r="E42" s="2405"/>
      <c r="F42" s="2405"/>
      <c r="G42" s="2423"/>
      <c r="H42" s="2427"/>
      <c r="I42" s="3345"/>
      <c r="J42" s="2427"/>
      <c r="K42" s="3346"/>
      <c r="L42" s="2427"/>
      <c r="M42" s="3346"/>
      <c r="N42" s="2427"/>
      <c r="O42" s="3346"/>
      <c r="P42" s="2427"/>
      <c r="Q42" s="3346"/>
      <c r="R42" s="2427"/>
      <c r="S42" s="3346"/>
    </row>
    <row r="43" spans="1:19">
      <c r="A43" s="2685"/>
      <c r="B43" s="301"/>
      <c r="C43" s="302"/>
      <c r="D43" s="302"/>
      <c r="E43" s="302"/>
      <c r="F43" s="302"/>
      <c r="G43" s="303"/>
      <c r="H43" s="2427"/>
      <c r="I43" s="3353"/>
      <c r="J43" s="2427"/>
      <c r="K43" s="3346"/>
      <c r="L43" s="2427"/>
      <c r="M43" s="3346"/>
      <c r="N43" s="2427"/>
      <c r="O43" s="3346"/>
      <c r="P43" s="2427"/>
      <c r="Q43" s="3346"/>
      <c r="R43" s="2427"/>
      <c r="S43" s="3346"/>
    </row>
    <row r="44" spans="1:19">
      <c r="A44" s="3328"/>
      <c r="B44" s="304"/>
      <c r="C44" s="305"/>
      <c r="D44" s="305"/>
      <c r="E44" s="305"/>
      <c r="F44" s="305"/>
      <c r="G44" s="306"/>
      <c r="H44" s="2427"/>
      <c r="I44" s="3353"/>
      <c r="J44" s="2427"/>
      <c r="K44" s="3346"/>
      <c r="L44" s="2427"/>
      <c r="M44" s="3346"/>
      <c r="N44" s="2427"/>
      <c r="O44" s="3346"/>
      <c r="P44" s="2427"/>
      <c r="Q44" s="3346"/>
      <c r="R44" s="2427"/>
      <c r="S44" s="3346"/>
    </row>
    <row r="45" spans="1:19">
      <c r="A45" s="2685"/>
      <c r="B45" s="3365"/>
      <c r="C45" s="3366"/>
      <c r="D45" s="3367"/>
      <c r="E45" s="3367"/>
      <c r="F45" s="3367"/>
      <c r="G45" s="3368"/>
      <c r="H45" s="2427"/>
      <c r="I45" s="3353"/>
      <c r="J45" s="2427"/>
      <c r="K45" s="3346"/>
      <c r="L45" s="2427"/>
      <c r="M45" s="3346"/>
      <c r="N45" s="2427"/>
      <c r="O45" s="3346"/>
      <c r="P45" s="2427"/>
      <c r="Q45" s="3346"/>
      <c r="R45" s="2427"/>
      <c r="S45" s="3346"/>
    </row>
    <row r="46" spans="1:19">
      <c r="A46" s="3328"/>
      <c r="B46" s="2686"/>
      <c r="C46" s="2426"/>
      <c r="D46" s="2405"/>
      <c r="E46" s="2405"/>
      <c r="F46" s="2405"/>
      <c r="G46" s="2423"/>
      <c r="H46" s="2427"/>
      <c r="I46" s="3353"/>
      <c r="J46" s="2427"/>
      <c r="K46" s="3346"/>
      <c r="L46" s="2427"/>
      <c r="M46" s="3346"/>
      <c r="N46" s="2427"/>
      <c r="O46" s="3346"/>
      <c r="P46" s="2427"/>
      <c r="Q46" s="3346"/>
      <c r="R46" s="2427"/>
      <c r="S46" s="3346"/>
    </row>
    <row r="47" spans="1:19" ht="15.75" thickBot="1">
      <c r="A47" s="2685"/>
      <c r="B47" s="2686"/>
      <c r="C47" s="2426"/>
      <c r="D47" s="2405"/>
      <c r="E47" s="2405"/>
      <c r="F47" s="2405"/>
      <c r="G47" s="2423"/>
      <c r="H47" s="2427"/>
      <c r="I47" s="3353"/>
      <c r="J47" s="2427"/>
      <c r="K47" s="3346"/>
      <c r="L47" s="2427"/>
      <c r="M47" s="3346"/>
      <c r="N47" s="2427"/>
      <c r="O47" s="3346"/>
      <c r="P47" s="2427"/>
      <c r="Q47" s="3346"/>
      <c r="R47" s="2427"/>
      <c r="S47" s="3346"/>
    </row>
    <row r="48" spans="1:19" ht="15.75" thickTop="1">
      <c r="A48" s="14"/>
      <c r="B48" s="15"/>
      <c r="C48" s="16"/>
      <c r="D48" s="16"/>
      <c r="E48" s="17"/>
      <c r="F48" s="18" t="s">
        <v>567</v>
      </c>
      <c r="G48" s="19" t="s">
        <v>587</v>
      </c>
      <c r="H48" s="20"/>
      <c r="I48" s="61">
        <f>SUM(I23:I47)</f>
        <v>0</v>
      </c>
      <c r="J48" s="20"/>
      <c r="K48" s="61">
        <f>SUM(K23:K47)</f>
        <v>0</v>
      </c>
      <c r="L48" s="20"/>
      <c r="M48" s="61">
        <f>SUM(M23:M47)</f>
        <v>0</v>
      </c>
      <c r="N48" s="20"/>
      <c r="O48" s="61">
        <f>SUM(O23:O47)</f>
        <v>0</v>
      </c>
      <c r="P48" s="20"/>
      <c r="Q48" s="61">
        <f>SUM(Q23:Q47)</f>
        <v>0</v>
      </c>
      <c r="R48" s="20"/>
      <c r="S48" s="61">
        <f>SUM(S23:S47)</f>
        <v>0</v>
      </c>
    </row>
    <row r="49" spans="1:19">
      <c r="A49" s="2358"/>
      <c r="B49" s="2359"/>
      <c r="C49" s="2360"/>
      <c r="D49" s="2360"/>
      <c r="E49" s="2361"/>
      <c r="F49" s="2362" t="s">
        <v>568</v>
      </c>
      <c r="G49" s="2363"/>
      <c r="H49" s="2364">
        <v>0</v>
      </c>
      <c r="I49" s="415"/>
      <c r="J49" s="2364">
        <v>0</v>
      </c>
      <c r="K49" s="415"/>
      <c r="L49" s="2364">
        <v>0</v>
      </c>
      <c r="M49" s="415"/>
      <c r="N49" s="2364">
        <v>0</v>
      </c>
      <c r="O49" s="415"/>
      <c r="P49" s="2364">
        <v>0</v>
      </c>
      <c r="Q49" s="415"/>
      <c r="R49" s="2364">
        <v>0</v>
      </c>
      <c r="S49" s="415"/>
    </row>
    <row r="50" spans="1:19">
      <c r="A50" s="2358"/>
      <c r="B50" s="2359"/>
      <c r="C50" s="2360"/>
      <c r="D50" s="2360"/>
      <c r="E50" s="2361"/>
      <c r="F50" s="2362" t="s">
        <v>569</v>
      </c>
      <c r="G50" s="2363"/>
      <c r="H50" s="2366"/>
      <c r="I50" s="2465">
        <f>I48*H49</f>
        <v>0</v>
      </c>
      <c r="J50" s="2366"/>
      <c r="K50" s="2465">
        <f>K48*J49</f>
        <v>0</v>
      </c>
      <c r="L50" s="2366"/>
      <c r="M50" s="2465">
        <f>M48*L49</f>
        <v>0</v>
      </c>
      <c r="N50" s="2366"/>
      <c r="O50" s="2465">
        <f>O48*N49</f>
        <v>0</v>
      </c>
      <c r="P50" s="2366"/>
      <c r="Q50" s="2465">
        <f>Q48*P49</f>
        <v>0</v>
      </c>
      <c r="R50" s="2366"/>
      <c r="S50" s="2465">
        <f>S48*R49</f>
        <v>0</v>
      </c>
    </row>
    <row r="51" spans="1:19">
      <c r="A51" s="2358"/>
      <c r="B51" s="2359"/>
      <c r="C51" s="2360"/>
      <c r="D51" s="2360"/>
      <c r="E51" s="2361"/>
      <c r="F51" s="2362"/>
      <c r="G51" s="2363"/>
      <c r="H51" s="2366"/>
      <c r="I51" s="2464"/>
      <c r="J51" s="2366"/>
      <c r="K51" s="2464"/>
      <c r="L51" s="2366"/>
      <c r="M51" s="2464"/>
      <c r="N51" s="2366"/>
      <c r="O51" s="2464"/>
      <c r="P51" s="2366"/>
      <c r="Q51" s="2464"/>
      <c r="R51" s="2366"/>
      <c r="S51" s="2464"/>
    </row>
    <row r="52" spans="1:19">
      <c r="A52" s="2358"/>
      <c r="B52" s="2359"/>
      <c r="C52" s="2360"/>
      <c r="D52" s="2360"/>
      <c r="E52" s="2361"/>
      <c r="F52" s="2362" t="s">
        <v>570</v>
      </c>
      <c r="G52" s="2363"/>
      <c r="H52" s="2368"/>
      <c r="I52" s="2465">
        <f>SUM(I48:I50)</f>
        <v>0</v>
      </c>
      <c r="J52" s="2368"/>
      <c r="K52" s="2465">
        <f>SUM(K48:K50)</f>
        <v>0</v>
      </c>
      <c r="L52" s="2368"/>
      <c r="M52" s="2465">
        <f>SUM(M48:M50)</f>
        <v>0</v>
      </c>
      <c r="N52" s="2368"/>
      <c r="O52" s="2465">
        <f>SUM(O48:O50)</f>
        <v>0</v>
      </c>
      <c r="P52" s="2368"/>
      <c r="Q52" s="2465">
        <f>SUM(Q48:Q50)</f>
        <v>0</v>
      </c>
      <c r="R52" s="2368"/>
      <c r="S52" s="2465">
        <f>SUM(S48:S50)</f>
        <v>0</v>
      </c>
    </row>
    <row r="53" spans="1:19">
      <c r="A53" s="2358"/>
      <c r="B53" s="2359"/>
      <c r="C53" s="2360"/>
      <c r="D53" s="2360"/>
      <c r="E53" s="2361"/>
      <c r="F53" s="2370" t="s">
        <v>571</v>
      </c>
      <c r="G53" s="2371"/>
      <c r="H53" s="2372"/>
      <c r="I53" s="2373" t="e">
        <f>I52/'Area Calculations'!$J$4</f>
        <v>#DIV/0!</v>
      </c>
      <c r="J53" s="2372"/>
      <c r="K53" s="2373" t="e">
        <f>K52/'Area Calculations'!$J$4</f>
        <v>#DIV/0!</v>
      </c>
      <c r="L53" s="2372"/>
      <c r="M53" s="2373" t="e">
        <f>M52/'Area Calculations'!$J$4</f>
        <v>#DIV/0!</v>
      </c>
      <c r="N53" s="2372"/>
      <c r="O53" s="2373" t="e">
        <f>O52/'Area Calculations'!$J$4</f>
        <v>#DIV/0!</v>
      </c>
      <c r="P53" s="2372"/>
      <c r="Q53" s="2373" t="e">
        <f>Q52/'Area Calculations'!$J$4</f>
        <v>#DIV/0!</v>
      </c>
      <c r="R53" s="2372"/>
      <c r="S53" s="2373" t="e">
        <f>S52/'Area Calculations'!$J$4</f>
        <v>#DIV/0!</v>
      </c>
    </row>
    <row r="54" spans="1:19">
      <c r="A54" s="2358"/>
      <c r="B54" s="2359"/>
      <c r="C54" s="2360"/>
      <c r="D54" s="2360"/>
      <c r="E54" s="2361"/>
      <c r="F54" s="2370" t="s">
        <v>572</v>
      </c>
      <c r="G54" s="2374"/>
      <c r="H54" s="2372"/>
      <c r="I54" s="2373" t="e">
        <f>I52/'Area Calculations'!#REF!</f>
        <v>#REF!</v>
      </c>
      <c r="J54" s="2372"/>
      <c r="K54" s="2373" t="e">
        <f>K52/'Area Calculations'!#REF!</f>
        <v>#REF!</v>
      </c>
      <c r="L54" s="2372"/>
      <c r="M54" s="2373" t="e">
        <f>M52/'Area Calculations'!#REF!</f>
        <v>#REF!</v>
      </c>
      <c r="N54" s="2372"/>
      <c r="O54" s="2373" t="e">
        <f>O52/'Area Calculations'!#REF!</f>
        <v>#REF!</v>
      </c>
      <c r="P54" s="2372"/>
      <c r="Q54" s="2373" t="e">
        <f>Q52/'Area Calculations'!#REF!</f>
        <v>#REF!</v>
      </c>
      <c r="R54" s="2372"/>
      <c r="S54" s="2373" t="e">
        <f>S52/'Area Calculations'!#REF!</f>
        <v>#REF!</v>
      </c>
    </row>
    <row r="55" spans="1:19" ht="15.75" thickBot="1">
      <c r="A55" s="2358"/>
      <c r="B55" s="2359" t="s">
        <v>1310</v>
      </c>
      <c r="C55" s="2360"/>
      <c r="D55" s="2360"/>
      <c r="E55" s="2361"/>
      <c r="F55" s="2362"/>
      <c r="G55" s="2375">
        <v>2.2000000000000001E-3</v>
      </c>
      <c r="H55" s="2376"/>
      <c r="I55" s="2377">
        <f>I51*$G$46</f>
        <v>0</v>
      </c>
      <c r="J55" s="2376"/>
      <c r="K55" s="2377">
        <f>K51*$G$46</f>
        <v>0</v>
      </c>
      <c r="L55" s="2376"/>
      <c r="M55" s="2377">
        <f>M51*$G$46</f>
        <v>0</v>
      </c>
      <c r="N55" s="2376"/>
      <c r="O55" s="2377">
        <f>O51*$G$46</f>
        <v>0</v>
      </c>
      <c r="P55" s="2376"/>
      <c r="Q55" s="2377">
        <f>Q51*$G$46</f>
        <v>0</v>
      </c>
      <c r="R55" s="2376"/>
      <c r="S55" s="2377">
        <f>S51*$G$46</f>
        <v>0</v>
      </c>
    </row>
    <row r="56" spans="1:19" ht="16.5" thickTop="1" thickBot="1">
      <c r="A56" s="726" t="s">
        <v>573</v>
      </c>
      <c r="B56" s="727"/>
      <c r="C56" s="12"/>
      <c r="D56" s="12"/>
      <c r="E56" s="12"/>
      <c r="F56" s="12"/>
      <c r="G56" s="13"/>
      <c r="H56" s="21"/>
      <c r="I56" s="21"/>
      <c r="J56" s="21"/>
      <c r="K56" s="21"/>
      <c r="L56" s="21"/>
      <c r="M56" s="21"/>
      <c r="N56" s="21"/>
      <c r="O56" s="21"/>
      <c r="P56" s="21"/>
      <c r="Q56" s="21"/>
      <c r="R56" s="21"/>
      <c r="S56" s="21"/>
    </row>
    <row r="57" spans="1:19" ht="15.75" thickTop="1">
      <c r="A57" s="3369"/>
      <c r="B57" s="2404"/>
      <c r="C57" s="3370"/>
      <c r="D57" s="3370"/>
      <c r="E57" s="3370"/>
      <c r="F57" s="3370"/>
      <c r="G57" s="3371"/>
      <c r="H57" s="3372"/>
      <c r="I57" s="3372"/>
      <c r="J57" s="3372"/>
      <c r="K57" s="3372"/>
      <c r="L57" s="3372"/>
      <c r="M57" s="3372"/>
      <c r="N57" s="3372"/>
      <c r="O57" s="3372"/>
      <c r="P57" s="3372"/>
      <c r="Q57" s="3372"/>
      <c r="R57" s="3372"/>
      <c r="S57" s="3372"/>
    </row>
    <row r="58" spans="1:19">
      <c r="A58" s="3369"/>
      <c r="B58" s="2404"/>
      <c r="C58" s="3370"/>
      <c r="D58" s="3370"/>
      <c r="E58" s="3370"/>
      <c r="F58" s="3370"/>
      <c r="G58" s="3371"/>
      <c r="H58" s="3372"/>
      <c r="I58" s="3372"/>
      <c r="J58" s="3372"/>
      <c r="K58" s="3372"/>
      <c r="L58" s="3372"/>
      <c r="M58" s="3372"/>
      <c r="N58" s="3372"/>
      <c r="O58" s="3372"/>
      <c r="P58" s="3372"/>
      <c r="Q58" s="3372"/>
      <c r="R58" s="3372"/>
      <c r="S58" s="3372"/>
    </row>
    <row r="59" spans="1:19" ht="15.75" thickBot="1">
      <c r="A59" s="3369"/>
      <c r="B59" s="2404"/>
      <c r="C59" s="3370"/>
      <c r="D59" s="3370"/>
      <c r="E59" s="3370"/>
      <c r="F59" s="3370"/>
      <c r="G59" s="3371"/>
      <c r="H59" s="3372"/>
      <c r="I59" s="3372"/>
      <c r="J59" s="3372"/>
      <c r="K59" s="3372"/>
      <c r="L59" s="3372"/>
      <c r="M59" s="3372"/>
      <c r="N59" s="3372"/>
      <c r="O59" s="3372"/>
      <c r="P59" s="3372"/>
      <c r="Q59" s="3372"/>
      <c r="R59" s="3372"/>
      <c r="S59" s="3372"/>
    </row>
    <row r="60" spans="1:19" s="2" customFormat="1" ht="16.5" thickTop="1" thickBot="1">
      <c r="A60" s="726" t="s">
        <v>574</v>
      </c>
      <c r="B60" s="727"/>
      <c r="C60" s="12"/>
      <c r="D60" s="12"/>
      <c r="E60" s="12"/>
      <c r="F60" s="12"/>
      <c r="G60" s="13"/>
      <c r="H60" s="21"/>
      <c r="I60" s="21"/>
      <c r="J60" s="21"/>
      <c r="K60" s="21"/>
      <c r="L60" s="21"/>
      <c r="M60" s="21"/>
      <c r="N60" s="21"/>
      <c r="O60" s="21"/>
      <c r="P60" s="21"/>
      <c r="Q60" s="21"/>
      <c r="R60" s="21"/>
      <c r="S60" s="21"/>
    </row>
    <row r="61" spans="1:19" s="2" customFormat="1" ht="15.75" thickTop="1">
      <c r="A61" s="3369"/>
      <c r="B61" s="2404"/>
      <c r="C61" s="3370"/>
      <c r="D61" s="3370"/>
      <c r="E61" s="3370"/>
      <c r="F61" s="3370"/>
      <c r="G61" s="3371"/>
      <c r="H61" s="3372"/>
      <c r="I61" s="3372"/>
      <c r="J61" s="3372"/>
      <c r="K61" s="3372"/>
      <c r="L61" s="3372"/>
      <c r="M61" s="3372"/>
      <c r="N61" s="3372"/>
      <c r="O61" s="3372"/>
      <c r="P61" s="3372"/>
      <c r="Q61" s="3372"/>
      <c r="R61" s="3372"/>
      <c r="S61" s="3372"/>
    </row>
    <row r="62" spans="1:19" s="2" customFormat="1">
      <c r="A62" s="3369"/>
      <c r="B62" s="2404"/>
      <c r="C62" s="3370"/>
      <c r="D62" s="3370"/>
      <c r="E62" s="3370"/>
      <c r="F62" s="3370"/>
      <c r="G62" s="3371"/>
      <c r="H62" s="3372"/>
      <c r="I62" s="3372"/>
      <c r="J62" s="3372"/>
      <c r="K62" s="3372"/>
      <c r="L62" s="3372"/>
      <c r="M62" s="3372"/>
      <c r="N62" s="3372"/>
      <c r="O62" s="3372"/>
      <c r="P62" s="3372"/>
      <c r="Q62" s="3372"/>
      <c r="R62" s="3372"/>
      <c r="S62" s="3372"/>
    </row>
    <row r="63" spans="1:19" ht="15.75" thickBot="1">
      <c r="A63" s="3369"/>
      <c r="B63" s="2404"/>
      <c r="C63" s="3370"/>
      <c r="D63" s="3370"/>
      <c r="E63" s="3370"/>
      <c r="F63" s="3370"/>
      <c r="G63" s="3371"/>
      <c r="H63" s="3372"/>
      <c r="I63" s="3372"/>
      <c r="J63" s="3372"/>
      <c r="K63" s="3372"/>
      <c r="L63" s="3372"/>
      <c r="M63" s="3372"/>
      <c r="N63" s="3372"/>
      <c r="O63" s="3372"/>
      <c r="P63" s="3372"/>
      <c r="Q63" s="3372"/>
      <c r="R63" s="3372"/>
      <c r="S63" s="3372"/>
    </row>
    <row r="64" spans="1:19" s="2" customFormat="1" ht="16.5" thickTop="1" thickBot="1">
      <c r="A64" s="726" t="s">
        <v>575</v>
      </c>
      <c r="B64" s="727"/>
      <c r="C64" s="12"/>
      <c r="D64" s="12"/>
      <c r="E64" s="12"/>
      <c r="F64" s="12"/>
      <c r="G64" s="13"/>
      <c r="H64" s="21"/>
      <c r="I64" s="21"/>
      <c r="J64" s="21"/>
      <c r="K64" s="21"/>
      <c r="L64" s="21"/>
      <c r="M64" s="21"/>
      <c r="N64" s="21"/>
      <c r="O64" s="21"/>
      <c r="P64" s="21"/>
      <c r="Q64" s="21"/>
      <c r="R64" s="21"/>
      <c r="S64" s="21"/>
    </row>
    <row r="65" spans="1:19" s="2" customFormat="1" ht="15.75" thickTop="1">
      <c r="A65" s="3369"/>
      <c r="B65" s="2404"/>
      <c r="C65" s="3370"/>
      <c r="D65" s="3370"/>
      <c r="E65" s="3370"/>
      <c r="F65" s="3370"/>
      <c r="G65" s="3371"/>
      <c r="H65" s="3372"/>
      <c r="I65" s="3372"/>
      <c r="J65" s="3372"/>
      <c r="K65" s="3372"/>
      <c r="L65" s="3372"/>
      <c r="M65" s="3372"/>
      <c r="N65" s="3372"/>
      <c r="O65" s="3372"/>
      <c r="P65" s="3372"/>
      <c r="Q65" s="3372"/>
      <c r="R65" s="3372"/>
      <c r="S65" s="3372"/>
    </row>
    <row r="66" spans="1:19" s="2" customFormat="1">
      <c r="A66" s="2421"/>
      <c r="B66" s="2404"/>
      <c r="C66" s="2405"/>
      <c r="D66" s="2405"/>
      <c r="E66" s="2405"/>
      <c r="F66" s="2405"/>
      <c r="G66" s="2423"/>
      <c r="H66" s="2382"/>
      <c r="I66" s="2382"/>
      <c r="J66" s="2382"/>
      <c r="K66" s="2382"/>
      <c r="L66" s="2382"/>
      <c r="M66" s="2382"/>
      <c r="N66" s="2382"/>
      <c r="O66" s="2382"/>
      <c r="P66" s="2382"/>
      <c r="Q66" s="2382"/>
      <c r="R66" s="2382"/>
      <c r="S66" s="2382"/>
    </row>
    <row r="67" spans="1:19" s="2" customFormat="1" ht="15.75" thickBot="1">
      <c r="A67" s="2383"/>
      <c r="B67" s="2384"/>
      <c r="C67" s="2405"/>
      <c r="D67" s="2405"/>
      <c r="E67" s="2405"/>
      <c r="F67" s="2405"/>
      <c r="G67" s="2423"/>
      <c r="H67" s="2385"/>
      <c r="I67" s="2385"/>
      <c r="J67" s="2385"/>
      <c r="K67" s="2385"/>
      <c r="L67" s="2385"/>
      <c r="M67" s="2385"/>
      <c r="N67" s="2385"/>
      <c r="O67" s="2385"/>
      <c r="P67" s="2385"/>
      <c r="Q67" s="2385"/>
      <c r="R67" s="2385"/>
      <c r="S67" s="2385"/>
    </row>
    <row r="68" spans="1:19" s="2" customFormat="1" ht="16.5" thickTop="1" thickBot="1">
      <c r="A68" s="726" t="s">
        <v>576</v>
      </c>
      <c r="B68" s="727"/>
      <c r="C68" s="12"/>
      <c r="D68" s="12"/>
      <c r="E68" s="12"/>
      <c r="F68" s="12"/>
      <c r="G68" s="13"/>
      <c r="H68" s="21"/>
      <c r="I68" s="21"/>
      <c r="J68" s="21"/>
      <c r="K68" s="21"/>
      <c r="L68" s="21"/>
      <c r="M68" s="21"/>
      <c r="N68" s="21"/>
      <c r="O68" s="21"/>
      <c r="P68" s="21"/>
      <c r="Q68" s="21"/>
      <c r="R68" s="21"/>
      <c r="S68" s="21"/>
    </row>
    <row r="69" spans="1:19" ht="15.75" thickTop="1">
      <c r="A69" s="3373"/>
      <c r="B69" s="3374"/>
      <c r="C69" s="3370"/>
      <c r="D69" s="3370"/>
      <c r="E69" s="3370"/>
      <c r="F69" s="3370"/>
      <c r="G69" s="3371"/>
      <c r="H69" s="3372"/>
      <c r="I69" s="3372"/>
      <c r="J69" s="3372"/>
      <c r="K69" s="3372"/>
      <c r="L69" s="3372"/>
      <c r="M69" s="3372"/>
      <c r="N69" s="3372"/>
      <c r="O69" s="3372"/>
      <c r="P69" s="3372"/>
      <c r="Q69" s="3372"/>
      <c r="R69" s="3372"/>
      <c r="S69" s="3372"/>
    </row>
    <row r="70" spans="1:19">
      <c r="A70" s="2383"/>
      <c r="B70" s="2384"/>
      <c r="C70" s="2405"/>
      <c r="D70" s="2405"/>
      <c r="E70" s="2405"/>
      <c r="F70" s="2405"/>
      <c r="G70" s="2423"/>
      <c r="H70" s="2388"/>
      <c r="I70" s="2388"/>
      <c r="J70" s="2388"/>
      <c r="K70" s="2388"/>
      <c r="L70" s="2388"/>
      <c r="M70" s="2388"/>
      <c r="N70" s="2388"/>
      <c r="O70" s="2388"/>
      <c r="P70" s="2388"/>
      <c r="Q70" s="2388"/>
      <c r="R70" s="2388"/>
      <c r="S70" s="2388"/>
    </row>
    <row r="71" spans="1:19" ht="15.75" thickBot="1">
      <c r="A71" s="2383"/>
      <c r="B71" s="2384"/>
      <c r="C71" s="2405"/>
      <c r="D71" s="2405"/>
      <c r="E71" s="2405"/>
      <c r="F71" s="2405"/>
      <c r="G71" s="2423"/>
      <c r="H71" s="2388"/>
      <c r="I71" s="2388"/>
      <c r="J71" s="2388"/>
      <c r="K71" s="2388"/>
      <c r="L71" s="2388"/>
      <c r="M71" s="2388"/>
      <c r="N71" s="2388"/>
      <c r="O71" s="2388"/>
      <c r="P71" s="2388"/>
      <c r="Q71" s="2388"/>
      <c r="R71" s="2388"/>
      <c r="S71" s="2388"/>
    </row>
    <row r="72" spans="1:19" ht="16.5" thickTop="1" thickBot="1">
      <c r="A72" s="726" t="s">
        <v>577</v>
      </c>
      <c r="B72" s="727"/>
      <c r="C72" s="12"/>
      <c r="D72" s="12"/>
      <c r="E72" s="12"/>
      <c r="F72" s="12"/>
      <c r="G72" s="13"/>
      <c r="H72" s="21"/>
      <c r="I72" s="21"/>
      <c r="J72" s="21"/>
      <c r="K72" s="21"/>
      <c r="L72" s="21"/>
      <c r="M72" s="21"/>
      <c r="N72" s="21"/>
      <c r="O72" s="21"/>
      <c r="P72" s="21"/>
      <c r="Q72" s="21"/>
      <c r="R72" s="21"/>
      <c r="S72" s="21"/>
    </row>
    <row r="73" spans="1:19" ht="15.75" thickTop="1">
      <c r="A73" s="2421"/>
      <c r="B73" s="2404" t="s">
        <v>578</v>
      </c>
      <c r="C73" s="2405"/>
      <c r="D73" s="2405"/>
      <c r="E73" s="2405"/>
      <c r="F73" s="2405"/>
      <c r="G73" s="2423"/>
      <c r="H73" s="2388"/>
      <c r="I73" s="2388"/>
      <c r="J73" s="2388"/>
      <c r="K73" s="2388"/>
      <c r="L73" s="2388"/>
      <c r="M73" s="2388"/>
      <c r="N73" s="2388"/>
      <c r="O73" s="2388"/>
      <c r="P73" s="2388"/>
      <c r="Q73" s="2388"/>
      <c r="R73" s="2388"/>
      <c r="S73" s="2388"/>
    </row>
    <row r="74" spans="1:19">
      <c r="A74" s="2421"/>
      <c r="B74" s="2404" t="s">
        <v>579</v>
      </c>
      <c r="C74" s="2405"/>
      <c r="D74" s="2405"/>
      <c r="E74" s="2405"/>
      <c r="F74" s="2405"/>
      <c r="G74" s="2423"/>
      <c r="H74" s="2388"/>
      <c r="I74" s="2388"/>
      <c r="J74" s="2388"/>
      <c r="K74" s="2388"/>
      <c r="L74" s="2388"/>
      <c r="M74" s="2388"/>
      <c r="N74" s="2388"/>
      <c r="O74" s="2388"/>
      <c r="P74" s="2388"/>
      <c r="Q74" s="2388"/>
      <c r="R74" s="2388"/>
      <c r="S74" s="2388"/>
    </row>
    <row r="75" spans="1:19">
      <c r="A75" s="2421"/>
      <c r="B75" s="2404" t="s">
        <v>580</v>
      </c>
      <c r="C75" s="2405"/>
      <c r="D75" s="2405"/>
      <c r="E75" s="2405"/>
      <c r="F75" s="2405"/>
      <c r="G75" s="2423"/>
      <c r="H75" s="2388"/>
      <c r="I75" s="2388"/>
      <c r="J75" s="2388"/>
      <c r="K75" s="2388"/>
      <c r="L75" s="2388"/>
      <c r="M75" s="2388"/>
      <c r="N75" s="2388"/>
      <c r="O75" s="2388"/>
      <c r="P75" s="2388"/>
      <c r="Q75" s="2388"/>
      <c r="R75" s="2388"/>
      <c r="S75" s="2388"/>
    </row>
    <row r="76" spans="1:19">
      <c r="A76" s="2421"/>
      <c r="B76" s="2404" t="s">
        <v>581</v>
      </c>
      <c r="C76" s="2405"/>
      <c r="D76" s="2405"/>
      <c r="E76" s="2405"/>
      <c r="F76" s="2405"/>
      <c r="G76" s="2423"/>
      <c r="H76" s="2388"/>
      <c r="I76" s="2388"/>
      <c r="J76" s="2388"/>
      <c r="K76" s="2388"/>
      <c r="L76" s="2388"/>
      <c r="M76" s="2388"/>
      <c r="N76" s="2388"/>
      <c r="O76" s="2388"/>
      <c r="P76" s="2388"/>
      <c r="Q76" s="2388"/>
      <c r="R76" s="2388"/>
      <c r="S76" s="2388"/>
    </row>
    <row r="77" spans="1:19" ht="15.75" thickBot="1">
      <c r="A77" s="416"/>
      <c r="B77" s="295"/>
      <c r="C77" s="184"/>
      <c r="D77" s="184"/>
      <c r="E77" s="184"/>
      <c r="F77" s="184"/>
      <c r="G77" s="296"/>
      <c r="H77" s="418"/>
      <c r="I77" s="418"/>
      <c r="J77" s="418"/>
      <c r="K77" s="418"/>
      <c r="L77" s="418"/>
      <c r="M77" s="418"/>
      <c r="N77" s="418"/>
      <c r="O77" s="418"/>
      <c r="P77" s="418"/>
      <c r="Q77" s="418"/>
      <c r="R77" s="418"/>
      <c r="S77" s="418"/>
    </row>
    <row r="78" spans="1:19" ht="16.5" thickTop="1" thickBot="1">
      <c r="A78" s="7" t="s">
        <v>582</v>
      </c>
      <c r="B78" s="8"/>
      <c r="C78" s="12"/>
      <c r="D78" s="12"/>
      <c r="E78" s="12"/>
      <c r="F78" s="12"/>
      <c r="G78" s="13"/>
      <c r="H78" s="21"/>
      <c r="I78" s="21"/>
      <c r="J78" s="21"/>
      <c r="K78" s="21"/>
      <c r="L78" s="21"/>
      <c r="M78" s="21"/>
      <c r="N78" s="21"/>
      <c r="O78" s="21"/>
      <c r="P78" s="21"/>
      <c r="Q78" s="21"/>
      <c r="R78" s="21"/>
      <c r="S78" s="21"/>
    </row>
    <row r="79" spans="1:19" ht="15.75" thickTop="1">
      <c r="A79" s="3369"/>
      <c r="B79" s="3375" t="s">
        <v>583</v>
      </c>
      <c r="C79" s="3370"/>
      <c r="D79" s="3370"/>
      <c r="E79" s="3370"/>
      <c r="F79" s="3370"/>
      <c r="G79" s="3371"/>
      <c r="H79" s="3376"/>
      <c r="I79" s="3376"/>
      <c r="J79" s="3376"/>
      <c r="K79" s="3376"/>
      <c r="L79" s="3376"/>
      <c r="M79" s="3376"/>
      <c r="N79" s="3376"/>
      <c r="O79" s="3376"/>
      <c r="P79" s="3376"/>
      <c r="Q79" s="3376"/>
      <c r="R79" s="3376"/>
      <c r="S79" s="3376"/>
    </row>
    <row r="80" spans="1:19">
      <c r="A80" s="2421"/>
      <c r="B80" s="2404" t="s">
        <v>584</v>
      </c>
      <c r="C80" s="2405"/>
      <c r="D80" s="2405"/>
      <c r="E80" s="2405"/>
      <c r="F80" s="2405"/>
      <c r="G80" s="2423"/>
      <c r="H80" s="2390"/>
      <c r="I80" s="2390"/>
      <c r="J80" s="2390"/>
      <c r="K80" s="2390"/>
      <c r="L80" s="2390"/>
      <c r="M80" s="2390"/>
      <c r="N80" s="2390"/>
      <c r="O80" s="2390"/>
      <c r="P80" s="2390"/>
      <c r="Q80" s="2390"/>
      <c r="R80" s="2390"/>
      <c r="S80" s="2390"/>
    </row>
    <row r="81" spans="1:19" ht="15.75" thickBot="1">
      <c r="A81" s="2391"/>
      <c r="B81" s="2392" t="s">
        <v>585</v>
      </c>
      <c r="C81" s="2393"/>
      <c r="D81" s="2393"/>
      <c r="E81" s="2393"/>
      <c r="F81" s="2393"/>
      <c r="G81" s="2394"/>
      <c r="H81" s="2395"/>
      <c r="I81" s="2395"/>
      <c r="J81" s="2395"/>
      <c r="K81" s="2395"/>
      <c r="L81" s="2395"/>
      <c r="M81" s="2395"/>
      <c r="N81" s="2395"/>
      <c r="O81" s="2395"/>
      <c r="P81" s="2395"/>
      <c r="Q81" s="2395"/>
      <c r="R81" s="2395"/>
      <c r="S81" s="2395"/>
    </row>
    <row r="82" spans="1:19" ht="16.5" thickTop="1" thickBot="1"/>
    <row r="83" spans="1:19" ht="16.5" thickTop="1" thickBot="1">
      <c r="A83" s="92" t="s">
        <v>586</v>
      </c>
      <c r="B83" s="94"/>
    </row>
    <row r="84" spans="1:19" ht="16.5" thickTop="1" thickBot="1">
      <c r="A84" s="93" t="s">
        <v>487</v>
      </c>
      <c r="B84" s="94"/>
    </row>
    <row r="85" spans="1:19" ht="15.75" thickTop="1">
      <c r="A85" s="2397" t="s">
        <v>491</v>
      </c>
      <c r="B85" s="2396"/>
    </row>
    <row r="86" spans="1:19">
      <c r="A86" s="2398" t="s">
        <v>494</v>
      </c>
      <c r="B86" s="2399"/>
    </row>
    <row r="87" spans="1:19">
      <c r="A87" s="2398" t="s">
        <v>497</v>
      </c>
      <c r="B87" s="2400"/>
    </row>
    <row r="88" spans="1:19" ht="15.75" thickBot="1">
      <c r="A88" s="2401" t="s">
        <v>587</v>
      </c>
      <c r="B88" s="2402"/>
    </row>
    <row r="89" spans="1:19" ht="15.75" thickTop="1"/>
    <row r="90" spans="1:19">
      <c r="A90" s="95"/>
      <c r="B90" s="1" t="s">
        <v>588</v>
      </c>
    </row>
    <row r="91" spans="1:19">
      <c r="A91" s="96"/>
      <c r="B91" s="1" t="s">
        <v>589</v>
      </c>
    </row>
  </sheetData>
  <mergeCells count="47">
    <mergeCell ref="R4:S4"/>
    <mergeCell ref="R5:S5"/>
    <mergeCell ref="R6:S6"/>
    <mergeCell ref="R7:S7"/>
    <mergeCell ref="R8:S8"/>
    <mergeCell ref="P4:Q4"/>
    <mergeCell ref="P5:Q5"/>
    <mergeCell ref="P6:Q6"/>
    <mergeCell ref="P7:Q7"/>
    <mergeCell ref="P8:Q8"/>
    <mergeCell ref="R3:S3"/>
    <mergeCell ref="H2:I2"/>
    <mergeCell ref="J2:K2"/>
    <mergeCell ref="L2:M2"/>
    <mergeCell ref="N2:O2"/>
    <mergeCell ref="P2:Q2"/>
    <mergeCell ref="R2:S2"/>
    <mergeCell ref="H3:I3"/>
    <mergeCell ref="J3:K3"/>
    <mergeCell ref="L3:M3"/>
    <mergeCell ref="N3:O3"/>
    <mergeCell ref="P3:Q3"/>
    <mergeCell ref="N7:O7"/>
    <mergeCell ref="H8:I8"/>
    <mergeCell ref="J8:K8"/>
    <mergeCell ref="L8:M8"/>
    <mergeCell ref="H6:I6"/>
    <mergeCell ref="J6:K6"/>
    <mergeCell ref="L6:M6"/>
    <mergeCell ref="H7:I7"/>
    <mergeCell ref="J7:K7"/>
    <mergeCell ref="L7:M7"/>
    <mergeCell ref="N8:O8"/>
    <mergeCell ref="H4:I4"/>
    <mergeCell ref="J4:K4"/>
    <mergeCell ref="L4:M4"/>
    <mergeCell ref="N5:O5"/>
    <mergeCell ref="N6:O6"/>
    <mergeCell ref="H5:I5"/>
    <mergeCell ref="J5:K5"/>
    <mergeCell ref="L5:M5"/>
    <mergeCell ref="N4:O4"/>
    <mergeCell ref="A56:B56"/>
    <mergeCell ref="A60:B60"/>
    <mergeCell ref="A64:B64"/>
    <mergeCell ref="A68:B68"/>
    <mergeCell ref="A72:B72"/>
  </mergeCells>
  <conditionalFormatting sqref="H10:H30">
    <cfRule type="cellIs" dxfId="243" priority="11" operator="equal">
      <formula>"X"</formula>
    </cfRule>
    <cfRule type="cellIs" dxfId="242" priority="12" operator="equal">
      <formula>"I"</formula>
    </cfRule>
  </conditionalFormatting>
  <conditionalFormatting sqref="H32:H47">
    <cfRule type="cellIs" dxfId="241" priority="23" operator="equal">
      <formula>"X"</formula>
    </cfRule>
    <cfRule type="cellIs" dxfId="240" priority="24" operator="equal">
      <formula>"I"</formula>
    </cfRule>
  </conditionalFormatting>
  <conditionalFormatting sqref="J10:J30">
    <cfRule type="cellIs" dxfId="239" priority="9" operator="equal">
      <formula>"X"</formula>
    </cfRule>
    <cfRule type="cellIs" dxfId="238" priority="10" operator="equal">
      <formula>"I"</formula>
    </cfRule>
  </conditionalFormatting>
  <conditionalFormatting sqref="J32:J47">
    <cfRule type="cellIs" dxfId="237" priority="21" operator="equal">
      <formula>"X"</formula>
    </cfRule>
    <cfRule type="cellIs" dxfId="236" priority="22" operator="equal">
      <formula>"I"</formula>
    </cfRule>
  </conditionalFormatting>
  <conditionalFormatting sqref="L10:L30">
    <cfRule type="cellIs" dxfId="235" priority="7" operator="equal">
      <formula>"X"</formula>
    </cfRule>
    <cfRule type="cellIs" dxfId="234" priority="8" operator="equal">
      <formula>"I"</formula>
    </cfRule>
  </conditionalFormatting>
  <conditionalFormatting sqref="L32:L47">
    <cfRule type="cellIs" dxfId="233" priority="19" operator="equal">
      <formula>"X"</formula>
    </cfRule>
    <cfRule type="cellIs" dxfId="232" priority="20" operator="equal">
      <formula>"I"</formula>
    </cfRule>
  </conditionalFormatting>
  <conditionalFormatting sqref="N14:N30">
    <cfRule type="cellIs" dxfId="231" priority="5" operator="equal">
      <formula>"X"</formula>
    </cfRule>
    <cfRule type="cellIs" dxfId="230" priority="6" operator="equal">
      <formula>"I"</formula>
    </cfRule>
  </conditionalFormatting>
  <conditionalFormatting sqref="N32:N47">
    <cfRule type="cellIs" dxfId="229" priority="17" operator="equal">
      <formula>"X"</formula>
    </cfRule>
    <cfRule type="cellIs" dxfId="228" priority="18" operator="equal">
      <formula>"I"</formula>
    </cfRule>
  </conditionalFormatting>
  <conditionalFormatting sqref="P14:P30">
    <cfRule type="cellIs" dxfId="227" priority="3" operator="equal">
      <formula>"X"</formula>
    </cfRule>
    <cfRule type="cellIs" dxfId="226" priority="4" operator="equal">
      <formula>"I"</formula>
    </cfRule>
  </conditionalFormatting>
  <conditionalFormatting sqref="P32:P47">
    <cfRule type="cellIs" dxfId="225" priority="15" operator="equal">
      <formula>"X"</formula>
    </cfRule>
    <cfRule type="cellIs" dxfId="224" priority="16" operator="equal">
      <formula>"I"</formula>
    </cfRule>
  </conditionalFormatting>
  <conditionalFormatting sqref="R14:R30">
    <cfRule type="cellIs" dxfId="223" priority="1" operator="equal">
      <formula>"X"</formula>
    </cfRule>
    <cfRule type="cellIs" dxfId="222" priority="2" operator="equal">
      <formula>"I"</formula>
    </cfRule>
  </conditionalFormatting>
  <conditionalFormatting sqref="R32:R47">
    <cfRule type="cellIs" dxfId="221" priority="13" operator="equal">
      <formula>"X"</formula>
    </cfRule>
    <cfRule type="cellIs" dxfId="220" priority="14" operator="equal">
      <formula>"I"</formula>
    </cfRule>
  </conditionalFormatting>
  <hyperlinks>
    <hyperlink ref="B3" location="'Cost Summary'!A1" display="BACK TO SUMMARY SHEET" xr:uid="{131C3927-9F3A-45D4-9D6A-8E329E811B45}"/>
  </hyperlinks>
  <pageMargins left="0.7" right="0.7" top="0.75" bottom="0.75" header="0.3" footer="0.3"/>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180B-8740-4F42-890F-72A98BEDDE32}">
  <sheetPr>
    <tabColor rgb="FF92D050"/>
  </sheetPr>
  <dimension ref="A1:S86"/>
  <sheetViews>
    <sheetView zoomScaleNormal="100" workbookViewId="0">
      <pane xSplit="2" ySplit="9" topLeftCell="G20" activePane="bottomRight" state="frozen"/>
      <selection pane="bottomRight" activeCell="B30" sqref="B30"/>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403" t="s">
        <v>489</v>
      </c>
      <c r="B5" s="2404" t="s">
        <v>1311</v>
      </c>
      <c r="C5" s="2405"/>
      <c r="D5" s="2405"/>
      <c r="E5" s="2405"/>
      <c r="F5" s="2405"/>
      <c r="G5" s="2406" t="s">
        <v>491</v>
      </c>
      <c r="H5" s="2407"/>
      <c r="I5" s="2408"/>
      <c r="J5" s="2407"/>
      <c r="K5" s="2408"/>
      <c r="L5" s="2407"/>
      <c r="M5" s="2408"/>
      <c r="N5" s="2407"/>
      <c r="O5" s="2408"/>
      <c r="P5" s="2407"/>
      <c r="Q5" s="2408"/>
      <c r="R5" s="2407"/>
      <c r="S5" s="2408"/>
    </row>
    <row r="6" spans="1:19">
      <c r="A6" s="2403" t="s">
        <v>493</v>
      </c>
      <c r="B6" s="2410" t="s">
        <v>1312</v>
      </c>
      <c r="C6" s="2405"/>
      <c r="D6" s="2405"/>
      <c r="E6" s="2405"/>
      <c r="F6" s="2405"/>
      <c r="G6" s="2406" t="s">
        <v>494</v>
      </c>
      <c r="H6" s="2411"/>
      <c r="I6" s="2412"/>
      <c r="J6" s="2411"/>
      <c r="K6" s="2412"/>
      <c r="L6" s="2411"/>
      <c r="M6" s="2412"/>
      <c r="N6" s="2411"/>
      <c r="O6" s="2412"/>
      <c r="P6" s="2411"/>
      <c r="Q6" s="2412"/>
      <c r="R6" s="2411"/>
      <c r="S6" s="2412"/>
    </row>
    <row r="7" spans="1:19">
      <c r="A7" s="2403" t="s">
        <v>496</v>
      </c>
      <c r="B7" s="2414"/>
      <c r="C7" s="2405"/>
      <c r="D7" s="2405"/>
      <c r="E7" s="2405"/>
      <c r="F7" s="2405"/>
      <c r="G7" s="2406" t="s">
        <v>497</v>
      </c>
      <c r="H7" s="3377"/>
      <c r="I7" s="3378"/>
      <c r="J7" s="3377"/>
      <c r="K7" s="3378"/>
      <c r="L7" s="3377"/>
      <c r="M7" s="3378"/>
      <c r="N7" s="3377"/>
      <c r="O7" s="3378"/>
      <c r="P7" s="3377"/>
      <c r="Q7" s="3378"/>
      <c r="R7" s="3377"/>
      <c r="S7" s="3378"/>
    </row>
    <row r="8" spans="1:19" ht="15.75" thickBot="1">
      <c r="A8" s="414" t="s">
        <v>499</v>
      </c>
      <c r="B8" s="295"/>
      <c r="C8" s="184"/>
      <c r="D8" s="184"/>
      <c r="E8" s="184"/>
      <c r="F8" s="184"/>
      <c r="G8" s="419" t="s">
        <v>499</v>
      </c>
      <c r="H8" s="2970">
        <f>I47</f>
        <v>0</v>
      </c>
      <c r="I8" s="2971"/>
      <c r="J8" s="2970">
        <f>K47</f>
        <v>0</v>
      </c>
      <c r="K8" s="2971"/>
      <c r="L8" s="2970">
        <f>M47</f>
        <v>0</v>
      </c>
      <c r="M8" s="2971"/>
      <c r="N8" s="2970">
        <f>O47</f>
        <v>0</v>
      </c>
      <c r="O8" s="2971"/>
      <c r="P8" s="2970">
        <f>Q47</f>
        <v>0</v>
      </c>
      <c r="Q8" s="2971"/>
      <c r="R8" s="2970">
        <f>S47</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379" t="s">
        <v>508</v>
      </c>
      <c r="C10" s="2405"/>
      <c r="D10" s="2405"/>
      <c r="E10" s="2405"/>
      <c r="F10" s="2405"/>
      <c r="G10" s="2423"/>
      <c r="H10" s="2424"/>
      <c r="I10" s="2424"/>
      <c r="J10" s="2424"/>
      <c r="K10" s="2424"/>
      <c r="L10" s="2424"/>
      <c r="M10" s="2424"/>
      <c r="N10" s="2424"/>
      <c r="O10" s="2424"/>
      <c r="P10" s="2424"/>
      <c r="Q10" s="2424"/>
      <c r="R10" s="2424"/>
      <c r="S10" s="2424"/>
    </row>
    <row r="11" spans="1:19" ht="15.75" hidden="1" thickTop="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t="15.75" hidden="1" thickTop="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t="15.75" hidden="1" thickTop="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t="15.75" hidden="1" thickTop="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t="15.75" hidden="1" thickTop="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t="15.75" hidden="1" thickTop="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t="15.75" hidden="1" thickTop="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t="15.75" hidden="1" thickTop="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t="15.75" hidden="1" thickTop="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59"/>
      <c r="B21" s="2428" t="s">
        <v>1311</v>
      </c>
      <c r="C21" s="56"/>
      <c r="D21" s="57"/>
      <c r="E21" s="57"/>
      <c r="F21" s="57"/>
      <c r="G21" s="63"/>
      <c r="H21" s="2427"/>
      <c r="I21" s="2424"/>
      <c r="J21" s="2427"/>
      <c r="K21" s="2424"/>
      <c r="L21" s="2427"/>
      <c r="M21" s="2424"/>
      <c r="N21" s="2427"/>
      <c r="O21" s="2424"/>
      <c r="P21" s="2427"/>
      <c r="Q21" s="2424"/>
      <c r="R21" s="2427"/>
      <c r="S21" s="2424"/>
    </row>
    <row r="22" spans="1:19">
      <c r="A22" s="3380"/>
      <c r="B22" s="2318" t="s">
        <v>512</v>
      </c>
      <c r="C22" s="2426"/>
      <c r="D22" s="2405"/>
      <c r="E22" s="2405"/>
      <c r="F22" s="2405"/>
      <c r="G22" s="2423"/>
      <c r="H22" s="2427"/>
      <c r="I22" s="3381"/>
      <c r="J22" s="2427"/>
      <c r="K22" s="3382"/>
      <c r="L22" s="2427"/>
      <c r="M22" s="2481"/>
      <c r="N22" s="2427"/>
      <c r="O22" s="2481"/>
      <c r="P22" s="2427"/>
      <c r="Q22" s="2481"/>
      <c r="R22" s="2427"/>
      <c r="S22" s="2481"/>
    </row>
    <row r="23" spans="1:19">
      <c r="A23" s="3380"/>
      <c r="B23" s="3383" t="s">
        <v>513</v>
      </c>
      <c r="C23" s="2426"/>
      <c r="D23" s="2405"/>
      <c r="E23" s="2405"/>
      <c r="F23" s="2405"/>
      <c r="G23" s="2423"/>
      <c r="H23" s="2427"/>
      <c r="I23" s="3381"/>
      <c r="J23" s="2427"/>
      <c r="K23" s="3382"/>
      <c r="L23" s="2427"/>
      <c r="M23" s="2481"/>
      <c r="N23" s="2427"/>
      <c r="O23" s="2481"/>
      <c r="P23" s="2427"/>
      <c r="Q23" s="2481"/>
      <c r="R23" s="2427"/>
      <c r="S23" s="2481"/>
    </row>
    <row r="24" spans="1:19">
      <c r="A24" s="3380"/>
      <c r="B24" s="3383" t="s">
        <v>514</v>
      </c>
      <c r="C24" s="2426"/>
      <c r="D24" s="2405"/>
      <c r="E24" s="2405"/>
      <c r="F24" s="2405"/>
      <c r="G24" s="2423"/>
      <c r="H24" s="2427"/>
      <c r="I24" s="3384"/>
      <c r="J24" s="2427"/>
      <c r="K24" s="3384"/>
      <c r="L24" s="2427"/>
      <c r="M24" s="3385"/>
      <c r="N24" s="2427"/>
      <c r="O24" s="3385"/>
      <c r="P24" s="2427"/>
      <c r="Q24" s="3385"/>
      <c r="R24" s="2427"/>
      <c r="S24" s="3385"/>
    </row>
    <row r="25" spans="1:19">
      <c r="A25" s="3380"/>
      <c r="B25" s="3386" t="s">
        <v>515</v>
      </c>
      <c r="C25" s="2426"/>
      <c r="D25" s="2405"/>
      <c r="E25" s="2405"/>
      <c r="F25" s="2405"/>
      <c r="G25" s="2423"/>
      <c r="H25" s="2427"/>
      <c r="I25" s="3384"/>
      <c r="J25" s="2427"/>
      <c r="K25" s="3384"/>
      <c r="L25" s="2427"/>
      <c r="M25" s="3385"/>
      <c r="N25" s="2427"/>
      <c r="O25" s="3384"/>
      <c r="P25" s="2427"/>
      <c r="Q25" s="3385"/>
      <c r="R25" s="2427"/>
      <c r="S25" s="3385"/>
    </row>
    <row r="26" spans="1:19">
      <c r="A26" s="3380"/>
      <c r="B26" s="3386" t="s">
        <v>516</v>
      </c>
      <c r="C26" s="2426"/>
      <c r="D26" s="2405"/>
      <c r="E26" s="2405"/>
      <c r="F26" s="2405"/>
      <c r="G26" s="2423"/>
      <c r="H26" s="2427"/>
      <c r="I26" s="3384"/>
      <c r="J26" s="2427"/>
      <c r="K26" s="3384"/>
      <c r="L26" s="2427"/>
      <c r="M26" s="3385"/>
      <c r="N26" s="2427"/>
      <c r="O26" s="3384"/>
      <c r="P26" s="2427"/>
      <c r="Q26" s="3385"/>
      <c r="R26" s="2427"/>
      <c r="S26" s="3385"/>
    </row>
    <row r="27" spans="1:19">
      <c r="A27" s="3380"/>
      <c r="B27" s="3386" t="s">
        <v>517</v>
      </c>
      <c r="C27" s="2426"/>
      <c r="D27" s="2405"/>
      <c r="E27" s="2405"/>
      <c r="F27" s="2405"/>
      <c r="G27" s="2423"/>
      <c r="H27" s="2427"/>
      <c r="I27" s="3384"/>
      <c r="J27" s="2427"/>
      <c r="K27" s="3384"/>
      <c r="L27" s="2427"/>
      <c r="M27" s="3385"/>
      <c r="N27" s="2427"/>
      <c r="O27" s="3384"/>
      <c r="P27" s="2427"/>
      <c r="Q27" s="3385"/>
      <c r="R27" s="2427"/>
      <c r="S27" s="3385"/>
    </row>
    <row r="28" spans="1:19">
      <c r="A28" s="3380"/>
      <c r="B28" s="3386" t="s">
        <v>518</v>
      </c>
      <c r="C28" s="2426"/>
      <c r="D28" s="2405"/>
      <c r="E28" s="2405"/>
      <c r="F28" s="2405"/>
      <c r="G28" s="2423"/>
      <c r="H28" s="2427"/>
      <c r="I28" s="3384"/>
      <c r="J28" s="2427"/>
      <c r="K28" s="3384"/>
      <c r="L28" s="2427"/>
      <c r="M28" s="3385"/>
      <c r="N28" s="2427"/>
      <c r="O28" s="3384"/>
      <c r="P28" s="2427"/>
      <c r="Q28" s="3385"/>
      <c r="R28" s="2427"/>
      <c r="S28" s="3385"/>
    </row>
    <row r="29" spans="1:19">
      <c r="A29" s="3380"/>
      <c r="B29" s="3386" t="s">
        <v>693</v>
      </c>
      <c r="C29" s="2426"/>
      <c r="D29" s="2405"/>
      <c r="E29" s="2405"/>
      <c r="F29" s="2405"/>
      <c r="G29" s="2423"/>
      <c r="H29" s="2427"/>
      <c r="I29" s="3384"/>
      <c r="J29" s="2427"/>
      <c r="K29" s="3384"/>
      <c r="L29" s="2427"/>
      <c r="M29" s="3385"/>
      <c r="N29" s="2427"/>
      <c r="O29" s="3384"/>
      <c r="P29" s="2427"/>
      <c r="Q29" s="3385"/>
      <c r="R29" s="2427"/>
      <c r="S29" s="3385"/>
    </row>
    <row r="30" spans="1:19">
      <c r="A30" s="3380"/>
      <c r="B30" s="3387" t="s">
        <v>519</v>
      </c>
      <c r="C30" s="2426"/>
      <c r="D30" s="2405"/>
      <c r="E30" s="2405"/>
      <c r="F30" s="2405"/>
      <c r="G30" s="2423"/>
      <c r="H30" s="2427"/>
      <c r="I30" s="3388"/>
      <c r="J30" s="2427"/>
      <c r="K30" s="3384"/>
      <c r="L30" s="2427"/>
      <c r="M30" s="3385"/>
      <c r="N30" s="2427"/>
      <c r="O30" s="3384"/>
      <c r="P30" s="2427"/>
      <c r="Q30" s="3385"/>
      <c r="R30" s="2427"/>
      <c r="S30" s="3385"/>
    </row>
    <row r="31" spans="1:19">
      <c r="A31" s="3380"/>
      <c r="B31" s="3389" t="s">
        <v>520</v>
      </c>
      <c r="C31" s="3390"/>
      <c r="D31" s="2980"/>
      <c r="E31" s="2980"/>
      <c r="F31" s="2980"/>
      <c r="G31" s="3079"/>
      <c r="H31" s="3391"/>
      <c r="I31" s="3392"/>
      <c r="J31" s="3392"/>
      <c r="K31" s="3392"/>
      <c r="L31" s="3393"/>
      <c r="M31" s="3394"/>
      <c r="N31" s="3392"/>
      <c r="O31" s="3392"/>
      <c r="P31" s="3392"/>
      <c r="Q31" s="3392"/>
      <c r="R31" s="2439"/>
      <c r="S31" s="3394"/>
    </row>
    <row r="32" spans="1:19">
      <c r="A32" s="3380"/>
      <c r="B32" s="3395"/>
      <c r="C32" s="2426"/>
      <c r="D32" s="2405"/>
      <c r="E32" s="2405"/>
      <c r="F32" s="2405"/>
      <c r="G32" s="2423"/>
      <c r="H32" s="2427"/>
      <c r="I32" s="3388"/>
      <c r="J32" s="2427"/>
      <c r="K32" s="3384"/>
      <c r="L32" s="2427"/>
      <c r="M32" s="3385"/>
      <c r="N32" s="2427"/>
      <c r="O32" s="3384"/>
      <c r="P32" s="2427"/>
      <c r="Q32" s="3385"/>
      <c r="R32" s="2427"/>
      <c r="S32" s="3385"/>
    </row>
    <row r="33" spans="1:19">
      <c r="A33" s="3380"/>
      <c r="B33" s="3395"/>
      <c r="C33" s="2426"/>
      <c r="D33" s="2405"/>
      <c r="E33" s="2405"/>
      <c r="F33" s="2405"/>
      <c r="G33" s="2423"/>
      <c r="H33" s="2427"/>
      <c r="I33" s="3388"/>
      <c r="J33" s="2427"/>
      <c r="K33" s="3384"/>
      <c r="L33" s="2427"/>
      <c r="M33" s="3385"/>
      <c r="N33" s="2427"/>
      <c r="O33" s="3384"/>
      <c r="P33" s="2427"/>
      <c r="Q33" s="3385"/>
      <c r="R33" s="2427"/>
      <c r="S33" s="3385"/>
    </row>
    <row r="34" spans="1:19">
      <c r="A34" s="3380"/>
      <c r="B34" s="3395"/>
      <c r="C34" s="2426"/>
      <c r="D34" s="2405"/>
      <c r="E34" s="2405"/>
      <c r="F34" s="2405"/>
      <c r="G34" s="2423"/>
      <c r="H34" s="2427"/>
      <c r="I34" s="3388"/>
      <c r="J34" s="2427"/>
      <c r="K34" s="3384"/>
      <c r="L34" s="2427"/>
      <c r="M34" s="3385"/>
      <c r="N34" s="2427"/>
      <c r="O34" s="3384"/>
      <c r="P34" s="2427"/>
      <c r="Q34" s="3385"/>
      <c r="R34" s="2427"/>
      <c r="S34" s="3385"/>
    </row>
    <row r="35" spans="1:19">
      <c r="A35" s="3380"/>
      <c r="B35" s="3395"/>
      <c r="C35" s="2426"/>
      <c r="D35" s="2405"/>
      <c r="E35" s="2405"/>
      <c r="F35" s="2405"/>
      <c r="G35" s="2423"/>
      <c r="H35" s="2427"/>
      <c r="I35" s="3388"/>
      <c r="J35" s="2427"/>
      <c r="K35" s="3384"/>
      <c r="L35" s="2427"/>
      <c r="M35" s="3385"/>
      <c r="N35" s="2427"/>
      <c r="O35" s="3384"/>
      <c r="P35" s="2427"/>
      <c r="Q35" s="3385"/>
      <c r="R35" s="2427"/>
      <c r="S35" s="3385"/>
    </row>
    <row r="36" spans="1:19">
      <c r="A36" s="3380"/>
      <c r="B36" s="3395"/>
      <c r="C36" s="2426"/>
      <c r="D36" s="2405"/>
      <c r="E36" s="2405"/>
      <c r="F36" s="2405"/>
      <c r="G36" s="2423"/>
      <c r="H36" s="2427"/>
      <c r="I36" s="3388"/>
      <c r="J36" s="2427"/>
      <c r="K36" s="3384"/>
      <c r="L36" s="2427"/>
      <c r="M36" s="3385"/>
      <c r="N36" s="2427"/>
      <c r="O36" s="3384"/>
      <c r="P36" s="2427"/>
      <c r="Q36" s="3385"/>
      <c r="R36" s="2427"/>
      <c r="S36" s="3385"/>
    </row>
    <row r="37" spans="1:19">
      <c r="A37" s="3380"/>
      <c r="B37" s="3395"/>
      <c r="C37" s="2426"/>
      <c r="D37" s="2405"/>
      <c r="E37" s="2405"/>
      <c r="F37" s="2405"/>
      <c r="G37" s="2423"/>
      <c r="H37" s="2427"/>
      <c r="I37" s="3388"/>
      <c r="J37" s="2427"/>
      <c r="K37" s="3384"/>
      <c r="L37" s="2427"/>
      <c r="M37" s="3385"/>
      <c r="N37" s="2427"/>
      <c r="O37" s="3384"/>
      <c r="P37" s="2427"/>
      <c r="Q37" s="3385"/>
      <c r="R37" s="2427"/>
      <c r="S37" s="3385"/>
    </row>
    <row r="38" spans="1:19">
      <c r="A38" s="3380"/>
      <c r="B38" s="3395"/>
      <c r="C38" s="2426"/>
      <c r="D38" s="2405"/>
      <c r="E38" s="2405"/>
      <c r="F38" s="2405"/>
      <c r="G38" s="2423"/>
      <c r="H38" s="2427"/>
      <c r="I38" s="3388"/>
      <c r="J38" s="2427"/>
      <c r="K38" s="3384"/>
      <c r="L38" s="2427"/>
      <c r="M38" s="3385"/>
      <c r="N38" s="2427"/>
      <c r="O38" s="3384"/>
      <c r="P38" s="2427"/>
      <c r="Q38" s="3385"/>
      <c r="R38" s="2427"/>
      <c r="S38" s="3385"/>
    </row>
    <row r="39" spans="1:19">
      <c r="A39" s="3380"/>
      <c r="B39" s="3395"/>
      <c r="C39" s="2426"/>
      <c r="D39" s="2405"/>
      <c r="E39" s="2405"/>
      <c r="F39" s="2405"/>
      <c r="G39" s="2423"/>
      <c r="H39" s="2427"/>
      <c r="I39" s="3388"/>
      <c r="J39" s="2427"/>
      <c r="K39" s="3384"/>
      <c r="L39" s="2427"/>
      <c r="M39" s="3385"/>
      <c r="N39" s="2427"/>
      <c r="O39" s="3384"/>
      <c r="P39" s="2427"/>
      <c r="Q39" s="3385"/>
      <c r="R39" s="2427"/>
      <c r="S39" s="3385"/>
    </row>
    <row r="40" spans="1:19">
      <c r="A40" s="3380"/>
      <c r="B40" s="3395"/>
      <c r="C40" s="2426"/>
      <c r="D40" s="2405"/>
      <c r="E40" s="2405"/>
      <c r="F40" s="2405"/>
      <c r="G40" s="2423"/>
      <c r="H40" s="2427"/>
      <c r="I40" s="3388"/>
      <c r="J40" s="2427"/>
      <c r="K40" s="3384"/>
      <c r="L40" s="2427"/>
      <c r="M40" s="3385"/>
      <c r="N40" s="2427"/>
      <c r="O40" s="3384"/>
      <c r="P40" s="2427"/>
      <c r="Q40" s="3385"/>
      <c r="R40" s="2427"/>
      <c r="S40" s="3385"/>
    </row>
    <row r="41" spans="1:19">
      <c r="A41" s="3380"/>
      <c r="B41" s="3396"/>
      <c r="C41" s="2426"/>
      <c r="D41" s="2405"/>
      <c r="E41" s="2405"/>
      <c r="F41" s="2405"/>
      <c r="G41" s="2423"/>
      <c r="H41" s="2427"/>
      <c r="I41" s="3388"/>
      <c r="J41" s="2427"/>
      <c r="K41" s="3384"/>
      <c r="L41" s="2427"/>
      <c r="M41" s="3385"/>
      <c r="N41" s="2427"/>
      <c r="O41" s="3384"/>
      <c r="P41" s="2427"/>
      <c r="Q41" s="3384"/>
      <c r="R41" s="2427"/>
      <c r="S41" s="3385"/>
    </row>
    <row r="42" spans="1:19" ht="15.75" thickBot="1">
      <c r="A42" s="3380"/>
      <c r="B42" s="3396"/>
      <c r="C42" s="2426"/>
      <c r="D42" s="2405"/>
      <c r="E42" s="2405"/>
      <c r="F42" s="2405"/>
      <c r="G42" s="2423"/>
      <c r="H42" s="2427"/>
      <c r="I42" s="3388"/>
      <c r="J42" s="2427"/>
      <c r="K42" s="3385"/>
      <c r="L42" s="2427"/>
      <c r="M42" s="3385"/>
      <c r="N42" s="2427"/>
      <c r="O42" s="3384"/>
      <c r="P42" s="2427"/>
      <c r="Q42" s="3384"/>
      <c r="R42" s="2427"/>
      <c r="S42" s="3385"/>
    </row>
    <row r="43" spans="1:19" ht="15.75" thickTop="1">
      <c r="A43" s="14"/>
      <c r="B43" s="15"/>
      <c r="C43" s="16"/>
      <c r="D43" s="16"/>
      <c r="E43" s="17"/>
      <c r="F43" s="18" t="s">
        <v>567</v>
      </c>
      <c r="G43" s="19"/>
      <c r="H43" s="20"/>
      <c r="I43" s="61">
        <f>SUM(I23:I42)</f>
        <v>0</v>
      </c>
      <c r="J43" s="20"/>
      <c r="K43" s="61">
        <f>SUM(K23:K42)</f>
        <v>0</v>
      </c>
      <c r="L43" s="20"/>
      <c r="M43" s="61">
        <f>SUM(M23:M42)</f>
        <v>0</v>
      </c>
      <c r="N43" s="20"/>
      <c r="O43" s="61">
        <f>SUM(O23:O42)</f>
        <v>0</v>
      </c>
      <c r="P43" s="20"/>
      <c r="Q43" s="61">
        <f>SUM(Q23:Q42)</f>
        <v>0</v>
      </c>
      <c r="R43" s="20"/>
      <c r="S43" s="61">
        <f>SUM(S23:S42)</f>
        <v>0</v>
      </c>
    </row>
    <row r="44" spans="1:19">
      <c r="A44" s="2358"/>
      <c r="B44" s="2359"/>
      <c r="C44" s="2360"/>
      <c r="D44" s="2360"/>
      <c r="E44" s="2361"/>
      <c r="F44" s="2362" t="s">
        <v>568</v>
      </c>
      <c r="G44" s="2363"/>
      <c r="H44" s="2364">
        <v>0</v>
      </c>
      <c r="I44" s="415"/>
      <c r="J44" s="2364">
        <v>0</v>
      </c>
      <c r="K44" s="415"/>
      <c r="L44" s="2364">
        <v>0</v>
      </c>
      <c r="M44" s="415"/>
      <c r="N44" s="2364">
        <v>0</v>
      </c>
      <c r="O44" s="415"/>
      <c r="P44" s="2364">
        <v>0</v>
      </c>
      <c r="Q44" s="415"/>
      <c r="R44" s="2364">
        <v>0</v>
      </c>
      <c r="S44" s="415"/>
    </row>
    <row r="45" spans="1:19">
      <c r="A45" s="2358"/>
      <c r="B45" s="2359"/>
      <c r="C45" s="2360"/>
      <c r="D45" s="2360"/>
      <c r="E45" s="2361"/>
      <c r="F45" s="2362" t="s">
        <v>569</v>
      </c>
      <c r="G45" s="2363"/>
      <c r="H45" s="2366"/>
      <c r="I45" s="2465">
        <f>I43*H44</f>
        <v>0</v>
      </c>
      <c r="J45" s="2366"/>
      <c r="K45" s="2465">
        <f>K43*J44</f>
        <v>0</v>
      </c>
      <c r="L45" s="2366"/>
      <c r="M45" s="2465">
        <f>M43*L44</f>
        <v>0</v>
      </c>
      <c r="N45" s="2366"/>
      <c r="O45" s="2465">
        <f>O43*N44</f>
        <v>0</v>
      </c>
      <c r="P45" s="2366"/>
      <c r="Q45" s="2465">
        <f>Q43*P44</f>
        <v>0</v>
      </c>
      <c r="R45" s="2366"/>
      <c r="S45" s="2465">
        <f>S43*R44</f>
        <v>0</v>
      </c>
    </row>
    <row r="46" spans="1:19">
      <c r="A46" s="2358"/>
      <c r="B46" s="2359"/>
      <c r="C46" s="2360"/>
      <c r="D46" s="2360"/>
      <c r="E46" s="2361"/>
      <c r="F46" s="2362"/>
      <c r="G46" s="2363"/>
      <c r="H46" s="2366"/>
      <c r="I46" s="2464"/>
      <c r="J46" s="2366"/>
      <c r="K46" s="2464"/>
      <c r="L46" s="2366"/>
      <c r="M46" s="2464"/>
      <c r="N46" s="2366"/>
      <c r="O46" s="2464"/>
      <c r="P46" s="2366"/>
      <c r="Q46" s="2464"/>
      <c r="R46" s="2366"/>
      <c r="S46" s="2464"/>
    </row>
    <row r="47" spans="1:19">
      <c r="A47" s="2358"/>
      <c r="B47" s="2359"/>
      <c r="C47" s="2360"/>
      <c r="D47" s="2360"/>
      <c r="E47" s="2361"/>
      <c r="F47" s="2362" t="s">
        <v>570</v>
      </c>
      <c r="G47" s="2363"/>
      <c r="H47" s="2368"/>
      <c r="I47" s="2465">
        <f>SUM(I43:I45)</f>
        <v>0</v>
      </c>
      <c r="J47" s="2368"/>
      <c r="K47" s="2465">
        <f>SUM(K43:K45)</f>
        <v>0</v>
      </c>
      <c r="L47" s="2368"/>
      <c r="M47" s="2465">
        <f>SUM(M43:M45)</f>
        <v>0</v>
      </c>
      <c r="N47" s="2368"/>
      <c r="O47" s="2465">
        <f>SUM(O43:O45)</f>
        <v>0</v>
      </c>
      <c r="P47" s="2368"/>
      <c r="Q47" s="2465">
        <f>SUM(Q43:Q45)</f>
        <v>0</v>
      </c>
      <c r="R47" s="2368"/>
      <c r="S47" s="2465">
        <f>SUM(S43:S45)</f>
        <v>0</v>
      </c>
    </row>
    <row r="48" spans="1:19">
      <c r="A48" s="2358"/>
      <c r="B48" s="2359"/>
      <c r="C48" s="2360"/>
      <c r="D48" s="2360"/>
      <c r="E48" s="2361"/>
      <c r="F48" s="2370" t="s">
        <v>571</v>
      </c>
      <c r="G48" s="2371"/>
      <c r="H48" s="2372"/>
      <c r="I48" s="2373" t="e">
        <f>I47/'Area Calculations'!$J$4</f>
        <v>#DIV/0!</v>
      </c>
      <c r="J48" s="2372"/>
      <c r="K48" s="2373" t="e">
        <f>K47/'Area Calculations'!$J$4</f>
        <v>#DIV/0!</v>
      </c>
      <c r="L48" s="2372"/>
      <c r="M48" s="2373" t="e">
        <f>M47/'Area Calculations'!$J$4</f>
        <v>#DIV/0!</v>
      </c>
      <c r="N48" s="2372"/>
      <c r="O48" s="2373" t="e">
        <f>O47/'Area Calculations'!$J$4</f>
        <v>#DIV/0!</v>
      </c>
      <c r="P48" s="2372"/>
      <c r="Q48" s="2373" t="e">
        <f>Q47/'Area Calculations'!$J$4</f>
        <v>#DIV/0!</v>
      </c>
      <c r="R48" s="2372"/>
      <c r="S48" s="2373" t="e">
        <f>S47/'Area Calculations'!$J$4</f>
        <v>#DIV/0!</v>
      </c>
    </row>
    <row r="49" spans="1:19">
      <c r="A49" s="2358"/>
      <c r="B49" s="2359"/>
      <c r="C49" s="2360"/>
      <c r="D49" s="2360"/>
      <c r="E49" s="2361"/>
      <c r="F49" s="2370" t="s">
        <v>572</v>
      </c>
      <c r="G49" s="2374"/>
      <c r="H49" s="2372"/>
      <c r="I49" s="2373" t="e">
        <f>I47/'Area Calculations'!#REF!</f>
        <v>#REF!</v>
      </c>
      <c r="J49" s="2372"/>
      <c r="K49" s="2373" t="e">
        <f>K47/'Area Calculations'!#REF!</f>
        <v>#REF!</v>
      </c>
      <c r="L49" s="2372"/>
      <c r="M49" s="2373" t="e">
        <f>M47/'Area Calculations'!#REF!</f>
        <v>#REF!</v>
      </c>
      <c r="N49" s="2372"/>
      <c r="O49" s="2373" t="e">
        <f>O47/'Area Calculations'!#REF!</f>
        <v>#REF!</v>
      </c>
      <c r="P49" s="2372"/>
      <c r="Q49" s="2373" t="e">
        <f>Q47/'Area Calculations'!#REF!</f>
        <v>#REF!</v>
      </c>
      <c r="R49" s="2372"/>
      <c r="S49" s="2373" t="e">
        <f>S47/'Area Calculations'!#REF!</f>
        <v>#REF!</v>
      </c>
    </row>
    <row r="50" spans="1:19" ht="15.75" thickBot="1">
      <c r="A50" s="2358"/>
      <c r="B50" s="2359"/>
      <c r="C50" s="2360"/>
      <c r="D50" s="2360"/>
      <c r="E50" s="2361"/>
      <c r="F50" s="2362"/>
      <c r="G50" s="2375"/>
      <c r="H50" s="2376"/>
      <c r="I50" s="2377"/>
      <c r="J50" s="2376"/>
      <c r="K50" s="2377"/>
      <c r="L50" s="2376"/>
      <c r="M50" s="2377"/>
      <c r="N50" s="2376"/>
      <c r="O50" s="2377"/>
      <c r="P50" s="2376"/>
      <c r="Q50" s="2377"/>
      <c r="R50" s="2376"/>
      <c r="S50" s="2377"/>
    </row>
    <row r="51" spans="1:19" ht="16.5" thickTop="1" thickBot="1">
      <c r="A51" s="726" t="s">
        <v>573</v>
      </c>
      <c r="B51" s="727"/>
      <c r="C51" s="12"/>
      <c r="D51" s="12"/>
      <c r="E51" s="12"/>
      <c r="F51" s="12"/>
      <c r="G51" s="13"/>
      <c r="H51" s="21"/>
      <c r="I51" s="21"/>
      <c r="J51" s="21"/>
      <c r="K51" s="21"/>
      <c r="L51" s="21"/>
      <c r="M51" s="21"/>
      <c r="N51" s="21"/>
      <c r="O51" s="21"/>
      <c r="P51" s="21"/>
      <c r="Q51" s="21"/>
      <c r="R51" s="21"/>
      <c r="S51" s="21"/>
    </row>
    <row r="52" spans="1:19" ht="15.75" thickTop="1">
      <c r="A52" s="3397"/>
      <c r="B52" s="2404"/>
      <c r="C52" s="3398"/>
      <c r="D52" s="3398"/>
      <c r="E52" s="3398"/>
      <c r="F52" s="3398"/>
      <c r="G52" s="3399"/>
      <c r="H52" s="3400"/>
      <c r="I52" s="3400"/>
      <c r="J52" s="3400"/>
      <c r="K52" s="3400"/>
      <c r="L52" s="3400"/>
      <c r="M52" s="3400"/>
      <c r="N52" s="3400"/>
      <c r="O52" s="3400"/>
      <c r="P52" s="3400"/>
      <c r="Q52" s="3400"/>
      <c r="R52" s="3400"/>
      <c r="S52" s="3400"/>
    </row>
    <row r="53" spans="1:19">
      <c r="A53" s="3397"/>
      <c r="B53" s="2404"/>
      <c r="C53" s="3398"/>
      <c r="D53" s="3398"/>
      <c r="E53" s="3398"/>
      <c r="F53" s="3398"/>
      <c r="G53" s="3399"/>
      <c r="H53" s="3400"/>
      <c r="I53" s="3400"/>
      <c r="J53" s="3400"/>
      <c r="K53" s="3400"/>
      <c r="L53" s="3400"/>
      <c r="M53" s="3400"/>
      <c r="N53" s="3400"/>
      <c r="O53" s="3400"/>
      <c r="P53" s="3400"/>
      <c r="Q53" s="3400"/>
      <c r="R53" s="3400"/>
      <c r="S53" s="3400"/>
    </row>
    <row r="54" spans="1:19" ht="15.75" thickBot="1">
      <c r="A54" s="3397"/>
      <c r="B54" s="2404"/>
      <c r="C54" s="3398"/>
      <c r="D54" s="3398"/>
      <c r="E54" s="3398"/>
      <c r="F54" s="3398"/>
      <c r="G54" s="3399"/>
      <c r="H54" s="3400"/>
      <c r="I54" s="3400"/>
      <c r="J54" s="3400"/>
      <c r="K54" s="3400"/>
      <c r="L54" s="3400"/>
      <c r="M54" s="3400"/>
      <c r="N54" s="3400"/>
      <c r="O54" s="3400"/>
      <c r="P54" s="3400"/>
      <c r="Q54" s="3400"/>
      <c r="R54" s="3400"/>
      <c r="S54" s="3400"/>
    </row>
    <row r="55" spans="1:19" s="2" customFormat="1" ht="16.5" thickTop="1" thickBot="1">
      <c r="A55" s="726" t="s">
        <v>574</v>
      </c>
      <c r="B55" s="727"/>
      <c r="C55" s="12"/>
      <c r="D55" s="12"/>
      <c r="E55" s="12"/>
      <c r="F55" s="12"/>
      <c r="G55" s="13"/>
      <c r="H55" s="21"/>
      <c r="I55" s="21"/>
      <c r="J55" s="21"/>
      <c r="K55" s="21"/>
      <c r="L55" s="21"/>
      <c r="M55" s="21"/>
      <c r="N55" s="21"/>
      <c r="O55" s="21"/>
      <c r="P55" s="21"/>
      <c r="Q55" s="21"/>
      <c r="R55" s="21"/>
      <c r="S55" s="21"/>
    </row>
    <row r="56" spans="1:19" s="2" customFormat="1" ht="15.75" thickTop="1">
      <c r="A56" s="3397"/>
      <c r="B56" s="2404"/>
      <c r="C56" s="3398"/>
      <c r="D56" s="3398"/>
      <c r="E56" s="3398"/>
      <c r="F56" s="3398"/>
      <c r="G56" s="3399"/>
      <c r="H56" s="3400"/>
      <c r="I56" s="3400"/>
      <c r="J56" s="3400"/>
      <c r="K56" s="3400"/>
      <c r="L56" s="3400"/>
      <c r="M56" s="3400"/>
      <c r="N56" s="3400"/>
      <c r="O56" s="3400"/>
      <c r="P56" s="3400"/>
      <c r="Q56" s="3400"/>
      <c r="R56" s="3400"/>
      <c r="S56" s="3400"/>
    </row>
    <row r="57" spans="1:19" s="2" customFormat="1">
      <c r="A57" s="3397"/>
      <c r="B57" s="2404"/>
      <c r="C57" s="3398"/>
      <c r="D57" s="3398"/>
      <c r="E57" s="3398"/>
      <c r="F57" s="3398"/>
      <c r="G57" s="3399"/>
      <c r="H57" s="3400"/>
      <c r="I57" s="3400"/>
      <c r="J57" s="3400"/>
      <c r="K57" s="3400"/>
      <c r="L57" s="3400"/>
      <c r="M57" s="3400"/>
      <c r="N57" s="3400"/>
      <c r="O57" s="3400"/>
      <c r="P57" s="3400"/>
      <c r="Q57" s="3400"/>
      <c r="R57" s="3400"/>
      <c r="S57" s="3400"/>
    </row>
    <row r="58" spans="1:19" ht="15.75" thickBot="1">
      <c r="A58" s="3397"/>
      <c r="B58" s="2404"/>
      <c r="C58" s="3398"/>
      <c r="D58" s="3398"/>
      <c r="E58" s="3398"/>
      <c r="F58" s="3398"/>
      <c r="G58" s="3399"/>
      <c r="H58" s="3400"/>
      <c r="I58" s="3400"/>
      <c r="J58" s="3400"/>
      <c r="K58" s="3400"/>
      <c r="L58" s="3400"/>
      <c r="M58" s="3400"/>
      <c r="N58" s="3400"/>
      <c r="O58" s="3400"/>
      <c r="P58" s="3400"/>
      <c r="Q58" s="3400"/>
      <c r="R58" s="3400"/>
      <c r="S58" s="3400"/>
    </row>
    <row r="59" spans="1:19" s="2" customFormat="1" ht="16.5" thickTop="1" thickBot="1">
      <c r="A59" s="726" t="s">
        <v>575</v>
      </c>
      <c r="B59" s="727"/>
      <c r="C59" s="12"/>
      <c r="D59" s="12"/>
      <c r="E59" s="12"/>
      <c r="F59" s="12"/>
      <c r="G59" s="13"/>
      <c r="H59" s="21"/>
      <c r="I59" s="21"/>
      <c r="J59" s="21"/>
      <c r="K59" s="21"/>
      <c r="L59" s="21"/>
      <c r="M59" s="21"/>
      <c r="N59" s="21"/>
      <c r="O59" s="21"/>
      <c r="P59" s="21"/>
      <c r="Q59" s="21"/>
      <c r="R59" s="21"/>
      <c r="S59" s="21"/>
    </row>
    <row r="60" spans="1:19" s="2" customFormat="1" ht="15.75" thickTop="1">
      <c r="A60" s="3397"/>
      <c r="B60" s="2404"/>
      <c r="C60" s="3398"/>
      <c r="D60" s="3398"/>
      <c r="E60" s="3398"/>
      <c r="F60" s="3398"/>
      <c r="G60" s="3399"/>
      <c r="H60" s="3400"/>
      <c r="I60" s="3400"/>
      <c r="J60" s="3400"/>
      <c r="K60" s="3400"/>
      <c r="L60" s="3400"/>
      <c r="M60" s="3400"/>
      <c r="N60" s="3400"/>
      <c r="O60" s="3400"/>
      <c r="P60" s="3400"/>
      <c r="Q60" s="3400"/>
      <c r="R60" s="3400"/>
      <c r="S60" s="3400"/>
    </row>
    <row r="61" spans="1:19" s="2" customFormat="1">
      <c r="A61" s="2421"/>
      <c r="B61" s="2404"/>
      <c r="C61" s="2405"/>
      <c r="D61" s="2405"/>
      <c r="E61" s="2405"/>
      <c r="F61" s="2405"/>
      <c r="G61" s="2423"/>
      <c r="H61" s="2382"/>
      <c r="I61" s="2382"/>
      <c r="J61" s="2382"/>
      <c r="K61" s="2382"/>
      <c r="L61" s="2382"/>
      <c r="M61" s="2382"/>
      <c r="N61" s="2382"/>
      <c r="O61" s="2382"/>
      <c r="P61" s="2382"/>
      <c r="Q61" s="2382"/>
      <c r="R61" s="2382"/>
      <c r="S61" s="2382"/>
    </row>
    <row r="62" spans="1:19" s="2" customFormat="1" ht="15.75" thickBot="1">
      <c r="A62" s="2383"/>
      <c r="B62" s="2384"/>
      <c r="C62" s="2405"/>
      <c r="D62" s="2405"/>
      <c r="E62" s="2405"/>
      <c r="F62" s="2405"/>
      <c r="G62" s="2423"/>
      <c r="H62" s="2385"/>
      <c r="I62" s="2385"/>
      <c r="J62" s="2385"/>
      <c r="K62" s="2385"/>
      <c r="L62" s="2385"/>
      <c r="M62" s="2385"/>
      <c r="N62" s="2385"/>
      <c r="O62" s="2385"/>
      <c r="P62" s="2385"/>
      <c r="Q62" s="2385"/>
      <c r="R62" s="2385"/>
      <c r="S62" s="2385"/>
    </row>
    <row r="63" spans="1:19" s="2" customFormat="1" ht="16.5" thickTop="1" thickBot="1">
      <c r="A63" s="726" t="s">
        <v>576</v>
      </c>
      <c r="B63" s="727"/>
      <c r="C63" s="12"/>
      <c r="D63" s="12"/>
      <c r="E63" s="12"/>
      <c r="F63" s="12"/>
      <c r="G63" s="13"/>
      <c r="H63" s="21"/>
      <c r="I63" s="21"/>
      <c r="J63" s="21"/>
      <c r="K63" s="21"/>
      <c r="L63" s="21"/>
      <c r="M63" s="21"/>
      <c r="N63" s="21"/>
      <c r="O63" s="21"/>
      <c r="P63" s="21"/>
      <c r="Q63" s="21"/>
      <c r="R63" s="21"/>
      <c r="S63" s="21"/>
    </row>
    <row r="64" spans="1:19" ht="15.75" thickTop="1">
      <c r="A64" s="3401"/>
      <c r="B64" s="3402"/>
      <c r="C64" s="3398"/>
      <c r="D64" s="3398"/>
      <c r="E64" s="3398"/>
      <c r="F64" s="3398"/>
      <c r="G64" s="3399"/>
      <c r="H64" s="3400"/>
      <c r="I64" s="3400"/>
      <c r="J64" s="3400"/>
      <c r="K64" s="3400"/>
      <c r="L64" s="3400"/>
      <c r="M64" s="3400"/>
      <c r="N64" s="3400"/>
      <c r="O64" s="3400"/>
      <c r="P64" s="3400"/>
      <c r="Q64" s="3400"/>
      <c r="R64" s="3400"/>
      <c r="S64" s="3400"/>
    </row>
    <row r="65" spans="1:19">
      <c r="A65" s="2383"/>
      <c r="B65" s="2384"/>
      <c r="C65" s="2405"/>
      <c r="D65" s="2405"/>
      <c r="E65" s="2405"/>
      <c r="F65" s="2405"/>
      <c r="G65" s="2423"/>
      <c r="H65" s="2388"/>
      <c r="I65" s="2388"/>
      <c r="J65" s="2388"/>
      <c r="K65" s="2388"/>
      <c r="L65" s="2388"/>
      <c r="M65" s="2388"/>
      <c r="N65" s="2388"/>
      <c r="O65" s="2388"/>
      <c r="P65" s="2388"/>
      <c r="Q65" s="2388"/>
      <c r="R65" s="2388"/>
      <c r="S65" s="2388"/>
    </row>
    <row r="66" spans="1:19" ht="15.75" thickBot="1">
      <c r="A66" s="2383"/>
      <c r="B66" s="2384"/>
      <c r="C66" s="2405"/>
      <c r="D66" s="2405"/>
      <c r="E66" s="2405"/>
      <c r="F66" s="2405"/>
      <c r="G66" s="2423"/>
      <c r="H66" s="2388"/>
      <c r="I66" s="2388"/>
      <c r="J66" s="2388"/>
      <c r="K66" s="2388"/>
      <c r="L66" s="2388"/>
      <c r="M66" s="2388"/>
      <c r="N66" s="2388"/>
      <c r="O66" s="2388"/>
      <c r="P66" s="2388"/>
      <c r="Q66" s="2388"/>
      <c r="R66" s="2388"/>
      <c r="S66" s="2388"/>
    </row>
    <row r="67" spans="1:19" ht="16.5" thickTop="1" thickBot="1">
      <c r="A67" s="726" t="s">
        <v>577</v>
      </c>
      <c r="B67" s="727"/>
      <c r="C67" s="12"/>
      <c r="D67" s="12"/>
      <c r="E67" s="12"/>
      <c r="F67" s="12"/>
      <c r="G67" s="13"/>
      <c r="H67" s="21"/>
      <c r="I67" s="21"/>
      <c r="J67" s="21"/>
      <c r="K67" s="21"/>
      <c r="L67" s="21"/>
      <c r="M67" s="21"/>
      <c r="N67" s="21"/>
      <c r="O67" s="21"/>
      <c r="P67" s="21"/>
      <c r="Q67" s="21"/>
      <c r="R67" s="21"/>
      <c r="S67" s="21"/>
    </row>
    <row r="68" spans="1:19" ht="15.75" thickTop="1">
      <c r="A68" s="2421"/>
      <c r="B68" s="2404" t="s">
        <v>578</v>
      </c>
      <c r="C68" s="2405"/>
      <c r="D68" s="2405"/>
      <c r="E68" s="2405"/>
      <c r="F68" s="2405"/>
      <c r="G68" s="2423"/>
      <c r="H68" s="2388"/>
      <c r="I68" s="2388"/>
      <c r="J68" s="2388"/>
      <c r="K68" s="2388"/>
      <c r="L68" s="2388"/>
      <c r="M68" s="2388"/>
      <c r="N68" s="2388"/>
      <c r="O68" s="2388"/>
      <c r="P68" s="2388"/>
      <c r="Q68" s="2388"/>
      <c r="R68" s="2388"/>
      <c r="S68" s="2388"/>
    </row>
    <row r="69" spans="1:19">
      <c r="A69" s="2421"/>
      <c r="B69" s="2404" t="s">
        <v>579</v>
      </c>
      <c r="C69" s="2405"/>
      <c r="D69" s="2405"/>
      <c r="E69" s="2405"/>
      <c r="F69" s="2405"/>
      <c r="G69" s="2423"/>
      <c r="H69" s="2388"/>
      <c r="I69" s="2388"/>
      <c r="J69" s="2388"/>
      <c r="K69" s="2388"/>
      <c r="L69" s="2388"/>
      <c r="M69" s="2388"/>
      <c r="N69" s="2388"/>
      <c r="O69" s="2388"/>
      <c r="P69" s="2388"/>
      <c r="Q69" s="2388"/>
      <c r="R69" s="2388"/>
      <c r="S69" s="2388"/>
    </row>
    <row r="70" spans="1:19">
      <c r="A70" s="2421"/>
      <c r="B70" s="2404" t="s">
        <v>580</v>
      </c>
      <c r="C70" s="2405"/>
      <c r="D70" s="2405"/>
      <c r="E70" s="2405"/>
      <c r="F70" s="2405"/>
      <c r="G70" s="2423"/>
      <c r="H70" s="2388"/>
      <c r="I70" s="2388"/>
      <c r="J70" s="2388"/>
      <c r="K70" s="2388"/>
      <c r="L70" s="2388"/>
      <c r="M70" s="2388"/>
      <c r="N70" s="2388"/>
      <c r="O70" s="2388"/>
      <c r="P70" s="2388"/>
      <c r="Q70" s="2388"/>
      <c r="R70" s="2388"/>
      <c r="S70" s="2388"/>
    </row>
    <row r="71" spans="1:19">
      <c r="A71" s="2421"/>
      <c r="B71" s="2404" t="s">
        <v>581</v>
      </c>
      <c r="C71" s="2405"/>
      <c r="D71" s="2405"/>
      <c r="E71" s="2405"/>
      <c r="F71" s="2405"/>
      <c r="G71" s="2423"/>
      <c r="H71" s="2388"/>
      <c r="I71" s="2388"/>
      <c r="J71" s="2388"/>
      <c r="K71" s="2388"/>
      <c r="L71" s="2388"/>
      <c r="M71" s="2388"/>
      <c r="N71" s="2388"/>
      <c r="O71" s="2388"/>
      <c r="P71" s="2388"/>
      <c r="Q71" s="2388"/>
      <c r="R71" s="2388"/>
      <c r="S71" s="2388"/>
    </row>
    <row r="72" spans="1:19" ht="15.75" thickBot="1">
      <c r="A72" s="416"/>
      <c r="B72" s="295"/>
      <c r="C72" s="184"/>
      <c r="D72" s="184"/>
      <c r="E72" s="184"/>
      <c r="F72" s="184"/>
      <c r="G72" s="296"/>
      <c r="H72" s="418"/>
      <c r="I72" s="418"/>
      <c r="J72" s="418"/>
      <c r="K72" s="418"/>
      <c r="L72" s="418"/>
      <c r="M72" s="418"/>
      <c r="N72" s="418"/>
      <c r="O72" s="418"/>
      <c r="P72" s="418"/>
      <c r="Q72" s="418"/>
      <c r="R72" s="418"/>
      <c r="S72" s="418"/>
    </row>
    <row r="73" spans="1:19" ht="16.5" thickTop="1" thickBot="1">
      <c r="A73" s="7" t="s">
        <v>582</v>
      </c>
      <c r="B73" s="8"/>
      <c r="C73" s="12"/>
      <c r="D73" s="12"/>
      <c r="E73" s="12"/>
      <c r="F73" s="12"/>
      <c r="G73" s="13"/>
      <c r="H73" s="21"/>
      <c r="I73" s="21"/>
      <c r="J73" s="21"/>
      <c r="K73" s="21"/>
      <c r="L73" s="21"/>
      <c r="M73" s="21"/>
      <c r="N73" s="21"/>
      <c r="O73" s="21"/>
      <c r="P73" s="21"/>
      <c r="Q73" s="21"/>
      <c r="R73" s="21"/>
      <c r="S73" s="21"/>
    </row>
    <row r="74" spans="1:19" ht="15.75" thickTop="1">
      <c r="A74" s="3397"/>
      <c r="B74" s="3403" t="s">
        <v>583</v>
      </c>
      <c r="C74" s="3398"/>
      <c r="D74" s="3398"/>
      <c r="E74" s="3398"/>
      <c r="F74" s="3398"/>
      <c r="G74" s="3399"/>
      <c r="H74" s="3404"/>
      <c r="I74" s="3404"/>
      <c r="J74" s="3404"/>
      <c r="K74" s="3404"/>
      <c r="L74" s="3404"/>
      <c r="M74" s="3404"/>
      <c r="N74" s="3404"/>
      <c r="O74" s="3404"/>
      <c r="P74" s="3404"/>
      <c r="Q74" s="3404"/>
      <c r="R74" s="3404"/>
      <c r="S74" s="3404"/>
    </row>
    <row r="75" spans="1:19">
      <c r="A75" s="2421"/>
      <c r="B75" s="2404" t="s">
        <v>584</v>
      </c>
      <c r="C75" s="2405"/>
      <c r="D75" s="2405"/>
      <c r="E75" s="2405"/>
      <c r="F75" s="2405"/>
      <c r="G75" s="2423"/>
      <c r="H75" s="2390"/>
      <c r="I75" s="2390"/>
      <c r="J75" s="2390"/>
      <c r="K75" s="2390"/>
      <c r="L75" s="2390"/>
      <c r="M75" s="2390"/>
      <c r="N75" s="2390"/>
      <c r="O75" s="2390"/>
      <c r="P75" s="2390"/>
      <c r="Q75" s="2390"/>
      <c r="R75" s="2390"/>
      <c r="S75" s="2390"/>
    </row>
    <row r="76" spans="1:19" ht="15.75" thickBot="1">
      <c r="A76" s="2391"/>
      <c r="B76" s="2392" t="s">
        <v>585</v>
      </c>
      <c r="C76" s="2393"/>
      <c r="D76" s="2393"/>
      <c r="E76" s="2393"/>
      <c r="F76" s="2393"/>
      <c r="G76" s="2394"/>
      <c r="H76" s="2395"/>
      <c r="I76" s="2395"/>
      <c r="J76" s="2395"/>
      <c r="K76" s="2395"/>
      <c r="L76" s="2395"/>
      <c r="M76" s="2395"/>
      <c r="N76" s="2395"/>
      <c r="O76" s="2395"/>
      <c r="P76" s="2395"/>
      <c r="Q76" s="2395"/>
      <c r="R76" s="2395"/>
      <c r="S76" s="2395"/>
    </row>
    <row r="77" spans="1:19" ht="16.5" thickTop="1" thickBot="1"/>
    <row r="78" spans="1:19" ht="16.5" thickTop="1" thickBot="1">
      <c r="A78" s="92" t="s">
        <v>586</v>
      </c>
      <c r="B78" s="94"/>
    </row>
    <row r="79" spans="1:19" ht="15.75" thickTop="1">
      <c r="A79" s="93" t="s">
        <v>487</v>
      </c>
      <c r="B79" s="2396"/>
    </row>
    <row r="80" spans="1:19">
      <c r="A80" s="2397" t="s">
        <v>491</v>
      </c>
      <c r="B80" s="2396"/>
    </row>
    <row r="81" spans="1:2">
      <c r="A81" s="2398" t="s">
        <v>494</v>
      </c>
      <c r="B81" s="2399"/>
    </row>
    <row r="82" spans="1:2">
      <c r="A82" s="2398" t="s">
        <v>497</v>
      </c>
      <c r="B82" s="2400"/>
    </row>
    <row r="83" spans="1:2" ht="15.75" thickBot="1">
      <c r="A83" s="2401" t="s">
        <v>587</v>
      </c>
      <c r="B83" s="2402"/>
    </row>
    <row r="84" spans="1:2" ht="15.75" thickTop="1"/>
    <row r="85" spans="1:2">
      <c r="A85" s="95"/>
      <c r="B85" s="1" t="s">
        <v>588</v>
      </c>
    </row>
    <row r="86" spans="1:2">
      <c r="A86" s="96"/>
      <c r="B86"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1:B51"/>
    <mergeCell ref="A55:B55"/>
    <mergeCell ref="A59:B59"/>
    <mergeCell ref="A63:B63"/>
    <mergeCell ref="A67:B67"/>
  </mergeCells>
  <conditionalFormatting sqref="H20:H30">
    <cfRule type="cellIs" dxfId="219" priority="1" operator="equal">
      <formula>"X"</formula>
    </cfRule>
    <cfRule type="cellIs" dxfId="218" priority="2" operator="equal">
      <formula>"I"</formula>
    </cfRule>
  </conditionalFormatting>
  <conditionalFormatting sqref="H32:H42">
    <cfRule type="cellIs" dxfId="217" priority="23" operator="equal">
      <formula>"X"</formula>
    </cfRule>
    <cfRule type="cellIs" dxfId="216" priority="24" operator="equal">
      <formula>"I"</formula>
    </cfRule>
  </conditionalFormatting>
  <conditionalFormatting sqref="J20:J30">
    <cfRule type="cellIs" dxfId="215" priority="3" operator="equal">
      <formula>"X"</formula>
    </cfRule>
    <cfRule type="cellIs" dxfId="214" priority="4" operator="equal">
      <formula>"I"</formula>
    </cfRule>
  </conditionalFormatting>
  <conditionalFormatting sqref="J32:J42">
    <cfRule type="cellIs" dxfId="213" priority="21" operator="equal">
      <formula>"X"</formula>
    </cfRule>
    <cfRule type="cellIs" dxfId="212" priority="22" operator="equal">
      <formula>"I"</formula>
    </cfRule>
  </conditionalFormatting>
  <conditionalFormatting sqref="L20:L30">
    <cfRule type="cellIs" dxfId="211" priority="5" operator="equal">
      <formula>"X"</formula>
    </cfRule>
    <cfRule type="cellIs" dxfId="210" priority="6" operator="equal">
      <formula>"I"</formula>
    </cfRule>
  </conditionalFormatting>
  <conditionalFormatting sqref="L32:L42">
    <cfRule type="cellIs" dxfId="209" priority="19" operator="equal">
      <formula>"X"</formula>
    </cfRule>
    <cfRule type="cellIs" dxfId="208" priority="20" operator="equal">
      <formula>"I"</formula>
    </cfRule>
  </conditionalFormatting>
  <conditionalFormatting sqref="N20:N30">
    <cfRule type="cellIs" dxfId="207" priority="7" operator="equal">
      <formula>"X"</formula>
    </cfRule>
    <cfRule type="cellIs" dxfId="206" priority="8" operator="equal">
      <formula>"I"</formula>
    </cfRule>
  </conditionalFormatting>
  <conditionalFormatting sqref="N32:N42">
    <cfRule type="cellIs" dxfId="205" priority="17" operator="equal">
      <formula>"X"</formula>
    </cfRule>
    <cfRule type="cellIs" dxfId="204" priority="18" operator="equal">
      <formula>"I"</formula>
    </cfRule>
  </conditionalFormatting>
  <conditionalFormatting sqref="P20:P30">
    <cfRule type="cellIs" dxfId="203" priority="9" operator="equal">
      <formula>"X"</formula>
    </cfRule>
    <cfRule type="cellIs" dxfId="202" priority="10" operator="equal">
      <formula>"I"</formula>
    </cfRule>
  </conditionalFormatting>
  <conditionalFormatting sqref="P32:P42">
    <cfRule type="cellIs" dxfId="201" priority="15" operator="equal">
      <formula>"X"</formula>
    </cfRule>
    <cfRule type="cellIs" dxfId="200" priority="16" operator="equal">
      <formula>"I"</formula>
    </cfRule>
  </conditionalFormatting>
  <conditionalFormatting sqref="R20:R30">
    <cfRule type="cellIs" dxfId="199" priority="11" operator="equal">
      <formula>"X"</formula>
    </cfRule>
    <cfRule type="cellIs" dxfId="198" priority="12" operator="equal">
      <formula>"I"</formula>
    </cfRule>
  </conditionalFormatting>
  <conditionalFormatting sqref="R32:R42">
    <cfRule type="cellIs" dxfId="197" priority="13" operator="equal">
      <formula>"X"</formula>
    </cfRule>
    <cfRule type="cellIs" dxfId="196" priority="14" operator="equal">
      <formula>"I"</formula>
    </cfRule>
  </conditionalFormatting>
  <hyperlinks>
    <hyperlink ref="B3" location="'Cost Summary'!A1" display="BACK TO SUMMARY SHEET" xr:uid="{F45C27B4-F634-48EA-BA1E-21E519FAB13F}"/>
  </hyperlinks>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B1A8-1700-4440-A5AC-B1F98024D6BB}">
  <sheetPr>
    <tabColor rgb="FF92D050"/>
  </sheetPr>
  <dimension ref="A1:U87"/>
  <sheetViews>
    <sheetView zoomScaleNormal="100" workbookViewId="0">
      <pane xSplit="2" ySplit="9" topLeftCell="C20" activePane="bottomRight" state="frozen"/>
      <selection pane="bottomRight" activeCell="C5" sqref="C5"/>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10"/>
      <c r="F2" s="146" t="s">
        <v>475</v>
      </c>
      <c r="G2" s="147" t="s">
        <v>476</v>
      </c>
      <c r="H2" s="732"/>
      <c r="I2" s="732"/>
      <c r="J2" s="732"/>
      <c r="K2" s="732"/>
      <c r="L2" s="732"/>
      <c r="M2" s="732"/>
      <c r="N2" s="732"/>
      <c r="O2" s="732"/>
      <c r="P2" s="732"/>
      <c r="Q2" s="732"/>
      <c r="R2" s="732"/>
      <c r="S2" s="732"/>
    </row>
    <row r="3" spans="1:19" ht="21" thickBot="1">
      <c r="B3" s="161" t="s">
        <v>477</v>
      </c>
      <c r="E3" s="250"/>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403" t="s">
        <v>489</v>
      </c>
      <c r="B5" s="2404" t="s">
        <v>1313</v>
      </c>
      <c r="C5" s="2405"/>
      <c r="D5" s="2405"/>
      <c r="E5" s="2405"/>
      <c r="F5" s="2405"/>
      <c r="G5" s="2406" t="s">
        <v>491</v>
      </c>
      <c r="H5" s="2407"/>
      <c r="I5" s="2408"/>
      <c r="J5" s="2407"/>
      <c r="K5" s="2408"/>
      <c r="L5" s="2407"/>
      <c r="M5" s="2408"/>
      <c r="N5" s="2407"/>
      <c r="O5" s="2408"/>
      <c r="P5" s="2407"/>
      <c r="Q5" s="2408"/>
      <c r="R5" s="2407"/>
      <c r="S5" s="2408"/>
    </row>
    <row r="6" spans="1:19">
      <c r="A6" s="2403" t="s">
        <v>493</v>
      </c>
      <c r="B6" s="2410" t="s">
        <v>1314</v>
      </c>
      <c r="C6" s="2405"/>
      <c r="D6" s="2405"/>
      <c r="E6" s="2405"/>
      <c r="F6" s="2405"/>
      <c r="G6" s="2406" t="s">
        <v>494</v>
      </c>
      <c r="H6" s="2411"/>
      <c r="I6" s="2412"/>
      <c r="J6" s="2411"/>
      <c r="K6" s="2412"/>
      <c r="L6" s="2411"/>
      <c r="M6" s="2412"/>
      <c r="N6" s="2411"/>
      <c r="O6" s="2412"/>
      <c r="P6" s="2411"/>
      <c r="Q6" s="2412"/>
      <c r="R6" s="2411"/>
      <c r="S6" s="2412"/>
    </row>
    <row r="7" spans="1:19">
      <c r="A7" s="2403" t="s">
        <v>496</v>
      </c>
      <c r="B7" s="2414"/>
      <c r="C7" s="2405"/>
      <c r="D7" s="2405"/>
      <c r="E7" s="2405"/>
      <c r="F7" s="2405"/>
      <c r="G7" s="2406" t="s">
        <v>497</v>
      </c>
      <c r="H7" s="3377"/>
      <c r="I7" s="3378"/>
      <c r="J7" s="3377"/>
      <c r="K7" s="3378"/>
      <c r="L7" s="3377"/>
      <c r="M7" s="3378"/>
      <c r="N7" s="3377"/>
      <c r="O7" s="3378"/>
      <c r="P7" s="3377"/>
      <c r="Q7" s="3378"/>
      <c r="R7" s="3377"/>
      <c r="S7" s="3378"/>
    </row>
    <row r="8" spans="1:19" ht="15.75" thickBot="1">
      <c r="A8" s="414" t="s">
        <v>499</v>
      </c>
      <c r="B8" s="295"/>
      <c r="C8" s="184"/>
      <c r="D8" s="184"/>
      <c r="E8" s="184"/>
      <c r="F8" s="184"/>
      <c r="G8" s="419" t="s">
        <v>499</v>
      </c>
      <c r="H8" s="2970">
        <f>I48</f>
        <v>0</v>
      </c>
      <c r="I8" s="2971"/>
      <c r="J8" s="2970">
        <f>K48</f>
        <v>0</v>
      </c>
      <c r="K8" s="2971"/>
      <c r="L8" s="2970">
        <f>M48</f>
        <v>0</v>
      </c>
      <c r="M8" s="2971"/>
      <c r="N8" s="2970">
        <f>O48</f>
        <v>0</v>
      </c>
      <c r="O8" s="2971"/>
      <c r="P8" s="2970">
        <f>Q48</f>
        <v>0</v>
      </c>
      <c r="Q8" s="2971"/>
      <c r="R8" s="2970">
        <f>S48</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405"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21"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21"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21"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21"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21" ht="15.75" thickBot="1">
      <c r="A21" s="59"/>
      <c r="B21" s="2428" t="s">
        <v>1313</v>
      </c>
      <c r="C21" s="56"/>
      <c r="D21" s="57"/>
      <c r="E21" s="57"/>
      <c r="F21" s="57"/>
      <c r="G21" s="63"/>
      <c r="H21" s="2427"/>
      <c r="I21" s="2424"/>
      <c r="J21" s="2427"/>
      <c r="K21" s="2424"/>
      <c r="L21" s="2427"/>
      <c r="M21" s="2424"/>
      <c r="N21" s="2427"/>
      <c r="O21" s="2424"/>
      <c r="P21" s="2427"/>
      <c r="Q21" s="2424"/>
      <c r="R21" s="2427"/>
      <c r="S21" s="2424"/>
    </row>
    <row r="22" spans="1:21">
      <c r="A22" s="3406"/>
      <c r="B22" s="2318" t="s">
        <v>512</v>
      </c>
      <c r="C22" s="2426"/>
      <c r="D22" s="2405"/>
      <c r="E22" s="2405"/>
      <c r="F22" s="2405"/>
      <c r="G22" s="2423"/>
      <c r="H22" s="2427"/>
      <c r="I22" s="3381"/>
      <c r="J22" s="2427"/>
      <c r="K22" s="3407"/>
      <c r="L22" s="2427"/>
      <c r="M22" s="2390"/>
      <c r="N22" s="2427"/>
      <c r="O22" s="2390"/>
      <c r="P22" s="2427"/>
      <c r="Q22" s="2390"/>
      <c r="R22" s="2427"/>
      <c r="S22" s="2390"/>
    </row>
    <row r="23" spans="1:21">
      <c r="A23" s="3406"/>
      <c r="B23" s="3408" t="s">
        <v>513</v>
      </c>
      <c r="C23" s="2426"/>
      <c r="D23" s="2405"/>
      <c r="E23" s="2405"/>
      <c r="F23" s="2405"/>
      <c r="G23" s="2423"/>
      <c r="H23" s="2427"/>
      <c r="I23" s="3409"/>
      <c r="J23" s="2427"/>
      <c r="K23" s="3410"/>
      <c r="L23" s="2427"/>
      <c r="M23" s="3411"/>
      <c r="N23" s="2427"/>
      <c r="O23" s="3411"/>
      <c r="P23" s="2427"/>
      <c r="Q23" s="3411"/>
      <c r="R23" s="2427"/>
      <c r="S23" s="3411"/>
    </row>
    <row r="24" spans="1:21">
      <c r="A24" s="3406"/>
      <c r="B24" s="3408" t="s">
        <v>514</v>
      </c>
      <c r="C24" s="2426"/>
      <c r="D24" s="2405"/>
      <c r="E24" s="2405"/>
      <c r="F24" s="2405"/>
      <c r="G24" s="2423"/>
      <c r="H24" s="2427"/>
      <c r="I24" s="3410"/>
      <c r="J24" s="2427"/>
      <c r="K24" s="3410"/>
      <c r="L24" s="2427"/>
      <c r="M24" s="3411"/>
      <c r="N24" s="2427"/>
      <c r="O24" s="3411"/>
      <c r="P24" s="2427"/>
      <c r="Q24" s="3411"/>
      <c r="R24" s="2427"/>
      <c r="S24" s="3411"/>
    </row>
    <row r="25" spans="1:21">
      <c r="A25" s="3406"/>
      <c r="B25" s="3412" t="s">
        <v>515</v>
      </c>
      <c r="C25" s="2426"/>
      <c r="D25" s="2405"/>
      <c r="E25" s="2405"/>
      <c r="F25" s="2405"/>
      <c r="G25" s="2423"/>
      <c r="H25" s="2427"/>
      <c r="I25" s="3410"/>
      <c r="J25" s="2427"/>
      <c r="K25" s="3410"/>
      <c r="L25" s="2427"/>
      <c r="M25" s="3411"/>
      <c r="N25" s="2427"/>
      <c r="O25" s="3410"/>
      <c r="P25" s="2427"/>
      <c r="Q25" s="3411"/>
      <c r="R25" s="2427"/>
      <c r="S25" s="3411"/>
    </row>
    <row r="26" spans="1:21">
      <c r="A26" s="3406"/>
      <c r="B26" s="3412" t="s">
        <v>516</v>
      </c>
      <c r="C26" s="2426"/>
      <c r="D26" s="2405"/>
      <c r="E26" s="2405"/>
      <c r="F26" s="2405"/>
      <c r="G26" s="2423"/>
      <c r="H26" s="2427"/>
      <c r="I26" s="3410"/>
      <c r="J26" s="2427"/>
      <c r="K26" s="3410"/>
      <c r="L26" s="2427"/>
      <c r="M26" s="3411"/>
      <c r="N26" s="2427"/>
      <c r="O26" s="3410"/>
      <c r="P26" s="2427"/>
      <c r="Q26" s="3411"/>
      <c r="R26" s="2427"/>
      <c r="S26" s="3411"/>
    </row>
    <row r="27" spans="1:21">
      <c r="A27" s="3406"/>
      <c r="B27" s="3412" t="s">
        <v>517</v>
      </c>
      <c r="C27" s="2426"/>
      <c r="D27" s="2405"/>
      <c r="E27" s="2405"/>
      <c r="F27" s="2405"/>
      <c r="G27" s="2423"/>
      <c r="H27" s="2427"/>
      <c r="I27" s="3410"/>
      <c r="J27" s="2427"/>
      <c r="K27" s="3410"/>
      <c r="L27" s="2427"/>
      <c r="M27" s="3411"/>
      <c r="N27" s="2427"/>
      <c r="O27" s="3410"/>
      <c r="P27" s="2427"/>
      <c r="Q27" s="3411"/>
      <c r="R27" s="2427"/>
      <c r="S27" s="3411"/>
    </row>
    <row r="28" spans="1:21">
      <c r="A28" s="3406"/>
      <c r="B28" s="3412" t="s">
        <v>518</v>
      </c>
      <c r="C28" s="2426"/>
      <c r="D28" s="2405"/>
      <c r="E28" s="2405"/>
      <c r="F28" s="2405"/>
      <c r="G28" s="2423"/>
      <c r="H28" s="2427"/>
      <c r="I28" s="3410"/>
      <c r="J28" s="2427"/>
      <c r="K28" s="3410"/>
      <c r="L28" s="2427"/>
      <c r="M28" s="3411"/>
      <c r="N28" s="2427"/>
      <c r="O28" s="3410"/>
      <c r="P28" s="2427"/>
      <c r="Q28" s="3411"/>
      <c r="R28" s="2427"/>
      <c r="S28" s="3411"/>
    </row>
    <row r="29" spans="1:21">
      <c r="A29" s="3406"/>
      <c r="B29" s="3412" t="s">
        <v>693</v>
      </c>
      <c r="C29" s="2426"/>
      <c r="D29" s="2405"/>
      <c r="E29" s="2405"/>
      <c r="F29" s="2405"/>
      <c r="G29" s="2423"/>
      <c r="H29" s="2427"/>
      <c r="I29" s="3410"/>
      <c r="J29" s="2427"/>
      <c r="K29" s="3410"/>
      <c r="L29" s="2427"/>
      <c r="M29" s="3411"/>
      <c r="N29" s="2427"/>
      <c r="O29" s="3410"/>
      <c r="P29" s="2427"/>
      <c r="Q29" s="3411"/>
      <c r="R29" s="2427"/>
      <c r="S29" s="3411"/>
    </row>
    <row r="30" spans="1:21">
      <c r="A30" s="3406"/>
      <c r="B30" s="3413" t="s">
        <v>519</v>
      </c>
      <c r="C30" s="2426"/>
      <c r="D30" s="2405"/>
      <c r="E30" s="2405"/>
      <c r="F30" s="2405"/>
      <c r="G30" s="2423"/>
      <c r="H30" s="2427"/>
      <c r="I30" s="3409"/>
      <c r="J30" s="2427"/>
      <c r="K30" s="3410"/>
      <c r="L30" s="2427"/>
      <c r="M30" s="3411"/>
      <c r="N30" s="2427"/>
      <c r="O30" s="3410"/>
      <c r="P30" s="2427"/>
      <c r="Q30" s="3411"/>
      <c r="R30" s="2427"/>
      <c r="S30" s="3411"/>
    </row>
    <row r="31" spans="1:21">
      <c r="A31" s="3406"/>
      <c r="B31" s="3414" t="s">
        <v>520</v>
      </c>
      <c r="C31" s="3415"/>
      <c r="D31" s="2980"/>
      <c r="E31" s="2980"/>
      <c r="F31" s="2980"/>
      <c r="G31" s="3079"/>
      <c r="H31" s="3416"/>
      <c r="I31" s="3417"/>
      <c r="J31" s="3417"/>
      <c r="K31" s="3417"/>
      <c r="L31" s="3418"/>
      <c r="M31" s="3419"/>
      <c r="N31" s="3417"/>
      <c r="O31" s="3417"/>
      <c r="P31" s="3417"/>
      <c r="Q31" s="3417"/>
      <c r="R31" s="2439"/>
      <c r="S31" s="3419"/>
      <c r="T31" s="3418"/>
      <c r="U31" s="3419"/>
    </row>
    <row r="32" spans="1:21">
      <c r="A32" s="3406"/>
      <c r="B32" s="3395"/>
      <c r="C32" s="2426"/>
      <c r="D32" s="2405"/>
      <c r="E32" s="2405"/>
      <c r="F32" s="2405"/>
      <c r="G32" s="2423"/>
      <c r="H32" s="2427"/>
      <c r="I32" s="3409"/>
      <c r="J32" s="2427"/>
      <c r="K32" s="3410"/>
      <c r="L32" s="2427"/>
      <c r="M32" s="3411"/>
      <c r="N32" s="2427"/>
      <c r="O32" s="3410"/>
      <c r="P32" s="2427"/>
      <c r="Q32" s="3411"/>
      <c r="R32" s="2427"/>
      <c r="S32" s="3411"/>
    </row>
    <row r="33" spans="1:19">
      <c r="A33" s="3406"/>
      <c r="B33" s="3395"/>
      <c r="C33" s="2426"/>
      <c r="D33" s="2405"/>
      <c r="E33" s="2405"/>
      <c r="F33" s="2405"/>
      <c r="G33" s="2423"/>
      <c r="H33" s="2427"/>
      <c r="I33" s="3409"/>
      <c r="J33" s="2427"/>
      <c r="K33" s="3410"/>
      <c r="L33" s="2427"/>
      <c r="M33" s="3411"/>
      <c r="N33" s="2427"/>
      <c r="O33" s="3410"/>
      <c r="P33" s="2427"/>
      <c r="Q33" s="3411"/>
      <c r="R33" s="2427"/>
      <c r="S33" s="3411"/>
    </row>
    <row r="34" spans="1:19">
      <c r="A34" s="3406"/>
      <c r="B34" s="3395"/>
      <c r="C34" s="2426"/>
      <c r="D34" s="2405"/>
      <c r="E34" s="2405"/>
      <c r="F34" s="2405"/>
      <c r="G34" s="2423"/>
      <c r="H34" s="2427"/>
      <c r="I34" s="3409"/>
      <c r="J34" s="2427"/>
      <c r="K34" s="3410"/>
      <c r="L34" s="2427"/>
      <c r="M34" s="3411"/>
      <c r="N34" s="2427"/>
      <c r="O34" s="3410"/>
      <c r="P34" s="2427"/>
      <c r="Q34" s="3411"/>
      <c r="R34" s="2427"/>
      <c r="S34" s="3411"/>
    </row>
    <row r="35" spans="1:19">
      <c r="A35" s="3406"/>
      <c r="B35" s="3395"/>
      <c r="C35" s="2426"/>
      <c r="D35" s="2405"/>
      <c r="E35" s="2405"/>
      <c r="F35" s="2405"/>
      <c r="G35" s="2423"/>
      <c r="H35" s="2427"/>
      <c r="I35" s="3409"/>
      <c r="J35" s="2427"/>
      <c r="K35" s="3410"/>
      <c r="L35" s="2427"/>
      <c r="M35" s="3411"/>
      <c r="N35" s="2427"/>
      <c r="O35" s="3410"/>
      <c r="P35" s="2427"/>
      <c r="Q35" s="3411"/>
      <c r="R35" s="2427"/>
      <c r="S35" s="3411"/>
    </row>
    <row r="36" spans="1:19">
      <c r="A36" s="3406"/>
      <c r="B36" s="3395"/>
      <c r="C36" s="2426"/>
      <c r="D36" s="2405"/>
      <c r="E36" s="2405"/>
      <c r="F36" s="2405"/>
      <c r="G36" s="2423"/>
      <c r="H36" s="2427"/>
      <c r="I36" s="3409"/>
      <c r="J36" s="2427"/>
      <c r="K36" s="3410"/>
      <c r="L36" s="2427"/>
      <c r="M36" s="3411"/>
      <c r="N36" s="2427"/>
      <c r="O36" s="3410"/>
      <c r="P36" s="2427"/>
      <c r="Q36" s="3411"/>
      <c r="R36" s="2427"/>
      <c r="S36" s="3411"/>
    </row>
    <row r="37" spans="1:19">
      <c r="A37" s="3406"/>
      <c r="B37" s="3395"/>
      <c r="C37" s="2426"/>
      <c r="D37" s="2405"/>
      <c r="E37" s="2405"/>
      <c r="F37" s="2405"/>
      <c r="G37" s="2423"/>
      <c r="H37" s="2427"/>
      <c r="I37" s="3409"/>
      <c r="J37" s="2427"/>
      <c r="K37" s="3410"/>
      <c r="L37" s="2427"/>
      <c r="M37" s="3411"/>
      <c r="N37" s="2427"/>
      <c r="O37" s="3410"/>
      <c r="P37" s="2427"/>
      <c r="Q37" s="3411"/>
      <c r="R37" s="2427"/>
      <c r="S37" s="3411"/>
    </row>
    <row r="38" spans="1:19">
      <c r="A38" s="3406"/>
      <c r="B38" s="3395"/>
      <c r="C38" s="2426"/>
      <c r="D38" s="2405"/>
      <c r="E38" s="2405"/>
      <c r="F38" s="2405"/>
      <c r="G38" s="2423"/>
      <c r="H38" s="2427"/>
      <c r="I38" s="3409"/>
      <c r="J38" s="2427"/>
      <c r="K38" s="3410"/>
      <c r="L38" s="2427"/>
      <c r="M38" s="3411"/>
      <c r="N38" s="2427"/>
      <c r="O38" s="3410"/>
      <c r="P38" s="2427"/>
      <c r="Q38" s="3411"/>
      <c r="R38" s="2427"/>
      <c r="S38" s="3411"/>
    </row>
    <row r="39" spans="1:19">
      <c r="A39" s="3406"/>
      <c r="B39" s="3395"/>
      <c r="C39" s="2426"/>
      <c r="D39" s="2405"/>
      <c r="E39" s="2405"/>
      <c r="F39" s="2405"/>
      <c r="G39" s="2423"/>
      <c r="H39" s="2427"/>
      <c r="I39" s="3409"/>
      <c r="J39" s="2427"/>
      <c r="K39" s="3410"/>
      <c r="L39" s="2427"/>
      <c r="M39" s="3411"/>
      <c r="N39" s="2427"/>
      <c r="O39" s="3410"/>
      <c r="P39" s="2427"/>
      <c r="Q39" s="3411"/>
      <c r="R39" s="2427"/>
      <c r="S39" s="3411"/>
    </row>
    <row r="40" spans="1:19">
      <c r="A40" s="3406"/>
      <c r="B40" s="3395"/>
      <c r="C40" s="2426"/>
      <c r="D40" s="2405"/>
      <c r="E40" s="2405"/>
      <c r="F40" s="2405"/>
      <c r="G40" s="2423"/>
      <c r="H40" s="2427"/>
      <c r="I40" s="3409"/>
      <c r="J40" s="2427"/>
      <c r="K40" s="3410"/>
      <c r="L40" s="2427"/>
      <c r="M40" s="3411"/>
      <c r="N40" s="2427"/>
      <c r="O40" s="3410"/>
      <c r="P40" s="2427"/>
      <c r="Q40" s="3411"/>
      <c r="R40" s="2427"/>
      <c r="S40" s="3411"/>
    </row>
    <row r="41" spans="1:19">
      <c r="A41" s="3406"/>
      <c r="B41" s="3420"/>
      <c r="C41" s="2426"/>
      <c r="D41" s="2405"/>
      <c r="E41" s="2405"/>
      <c r="F41" s="2405"/>
      <c r="G41" s="2423"/>
      <c r="H41" s="2427"/>
      <c r="I41" s="3409"/>
      <c r="J41" s="2427"/>
      <c r="K41" s="3410"/>
      <c r="L41" s="2427"/>
      <c r="M41" s="3411"/>
      <c r="N41" s="2427"/>
      <c r="O41" s="3410"/>
      <c r="P41" s="2427"/>
      <c r="Q41" s="3410"/>
      <c r="R41" s="2427"/>
      <c r="S41" s="3411"/>
    </row>
    <row r="42" spans="1:19">
      <c r="A42" s="3406"/>
      <c r="B42" s="3420"/>
      <c r="C42" s="2426"/>
      <c r="D42" s="2405"/>
      <c r="E42" s="2405"/>
      <c r="F42" s="2405"/>
      <c r="G42" s="2423"/>
      <c r="H42" s="2427"/>
      <c r="I42" s="3409"/>
      <c r="J42" s="2427"/>
      <c r="K42" s="3411"/>
      <c r="L42" s="2427"/>
      <c r="M42" s="3411"/>
      <c r="N42" s="2427"/>
      <c r="O42" s="3410"/>
      <c r="P42" s="2427"/>
      <c r="Q42" s="3410"/>
      <c r="R42" s="2427"/>
      <c r="S42" s="3411"/>
    </row>
    <row r="43" spans="1:19" ht="15.75" thickBot="1">
      <c r="A43" s="2685"/>
      <c r="B43" s="2686"/>
      <c r="C43" s="2426"/>
      <c r="D43" s="2405"/>
      <c r="E43" s="2405"/>
      <c r="F43" s="2405"/>
      <c r="G43" s="2423"/>
      <c r="H43" s="2427"/>
      <c r="I43" s="3411"/>
      <c r="J43" s="2427"/>
      <c r="K43" s="3411"/>
      <c r="L43" s="2427"/>
      <c r="M43" s="3411"/>
      <c r="N43" s="2427"/>
      <c r="O43" s="3411"/>
      <c r="P43" s="2427"/>
      <c r="Q43" s="3411"/>
      <c r="R43" s="2427"/>
      <c r="S43" s="3411"/>
    </row>
    <row r="44" spans="1:19" ht="15.75" thickTop="1">
      <c r="A44" s="14"/>
      <c r="B44" s="15"/>
      <c r="C44" s="16"/>
      <c r="D44" s="16"/>
      <c r="E44" s="17"/>
      <c r="F44" s="18" t="s">
        <v>567</v>
      </c>
      <c r="G44" s="19"/>
      <c r="H44" s="20"/>
      <c r="I44" s="61">
        <f>SUM(I23:I43)</f>
        <v>0</v>
      </c>
      <c r="J44" s="20"/>
      <c r="K44" s="61">
        <f>SUM(K23:K43)</f>
        <v>0</v>
      </c>
      <c r="L44" s="20"/>
      <c r="M44" s="61">
        <f>SUM(M23:M43)</f>
        <v>0</v>
      </c>
      <c r="N44" s="20"/>
      <c r="O44" s="61">
        <f>SUM(O23:O43)</f>
        <v>0</v>
      </c>
      <c r="P44" s="20"/>
      <c r="Q44" s="61">
        <f>SUM(Q23:Q43)</f>
        <v>0</v>
      </c>
      <c r="R44" s="20"/>
      <c r="S44" s="61">
        <f>SUM(S23:S43)</f>
        <v>0</v>
      </c>
    </row>
    <row r="45" spans="1:19">
      <c r="A45" s="2358"/>
      <c r="B45" s="2359"/>
      <c r="C45" s="2360"/>
      <c r="D45" s="2360"/>
      <c r="E45" s="2361"/>
      <c r="F45" s="2362" t="s">
        <v>568</v>
      </c>
      <c r="G45" s="2363"/>
      <c r="H45" s="2364">
        <v>0</v>
      </c>
      <c r="I45" s="415"/>
      <c r="J45" s="2364">
        <v>0</v>
      </c>
      <c r="K45" s="415"/>
      <c r="L45" s="2364">
        <v>0</v>
      </c>
      <c r="M45" s="415"/>
      <c r="N45" s="2364">
        <v>0</v>
      </c>
      <c r="O45" s="415"/>
      <c r="P45" s="2364">
        <v>0</v>
      </c>
      <c r="Q45" s="415"/>
      <c r="R45" s="2364">
        <v>0</v>
      </c>
      <c r="S45" s="415"/>
    </row>
    <row r="46" spans="1:19">
      <c r="A46" s="2358"/>
      <c r="B46" s="2359"/>
      <c r="C46" s="2360"/>
      <c r="D46" s="2360"/>
      <c r="E46" s="2361"/>
      <c r="F46" s="2362" t="s">
        <v>569</v>
      </c>
      <c r="G46" s="2363"/>
      <c r="H46" s="2366"/>
      <c r="I46" s="2465">
        <f>I44*H45</f>
        <v>0</v>
      </c>
      <c r="J46" s="2366"/>
      <c r="K46" s="2465">
        <f>K44*J45</f>
        <v>0</v>
      </c>
      <c r="L46" s="2366"/>
      <c r="M46" s="2465">
        <f>M44*L45</f>
        <v>0</v>
      </c>
      <c r="N46" s="2366"/>
      <c r="O46" s="2465">
        <f>O44*N45</f>
        <v>0</v>
      </c>
      <c r="P46" s="2366"/>
      <c r="Q46" s="2465">
        <f>Q44*P45</f>
        <v>0</v>
      </c>
      <c r="R46" s="2366"/>
      <c r="S46" s="2465">
        <f>S44*R45</f>
        <v>0</v>
      </c>
    </row>
    <row r="47" spans="1:19">
      <c r="A47" s="2358"/>
      <c r="B47" s="2359"/>
      <c r="C47" s="2360"/>
      <c r="D47" s="2360"/>
      <c r="E47" s="2361"/>
      <c r="F47" s="2362"/>
      <c r="G47" s="2363"/>
      <c r="H47" s="2366"/>
      <c r="I47" s="2464"/>
      <c r="J47" s="2366"/>
      <c r="K47" s="2464"/>
      <c r="L47" s="2366"/>
      <c r="M47" s="2464"/>
      <c r="N47" s="2366"/>
      <c r="O47" s="2464"/>
      <c r="P47" s="2366"/>
      <c r="Q47" s="2464"/>
      <c r="R47" s="2366"/>
      <c r="S47" s="2464"/>
    </row>
    <row r="48" spans="1:19">
      <c r="A48" s="2358"/>
      <c r="B48" s="2359"/>
      <c r="C48" s="2360"/>
      <c r="D48" s="2360"/>
      <c r="E48" s="2361"/>
      <c r="F48" s="2362" t="s">
        <v>570</v>
      </c>
      <c r="G48" s="2363"/>
      <c r="H48" s="2368"/>
      <c r="I48" s="2465">
        <f>SUM(I44:I46)</f>
        <v>0</v>
      </c>
      <c r="J48" s="2368"/>
      <c r="K48" s="2465">
        <f>SUM(K44:K46)</f>
        <v>0</v>
      </c>
      <c r="L48" s="2368"/>
      <c r="M48" s="2465">
        <f>SUM(M44:M46)</f>
        <v>0</v>
      </c>
      <c r="N48" s="2368"/>
      <c r="O48" s="2465">
        <f>SUM(O44:O46)</f>
        <v>0</v>
      </c>
      <c r="P48" s="2368"/>
      <c r="Q48" s="2465">
        <f>SUM(Q44:Q46)</f>
        <v>0</v>
      </c>
      <c r="R48" s="2368"/>
      <c r="S48" s="2465">
        <f>SUM(S44:S46)</f>
        <v>0</v>
      </c>
    </row>
    <row r="49" spans="1:19">
      <c r="A49" s="2358"/>
      <c r="B49" s="2359"/>
      <c r="C49" s="2360"/>
      <c r="D49" s="2360"/>
      <c r="E49" s="2361"/>
      <c r="F49" s="2370" t="s">
        <v>571</v>
      </c>
      <c r="G49" s="2371"/>
      <c r="H49" s="2372"/>
      <c r="I49" s="2373" t="e">
        <f>I48/'Area Calculations'!$J$4</f>
        <v>#DIV/0!</v>
      </c>
      <c r="J49" s="2372"/>
      <c r="K49" s="2373" t="e">
        <f>K48/'Area Calculations'!$J$4</f>
        <v>#DIV/0!</v>
      </c>
      <c r="L49" s="2372"/>
      <c r="M49" s="2373" t="e">
        <f>M48/'Area Calculations'!$J$4</f>
        <v>#DIV/0!</v>
      </c>
      <c r="N49" s="2372"/>
      <c r="O49" s="2373" t="e">
        <f>O48/'Area Calculations'!$J$4</f>
        <v>#DIV/0!</v>
      </c>
      <c r="P49" s="2372"/>
      <c r="Q49" s="2373" t="e">
        <f>Q48/'Area Calculations'!$J$4</f>
        <v>#DIV/0!</v>
      </c>
      <c r="R49" s="2372"/>
      <c r="S49" s="2373" t="e">
        <f>S48/'Area Calculations'!$J$4</f>
        <v>#DIV/0!</v>
      </c>
    </row>
    <row r="50" spans="1:19">
      <c r="A50" s="2358"/>
      <c r="B50" s="2359"/>
      <c r="C50" s="2360"/>
      <c r="D50" s="2360"/>
      <c r="E50" s="2361"/>
      <c r="F50" s="2370" t="s">
        <v>572</v>
      </c>
      <c r="G50" s="2374"/>
      <c r="H50" s="2372"/>
      <c r="I50" s="2373" t="e">
        <f>I48/'Area Calculations'!#REF!</f>
        <v>#REF!</v>
      </c>
      <c r="J50" s="2372"/>
      <c r="K50" s="2373" t="e">
        <f>K48/'Area Calculations'!#REF!</f>
        <v>#REF!</v>
      </c>
      <c r="L50" s="2372"/>
      <c r="M50" s="2373" t="e">
        <f>M48/'Area Calculations'!#REF!</f>
        <v>#REF!</v>
      </c>
      <c r="N50" s="2372"/>
      <c r="O50" s="2373" t="e">
        <f>O48/'Area Calculations'!#REF!</f>
        <v>#REF!</v>
      </c>
      <c r="P50" s="2372"/>
      <c r="Q50" s="2373" t="e">
        <f>Q48/'Area Calculations'!#REF!</f>
        <v>#REF!</v>
      </c>
      <c r="R50" s="2372"/>
      <c r="S50" s="2373" t="e">
        <f>S48/'Area Calculations'!#REF!</f>
        <v>#REF!</v>
      </c>
    </row>
    <row r="51" spans="1:19" ht="15.75" thickBot="1">
      <c r="A51" s="2358"/>
      <c r="B51" s="2359"/>
      <c r="C51" s="2360"/>
      <c r="D51" s="2360"/>
      <c r="E51" s="2361"/>
      <c r="F51" s="2362"/>
      <c r="G51" s="2375"/>
      <c r="H51" s="2376"/>
      <c r="I51" s="2377"/>
      <c r="J51" s="2376"/>
      <c r="K51" s="2377"/>
      <c r="L51" s="2376"/>
      <c r="M51" s="2377"/>
      <c r="N51" s="2376"/>
      <c r="O51" s="2377"/>
      <c r="P51" s="2376"/>
      <c r="Q51" s="2377"/>
      <c r="R51" s="2376"/>
      <c r="S51" s="2377"/>
    </row>
    <row r="52" spans="1:19" ht="16.5" thickTop="1" thickBot="1">
      <c r="A52" s="726" t="s">
        <v>573</v>
      </c>
      <c r="B52" s="727"/>
      <c r="C52" s="12"/>
      <c r="D52" s="12"/>
      <c r="E52" s="12"/>
      <c r="F52" s="12"/>
      <c r="G52" s="13"/>
      <c r="H52" s="21"/>
      <c r="I52" s="21"/>
      <c r="J52" s="21"/>
      <c r="K52" s="21"/>
      <c r="L52" s="21"/>
      <c r="M52" s="21"/>
      <c r="N52" s="21"/>
      <c r="O52" s="21"/>
      <c r="P52" s="21"/>
      <c r="Q52" s="21"/>
      <c r="R52" s="21"/>
      <c r="S52" s="21"/>
    </row>
    <row r="53" spans="1:19" ht="15.75" thickTop="1">
      <c r="A53" s="3421"/>
      <c r="B53" s="2404"/>
      <c r="C53" s="3422"/>
      <c r="D53" s="3422"/>
      <c r="E53" s="3422"/>
      <c r="F53" s="3422"/>
      <c r="G53" s="3423"/>
      <c r="H53" s="3424"/>
      <c r="I53" s="3424"/>
      <c r="J53" s="3424"/>
      <c r="K53" s="3424"/>
      <c r="L53" s="3424"/>
      <c r="M53" s="3424"/>
      <c r="N53" s="3424"/>
      <c r="O53" s="3424"/>
      <c r="P53" s="3424"/>
      <c r="Q53" s="3424"/>
      <c r="R53" s="3424"/>
      <c r="S53" s="3424"/>
    </row>
    <row r="54" spans="1:19">
      <c r="A54" s="3421"/>
      <c r="B54" s="2404"/>
      <c r="C54" s="3422"/>
      <c r="D54" s="3422"/>
      <c r="E54" s="3422"/>
      <c r="F54" s="3422"/>
      <c r="G54" s="3423"/>
      <c r="H54" s="3424"/>
      <c r="I54" s="3424"/>
      <c r="J54" s="3424"/>
      <c r="K54" s="3424"/>
      <c r="L54" s="3424"/>
      <c r="M54" s="3424"/>
      <c r="N54" s="3424"/>
      <c r="O54" s="3424"/>
      <c r="P54" s="3424"/>
      <c r="Q54" s="3424"/>
      <c r="R54" s="3424"/>
      <c r="S54" s="3424"/>
    </row>
    <row r="55" spans="1:19" ht="15.75" thickBot="1">
      <c r="A55" s="3421"/>
      <c r="B55" s="2404"/>
      <c r="C55" s="3422"/>
      <c r="D55" s="3422"/>
      <c r="E55" s="3422"/>
      <c r="F55" s="3422"/>
      <c r="G55" s="3423"/>
      <c r="H55" s="3424"/>
      <c r="I55" s="3424"/>
      <c r="J55" s="3424"/>
      <c r="K55" s="3424"/>
      <c r="L55" s="3424"/>
      <c r="M55" s="3424"/>
      <c r="N55" s="3424"/>
      <c r="O55" s="3424"/>
      <c r="P55" s="3424"/>
      <c r="Q55" s="3424"/>
      <c r="R55" s="3424"/>
      <c r="S55" s="3424"/>
    </row>
    <row r="56" spans="1:19" s="2" customFormat="1" ht="16.5" thickTop="1" thickBot="1">
      <c r="A56" s="726" t="s">
        <v>574</v>
      </c>
      <c r="B56" s="727"/>
      <c r="C56" s="12"/>
      <c r="D56" s="12"/>
      <c r="E56" s="12"/>
      <c r="F56" s="12"/>
      <c r="G56" s="13"/>
      <c r="H56" s="21"/>
      <c r="I56" s="21"/>
      <c r="J56" s="21"/>
      <c r="K56" s="21"/>
      <c r="L56" s="21"/>
      <c r="M56" s="21"/>
      <c r="N56" s="21"/>
      <c r="O56" s="21"/>
      <c r="P56" s="21"/>
      <c r="Q56" s="21"/>
      <c r="R56" s="21"/>
      <c r="S56" s="21"/>
    </row>
    <row r="57" spans="1:19" s="2" customFormat="1" ht="15.75" thickTop="1">
      <c r="A57" s="3421"/>
      <c r="B57" s="2404"/>
      <c r="C57" s="3422"/>
      <c r="D57" s="3422"/>
      <c r="E57" s="3422"/>
      <c r="F57" s="3422"/>
      <c r="G57" s="3423"/>
      <c r="H57" s="3424"/>
      <c r="I57" s="3424"/>
      <c r="J57" s="3424"/>
      <c r="K57" s="3424"/>
      <c r="L57" s="3424"/>
      <c r="M57" s="3424"/>
      <c r="N57" s="3424"/>
      <c r="O57" s="3424"/>
      <c r="P57" s="3424"/>
      <c r="Q57" s="3424"/>
      <c r="R57" s="3424"/>
      <c r="S57" s="3424"/>
    </row>
    <row r="58" spans="1:19" s="2" customFormat="1">
      <c r="A58" s="3421"/>
      <c r="B58" s="2404"/>
      <c r="C58" s="3422"/>
      <c r="D58" s="3422"/>
      <c r="E58" s="3422"/>
      <c r="F58" s="3422"/>
      <c r="G58" s="3423"/>
      <c r="H58" s="3424"/>
      <c r="I58" s="3424"/>
      <c r="J58" s="3424"/>
      <c r="K58" s="3424"/>
      <c r="L58" s="3424"/>
      <c r="M58" s="3424"/>
      <c r="N58" s="3424"/>
      <c r="O58" s="3424"/>
      <c r="P58" s="3424"/>
      <c r="Q58" s="3424"/>
      <c r="R58" s="3424"/>
      <c r="S58" s="3424"/>
    </row>
    <row r="59" spans="1:19" ht="15.75" thickBot="1">
      <c r="A59" s="3421"/>
      <c r="B59" s="2404"/>
      <c r="C59" s="3422"/>
      <c r="D59" s="3422"/>
      <c r="E59" s="3422"/>
      <c r="F59" s="3422"/>
      <c r="G59" s="3423"/>
      <c r="H59" s="3424"/>
      <c r="I59" s="3424"/>
      <c r="J59" s="3424"/>
      <c r="K59" s="3424"/>
      <c r="L59" s="3424"/>
      <c r="M59" s="3424"/>
      <c r="N59" s="3424"/>
      <c r="O59" s="3424"/>
      <c r="P59" s="3424"/>
      <c r="Q59" s="3424"/>
      <c r="R59" s="3424"/>
      <c r="S59" s="3424"/>
    </row>
    <row r="60" spans="1:19" s="2" customFormat="1" ht="16.5" thickTop="1" thickBot="1">
      <c r="A60" s="726" t="s">
        <v>575</v>
      </c>
      <c r="B60" s="727"/>
      <c r="C60" s="12"/>
      <c r="D60" s="12"/>
      <c r="E60" s="12"/>
      <c r="F60" s="12"/>
      <c r="G60" s="13"/>
      <c r="H60" s="21"/>
      <c r="I60" s="21"/>
      <c r="J60" s="21"/>
      <c r="K60" s="21"/>
      <c r="L60" s="21"/>
      <c r="M60" s="21"/>
      <c r="N60" s="21"/>
      <c r="O60" s="21"/>
      <c r="P60" s="21"/>
      <c r="Q60" s="21"/>
      <c r="R60" s="21"/>
      <c r="S60" s="21"/>
    </row>
    <row r="61" spans="1:19" s="2" customFormat="1" ht="15.75" thickTop="1">
      <c r="A61" s="3421"/>
      <c r="B61" s="2404"/>
      <c r="C61" s="3422"/>
      <c r="D61" s="3422"/>
      <c r="E61" s="3422"/>
      <c r="F61" s="3422"/>
      <c r="G61" s="3423"/>
      <c r="H61" s="3424"/>
      <c r="I61" s="3424"/>
      <c r="J61" s="3424"/>
      <c r="K61" s="3424"/>
      <c r="L61" s="3424"/>
      <c r="M61" s="3424"/>
      <c r="N61" s="3424"/>
      <c r="O61" s="3424"/>
      <c r="P61" s="3424"/>
      <c r="Q61" s="3424"/>
      <c r="R61" s="3424"/>
      <c r="S61" s="3424"/>
    </row>
    <row r="62" spans="1:19" s="2" customFormat="1">
      <c r="A62" s="2421"/>
      <c r="B62" s="2404"/>
      <c r="C62" s="2405"/>
      <c r="D62" s="2405"/>
      <c r="E62" s="2405"/>
      <c r="F62" s="2405"/>
      <c r="G62" s="2423"/>
      <c r="H62" s="2382"/>
      <c r="I62" s="2382"/>
      <c r="J62" s="2382"/>
      <c r="K62" s="2382"/>
      <c r="L62" s="2382"/>
      <c r="M62" s="2382"/>
      <c r="N62" s="2382"/>
      <c r="O62" s="2382"/>
      <c r="P62" s="2382"/>
      <c r="Q62" s="2382"/>
      <c r="R62" s="2382"/>
      <c r="S62" s="2382"/>
    </row>
    <row r="63" spans="1:19" s="2" customFormat="1" ht="15.75" thickBot="1">
      <c r="A63" s="2383"/>
      <c r="B63" s="2384"/>
      <c r="C63" s="2405"/>
      <c r="D63" s="2405"/>
      <c r="E63" s="2405"/>
      <c r="F63" s="2405"/>
      <c r="G63" s="2423"/>
      <c r="H63" s="2385"/>
      <c r="I63" s="2385"/>
      <c r="J63" s="2385"/>
      <c r="K63" s="2385"/>
      <c r="L63" s="2385"/>
      <c r="M63" s="2385"/>
      <c r="N63" s="2385"/>
      <c r="O63" s="2385"/>
      <c r="P63" s="2385"/>
      <c r="Q63" s="2385"/>
      <c r="R63" s="2385"/>
      <c r="S63" s="2385"/>
    </row>
    <row r="64" spans="1:19" s="2" customFormat="1" ht="16.5" thickTop="1" thickBot="1">
      <c r="A64" s="726" t="s">
        <v>576</v>
      </c>
      <c r="B64" s="727"/>
      <c r="C64" s="12"/>
      <c r="D64" s="12"/>
      <c r="E64" s="12"/>
      <c r="F64" s="12"/>
      <c r="G64" s="13"/>
      <c r="H64" s="21"/>
      <c r="I64" s="21"/>
      <c r="J64" s="21"/>
      <c r="K64" s="21"/>
      <c r="L64" s="21"/>
      <c r="M64" s="21"/>
      <c r="N64" s="21"/>
      <c r="O64" s="21"/>
      <c r="P64" s="21"/>
      <c r="Q64" s="21"/>
      <c r="R64" s="21"/>
      <c r="S64" s="21"/>
    </row>
    <row r="65" spans="1:19" ht="15.75" thickTop="1">
      <c r="A65" s="3425"/>
      <c r="B65" s="3426"/>
      <c r="C65" s="3422"/>
      <c r="D65" s="3422"/>
      <c r="E65" s="3422"/>
      <c r="F65" s="3422"/>
      <c r="G65" s="3423"/>
      <c r="H65" s="3424"/>
      <c r="I65" s="3424"/>
      <c r="J65" s="3424"/>
      <c r="K65" s="3424"/>
      <c r="L65" s="3424"/>
      <c r="M65" s="3424"/>
      <c r="N65" s="3424"/>
      <c r="O65" s="3424"/>
      <c r="P65" s="3424"/>
      <c r="Q65" s="3424"/>
      <c r="R65" s="3424"/>
      <c r="S65" s="3424"/>
    </row>
    <row r="66" spans="1:19">
      <c r="A66" s="2383"/>
      <c r="B66" s="2384"/>
      <c r="C66" s="2405"/>
      <c r="D66" s="2405"/>
      <c r="E66" s="2405"/>
      <c r="F66" s="2405"/>
      <c r="G66" s="2423"/>
      <c r="H66" s="2388"/>
      <c r="I66" s="2388"/>
      <c r="J66" s="2388"/>
      <c r="K66" s="2388"/>
      <c r="L66" s="2388"/>
      <c r="M66" s="2388"/>
      <c r="N66" s="2388"/>
      <c r="O66" s="2388"/>
      <c r="P66" s="2388"/>
      <c r="Q66" s="2388"/>
      <c r="R66" s="2388"/>
      <c r="S66" s="2388"/>
    </row>
    <row r="67" spans="1:19" ht="15.75" thickBot="1">
      <c r="A67" s="2383"/>
      <c r="B67" s="2384"/>
      <c r="C67" s="2405"/>
      <c r="D67" s="2405"/>
      <c r="E67" s="2405"/>
      <c r="F67" s="2405"/>
      <c r="G67" s="2423"/>
      <c r="H67" s="2388"/>
      <c r="I67" s="2388"/>
      <c r="J67" s="2388"/>
      <c r="K67" s="2388"/>
      <c r="L67" s="2388"/>
      <c r="M67" s="2388"/>
      <c r="N67" s="2388"/>
      <c r="O67" s="2388"/>
      <c r="P67" s="2388"/>
      <c r="Q67" s="2388"/>
      <c r="R67" s="2388"/>
      <c r="S67" s="2388"/>
    </row>
    <row r="68" spans="1:19" ht="16.5" thickTop="1" thickBot="1">
      <c r="A68" s="726" t="s">
        <v>577</v>
      </c>
      <c r="B68" s="727"/>
      <c r="C68" s="12"/>
      <c r="D68" s="12"/>
      <c r="E68" s="12"/>
      <c r="F68" s="12"/>
      <c r="G68" s="13"/>
      <c r="H68" s="21"/>
      <c r="I68" s="21"/>
      <c r="J68" s="21"/>
      <c r="K68" s="21"/>
      <c r="L68" s="21"/>
      <c r="M68" s="21"/>
      <c r="N68" s="21"/>
      <c r="O68" s="21"/>
      <c r="P68" s="21"/>
      <c r="Q68" s="21"/>
      <c r="R68" s="21"/>
      <c r="S68" s="21"/>
    </row>
    <row r="69" spans="1:19" ht="15.75" thickTop="1">
      <c r="A69" s="2421"/>
      <c r="B69" s="2404" t="s">
        <v>578</v>
      </c>
      <c r="C69" s="2405"/>
      <c r="D69" s="2405"/>
      <c r="E69" s="2405"/>
      <c r="F69" s="2405"/>
      <c r="G69" s="2423"/>
      <c r="H69" s="2388"/>
      <c r="I69" s="2388"/>
      <c r="J69" s="2388"/>
      <c r="K69" s="2388"/>
      <c r="L69" s="2388"/>
      <c r="M69" s="2388"/>
      <c r="N69" s="2388"/>
      <c r="O69" s="2388"/>
      <c r="P69" s="2388"/>
      <c r="Q69" s="2388"/>
      <c r="R69" s="2388"/>
      <c r="S69" s="2388"/>
    </row>
    <row r="70" spans="1:19">
      <c r="A70" s="2421"/>
      <c r="B70" s="2404" t="s">
        <v>579</v>
      </c>
      <c r="C70" s="2405"/>
      <c r="D70" s="2405"/>
      <c r="E70" s="2405"/>
      <c r="F70" s="2405"/>
      <c r="G70" s="2423"/>
      <c r="H70" s="2388"/>
      <c r="I70" s="2388"/>
      <c r="J70" s="2388"/>
      <c r="K70" s="2388"/>
      <c r="L70" s="2388"/>
      <c r="M70" s="2388"/>
      <c r="N70" s="2388"/>
      <c r="O70" s="2388"/>
      <c r="P70" s="2388"/>
      <c r="Q70" s="2388"/>
      <c r="R70" s="2388"/>
      <c r="S70" s="2388"/>
    </row>
    <row r="71" spans="1:19">
      <c r="A71" s="2421"/>
      <c r="B71" s="2404" t="s">
        <v>580</v>
      </c>
      <c r="C71" s="2405"/>
      <c r="D71" s="2405"/>
      <c r="E71" s="2405"/>
      <c r="F71" s="2405"/>
      <c r="G71" s="2423"/>
      <c r="H71" s="2388"/>
      <c r="I71" s="2388"/>
      <c r="J71" s="2388"/>
      <c r="K71" s="2388"/>
      <c r="L71" s="2388"/>
      <c r="M71" s="2388"/>
      <c r="N71" s="2388"/>
      <c r="O71" s="2388"/>
      <c r="P71" s="2388"/>
      <c r="Q71" s="2388"/>
      <c r="R71" s="2388"/>
      <c r="S71" s="2388"/>
    </row>
    <row r="72" spans="1:19">
      <c r="A72" s="2421"/>
      <c r="B72" s="2404" t="s">
        <v>581</v>
      </c>
      <c r="C72" s="2405"/>
      <c r="D72" s="2405"/>
      <c r="E72" s="2405"/>
      <c r="F72" s="2405"/>
      <c r="G72" s="2423"/>
      <c r="H72" s="2388"/>
      <c r="I72" s="2388"/>
      <c r="J72" s="2388"/>
      <c r="K72" s="2388"/>
      <c r="L72" s="2388"/>
      <c r="M72" s="2388"/>
      <c r="N72" s="2388"/>
      <c r="O72" s="2388"/>
      <c r="P72" s="2388"/>
      <c r="Q72" s="2388"/>
      <c r="R72" s="2388"/>
      <c r="S72" s="2388"/>
    </row>
    <row r="73" spans="1:19" ht="15.75" thickBot="1">
      <c r="A73" s="416"/>
      <c r="B73" s="295"/>
      <c r="C73" s="184"/>
      <c r="D73" s="184"/>
      <c r="E73" s="184"/>
      <c r="F73" s="184"/>
      <c r="G73" s="296"/>
      <c r="H73" s="418"/>
      <c r="I73" s="418"/>
      <c r="J73" s="418"/>
      <c r="K73" s="418"/>
      <c r="L73" s="418"/>
      <c r="M73" s="418"/>
      <c r="N73" s="418"/>
      <c r="O73" s="418"/>
      <c r="P73" s="418"/>
      <c r="Q73" s="418"/>
      <c r="R73" s="418"/>
      <c r="S73" s="418"/>
    </row>
    <row r="74" spans="1:19" ht="16.5" thickTop="1" thickBot="1">
      <c r="A74" s="7" t="s">
        <v>582</v>
      </c>
      <c r="B74" s="8"/>
      <c r="C74" s="12"/>
      <c r="D74" s="12"/>
      <c r="E74" s="12"/>
      <c r="F74" s="12"/>
      <c r="G74" s="13"/>
      <c r="H74" s="21"/>
      <c r="I74" s="21"/>
      <c r="J74" s="21"/>
      <c r="K74" s="21"/>
      <c r="L74" s="21"/>
      <c r="M74" s="21"/>
      <c r="N74" s="21"/>
      <c r="O74" s="21"/>
      <c r="P74" s="21"/>
      <c r="Q74" s="21"/>
      <c r="R74" s="21"/>
      <c r="S74" s="21"/>
    </row>
    <row r="75" spans="1:19" ht="15.75" thickTop="1">
      <c r="A75" s="3421"/>
      <c r="B75" s="3427" t="s">
        <v>583</v>
      </c>
      <c r="C75" s="3422"/>
      <c r="D75" s="3422"/>
      <c r="E75" s="3422"/>
      <c r="F75" s="3422"/>
      <c r="G75" s="3423"/>
      <c r="H75" s="3428"/>
      <c r="I75" s="3428"/>
      <c r="J75" s="3428"/>
      <c r="K75" s="3428"/>
      <c r="L75" s="3428"/>
      <c r="M75" s="3428"/>
      <c r="N75" s="3428"/>
      <c r="O75" s="3428"/>
      <c r="P75" s="3428"/>
      <c r="Q75" s="3428"/>
      <c r="R75" s="3428"/>
      <c r="S75" s="3428"/>
    </row>
    <row r="76" spans="1:19">
      <c r="A76" s="2421"/>
      <c r="B76" s="2404" t="s">
        <v>584</v>
      </c>
      <c r="C76" s="2405"/>
      <c r="D76" s="2405"/>
      <c r="E76" s="2405"/>
      <c r="F76" s="2405"/>
      <c r="G76" s="2423"/>
      <c r="H76" s="2390"/>
      <c r="I76" s="2390"/>
      <c r="J76" s="2390"/>
      <c r="K76" s="2390"/>
      <c r="L76" s="2390"/>
      <c r="M76" s="2390"/>
      <c r="N76" s="2390"/>
      <c r="O76" s="2390"/>
      <c r="P76" s="2390"/>
      <c r="Q76" s="2390"/>
      <c r="R76" s="2390"/>
      <c r="S76" s="2390"/>
    </row>
    <row r="77" spans="1:19" ht="15.75" thickBot="1">
      <c r="A77" s="2391"/>
      <c r="B77" s="2392" t="s">
        <v>585</v>
      </c>
      <c r="C77" s="2393"/>
      <c r="D77" s="2393"/>
      <c r="E77" s="2393"/>
      <c r="F77" s="2393"/>
      <c r="G77" s="2394"/>
      <c r="H77" s="2395"/>
      <c r="I77" s="2395"/>
      <c r="J77" s="2395"/>
      <c r="K77" s="2395"/>
      <c r="L77" s="2395"/>
      <c r="M77" s="2395"/>
      <c r="N77" s="2395"/>
      <c r="O77" s="2395"/>
      <c r="P77" s="2395"/>
      <c r="Q77" s="2395"/>
      <c r="R77" s="2395"/>
      <c r="S77" s="2395"/>
    </row>
    <row r="78" spans="1:19" ht="16.5" thickTop="1" thickBot="1"/>
    <row r="79" spans="1:19" ht="16.5" thickTop="1" thickBot="1">
      <c r="A79" s="92" t="s">
        <v>586</v>
      </c>
      <c r="B79" s="94"/>
    </row>
    <row r="80" spans="1:19" ht="15.75" thickTop="1">
      <c r="A80" s="93" t="s">
        <v>487</v>
      </c>
      <c r="B80" s="2396"/>
    </row>
    <row r="81" spans="1:2">
      <c r="A81" s="2397" t="s">
        <v>491</v>
      </c>
      <c r="B81" s="2396"/>
    </row>
    <row r="82" spans="1:2">
      <c r="A82" s="2398" t="s">
        <v>494</v>
      </c>
      <c r="B82" s="2399"/>
    </row>
    <row r="83" spans="1:2">
      <c r="A83" s="2398" t="s">
        <v>497</v>
      </c>
      <c r="B83" s="2400"/>
    </row>
    <row r="84" spans="1:2" ht="15.75" thickBot="1">
      <c r="A84" s="2401" t="s">
        <v>587</v>
      </c>
      <c r="B84" s="2402"/>
    </row>
    <row r="85" spans="1:2" ht="15.75" thickTop="1"/>
    <row r="86" spans="1:2">
      <c r="A86" s="95"/>
      <c r="B86" s="1" t="s">
        <v>588</v>
      </c>
    </row>
    <row r="87" spans="1:2">
      <c r="A87" s="96"/>
      <c r="B87"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2:B52"/>
    <mergeCell ref="A56:B56"/>
    <mergeCell ref="A60:B60"/>
    <mergeCell ref="A64:B64"/>
    <mergeCell ref="A68:B68"/>
  </mergeCells>
  <conditionalFormatting sqref="H20:H30">
    <cfRule type="cellIs" dxfId="195" priority="23" operator="equal">
      <formula>"X"</formula>
    </cfRule>
    <cfRule type="cellIs" dxfId="194" priority="24" operator="equal">
      <formula>"I"</formula>
    </cfRule>
  </conditionalFormatting>
  <conditionalFormatting sqref="H32:H43">
    <cfRule type="cellIs" dxfId="193" priority="21" operator="equal">
      <formula>"X"</formula>
    </cfRule>
    <cfRule type="cellIs" dxfId="192" priority="22" operator="equal">
      <formula>"I"</formula>
    </cfRule>
  </conditionalFormatting>
  <conditionalFormatting sqref="J20:J30">
    <cfRule type="cellIs" dxfId="191" priority="17" operator="equal">
      <formula>"X"</formula>
    </cfRule>
    <cfRule type="cellIs" dxfId="190" priority="18" operator="equal">
      <formula>"I"</formula>
    </cfRule>
  </conditionalFormatting>
  <conditionalFormatting sqref="J32:J43">
    <cfRule type="cellIs" dxfId="189" priority="19" operator="equal">
      <formula>"X"</formula>
    </cfRule>
    <cfRule type="cellIs" dxfId="188" priority="20" operator="equal">
      <formula>"I"</formula>
    </cfRule>
  </conditionalFormatting>
  <conditionalFormatting sqref="L20:L30">
    <cfRule type="cellIs" dxfId="187" priority="15" operator="equal">
      <formula>"X"</formula>
    </cfRule>
    <cfRule type="cellIs" dxfId="186" priority="16" operator="equal">
      <formula>"I"</formula>
    </cfRule>
  </conditionalFormatting>
  <conditionalFormatting sqref="L32:L43">
    <cfRule type="cellIs" dxfId="185" priority="13" operator="equal">
      <formula>"X"</formula>
    </cfRule>
    <cfRule type="cellIs" dxfId="184" priority="14" operator="equal">
      <formula>"I"</formula>
    </cfRule>
  </conditionalFormatting>
  <conditionalFormatting sqref="N20:N30">
    <cfRule type="cellIs" dxfId="183" priority="9" operator="equal">
      <formula>"X"</formula>
    </cfRule>
    <cfRule type="cellIs" dxfId="182" priority="10" operator="equal">
      <formula>"I"</formula>
    </cfRule>
  </conditionalFormatting>
  <conditionalFormatting sqref="N32:N43">
    <cfRule type="cellIs" dxfId="181" priority="11" operator="equal">
      <formula>"X"</formula>
    </cfRule>
    <cfRule type="cellIs" dxfId="180" priority="12" operator="equal">
      <formula>"I"</formula>
    </cfRule>
  </conditionalFormatting>
  <conditionalFormatting sqref="P20:P30">
    <cfRule type="cellIs" dxfId="179" priority="7" operator="equal">
      <formula>"X"</formula>
    </cfRule>
    <cfRule type="cellIs" dxfId="178" priority="8" operator="equal">
      <formula>"I"</formula>
    </cfRule>
  </conditionalFormatting>
  <conditionalFormatting sqref="P32:P43">
    <cfRule type="cellIs" dxfId="177" priority="5" operator="equal">
      <formula>"X"</formula>
    </cfRule>
    <cfRule type="cellIs" dxfId="176" priority="6" operator="equal">
      <formula>"I"</formula>
    </cfRule>
  </conditionalFormatting>
  <conditionalFormatting sqref="R20:R30">
    <cfRule type="cellIs" dxfId="175" priority="1" operator="equal">
      <formula>"X"</formula>
    </cfRule>
    <cfRule type="cellIs" dxfId="174" priority="2" operator="equal">
      <formula>"I"</formula>
    </cfRule>
  </conditionalFormatting>
  <conditionalFormatting sqref="R32:R43">
    <cfRule type="cellIs" dxfId="173" priority="3" operator="equal">
      <formula>"X"</formula>
    </cfRule>
    <cfRule type="cellIs" dxfId="172" priority="4" operator="equal">
      <formula>"I"</formula>
    </cfRule>
  </conditionalFormatting>
  <hyperlinks>
    <hyperlink ref="B3" location="'Cost Summary'!A1" display="BACK TO SUMMARY SHEET" xr:uid="{48021C24-DBA8-4C23-B5CF-6D5EF37479BF}"/>
  </hyperlinks>
  <pageMargins left="0.7" right="0.7" top="0.75" bottom="0.75" header="0.3" footer="0.3"/>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EB95-1D7C-4EF6-81EA-BAF7DE5C46F5}">
  <sheetPr>
    <tabColor rgb="FF92D050"/>
  </sheetPr>
  <dimension ref="A1:S84"/>
  <sheetViews>
    <sheetView zoomScaleNormal="100" workbookViewId="0">
      <pane xSplit="2" ySplit="9" topLeftCell="C20" activePane="bottomRight" state="frozen"/>
      <selection pane="bottomRight" activeCell="B28" sqref="B2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6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19.5" thickBot="1">
      <c r="B3" s="150" t="s">
        <v>477</v>
      </c>
      <c r="E3" s="175"/>
      <c r="F3" s="148" t="s">
        <v>478</v>
      </c>
      <c r="G3" s="147" t="s">
        <v>479</v>
      </c>
      <c r="H3" s="730" t="s">
        <v>480</v>
      </c>
      <c r="I3" s="731"/>
      <c r="J3" s="792"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60"/>
      <c r="K4" s="760"/>
      <c r="L4" s="779"/>
      <c r="M4" s="779"/>
      <c r="N4" s="779"/>
      <c r="O4" s="779"/>
      <c r="P4" s="779"/>
      <c r="Q4" s="779"/>
      <c r="R4" s="760"/>
      <c r="S4" s="729"/>
    </row>
    <row r="5" spans="1:19">
      <c r="A5" s="2403" t="s">
        <v>489</v>
      </c>
      <c r="B5" s="2404" t="s">
        <v>1315</v>
      </c>
      <c r="C5" s="2405"/>
      <c r="D5" s="2405"/>
      <c r="E5" s="2405"/>
      <c r="F5" s="2405"/>
      <c r="G5" s="2406" t="s">
        <v>491</v>
      </c>
      <c r="H5" s="2407"/>
      <c r="I5" s="2408"/>
      <c r="J5" s="2409"/>
      <c r="K5" s="2409"/>
      <c r="L5" s="2518"/>
      <c r="M5" s="2518"/>
      <c r="N5" s="2518"/>
      <c r="O5" s="2518"/>
      <c r="P5" s="2518"/>
      <c r="Q5" s="2518"/>
      <c r="R5" s="2409"/>
      <c r="S5" s="2408"/>
    </row>
    <row r="6" spans="1:19">
      <c r="A6" s="2403" t="s">
        <v>493</v>
      </c>
      <c r="B6" s="2410" t="s">
        <v>1316</v>
      </c>
      <c r="C6" s="2405"/>
      <c r="D6" s="2405"/>
      <c r="E6" s="2405"/>
      <c r="F6" s="2405"/>
      <c r="G6" s="2406" t="s">
        <v>494</v>
      </c>
      <c r="H6" s="2411"/>
      <c r="I6" s="2412"/>
      <c r="J6" s="2413"/>
      <c r="K6" s="2413"/>
      <c r="L6" s="2519"/>
      <c r="M6" s="2519"/>
      <c r="N6" s="2519"/>
      <c r="O6" s="2519"/>
      <c r="P6" s="2519"/>
      <c r="Q6" s="2519"/>
      <c r="R6" s="2413"/>
      <c r="S6" s="2412"/>
    </row>
    <row r="7" spans="1:19">
      <c r="A7" s="2403" t="s">
        <v>496</v>
      </c>
      <c r="B7" s="2414"/>
      <c r="C7" s="2405"/>
      <c r="D7" s="2405"/>
      <c r="E7" s="2405"/>
      <c r="F7" s="2405"/>
      <c r="G7" s="2406" t="s">
        <v>497</v>
      </c>
      <c r="H7" s="2415"/>
      <c r="I7" s="2416"/>
      <c r="J7" s="2417"/>
      <c r="K7" s="2417"/>
      <c r="L7" s="2520"/>
      <c r="M7" s="2520"/>
      <c r="N7" s="2520"/>
      <c r="O7" s="2520"/>
      <c r="P7" s="2520"/>
      <c r="Q7" s="2520"/>
      <c r="R7" s="2417"/>
      <c r="S7" s="2416"/>
    </row>
    <row r="8" spans="1:19" ht="15.75" thickBot="1">
      <c r="A8" s="414" t="s">
        <v>499</v>
      </c>
      <c r="B8" s="295"/>
      <c r="C8" s="184"/>
      <c r="D8" s="184"/>
      <c r="E8" s="184"/>
      <c r="F8" s="184"/>
      <c r="G8" s="419" t="s">
        <v>499</v>
      </c>
      <c r="H8" s="2970">
        <f>I45</f>
        <v>0</v>
      </c>
      <c r="I8" s="2971"/>
      <c r="J8" s="3065">
        <f>K45</f>
        <v>0</v>
      </c>
      <c r="K8" s="3065"/>
      <c r="L8" s="3064">
        <f>M45</f>
        <v>0</v>
      </c>
      <c r="M8" s="3064"/>
      <c r="N8" s="3064">
        <f>O45</f>
        <v>0</v>
      </c>
      <c r="O8" s="3064"/>
      <c r="P8" s="3064">
        <f>Q45</f>
        <v>0</v>
      </c>
      <c r="Q8" s="3064"/>
      <c r="R8" s="3065">
        <f>S45</f>
        <v>0</v>
      </c>
      <c r="S8" s="2971"/>
    </row>
    <row r="9" spans="1:19" ht="31.5" thickTop="1" thickBot="1">
      <c r="A9" s="7" t="s">
        <v>500</v>
      </c>
      <c r="B9" s="8"/>
      <c r="C9" s="9" t="s">
        <v>501</v>
      </c>
      <c r="D9" s="9" t="s">
        <v>502</v>
      </c>
      <c r="E9" s="9" t="s">
        <v>503</v>
      </c>
      <c r="F9" s="9" t="s">
        <v>504</v>
      </c>
      <c r="G9" s="10" t="s">
        <v>505</v>
      </c>
      <c r="H9" s="11" t="s">
        <v>506</v>
      </c>
      <c r="I9" s="60" t="s">
        <v>507</v>
      </c>
      <c r="J9" s="50" t="s">
        <v>506</v>
      </c>
      <c r="K9" s="11" t="s">
        <v>507</v>
      </c>
      <c r="L9" s="11" t="s">
        <v>506</v>
      </c>
      <c r="M9" s="11" t="s">
        <v>507</v>
      </c>
      <c r="N9" s="11" t="s">
        <v>506</v>
      </c>
      <c r="O9" s="11" t="s">
        <v>507</v>
      </c>
      <c r="P9" s="11" t="s">
        <v>506</v>
      </c>
      <c r="Q9" s="11" t="s">
        <v>507</v>
      </c>
      <c r="R9" s="11" t="s">
        <v>506</v>
      </c>
      <c r="S9" s="11" t="s">
        <v>507</v>
      </c>
    </row>
    <row r="10" spans="1:19" ht="15.75" hidden="1" thickTop="1">
      <c r="A10" s="2421"/>
      <c r="B10" s="3429" t="s">
        <v>508</v>
      </c>
      <c r="C10" s="2405"/>
      <c r="D10" s="2405"/>
      <c r="E10" s="2405"/>
      <c r="F10" s="2405"/>
      <c r="G10" s="2423"/>
      <c r="H10" s="2424"/>
      <c r="I10" s="3430"/>
      <c r="J10" s="2424"/>
      <c r="K10" s="2424"/>
      <c r="L10" s="2424"/>
      <c r="M10" s="2424"/>
      <c r="N10" s="2424"/>
      <c r="O10" s="2424"/>
      <c r="P10" s="2424"/>
      <c r="Q10" s="2424"/>
      <c r="R10" s="2424"/>
      <c r="S10" s="2424"/>
    </row>
    <row r="11" spans="1:19" hidden="1">
      <c r="A11" s="2421"/>
      <c r="B11" s="2404" t="str">
        <f>'Area Calculations'!M61</f>
        <v>Design Team</v>
      </c>
      <c r="C11" s="2426" t="s">
        <v>509</v>
      </c>
      <c r="D11" s="2405"/>
      <c r="E11" s="2405"/>
      <c r="F11" s="2405"/>
      <c r="G11" s="2423"/>
      <c r="H11" s="2424"/>
      <c r="I11" s="3430"/>
      <c r="J11" s="2424"/>
      <c r="K11" s="2424"/>
      <c r="L11" s="2424"/>
      <c r="M11" s="2424"/>
      <c r="N11" s="2424"/>
      <c r="O11" s="2424"/>
      <c r="P11" s="2424"/>
      <c r="Q11" s="2424"/>
      <c r="R11" s="2424"/>
      <c r="S11" s="2424"/>
    </row>
    <row r="12" spans="1:19" hidden="1">
      <c r="A12" s="2421"/>
      <c r="B12" s="2404" t="str">
        <f>'Area Calculations'!M62</f>
        <v>Architectural Drawings  by</v>
      </c>
      <c r="C12" s="2426" t="s">
        <v>509</v>
      </c>
      <c r="D12" s="2405"/>
      <c r="E12" s="2405"/>
      <c r="F12" s="2405"/>
      <c r="G12" s="2423"/>
      <c r="H12" s="2424"/>
      <c r="I12" s="3430"/>
      <c r="J12" s="2424"/>
      <c r="K12" s="2424"/>
      <c r="L12" s="2424"/>
      <c r="M12" s="2424"/>
      <c r="N12" s="2424"/>
      <c r="O12" s="2424"/>
      <c r="P12" s="2424"/>
      <c r="Q12" s="2424"/>
      <c r="R12" s="2424"/>
      <c r="S12" s="2424"/>
    </row>
    <row r="13" spans="1:19" hidden="1">
      <c r="A13" s="2421"/>
      <c r="B13" s="2404" t="str">
        <f>'Area Calculations'!M63</f>
        <v>Structural Drawings by</v>
      </c>
      <c r="C13" s="2426" t="s">
        <v>509</v>
      </c>
      <c r="D13" s="2405"/>
      <c r="E13" s="2405"/>
      <c r="F13" s="2405"/>
      <c r="G13" s="2423"/>
      <c r="H13" s="2424"/>
      <c r="I13" s="3430"/>
      <c r="J13" s="2424"/>
      <c r="K13" s="2424"/>
      <c r="L13" s="2424"/>
      <c r="M13" s="2424"/>
      <c r="N13" s="2424"/>
      <c r="O13" s="2424"/>
      <c r="P13" s="2424"/>
      <c r="Q13" s="2424"/>
      <c r="R13" s="2424"/>
      <c r="S13" s="2424"/>
    </row>
    <row r="14" spans="1:19" hidden="1">
      <c r="A14" s="2421"/>
      <c r="B14" s="2404" t="str">
        <f>'Area Calculations'!M64</f>
        <v>MEP FA FP Drawings by</v>
      </c>
      <c r="C14" s="2426" t="s">
        <v>509</v>
      </c>
      <c r="D14" s="2405"/>
      <c r="E14" s="2405"/>
      <c r="F14" s="2405"/>
      <c r="G14" s="2423"/>
      <c r="H14" s="2424"/>
      <c r="I14" s="3430"/>
      <c r="J14" s="2424"/>
      <c r="K14" s="2424"/>
      <c r="L14" s="2424"/>
      <c r="M14" s="2424"/>
      <c r="N14" s="2424"/>
      <c r="O14" s="2424"/>
      <c r="P14" s="2424"/>
      <c r="Q14" s="2424"/>
      <c r="R14" s="2424"/>
      <c r="S14" s="2424"/>
    </row>
    <row r="15" spans="1:19" hidden="1">
      <c r="A15" s="2421"/>
      <c r="B15" s="2404" t="str">
        <f>'Area Calculations'!M65</f>
        <v xml:space="preserve">Civil Drawings by </v>
      </c>
      <c r="C15" s="2426" t="s">
        <v>509</v>
      </c>
      <c r="D15" s="2405"/>
      <c r="E15" s="2405"/>
      <c r="F15" s="2405"/>
      <c r="G15" s="2423"/>
      <c r="H15" s="2424"/>
      <c r="I15" s="3430"/>
      <c r="J15" s="2424"/>
      <c r="K15" s="2424"/>
      <c r="L15" s="2424"/>
      <c r="M15" s="2424"/>
      <c r="N15" s="2424"/>
      <c r="O15" s="2424"/>
      <c r="P15" s="2424"/>
      <c r="Q15" s="2424"/>
      <c r="R15" s="2424"/>
      <c r="S15" s="2424"/>
    </row>
    <row r="16" spans="1:19" hidden="1">
      <c r="A16" s="2421"/>
      <c r="B16" s="2404" t="str">
        <f>'Area Calculations'!M66</f>
        <v>Land scape Drawings by</v>
      </c>
      <c r="C16" s="2426" t="s">
        <v>509</v>
      </c>
      <c r="D16" s="2405"/>
      <c r="E16" s="2405"/>
      <c r="F16" s="2405"/>
      <c r="G16" s="2423"/>
      <c r="H16" s="2424"/>
      <c r="I16" s="3430"/>
      <c r="J16" s="2424"/>
      <c r="K16" s="2424"/>
      <c r="L16" s="2424"/>
      <c r="M16" s="2424"/>
      <c r="N16" s="2424"/>
      <c r="O16" s="2424"/>
      <c r="P16" s="2424"/>
      <c r="Q16" s="2424"/>
      <c r="R16" s="2424"/>
      <c r="S16" s="2424"/>
    </row>
    <row r="17" spans="1:19" hidden="1">
      <c r="A17" s="2421"/>
      <c r="B17" s="2404" t="str">
        <f>'Area Calculations'!M67</f>
        <v>Kitchen Drawings by</v>
      </c>
      <c r="C17" s="2426" t="s">
        <v>509</v>
      </c>
      <c r="D17" s="2405"/>
      <c r="E17" s="2405"/>
      <c r="F17" s="2405"/>
      <c r="G17" s="2423"/>
      <c r="H17" s="2424"/>
      <c r="I17" s="3430"/>
      <c r="J17" s="2424"/>
      <c r="K17" s="2424"/>
      <c r="L17" s="2424"/>
      <c r="M17" s="2424"/>
      <c r="N17" s="2424"/>
      <c r="O17" s="2424"/>
      <c r="P17" s="2424"/>
      <c r="Q17" s="2424"/>
      <c r="R17" s="2424"/>
      <c r="S17" s="2424"/>
    </row>
    <row r="18" spans="1:19" hidden="1">
      <c r="A18" s="2421"/>
      <c r="B18" s="2404" t="str">
        <f>'Area Calculations'!M68</f>
        <v>Storefront Designer by</v>
      </c>
      <c r="C18" s="2426" t="s">
        <v>509</v>
      </c>
      <c r="D18" s="2405"/>
      <c r="E18" s="2405"/>
      <c r="F18" s="2405"/>
      <c r="G18" s="2423"/>
      <c r="H18" s="2424"/>
      <c r="I18" s="3430"/>
      <c r="J18" s="2424"/>
      <c r="K18" s="2424"/>
      <c r="L18" s="2424"/>
      <c r="M18" s="2424"/>
      <c r="N18" s="2424"/>
      <c r="O18" s="2424"/>
      <c r="P18" s="2424"/>
      <c r="Q18" s="2424"/>
      <c r="R18" s="2424"/>
      <c r="S18" s="2424"/>
    </row>
    <row r="19" spans="1:19" ht="14.45" hidden="1" customHeight="1">
      <c r="A19" s="2421"/>
      <c r="B19" s="2404" t="str">
        <f>'Area Calculations'!M69</f>
        <v>Geotech report by</v>
      </c>
      <c r="C19" s="2426" t="s">
        <v>509</v>
      </c>
      <c r="D19" s="2405"/>
      <c r="E19" s="2405"/>
      <c r="F19" s="2405"/>
      <c r="G19" s="2423"/>
      <c r="H19" s="2424"/>
      <c r="I19" s="3430"/>
      <c r="J19" s="2424"/>
      <c r="K19" s="2424"/>
      <c r="L19" s="2424"/>
      <c r="M19" s="2424"/>
      <c r="N19" s="2424"/>
      <c r="O19" s="2424"/>
      <c r="P19" s="2424"/>
      <c r="Q19" s="2424"/>
      <c r="R19" s="2424"/>
      <c r="S19" s="2424"/>
    </row>
    <row r="20" spans="1:19" ht="15.75" thickTop="1">
      <c r="A20" s="162"/>
      <c r="B20" s="55"/>
      <c r="C20" s="163"/>
      <c r="D20" s="163"/>
      <c r="E20" s="163"/>
      <c r="F20" s="163"/>
      <c r="G20" s="164"/>
      <c r="H20" s="2427"/>
      <c r="I20" s="3431"/>
      <c r="J20" s="2427"/>
      <c r="K20" s="3432"/>
      <c r="L20" s="2427"/>
      <c r="M20" s="3432"/>
      <c r="N20" s="2427"/>
      <c r="O20" s="3432"/>
      <c r="P20" s="2427"/>
      <c r="Q20" s="3432"/>
      <c r="R20" s="2427"/>
      <c r="S20" s="3432"/>
    </row>
    <row r="21" spans="1:19" ht="15.75" thickBot="1">
      <c r="A21" s="3433"/>
      <c r="B21" s="2428" t="s">
        <v>1315</v>
      </c>
      <c r="C21" s="2426"/>
      <c r="D21" s="2405"/>
      <c r="E21" s="2405"/>
      <c r="F21" s="2405"/>
      <c r="G21" s="2423"/>
      <c r="H21" s="2427"/>
      <c r="I21" s="3407"/>
      <c r="J21" s="2427"/>
      <c r="K21" s="3382"/>
      <c r="L21" s="2427"/>
      <c r="M21" s="2481"/>
      <c r="N21" s="2427"/>
      <c r="O21" s="2481"/>
      <c r="P21" s="2427"/>
      <c r="Q21" s="2481"/>
      <c r="R21" s="2427"/>
      <c r="S21" s="2481"/>
    </row>
    <row r="22" spans="1:19">
      <c r="A22" s="3433"/>
      <c r="B22" s="2318" t="s">
        <v>512</v>
      </c>
      <c r="C22" s="2426"/>
      <c r="D22" s="2405"/>
      <c r="E22" s="2405"/>
      <c r="F22" s="2405"/>
      <c r="G22" s="2423"/>
      <c r="H22" s="2427"/>
      <c r="I22" s="3409"/>
      <c r="J22" s="2427"/>
      <c r="K22" s="3410"/>
      <c r="L22" s="2427"/>
      <c r="M22" s="3411"/>
      <c r="N22" s="2427"/>
      <c r="O22" s="3411"/>
      <c r="P22" s="2427"/>
      <c r="Q22" s="3411"/>
      <c r="R22" s="2427"/>
      <c r="S22" s="3411"/>
    </row>
    <row r="23" spans="1:19">
      <c r="A23" s="3433"/>
      <c r="B23" s="3408" t="s">
        <v>513</v>
      </c>
      <c r="C23" s="2426"/>
      <c r="D23" s="2405"/>
      <c r="E23" s="2405"/>
      <c r="F23" s="2405"/>
      <c r="G23" s="2423"/>
      <c r="H23" s="2427"/>
      <c r="I23" s="3409"/>
      <c r="J23" s="2427"/>
      <c r="K23" s="3410"/>
      <c r="L23" s="2427"/>
      <c r="M23" s="3411"/>
      <c r="N23" s="2427"/>
      <c r="O23" s="3411"/>
      <c r="P23" s="2427"/>
      <c r="Q23" s="3411"/>
      <c r="R23" s="2427"/>
      <c r="S23" s="3411"/>
    </row>
    <row r="24" spans="1:19">
      <c r="A24" s="3433"/>
      <c r="B24" s="3408" t="s">
        <v>514</v>
      </c>
      <c r="C24" s="2426"/>
      <c r="D24" s="2405"/>
      <c r="E24" s="2405"/>
      <c r="F24" s="2405"/>
      <c r="G24" s="2423"/>
      <c r="H24" s="2427"/>
      <c r="I24" s="3410"/>
      <c r="J24" s="2427"/>
      <c r="K24" s="3410"/>
      <c r="L24" s="2427"/>
      <c r="M24" s="3411"/>
      <c r="N24" s="2427"/>
      <c r="O24" s="3411"/>
      <c r="P24" s="2427"/>
      <c r="Q24" s="3411"/>
      <c r="R24" s="2427"/>
      <c r="S24" s="3411"/>
    </row>
    <row r="25" spans="1:19">
      <c r="A25" s="3433"/>
      <c r="B25" s="3412" t="s">
        <v>515</v>
      </c>
      <c r="C25" s="2426"/>
      <c r="D25" s="2405"/>
      <c r="E25" s="2405"/>
      <c r="F25" s="2405"/>
      <c r="G25" s="2423"/>
      <c r="H25" s="2427"/>
      <c r="I25" s="3410"/>
      <c r="J25" s="2427"/>
      <c r="K25" s="3410"/>
      <c r="L25" s="2427"/>
      <c r="M25" s="3411"/>
      <c r="N25" s="2427"/>
      <c r="O25" s="3410"/>
      <c r="P25" s="2427"/>
      <c r="Q25" s="3411"/>
      <c r="R25" s="2427"/>
      <c r="S25" s="3411"/>
    </row>
    <row r="26" spans="1:19">
      <c r="A26" s="3433"/>
      <c r="B26" s="3412" t="s">
        <v>516</v>
      </c>
      <c r="C26" s="2426"/>
      <c r="D26" s="2405"/>
      <c r="E26" s="2405"/>
      <c r="F26" s="2405"/>
      <c r="G26" s="2423"/>
      <c r="H26" s="2427"/>
      <c r="I26" s="3410"/>
      <c r="J26" s="2427"/>
      <c r="K26" s="3410"/>
      <c r="L26" s="2427"/>
      <c r="M26" s="3411"/>
      <c r="N26" s="2427"/>
      <c r="O26" s="3410"/>
      <c r="P26" s="2427"/>
      <c r="Q26" s="3411"/>
      <c r="R26" s="2427"/>
      <c r="S26" s="3411"/>
    </row>
    <row r="27" spans="1:19">
      <c r="A27" s="3433"/>
      <c r="B27" s="3412" t="s">
        <v>517</v>
      </c>
      <c r="C27" s="2426"/>
      <c r="D27" s="2405"/>
      <c r="E27" s="2405"/>
      <c r="F27" s="2405"/>
      <c r="G27" s="2423"/>
      <c r="H27" s="2427"/>
      <c r="I27" s="3410"/>
      <c r="J27" s="2427"/>
      <c r="K27" s="3410"/>
      <c r="L27" s="2427"/>
      <c r="M27" s="3411"/>
      <c r="N27" s="2427"/>
      <c r="O27" s="3410"/>
      <c r="P27" s="2427"/>
      <c r="Q27" s="3411"/>
      <c r="R27" s="2427"/>
      <c r="S27" s="3411"/>
    </row>
    <row r="28" spans="1:19">
      <c r="A28" s="3433"/>
      <c r="B28" s="3412" t="s">
        <v>518</v>
      </c>
      <c r="C28" s="2426"/>
      <c r="D28" s="2405"/>
      <c r="E28" s="2405"/>
      <c r="F28" s="2405"/>
      <c r="G28" s="2423"/>
      <c r="H28" s="2427"/>
      <c r="I28" s="3410"/>
      <c r="J28" s="2427"/>
      <c r="K28" s="3410"/>
      <c r="L28" s="2427"/>
      <c r="M28" s="3411"/>
      <c r="N28" s="2427"/>
      <c r="O28" s="3410"/>
      <c r="P28" s="2427"/>
      <c r="Q28" s="3411"/>
      <c r="R28" s="2427"/>
      <c r="S28" s="3411"/>
    </row>
    <row r="29" spans="1:19">
      <c r="A29" s="3433"/>
      <c r="B29" s="3412" t="s">
        <v>693</v>
      </c>
      <c r="C29" s="2426"/>
      <c r="D29" s="2405"/>
      <c r="E29" s="2405"/>
      <c r="F29" s="2405"/>
      <c r="G29" s="2423"/>
      <c r="H29" s="2427"/>
      <c r="I29" s="3410"/>
      <c r="J29" s="2427"/>
      <c r="K29" s="3410"/>
      <c r="L29" s="2427"/>
      <c r="M29" s="3411"/>
      <c r="N29" s="2427"/>
      <c r="O29" s="3410"/>
      <c r="P29" s="2427"/>
      <c r="Q29" s="3411"/>
      <c r="R29" s="2427"/>
      <c r="S29" s="3411"/>
    </row>
    <row r="30" spans="1:19">
      <c r="A30" s="3433"/>
      <c r="B30" s="3413" t="s">
        <v>519</v>
      </c>
      <c r="C30" s="2426"/>
      <c r="D30" s="2405"/>
      <c r="E30" s="2405"/>
      <c r="F30" s="2405"/>
      <c r="G30" s="2423"/>
      <c r="H30" s="2427"/>
      <c r="I30" s="3409"/>
      <c r="J30" s="2427"/>
      <c r="K30" s="3410"/>
      <c r="L30" s="2427"/>
      <c r="M30" s="3411"/>
      <c r="N30" s="2427"/>
      <c r="O30" s="3410"/>
      <c r="P30" s="2427"/>
      <c r="Q30" s="3411"/>
      <c r="R30" s="2427"/>
      <c r="S30" s="3411"/>
    </row>
    <row r="31" spans="1:19">
      <c r="A31" s="3433"/>
      <c r="B31" s="3414" t="s">
        <v>520</v>
      </c>
      <c r="C31" s="3415"/>
      <c r="D31" s="2980"/>
      <c r="E31" s="2980"/>
      <c r="F31" s="2980"/>
      <c r="G31" s="3079"/>
      <c r="H31" s="3416"/>
      <c r="I31" s="3417"/>
      <c r="J31" s="3417"/>
      <c r="K31" s="3417"/>
      <c r="L31" s="3418"/>
      <c r="M31" s="3419"/>
      <c r="N31" s="3417"/>
      <c r="O31" s="3417"/>
      <c r="P31" s="3417"/>
      <c r="Q31" s="3417"/>
      <c r="R31" s="2439"/>
      <c r="S31" s="3419"/>
    </row>
    <row r="32" spans="1:19">
      <c r="A32" s="3434"/>
      <c r="B32" s="251"/>
      <c r="C32" s="3435"/>
      <c r="D32" s="3436"/>
      <c r="E32" s="3436"/>
      <c r="F32" s="2405"/>
      <c r="G32" s="2423"/>
      <c r="H32" s="2427"/>
      <c r="I32" s="3410"/>
      <c r="J32" s="2427"/>
      <c r="K32" s="3409"/>
      <c r="L32" s="2427"/>
      <c r="M32" s="3437"/>
      <c r="N32" s="2427"/>
      <c r="O32" s="3437"/>
      <c r="P32" s="2427"/>
      <c r="Q32" s="3437"/>
      <c r="R32" s="2427"/>
      <c r="S32" s="3437"/>
    </row>
    <row r="33" spans="1:19">
      <c r="A33" s="3434"/>
      <c r="B33" s="251"/>
      <c r="C33" s="252"/>
      <c r="D33" s="253"/>
      <c r="E33" s="253"/>
      <c r="F33" s="184"/>
      <c r="G33" s="296"/>
      <c r="H33" s="2427"/>
      <c r="I33" s="3410"/>
      <c r="J33" s="2427"/>
      <c r="K33" s="3438"/>
      <c r="L33" s="2427"/>
      <c r="M33" s="3437"/>
      <c r="N33" s="2427"/>
      <c r="O33" s="3437"/>
      <c r="P33" s="2427"/>
      <c r="Q33" s="3437"/>
      <c r="R33" s="2427"/>
      <c r="S33" s="3437"/>
    </row>
    <row r="34" spans="1:19">
      <c r="A34" s="3434"/>
      <c r="B34" s="251"/>
      <c r="C34" s="252"/>
      <c r="D34" s="253"/>
      <c r="E34" s="253"/>
      <c r="F34" s="184"/>
      <c r="G34" s="296"/>
      <c r="H34" s="2427"/>
      <c r="I34" s="3410"/>
      <c r="J34" s="2427"/>
      <c r="K34" s="3438"/>
      <c r="L34" s="2427"/>
      <c r="M34" s="3437"/>
      <c r="N34" s="2427"/>
      <c r="O34" s="3437"/>
      <c r="P34" s="2427"/>
      <c r="Q34" s="3437"/>
      <c r="R34" s="2427"/>
      <c r="S34" s="3437"/>
    </row>
    <row r="35" spans="1:19">
      <c r="A35" s="3434"/>
      <c r="B35" s="251"/>
      <c r="C35" s="252"/>
      <c r="D35" s="253"/>
      <c r="E35" s="253"/>
      <c r="F35" s="184"/>
      <c r="G35" s="296"/>
      <c r="H35" s="2427"/>
      <c r="I35" s="3410"/>
      <c r="J35" s="2427"/>
      <c r="K35" s="3438"/>
      <c r="L35" s="2427"/>
      <c r="M35" s="3437"/>
      <c r="N35" s="2427"/>
      <c r="O35" s="3437"/>
      <c r="P35" s="2427"/>
      <c r="Q35" s="3437"/>
      <c r="R35" s="2427"/>
      <c r="S35" s="3437"/>
    </row>
    <row r="36" spans="1:19">
      <c r="A36" s="3434"/>
      <c r="B36" s="251"/>
      <c r="C36" s="252"/>
      <c r="D36" s="253"/>
      <c r="E36" s="253"/>
      <c r="F36" s="184"/>
      <c r="G36" s="296"/>
      <c r="H36" s="2427"/>
      <c r="I36" s="3410"/>
      <c r="J36" s="2427"/>
      <c r="K36" s="3438"/>
      <c r="L36" s="2427"/>
      <c r="M36" s="3437"/>
      <c r="N36" s="2427"/>
      <c r="O36" s="3437"/>
      <c r="P36" s="2427"/>
      <c r="Q36" s="3437"/>
      <c r="R36" s="2427"/>
      <c r="S36" s="3437"/>
    </row>
    <row r="37" spans="1:19">
      <c r="A37" s="3434"/>
      <c r="B37" s="251"/>
      <c r="C37" s="252"/>
      <c r="D37" s="253"/>
      <c r="E37" s="253"/>
      <c r="F37" s="184"/>
      <c r="G37" s="296"/>
      <c r="H37" s="2427"/>
      <c r="I37" s="3410"/>
      <c r="J37" s="2427"/>
      <c r="K37" s="3438"/>
      <c r="L37" s="2427"/>
      <c r="M37" s="3437"/>
      <c r="N37" s="2427"/>
      <c r="O37" s="3437"/>
      <c r="P37" s="2427"/>
      <c r="Q37" s="3437"/>
      <c r="R37" s="2427"/>
      <c r="S37" s="3437"/>
    </row>
    <row r="38" spans="1:19">
      <c r="A38" s="3434"/>
      <c r="B38" s="251"/>
      <c r="C38" s="252"/>
      <c r="D38" s="253"/>
      <c r="E38" s="253"/>
      <c r="F38" s="184"/>
      <c r="G38" s="296"/>
      <c r="H38" s="2427"/>
      <c r="I38" s="3410"/>
      <c r="J38" s="2427"/>
      <c r="K38" s="3438"/>
      <c r="L38" s="2427"/>
      <c r="M38" s="3437"/>
      <c r="N38" s="2427"/>
      <c r="O38" s="3437"/>
      <c r="P38" s="2427"/>
      <c r="Q38" s="3437"/>
      <c r="R38" s="2427"/>
      <c r="S38" s="3437"/>
    </row>
    <row r="39" spans="1:19">
      <c r="A39" s="3434"/>
      <c r="B39" s="251"/>
      <c r="C39" s="252"/>
      <c r="D39" s="253"/>
      <c r="E39" s="253"/>
      <c r="F39" s="184"/>
      <c r="G39" s="296"/>
      <c r="H39" s="2427"/>
      <c r="I39" s="3410"/>
      <c r="J39" s="2427"/>
      <c r="K39" s="3438"/>
      <c r="L39" s="2427"/>
      <c r="M39" s="3437"/>
      <c r="N39" s="2427"/>
      <c r="O39" s="3437"/>
      <c r="P39" s="2427"/>
      <c r="Q39" s="3437"/>
      <c r="R39" s="2427"/>
      <c r="S39" s="3437"/>
    </row>
    <row r="40" spans="1:19">
      <c r="A40" s="3434"/>
      <c r="B40" s="251"/>
      <c r="C40" s="252"/>
      <c r="D40" s="253"/>
      <c r="E40" s="253"/>
      <c r="F40" s="184"/>
      <c r="G40" s="296"/>
      <c r="H40" s="2427"/>
      <c r="I40" s="3410"/>
      <c r="J40" s="2427"/>
      <c r="K40" s="3437"/>
      <c r="L40" s="2427"/>
      <c r="M40" s="3410"/>
      <c r="N40" s="2427"/>
      <c r="O40" s="3411"/>
      <c r="P40" s="2427"/>
      <c r="Q40" s="3411"/>
      <c r="R40" s="2427"/>
      <c r="S40" s="3411"/>
    </row>
    <row r="41" spans="1:19" ht="15.75" thickTop="1">
      <c r="A41" s="14"/>
      <c r="B41" s="15"/>
      <c r="C41" s="16"/>
      <c r="D41" s="16"/>
      <c r="E41" s="17"/>
      <c r="F41" s="18" t="s">
        <v>567</v>
      </c>
      <c r="G41" s="19"/>
      <c r="H41" s="20"/>
      <c r="I41" s="61">
        <f>SUM(I24:I40)</f>
        <v>0</v>
      </c>
      <c r="J41" s="20"/>
      <c r="K41" s="61">
        <f>SUM(K24:K40)</f>
        <v>0</v>
      </c>
      <c r="L41" s="20"/>
      <c r="M41" s="61">
        <f>SUM(M24:M40)</f>
        <v>0</v>
      </c>
      <c r="N41" s="20"/>
      <c r="O41" s="61">
        <f>SUM(O24:O40)</f>
        <v>0</v>
      </c>
      <c r="P41" s="20"/>
      <c r="Q41" s="61">
        <f>SUM(Q24:Q40)</f>
        <v>0</v>
      </c>
      <c r="R41" s="20"/>
      <c r="S41" s="61">
        <f>SUM(S24:S40)</f>
        <v>0</v>
      </c>
    </row>
    <row r="42" spans="1:19">
      <c r="A42" s="2358"/>
      <c r="B42" s="2359"/>
      <c r="C42" s="2360"/>
      <c r="D42" s="2360"/>
      <c r="E42" s="2361"/>
      <c r="F42" s="2362" t="s">
        <v>568</v>
      </c>
      <c r="G42" s="2363"/>
      <c r="H42" s="2364">
        <v>0</v>
      </c>
      <c r="I42" s="2460"/>
      <c r="J42" s="2364">
        <v>0</v>
      </c>
      <c r="K42" s="2460"/>
      <c r="L42" s="2364">
        <v>0</v>
      </c>
      <c r="M42" s="2460"/>
      <c r="N42" s="2364">
        <v>0</v>
      </c>
      <c r="O42" s="2460"/>
      <c r="P42" s="2364">
        <v>0</v>
      </c>
      <c r="Q42" s="2460"/>
      <c r="R42" s="2364">
        <v>0</v>
      </c>
      <c r="S42" s="2460"/>
    </row>
    <row r="43" spans="1:19">
      <c r="A43" s="2358"/>
      <c r="B43" s="2359"/>
      <c r="C43" s="2360"/>
      <c r="D43" s="2360"/>
      <c r="E43" s="2361"/>
      <c r="F43" s="2362" t="s">
        <v>569</v>
      </c>
      <c r="G43" s="2363"/>
      <c r="H43" s="2366"/>
      <c r="I43" s="2462">
        <f>I41*H42</f>
        <v>0</v>
      </c>
      <c r="J43" s="2366"/>
      <c r="K43" s="2462">
        <f>K41*J42</f>
        <v>0</v>
      </c>
      <c r="L43" s="2366"/>
      <c r="M43" s="2462">
        <f>M41*L42</f>
        <v>0</v>
      </c>
      <c r="N43" s="2366"/>
      <c r="O43" s="2462">
        <f>O41*N42</f>
        <v>0</v>
      </c>
      <c r="P43" s="2366"/>
      <c r="Q43" s="2462">
        <f>Q41*P42</f>
        <v>0</v>
      </c>
      <c r="R43" s="2366"/>
      <c r="S43" s="2462">
        <f>S41*R42</f>
        <v>0</v>
      </c>
    </row>
    <row r="44" spans="1:19">
      <c r="A44" s="2358"/>
      <c r="B44" s="2359"/>
      <c r="C44" s="2360"/>
      <c r="D44" s="2360"/>
      <c r="E44" s="2361"/>
      <c r="F44" s="2362"/>
      <c r="G44" s="2363"/>
      <c r="H44" s="2366"/>
      <c r="I44" s="2464"/>
      <c r="J44" s="2366"/>
      <c r="K44" s="2464"/>
      <c r="L44" s="2366"/>
      <c r="M44" s="2464"/>
      <c r="N44" s="2366"/>
      <c r="O44" s="2464"/>
      <c r="P44" s="2366"/>
      <c r="Q44" s="2464"/>
      <c r="R44" s="2366"/>
      <c r="S44" s="2464"/>
    </row>
    <row r="45" spans="1:19">
      <c r="A45" s="2358"/>
      <c r="B45" s="2359"/>
      <c r="C45" s="2360"/>
      <c r="D45" s="2360"/>
      <c r="E45" s="2361"/>
      <c r="F45" s="2362" t="s">
        <v>570</v>
      </c>
      <c r="G45" s="2363"/>
      <c r="H45" s="2368"/>
      <c r="I45" s="2465">
        <f>SUM(I41:I43)</f>
        <v>0</v>
      </c>
      <c r="J45" s="2368"/>
      <c r="K45" s="2465">
        <f>SUM(K41:K43)</f>
        <v>0</v>
      </c>
      <c r="L45" s="2368"/>
      <c r="M45" s="2465">
        <f>SUM(M41:M43)</f>
        <v>0</v>
      </c>
      <c r="N45" s="2368"/>
      <c r="O45" s="2465">
        <f>SUM(O41:O43)</f>
        <v>0</v>
      </c>
      <c r="P45" s="2368"/>
      <c r="Q45" s="2465">
        <f>SUM(Q41:Q43)</f>
        <v>0</v>
      </c>
      <c r="R45" s="2368"/>
      <c r="S45" s="2465">
        <f>SUM(S41:S43)</f>
        <v>0</v>
      </c>
    </row>
    <row r="46" spans="1:19">
      <c r="A46" s="2358"/>
      <c r="B46" s="2359"/>
      <c r="C46" s="2360"/>
      <c r="D46" s="2360"/>
      <c r="E46" s="2361"/>
      <c r="F46" s="2370" t="s">
        <v>571</v>
      </c>
      <c r="G46" s="2371"/>
      <c r="H46" s="2372"/>
      <c r="I46" s="2373" t="e">
        <f>I45/'Area Calculations'!$J$4</f>
        <v>#DIV/0!</v>
      </c>
      <c r="J46" s="2372"/>
      <c r="K46" s="2373" t="e">
        <f>K45/'Area Calculations'!$J$4</f>
        <v>#DIV/0!</v>
      </c>
      <c r="L46" s="2372"/>
      <c r="M46" s="2373" t="e">
        <f>M45/'Area Calculations'!$J$4</f>
        <v>#DIV/0!</v>
      </c>
      <c r="N46" s="2372"/>
      <c r="O46" s="2373" t="e">
        <f>O45/'Area Calculations'!$J$4</f>
        <v>#DIV/0!</v>
      </c>
      <c r="P46" s="2372"/>
      <c r="Q46" s="2373" t="e">
        <f>Q45/'Area Calculations'!$J$4</f>
        <v>#DIV/0!</v>
      </c>
      <c r="R46" s="2372"/>
      <c r="S46" s="2373" t="e">
        <f>S45/'Area Calculations'!$J$4</f>
        <v>#DIV/0!</v>
      </c>
    </row>
    <row r="47" spans="1:19">
      <c r="A47" s="2358"/>
      <c r="B47" s="2359"/>
      <c r="C47" s="2360"/>
      <c r="D47" s="2360"/>
      <c r="E47" s="2361"/>
      <c r="F47" s="2370" t="s">
        <v>572</v>
      </c>
      <c r="G47" s="2374"/>
      <c r="H47" s="2372"/>
      <c r="I47" s="2373" t="e">
        <f>I45/'Area Calculations'!#REF!</f>
        <v>#REF!</v>
      </c>
      <c r="J47" s="2372"/>
      <c r="K47" s="2373" t="e">
        <f>K45/'Area Calculations'!#REF!</f>
        <v>#REF!</v>
      </c>
      <c r="L47" s="2372"/>
      <c r="M47" s="2373" t="e">
        <f>M45/'Area Calculations'!#REF!</f>
        <v>#REF!</v>
      </c>
      <c r="N47" s="2372"/>
      <c r="O47" s="2373" t="e">
        <f>O45/'Area Calculations'!#REF!</f>
        <v>#REF!</v>
      </c>
      <c r="P47" s="2372"/>
      <c r="Q47" s="2373" t="e">
        <f>Q45/'Area Calculations'!#REF!</f>
        <v>#REF!</v>
      </c>
      <c r="R47" s="2372"/>
      <c r="S47" s="2373" t="e">
        <f>S45/'Area Calculations'!#REF!</f>
        <v>#REF!</v>
      </c>
    </row>
    <row r="48" spans="1:19" ht="15.75" thickBot="1">
      <c r="A48" s="2358"/>
      <c r="B48" s="2359"/>
      <c r="C48" s="2360"/>
      <c r="D48" s="2360"/>
      <c r="E48" s="2361"/>
      <c r="F48" s="2362"/>
      <c r="G48" s="2363"/>
      <c r="H48" s="2378"/>
      <c r="I48" s="3439"/>
      <c r="J48" s="2378"/>
      <c r="K48" s="3439"/>
      <c r="L48" s="2378"/>
      <c r="M48" s="3439"/>
      <c r="N48" s="2378"/>
      <c r="O48" s="3439"/>
      <c r="P48" s="2378"/>
      <c r="Q48" s="3439"/>
      <c r="R48" s="2378"/>
      <c r="S48" s="3439"/>
    </row>
    <row r="49" spans="1:19" ht="16.5" thickTop="1" thickBot="1">
      <c r="A49" s="726" t="s">
        <v>573</v>
      </c>
      <c r="B49" s="727"/>
      <c r="C49" s="12"/>
      <c r="D49" s="12"/>
      <c r="E49" s="12"/>
      <c r="F49" s="12"/>
      <c r="G49" s="13"/>
      <c r="H49" s="21"/>
      <c r="I49" s="21"/>
      <c r="J49" s="21"/>
      <c r="K49" s="21"/>
      <c r="L49" s="21"/>
      <c r="M49" s="21"/>
      <c r="N49" s="21"/>
      <c r="O49" s="21"/>
      <c r="P49" s="21"/>
      <c r="Q49" s="21"/>
      <c r="R49" s="21"/>
      <c r="S49" s="21"/>
    </row>
    <row r="50" spans="1:19" ht="15.75" thickTop="1">
      <c r="A50" s="3421"/>
      <c r="B50" s="2404"/>
      <c r="C50" s="3422"/>
      <c r="D50" s="3422"/>
      <c r="E50" s="3422"/>
      <c r="F50" s="3422"/>
      <c r="G50" s="3423"/>
      <c r="H50" s="3424"/>
      <c r="I50" s="3424"/>
      <c r="J50" s="3424"/>
      <c r="K50" s="3424"/>
      <c r="L50" s="3424"/>
      <c r="M50" s="3424"/>
      <c r="N50" s="3424"/>
      <c r="O50" s="3424"/>
      <c r="P50" s="3424"/>
      <c r="Q50" s="3424"/>
      <c r="R50" s="3424"/>
      <c r="S50" s="3424"/>
    </row>
    <row r="51" spans="1:19" s="2" customFormat="1">
      <c r="A51" s="3421"/>
      <c r="B51" s="2404"/>
      <c r="C51" s="3422"/>
      <c r="D51" s="3422"/>
      <c r="E51" s="3422"/>
      <c r="F51" s="3422"/>
      <c r="G51" s="3423"/>
      <c r="H51" s="3424"/>
      <c r="I51" s="3424"/>
      <c r="J51" s="3424"/>
      <c r="K51" s="3424"/>
      <c r="L51" s="3424"/>
      <c r="M51" s="3424"/>
      <c r="N51" s="3424"/>
      <c r="O51" s="3424"/>
      <c r="P51" s="3424"/>
      <c r="Q51" s="3424"/>
      <c r="R51" s="3424"/>
      <c r="S51" s="3424"/>
    </row>
    <row r="52" spans="1:19" s="2" customFormat="1" ht="15.75" thickBot="1">
      <c r="A52" s="3421"/>
      <c r="B52" s="2404"/>
      <c r="C52" s="3422"/>
      <c r="D52" s="3422"/>
      <c r="E52" s="3422"/>
      <c r="F52" s="3422"/>
      <c r="G52" s="3423"/>
      <c r="H52" s="3424"/>
      <c r="I52" s="3424"/>
      <c r="J52" s="3424"/>
      <c r="K52" s="3424"/>
      <c r="L52" s="3424"/>
      <c r="M52" s="3424"/>
      <c r="N52" s="3424"/>
      <c r="O52" s="3424"/>
      <c r="P52" s="3424"/>
      <c r="Q52" s="3424"/>
      <c r="R52" s="3424"/>
      <c r="S52" s="3424"/>
    </row>
    <row r="53" spans="1:19" s="2" customFormat="1" ht="16.5" thickTop="1" thickBot="1">
      <c r="A53" s="726" t="s">
        <v>574</v>
      </c>
      <c r="B53" s="727"/>
      <c r="C53" s="12"/>
      <c r="D53" s="12"/>
      <c r="E53" s="12"/>
      <c r="F53" s="12"/>
      <c r="G53" s="13"/>
      <c r="H53" s="21"/>
      <c r="I53" s="21"/>
      <c r="J53" s="21"/>
      <c r="K53" s="21"/>
      <c r="L53" s="21"/>
      <c r="M53" s="21"/>
      <c r="N53" s="21"/>
      <c r="O53" s="21"/>
      <c r="P53" s="21"/>
      <c r="Q53" s="21"/>
      <c r="R53" s="21"/>
      <c r="S53" s="21"/>
    </row>
    <row r="54" spans="1:19" s="2" customFormat="1" ht="15.75" thickTop="1">
      <c r="A54" s="3421"/>
      <c r="B54" s="2404"/>
      <c r="C54" s="3422"/>
      <c r="D54" s="3422"/>
      <c r="E54" s="3422"/>
      <c r="F54" s="3422"/>
      <c r="G54" s="3423"/>
      <c r="H54" s="3424"/>
      <c r="I54" s="3424"/>
      <c r="J54" s="3424"/>
      <c r="K54" s="3424"/>
      <c r="L54" s="3424"/>
      <c r="M54" s="3424"/>
      <c r="N54" s="3424"/>
      <c r="O54" s="3424"/>
      <c r="P54" s="3424"/>
      <c r="Q54" s="3424"/>
      <c r="R54" s="3424"/>
      <c r="S54" s="3424"/>
    </row>
    <row r="55" spans="1:19" s="2" customFormat="1">
      <c r="A55" s="3421"/>
      <c r="B55" s="2404"/>
      <c r="C55" s="3422"/>
      <c r="D55" s="3422"/>
      <c r="E55" s="3422"/>
      <c r="F55" s="3422"/>
      <c r="G55" s="3423"/>
      <c r="H55" s="3424"/>
      <c r="I55" s="3424"/>
      <c r="J55" s="3424"/>
      <c r="K55" s="3424"/>
      <c r="L55" s="3424"/>
      <c r="M55" s="3424"/>
      <c r="N55" s="3424"/>
      <c r="O55" s="3424"/>
      <c r="P55" s="3424"/>
      <c r="Q55" s="3424"/>
      <c r="R55" s="3424"/>
      <c r="S55" s="3424"/>
    </row>
    <row r="56" spans="1:19" s="2" customFormat="1" ht="15.75" thickBot="1">
      <c r="A56" s="3421"/>
      <c r="B56" s="2404"/>
      <c r="C56" s="3422"/>
      <c r="D56" s="3422"/>
      <c r="E56" s="3422"/>
      <c r="F56" s="3422"/>
      <c r="G56" s="3423"/>
      <c r="H56" s="3424"/>
      <c r="I56" s="3424"/>
      <c r="J56" s="3424"/>
      <c r="K56" s="3424"/>
      <c r="L56" s="3424"/>
      <c r="M56" s="3424"/>
      <c r="N56" s="3424"/>
      <c r="O56" s="3424"/>
      <c r="P56" s="3424"/>
      <c r="Q56" s="3424"/>
      <c r="R56" s="3424"/>
      <c r="S56" s="3424"/>
    </row>
    <row r="57" spans="1:19" s="2" customFormat="1" ht="16.5" thickTop="1" thickBot="1">
      <c r="A57" s="726" t="s">
        <v>575</v>
      </c>
      <c r="B57" s="727"/>
      <c r="C57" s="12"/>
      <c r="D57" s="12"/>
      <c r="E57" s="12"/>
      <c r="F57" s="12"/>
      <c r="G57" s="13"/>
      <c r="H57" s="21"/>
      <c r="I57" s="21"/>
      <c r="J57" s="21"/>
      <c r="K57" s="21"/>
      <c r="L57" s="21"/>
      <c r="M57" s="21"/>
      <c r="N57" s="21"/>
      <c r="O57" s="21"/>
      <c r="P57" s="21"/>
      <c r="Q57" s="21"/>
      <c r="R57" s="21"/>
      <c r="S57" s="21"/>
    </row>
    <row r="58" spans="1:19" s="2" customFormat="1" ht="15.75" thickTop="1">
      <c r="A58" s="3421"/>
      <c r="B58" s="2404"/>
      <c r="C58" s="3422"/>
      <c r="D58" s="3422"/>
      <c r="E58" s="3422"/>
      <c r="F58" s="3422"/>
      <c r="G58" s="3423"/>
      <c r="H58" s="3424"/>
      <c r="I58" s="3424"/>
      <c r="J58" s="3424"/>
      <c r="K58" s="3424"/>
      <c r="L58" s="3424"/>
      <c r="M58" s="3424"/>
      <c r="N58" s="3424"/>
      <c r="O58" s="3424"/>
      <c r="P58" s="3424"/>
      <c r="Q58" s="3424"/>
      <c r="R58" s="3424"/>
      <c r="S58" s="3424"/>
    </row>
    <row r="59" spans="1:19">
      <c r="A59" s="2421"/>
      <c r="B59" s="2404"/>
      <c r="C59" s="2405"/>
      <c r="D59" s="2405"/>
      <c r="E59" s="2405"/>
      <c r="F59" s="2405"/>
      <c r="G59" s="2423"/>
      <c r="H59" s="2382"/>
      <c r="I59" s="2382"/>
      <c r="J59" s="2382"/>
      <c r="K59" s="2382"/>
      <c r="L59" s="2382"/>
      <c r="M59" s="2382"/>
      <c r="N59" s="2382"/>
      <c r="O59" s="2382"/>
      <c r="P59" s="2382"/>
      <c r="Q59" s="2382"/>
      <c r="R59" s="2382"/>
      <c r="S59" s="2382"/>
    </row>
    <row r="60" spans="1:19" s="2" customFormat="1" ht="15.75" thickBot="1">
      <c r="A60" s="2383"/>
      <c r="B60" s="2384"/>
      <c r="C60" s="2405"/>
      <c r="D60" s="2405"/>
      <c r="E60" s="2405"/>
      <c r="F60" s="2405"/>
      <c r="G60" s="2423"/>
      <c r="H60" s="2385"/>
      <c r="I60" s="2385"/>
      <c r="J60" s="2385"/>
      <c r="K60" s="2385"/>
      <c r="L60" s="2385"/>
      <c r="M60" s="2385"/>
      <c r="N60" s="2385"/>
      <c r="O60" s="2385"/>
      <c r="P60" s="2385"/>
      <c r="Q60" s="2385"/>
      <c r="R60" s="2385"/>
      <c r="S60" s="2385"/>
    </row>
    <row r="61" spans="1:19" s="2" customFormat="1" ht="16.5" thickTop="1" thickBot="1">
      <c r="A61" s="726" t="s">
        <v>576</v>
      </c>
      <c r="B61" s="727"/>
      <c r="C61" s="12"/>
      <c r="D61" s="12"/>
      <c r="E61" s="12"/>
      <c r="F61" s="12"/>
      <c r="G61" s="13"/>
      <c r="H61" s="21"/>
      <c r="I61" s="21"/>
      <c r="J61" s="21"/>
      <c r="K61" s="21"/>
      <c r="L61" s="21"/>
      <c r="M61" s="21"/>
      <c r="N61" s="21"/>
      <c r="O61" s="21"/>
      <c r="P61" s="21"/>
      <c r="Q61" s="21"/>
      <c r="R61" s="21"/>
      <c r="S61" s="21"/>
    </row>
    <row r="62" spans="1:19" s="2" customFormat="1" ht="15.75" thickTop="1">
      <c r="A62" s="3425"/>
      <c r="B62" s="3426"/>
      <c r="C62" s="3422"/>
      <c r="D62" s="3422"/>
      <c r="E62" s="3422"/>
      <c r="F62" s="3422"/>
      <c r="G62" s="3423"/>
      <c r="H62" s="3424"/>
      <c r="I62" s="3424"/>
      <c r="J62" s="3424"/>
      <c r="K62" s="3424"/>
      <c r="L62" s="3424"/>
      <c r="M62" s="3424"/>
      <c r="N62" s="3424"/>
      <c r="O62" s="3424"/>
      <c r="P62" s="3424"/>
      <c r="Q62" s="3424"/>
      <c r="R62" s="3424"/>
      <c r="S62" s="3424"/>
    </row>
    <row r="63" spans="1:19">
      <c r="A63" s="2383"/>
      <c r="B63" s="2384"/>
      <c r="C63" s="2405"/>
      <c r="D63" s="2405"/>
      <c r="E63" s="2405"/>
      <c r="F63" s="2405"/>
      <c r="G63" s="2423"/>
      <c r="H63" s="2388"/>
      <c r="I63" s="2388"/>
      <c r="J63" s="2388"/>
      <c r="K63" s="2388"/>
      <c r="L63" s="2388"/>
      <c r="M63" s="2388"/>
      <c r="N63" s="2388"/>
      <c r="O63" s="2388"/>
      <c r="P63" s="2388"/>
      <c r="Q63" s="2388"/>
      <c r="R63" s="2388"/>
      <c r="S63" s="2388"/>
    </row>
    <row r="64" spans="1:19" ht="15.75" thickBot="1">
      <c r="A64" s="2383"/>
      <c r="B64" s="2384"/>
      <c r="C64" s="2405"/>
      <c r="D64" s="2405"/>
      <c r="E64" s="2405"/>
      <c r="F64" s="2405"/>
      <c r="G64" s="2423"/>
      <c r="H64" s="2388"/>
      <c r="I64" s="2388"/>
      <c r="J64" s="2388"/>
      <c r="K64" s="2388"/>
      <c r="L64" s="2388"/>
      <c r="M64" s="2388"/>
      <c r="N64" s="2388"/>
      <c r="O64" s="2388"/>
      <c r="P64" s="2388"/>
      <c r="Q64" s="2388"/>
      <c r="R64" s="2388"/>
      <c r="S64" s="2388"/>
    </row>
    <row r="65" spans="1:19" ht="16.5" thickTop="1" thickBot="1">
      <c r="A65" s="726" t="s">
        <v>577</v>
      </c>
      <c r="B65" s="727"/>
      <c r="C65" s="12"/>
      <c r="D65" s="12"/>
      <c r="E65" s="12"/>
      <c r="F65" s="12"/>
      <c r="G65" s="13"/>
      <c r="H65" s="21"/>
      <c r="I65" s="21"/>
      <c r="J65" s="21"/>
      <c r="K65" s="21"/>
      <c r="L65" s="21"/>
      <c r="M65" s="21"/>
      <c r="N65" s="21"/>
      <c r="O65" s="21"/>
      <c r="P65" s="21"/>
      <c r="Q65" s="21"/>
      <c r="R65" s="21"/>
      <c r="S65" s="21"/>
    </row>
    <row r="66" spans="1:19" ht="15.75" thickTop="1">
      <c r="A66" s="2421"/>
      <c r="B66" s="2404" t="s">
        <v>578</v>
      </c>
      <c r="C66" s="2405"/>
      <c r="D66" s="2405"/>
      <c r="E66" s="2405"/>
      <c r="F66" s="2405"/>
      <c r="G66" s="2423"/>
      <c r="H66" s="2388"/>
      <c r="I66" s="2388"/>
      <c r="J66" s="2388"/>
      <c r="K66" s="2388"/>
      <c r="L66" s="2388"/>
      <c r="M66" s="2388"/>
      <c r="N66" s="2388"/>
      <c r="O66" s="2388"/>
      <c r="P66" s="2388"/>
      <c r="Q66" s="2388"/>
      <c r="R66" s="2388"/>
      <c r="S66" s="2388"/>
    </row>
    <row r="67" spans="1:19">
      <c r="A67" s="2421"/>
      <c r="B67" s="2404" t="s">
        <v>579</v>
      </c>
      <c r="C67" s="2405"/>
      <c r="D67" s="2405"/>
      <c r="E67" s="2405"/>
      <c r="F67" s="2405"/>
      <c r="G67" s="2423"/>
      <c r="H67" s="2388"/>
      <c r="I67" s="2388"/>
      <c r="J67" s="2388"/>
      <c r="K67" s="2388"/>
      <c r="L67" s="2388"/>
      <c r="M67" s="2388"/>
      <c r="N67" s="2388"/>
      <c r="O67" s="2388"/>
      <c r="P67" s="2388"/>
      <c r="Q67" s="2388"/>
      <c r="R67" s="2388"/>
      <c r="S67" s="2388"/>
    </row>
    <row r="68" spans="1:19">
      <c r="A68" s="2421"/>
      <c r="B68" s="2404" t="s">
        <v>580</v>
      </c>
      <c r="C68" s="2405"/>
      <c r="D68" s="2405"/>
      <c r="E68" s="2405"/>
      <c r="F68" s="2405"/>
      <c r="G68" s="2423"/>
      <c r="H68" s="2388"/>
      <c r="I68" s="2388"/>
      <c r="J68" s="2388"/>
      <c r="K68" s="2388"/>
      <c r="L68" s="2388"/>
      <c r="M68" s="2388"/>
      <c r="N68" s="2388"/>
      <c r="O68" s="2388"/>
      <c r="P68" s="2388"/>
      <c r="Q68" s="2388"/>
      <c r="R68" s="2388"/>
      <c r="S68" s="2388"/>
    </row>
    <row r="69" spans="1:19">
      <c r="A69" s="2421"/>
      <c r="B69" s="2404" t="s">
        <v>581</v>
      </c>
      <c r="C69" s="2405"/>
      <c r="D69" s="2405"/>
      <c r="E69" s="2405"/>
      <c r="F69" s="2405"/>
      <c r="G69" s="2423"/>
      <c r="H69" s="2388"/>
      <c r="I69" s="2388"/>
      <c r="J69" s="2388"/>
      <c r="K69" s="2388"/>
      <c r="L69" s="2388"/>
      <c r="M69" s="2388"/>
      <c r="N69" s="2388"/>
      <c r="O69" s="2388"/>
      <c r="P69" s="2388"/>
      <c r="Q69" s="2388"/>
      <c r="R69" s="2388"/>
      <c r="S69" s="2388"/>
    </row>
    <row r="70" spans="1:19" ht="15.75" thickBot="1">
      <c r="A70" s="416"/>
      <c r="B70" s="295"/>
      <c r="C70" s="184"/>
      <c r="D70" s="184"/>
      <c r="E70" s="184"/>
      <c r="F70" s="184"/>
      <c r="G70" s="296"/>
      <c r="H70" s="418"/>
      <c r="I70" s="418"/>
      <c r="J70" s="418"/>
      <c r="K70" s="418"/>
      <c r="L70" s="418"/>
      <c r="M70" s="418"/>
      <c r="N70" s="418"/>
      <c r="O70" s="418"/>
      <c r="P70" s="418"/>
      <c r="Q70" s="418"/>
      <c r="R70" s="418"/>
      <c r="S70" s="418"/>
    </row>
    <row r="71" spans="1:19" ht="16.5" thickTop="1" thickBot="1">
      <c r="A71" s="7" t="s">
        <v>582</v>
      </c>
      <c r="B71" s="8"/>
      <c r="C71" s="12"/>
      <c r="D71" s="12"/>
      <c r="E71" s="12"/>
      <c r="F71" s="12"/>
      <c r="G71" s="13"/>
      <c r="H71" s="21"/>
      <c r="I71" s="21"/>
      <c r="J71" s="21"/>
      <c r="K71" s="21"/>
      <c r="L71" s="21"/>
      <c r="M71" s="21"/>
      <c r="N71" s="21"/>
      <c r="O71" s="21"/>
      <c r="P71" s="21"/>
      <c r="Q71" s="21"/>
      <c r="R71" s="21"/>
      <c r="S71" s="21"/>
    </row>
    <row r="72" spans="1:19" ht="15.75" thickTop="1">
      <c r="A72" s="3421"/>
      <c r="B72" s="3427" t="s">
        <v>583</v>
      </c>
      <c r="C72" s="3422"/>
      <c r="D72" s="3422"/>
      <c r="E72" s="3422"/>
      <c r="F72" s="3422"/>
      <c r="G72" s="3423"/>
      <c r="H72" s="3428"/>
      <c r="I72" s="3428"/>
      <c r="J72" s="3428"/>
      <c r="K72" s="3428"/>
      <c r="L72" s="3428"/>
      <c r="M72" s="3428"/>
      <c r="N72" s="3428"/>
      <c r="O72" s="3428"/>
      <c r="P72" s="3428"/>
      <c r="Q72" s="3428"/>
      <c r="R72" s="3428"/>
      <c r="S72" s="3428"/>
    </row>
    <row r="73" spans="1:19">
      <c r="A73" s="2421"/>
      <c r="B73" s="2404" t="s">
        <v>584</v>
      </c>
      <c r="C73" s="2405"/>
      <c r="D73" s="2405"/>
      <c r="E73" s="2405"/>
      <c r="F73" s="2405"/>
      <c r="G73" s="2423"/>
      <c r="H73" s="2390"/>
      <c r="I73" s="2390"/>
      <c r="J73" s="2390"/>
      <c r="K73" s="2390"/>
      <c r="L73" s="2390"/>
      <c r="M73" s="2390"/>
      <c r="N73" s="2390"/>
      <c r="O73" s="2390"/>
      <c r="P73" s="2390"/>
      <c r="Q73" s="2390"/>
      <c r="R73" s="2390"/>
      <c r="S73" s="2390"/>
    </row>
    <row r="74" spans="1:19" ht="15.75" thickBot="1">
      <c r="A74" s="2391"/>
      <c r="B74" s="2392" t="s">
        <v>585</v>
      </c>
      <c r="C74" s="2393"/>
      <c r="D74" s="2393"/>
      <c r="E74" s="2393"/>
      <c r="F74" s="2393"/>
      <c r="G74" s="2394"/>
      <c r="H74" s="2395"/>
      <c r="I74" s="2395"/>
      <c r="J74" s="2395"/>
      <c r="K74" s="2395"/>
      <c r="L74" s="2395"/>
      <c r="M74" s="2395"/>
      <c r="N74" s="2395"/>
      <c r="O74" s="2395"/>
      <c r="P74" s="2395"/>
      <c r="Q74" s="2395"/>
      <c r="R74" s="2395"/>
      <c r="S74" s="2395"/>
    </row>
    <row r="75" spans="1:19" ht="16.5" thickTop="1" thickBot="1">
      <c r="I75" s="2"/>
    </row>
    <row r="76" spans="1:19" ht="16.5" thickTop="1" thickBot="1">
      <c r="A76" s="92" t="s">
        <v>586</v>
      </c>
      <c r="B76" s="94"/>
      <c r="I76" s="2"/>
    </row>
    <row r="77" spans="1:19" ht="16.5" thickTop="1" thickBot="1">
      <c r="A77" s="93" t="s">
        <v>487</v>
      </c>
      <c r="B77" s="94"/>
      <c r="I77" s="2"/>
    </row>
    <row r="78" spans="1:19" ht="15.75" thickTop="1">
      <c r="A78" s="2397" t="s">
        <v>491</v>
      </c>
      <c r="B78" s="2396"/>
      <c r="I78" s="2"/>
    </row>
    <row r="79" spans="1:19">
      <c r="A79" s="2398" t="s">
        <v>494</v>
      </c>
      <c r="B79" s="2399"/>
      <c r="I79" s="2"/>
    </row>
    <row r="80" spans="1:19">
      <c r="A80" s="2398" t="s">
        <v>497</v>
      </c>
      <c r="B80" s="2400"/>
      <c r="I80" s="2"/>
    </row>
    <row r="81" spans="1:9" ht="15.75" thickBot="1">
      <c r="A81" s="2401" t="s">
        <v>587</v>
      </c>
      <c r="B81" s="2402"/>
      <c r="I81" s="2"/>
    </row>
    <row r="82" spans="1:9" ht="15.75" thickTop="1">
      <c r="I82" s="2"/>
    </row>
    <row r="83" spans="1:9">
      <c r="A83" s="95"/>
      <c r="B83" s="1" t="s">
        <v>588</v>
      </c>
      <c r="I83" s="2"/>
    </row>
    <row r="84" spans="1:9">
      <c r="A84" s="96"/>
      <c r="B84" s="1" t="s">
        <v>589</v>
      </c>
      <c r="I84" s="2"/>
    </row>
  </sheetData>
  <mergeCells count="47">
    <mergeCell ref="R4:S4"/>
    <mergeCell ref="R5:S5"/>
    <mergeCell ref="R6:S6"/>
    <mergeCell ref="R7:S7"/>
    <mergeCell ref="R8:S8"/>
    <mergeCell ref="P4:Q4"/>
    <mergeCell ref="P5:Q5"/>
    <mergeCell ref="P6:Q6"/>
    <mergeCell ref="P7:Q7"/>
    <mergeCell ref="P8:Q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N4:O4"/>
    <mergeCell ref="N5:O5"/>
    <mergeCell ref="N6:O6"/>
    <mergeCell ref="N7:O7"/>
    <mergeCell ref="N8:O8"/>
    <mergeCell ref="A49:B49"/>
    <mergeCell ref="A53:B53"/>
    <mergeCell ref="A57:B57"/>
    <mergeCell ref="A61:B61"/>
    <mergeCell ref="A65:B65"/>
  </mergeCells>
  <conditionalFormatting sqref="H20:H30">
    <cfRule type="cellIs" dxfId="171" priority="23" operator="equal">
      <formula>"X"</formula>
    </cfRule>
    <cfRule type="cellIs" dxfId="170" priority="24" operator="equal">
      <formula>"I"</formula>
    </cfRule>
  </conditionalFormatting>
  <conditionalFormatting sqref="H32:H40">
    <cfRule type="cellIs" dxfId="169" priority="21" operator="equal">
      <formula>"X"</formula>
    </cfRule>
    <cfRule type="cellIs" dxfId="168" priority="22" operator="equal">
      <formula>"I"</formula>
    </cfRule>
  </conditionalFormatting>
  <conditionalFormatting sqref="J20:J30">
    <cfRule type="cellIs" dxfId="167" priority="19" operator="equal">
      <formula>"X"</formula>
    </cfRule>
    <cfRule type="cellIs" dxfId="166" priority="20" operator="equal">
      <formula>"I"</formula>
    </cfRule>
  </conditionalFormatting>
  <conditionalFormatting sqref="J32:J40">
    <cfRule type="cellIs" dxfId="165" priority="17" operator="equal">
      <formula>"X"</formula>
    </cfRule>
    <cfRule type="cellIs" dxfId="164" priority="18" operator="equal">
      <formula>"I"</formula>
    </cfRule>
  </conditionalFormatting>
  <conditionalFormatting sqref="L20:L30">
    <cfRule type="cellIs" dxfId="163" priority="13" operator="equal">
      <formula>"X"</formula>
    </cfRule>
    <cfRule type="cellIs" dxfId="162" priority="14" operator="equal">
      <formula>"I"</formula>
    </cfRule>
  </conditionalFormatting>
  <conditionalFormatting sqref="L32:L40">
    <cfRule type="cellIs" dxfId="161" priority="15" operator="equal">
      <formula>"X"</formula>
    </cfRule>
    <cfRule type="cellIs" dxfId="160" priority="16" operator="equal">
      <formula>"I"</formula>
    </cfRule>
  </conditionalFormatting>
  <conditionalFormatting sqref="N20:N30">
    <cfRule type="cellIs" dxfId="159" priority="11" operator="equal">
      <formula>"X"</formula>
    </cfRule>
    <cfRule type="cellIs" dxfId="158" priority="12" operator="equal">
      <formula>"I"</formula>
    </cfRule>
  </conditionalFormatting>
  <conditionalFormatting sqref="N32:N40">
    <cfRule type="cellIs" dxfId="157" priority="9" operator="equal">
      <formula>"X"</formula>
    </cfRule>
    <cfRule type="cellIs" dxfId="156" priority="10" operator="equal">
      <formula>"I"</formula>
    </cfRule>
  </conditionalFormatting>
  <conditionalFormatting sqref="P20:P30">
    <cfRule type="cellIs" dxfId="155" priority="5" operator="equal">
      <formula>"X"</formula>
    </cfRule>
    <cfRule type="cellIs" dxfId="154" priority="6" operator="equal">
      <formula>"I"</formula>
    </cfRule>
  </conditionalFormatting>
  <conditionalFormatting sqref="P32:P40">
    <cfRule type="cellIs" dxfId="153" priority="7" operator="equal">
      <formula>"X"</formula>
    </cfRule>
    <cfRule type="cellIs" dxfId="152" priority="8" operator="equal">
      <formula>"I"</formula>
    </cfRule>
  </conditionalFormatting>
  <conditionalFormatting sqref="R20:R30">
    <cfRule type="cellIs" dxfId="151" priority="3" operator="equal">
      <formula>"X"</formula>
    </cfRule>
    <cfRule type="cellIs" dxfId="150" priority="4" operator="equal">
      <formula>"I"</formula>
    </cfRule>
  </conditionalFormatting>
  <conditionalFormatting sqref="R32:R40">
    <cfRule type="cellIs" dxfId="149" priority="1" operator="equal">
      <formula>"X"</formula>
    </cfRule>
    <cfRule type="cellIs" dxfId="148" priority="2" operator="equal">
      <formula>"I"</formula>
    </cfRule>
  </conditionalFormatting>
  <hyperlinks>
    <hyperlink ref="B3" location="'Cost Summary'!A1" display="BACK TO SUMMARY SHEET" xr:uid="{48851F71-EC8B-4041-BB97-3F3A1835B586}"/>
  </hyperlinks>
  <pageMargins left="0.7" right="0.7" top="0.75" bottom="0.75" header="0.3" footer="0.3"/>
  <pageSetup scale="70" orientation="portrait" horizontalDpi="300" verticalDpi="30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EEF4-6A5C-41A4-9D39-F71197D5A58E}">
  <sheetPr>
    <tabColor rgb="FF92D050"/>
  </sheetPr>
  <dimension ref="A1:S84"/>
  <sheetViews>
    <sheetView zoomScaleNormal="100" workbookViewId="0">
      <pane xSplit="2" ySplit="9" topLeftCell="C20" activePane="bottomRight" state="frozen"/>
      <selection pane="bottomRight" activeCell="B25" sqref="B2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6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customWidth="1"/>
    <col min="19" max="19" width="14.85546875" style="2" customWidth="1"/>
  </cols>
  <sheetData>
    <row r="1" spans="1:19">
      <c r="E1" s="175"/>
      <c r="F1" s="149"/>
      <c r="G1" s="147" t="s">
        <v>474</v>
      </c>
    </row>
    <row r="2" spans="1:19">
      <c r="E2" s="175"/>
      <c r="F2" s="146" t="s">
        <v>475</v>
      </c>
      <c r="G2" s="147" t="s">
        <v>476</v>
      </c>
      <c r="H2" s="732"/>
      <c r="I2" s="732"/>
      <c r="J2" s="732"/>
      <c r="K2" s="732"/>
      <c r="L2" s="732"/>
      <c r="M2" s="732"/>
      <c r="N2" s="732"/>
      <c r="O2" s="732"/>
      <c r="P2" s="732"/>
      <c r="Q2" s="732"/>
      <c r="R2" s="732"/>
      <c r="S2" s="732"/>
    </row>
    <row r="3" spans="1:19" ht="18.75">
      <c r="B3" s="150" t="s">
        <v>477</v>
      </c>
      <c r="E3" s="175"/>
      <c r="F3" s="148" t="s">
        <v>478</v>
      </c>
      <c r="G3" s="147" t="s">
        <v>479</v>
      </c>
      <c r="H3" s="730" t="s">
        <v>480</v>
      </c>
      <c r="I3" s="731"/>
      <c r="J3" s="792" t="s">
        <v>481</v>
      </c>
      <c r="K3" s="731"/>
      <c r="L3" s="730" t="s">
        <v>482</v>
      </c>
      <c r="M3" s="731"/>
      <c r="N3" s="730" t="s">
        <v>483</v>
      </c>
      <c r="O3" s="731"/>
      <c r="P3" s="730" t="s">
        <v>484</v>
      </c>
      <c r="Q3" s="731"/>
      <c r="R3" s="730" t="s">
        <v>485</v>
      </c>
      <c r="S3" s="731"/>
    </row>
    <row r="4" spans="1:19">
      <c r="A4" s="3" t="s">
        <v>486</v>
      </c>
      <c r="B4" s="4" t="str">
        <f>'Area Calculations'!B4</f>
        <v>The Club at Ibis Conceptual Estimate</v>
      </c>
      <c r="C4" s="5"/>
      <c r="D4" s="5"/>
      <c r="E4" s="5"/>
      <c r="F4" s="5"/>
      <c r="G4" s="6" t="s">
        <v>487</v>
      </c>
      <c r="H4" s="728"/>
      <c r="I4" s="729"/>
      <c r="J4" s="760"/>
      <c r="K4" s="760"/>
      <c r="L4" s="779"/>
      <c r="M4" s="779"/>
      <c r="N4" s="779"/>
      <c r="O4" s="779"/>
      <c r="P4" s="779"/>
      <c r="Q4" s="779"/>
      <c r="R4" s="760"/>
      <c r="S4" s="729"/>
    </row>
    <row r="5" spans="1:19">
      <c r="A5" s="2403" t="s">
        <v>489</v>
      </c>
      <c r="B5" s="2404" t="s">
        <v>1317</v>
      </c>
      <c r="C5" s="2405"/>
      <c r="D5" s="2405"/>
      <c r="E5" s="2405"/>
      <c r="F5" s="2405"/>
      <c r="G5" s="2406" t="s">
        <v>491</v>
      </c>
      <c r="H5" s="2407"/>
      <c r="I5" s="2408"/>
      <c r="J5" s="2409"/>
      <c r="K5" s="2409"/>
      <c r="L5" s="2518"/>
      <c r="M5" s="2518"/>
      <c r="N5" s="2518"/>
      <c r="O5" s="2518"/>
      <c r="P5" s="2518"/>
      <c r="Q5" s="2518"/>
      <c r="R5" s="2409"/>
      <c r="S5" s="2408"/>
    </row>
    <row r="6" spans="1:19">
      <c r="A6" s="2403" t="s">
        <v>493</v>
      </c>
      <c r="B6" s="2410" t="s">
        <v>1318</v>
      </c>
      <c r="C6" s="2405"/>
      <c r="D6" s="2405"/>
      <c r="E6" s="2405"/>
      <c r="F6" s="2405"/>
      <c r="G6" s="2406" t="s">
        <v>494</v>
      </c>
      <c r="H6" s="2411"/>
      <c r="I6" s="2412"/>
      <c r="J6" s="2413"/>
      <c r="K6" s="2413"/>
      <c r="L6" s="2519"/>
      <c r="M6" s="2519"/>
      <c r="N6" s="2519"/>
      <c r="O6" s="2519"/>
      <c r="P6" s="2519"/>
      <c r="Q6" s="2519"/>
      <c r="R6" s="2413"/>
      <c r="S6" s="2412"/>
    </row>
    <row r="7" spans="1:19">
      <c r="A7" s="2403" t="s">
        <v>496</v>
      </c>
      <c r="B7" s="2414"/>
      <c r="C7" s="2405"/>
      <c r="D7" s="2405"/>
      <c r="E7" s="2405"/>
      <c r="F7" s="2405"/>
      <c r="G7" s="2406" t="s">
        <v>497</v>
      </c>
      <c r="H7" s="2415"/>
      <c r="I7" s="2416"/>
      <c r="J7" s="2417"/>
      <c r="K7" s="2417"/>
      <c r="L7" s="2520"/>
      <c r="M7" s="2520"/>
      <c r="N7" s="2520"/>
      <c r="O7" s="2520"/>
      <c r="P7" s="2520"/>
      <c r="Q7" s="2520"/>
      <c r="R7" s="2417"/>
      <c r="S7" s="2416"/>
    </row>
    <row r="8" spans="1:19">
      <c r="A8" s="414" t="s">
        <v>499</v>
      </c>
      <c r="B8" s="295"/>
      <c r="C8" s="184"/>
      <c r="D8" s="184"/>
      <c r="E8" s="184"/>
      <c r="F8" s="184"/>
      <c r="G8" s="419" t="s">
        <v>499</v>
      </c>
      <c r="H8" s="2970">
        <f>I45</f>
        <v>0</v>
      </c>
      <c r="I8" s="2971"/>
      <c r="J8" s="3065">
        <f>K45</f>
        <v>0</v>
      </c>
      <c r="K8" s="3065"/>
      <c r="L8" s="3064">
        <f>M45</f>
        <v>0</v>
      </c>
      <c r="M8" s="3064"/>
      <c r="N8" s="3064">
        <f>O45</f>
        <v>0</v>
      </c>
      <c r="O8" s="3064"/>
      <c r="P8" s="3064">
        <f>Q45</f>
        <v>0</v>
      </c>
      <c r="Q8" s="3064"/>
      <c r="R8" s="3065">
        <f>S45</f>
        <v>0</v>
      </c>
      <c r="S8" s="2971"/>
    </row>
    <row r="9" spans="1:19" ht="30">
      <c r="A9" s="7" t="s">
        <v>500</v>
      </c>
      <c r="B9" s="8"/>
      <c r="C9" s="9" t="s">
        <v>501</v>
      </c>
      <c r="D9" s="9" t="s">
        <v>502</v>
      </c>
      <c r="E9" s="9" t="s">
        <v>503</v>
      </c>
      <c r="F9" s="9" t="s">
        <v>504</v>
      </c>
      <c r="G9" s="10" t="s">
        <v>505</v>
      </c>
      <c r="H9" s="11" t="s">
        <v>506</v>
      </c>
      <c r="I9" s="60" t="s">
        <v>507</v>
      </c>
      <c r="J9" s="50" t="s">
        <v>506</v>
      </c>
      <c r="K9" s="11" t="s">
        <v>507</v>
      </c>
      <c r="L9" s="11" t="s">
        <v>506</v>
      </c>
      <c r="M9" s="11" t="s">
        <v>507</v>
      </c>
      <c r="N9" s="11" t="s">
        <v>506</v>
      </c>
      <c r="O9" s="11" t="s">
        <v>507</v>
      </c>
      <c r="P9" s="11" t="s">
        <v>506</v>
      </c>
      <c r="Q9" s="11" t="s">
        <v>507</v>
      </c>
      <c r="R9" s="11" t="s">
        <v>506</v>
      </c>
      <c r="S9" s="11" t="s">
        <v>507</v>
      </c>
    </row>
    <row r="10" spans="1:19" hidden="1">
      <c r="A10" s="2421"/>
      <c r="B10" s="3429" t="s">
        <v>508</v>
      </c>
      <c r="C10" s="2405"/>
      <c r="D10" s="2405"/>
      <c r="E10" s="2405"/>
      <c r="F10" s="2405"/>
      <c r="G10" s="2423"/>
      <c r="H10" s="2424"/>
      <c r="I10" s="3430"/>
      <c r="J10" s="2424"/>
      <c r="K10" s="2424"/>
      <c r="L10" s="2424"/>
      <c r="M10" s="2424"/>
      <c r="N10" s="2424"/>
      <c r="O10" s="2424"/>
      <c r="P10" s="2424"/>
      <c r="Q10" s="2424"/>
      <c r="R10" s="2424"/>
      <c r="S10" s="2424"/>
    </row>
    <row r="11" spans="1:19" hidden="1">
      <c r="A11" s="2421"/>
      <c r="B11" s="2404" t="str">
        <f>'Area Calculations'!M61</f>
        <v>Design Team</v>
      </c>
      <c r="C11" s="2426" t="s">
        <v>509</v>
      </c>
      <c r="D11" s="2405"/>
      <c r="E11" s="2405"/>
      <c r="F11" s="2405"/>
      <c r="G11" s="2423"/>
      <c r="H11" s="2424"/>
      <c r="I11" s="3430"/>
      <c r="J11" s="2424"/>
      <c r="K11" s="2424"/>
      <c r="L11" s="2424"/>
      <c r="M11" s="2424"/>
      <c r="N11" s="2424"/>
      <c r="O11" s="2424"/>
      <c r="P11" s="2424"/>
      <c r="Q11" s="2424"/>
      <c r="R11" s="2424"/>
      <c r="S11" s="2424"/>
    </row>
    <row r="12" spans="1:19" hidden="1">
      <c r="A12" s="2421"/>
      <c r="B12" s="2404" t="str">
        <f>'Area Calculations'!M62</f>
        <v>Architectural Drawings  by</v>
      </c>
      <c r="C12" s="2426" t="s">
        <v>509</v>
      </c>
      <c r="D12" s="2405"/>
      <c r="E12" s="2405"/>
      <c r="F12" s="2405"/>
      <c r="G12" s="2423"/>
      <c r="H12" s="2424"/>
      <c r="I12" s="3430"/>
      <c r="J12" s="2424"/>
      <c r="K12" s="2424"/>
      <c r="L12" s="2424"/>
      <c r="M12" s="2424"/>
      <c r="N12" s="2424"/>
      <c r="O12" s="2424"/>
      <c r="P12" s="2424"/>
      <c r="Q12" s="2424"/>
      <c r="R12" s="2424"/>
      <c r="S12" s="2424"/>
    </row>
    <row r="13" spans="1:19" hidden="1">
      <c r="A13" s="2421"/>
      <c r="B13" s="2404" t="str">
        <f>'Area Calculations'!M63</f>
        <v>Structural Drawings by</v>
      </c>
      <c r="C13" s="2426" t="s">
        <v>509</v>
      </c>
      <c r="D13" s="2405"/>
      <c r="E13" s="2405"/>
      <c r="F13" s="2405"/>
      <c r="G13" s="2423"/>
      <c r="H13" s="2424"/>
      <c r="I13" s="3430"/>
      <c r="J13" s="2424"/>
      <c r="K13" s="2424"/>
      <c r="L13" s="2424"/>
      <c r="M13" s="2424"/>
      <c r="N13" s="2424"/>
      <c r="O13" s="2424"/>
      <c r="P13" s="2424"/>
      <c r="Q13" s="2424"/>
      <c r="R13" s="2424"/>
      <c r="S13" s="2424"/>
    </row>
    <row r="14" spans="1:19" hidden="1">
      <c r="A14" s="2421"/>
      <c r="B14" s="2404" t="str">
        <f>'Area Calculations'!M64</f>
        <v>MEP FA FP Drawings by</v>
      </c>
      <c r="C14" s="2426" t="s">
        <v>509</v>
      </c>
      <c r="D14" s="2405"/>
      <c r="E14" s="2405"/>
      <c r="F14" s="2405"/>
      <c r="G14" s="2423"/>
      <c r="H14" s="2424"/>
      <c r="I14" s="3430"/>
      <c r="J14" s="2424"/>
      <c r="K14" s="2424"/>
      <c r="L14" s="2424"/>
      <c r="M14" s="2424"/>
      <c r="N14" s="2424"/>
      <c r="O14" s="2424"/>
      <c r="P14" s="2424"/>
      <c r="Q14" s="2424"/>
      <c r="R14" s="2424"/>
      <c r="S14" s="2424"/>
    </row>
    <row r="15" spans="1:19" hidden="1">
      <c r="A15" s="2421"/>
      <c r="B15" s="2404" t="str">
        <f>'Area Calculations'!M65</f>
        <v xml:space="preserve">Civil Drawings by </v>
      </c>
      <c r="C15" s="2426" t="s">
        <v>509</v>
      </c>
      <c r="D15" s="2405"/>
      <c r="E15" s="2405"/>
      <c r="F15" s="2405"/>
      <c r="G15" s="2423"/>
      <c r="H15" s="2424"/>
      <c r="I15" s="3430"/>
      <c r="J15" s="2424"/>
      <c r="K15" s="2424"/>
      <c r="L15" s="2424"/>
      <c r="M15" s="2424"/>
      <c r="N15" s="2424"/>
      <c r="O15" s="2424"/>
      <c r="P15" s="2424"/>
      <c r="Q15" s="2424"/>
      <c r="R15" s="2424"/>
      <c r="S15" s="2424"/>
    </row>
    <row r="16" spans="1:19" hidden="1">
      <c r="A16" s="2421"/>
      <c r="B16" s="2404" t="str">
        <f>'Area Calculations'!M66</f>
        <v>Land scape Drawings by</v>
      </c>
      <c r="C16" s="2426" t="s">
        <v>509</v>
      </c>
      <c r="D16" s="2405"/>
      <c r="E16" s="2405"/>
      <c r="F16" s="2405"/>
      <c r="G16" s="2423"/>
      <c r="H16" s="2424"/>
      <c r="I16" s="3430"/>
      <c r="J16" s="2424"/>
      <c r="K16" s="2424"/>
      <c r="L16" s="2424"/>
      <c r="M16" s="2424"/>
      <c r="N16" s="2424"/>
      <c r="O16" s="2424"/>
      <c r="P16" s="2424"/>
      <c r="Q16" s="2424"/>
      <c r="R16" s="2424"/>
      <c r="S16" s="2424"/>
    </row>
    <row r="17" spans="1:19" hidden="1">
      <c r="A17" s="2421"/>
      <c r="B17" s="2404" t="str">
        <f>'Area Calculations'!M67</f>
        <v>Kitchen Drawings by</v>
      </c>
      <c r="C17" s="2426" t="s">
        <v>509</v>
      </c>
      <c r="D17" s="2405"/>
      <c r="E17" s="2405"/>
      <c r="F17" s="2405"/>
      <c r="G17" s="2423"/>
      <c r="H17" s="2424"/>
      <c r="I17" s="3430"/>
      <c r="J17" s="2424"/>
      <c r="K17" s="2424"/>
      <c r="L17" s="2424"/>
      <c r="M17" s="2424"/>
      <c r="N17" s="2424"/>
      <c r="O17" s="2424"/>
      <c r="P17" s="2424"/>
      <c r="Q17" s="2424"/>
      <c r="R17" s="2424"/>
      <c r="S17" s="2424"/>
    </row>
    <row r="18" spans="1:19" hidden="1">
      <c r="A18" s="2421"/>
      <c r="B18" s="2404" t="str">
        <f>'Area Calculations'!M68</f>
        <v>Storefront Designer by</v>
      </c>
      <c r="C18" s="2426" t="s">
        <v>509</v>
      </c>
      <c r="D18" s="2405"/>
      <c r="E18" s="2405"/>
      <c r="F18" s="2405"/>
      <c r="G18" s="2423"/>
      <c r="H18" s="2424"/>
      <c r="I18" s="3430"/>
      <c r="J18" s="2424"/>
      <c r="K18" s="2424"/>
      <c r="L18" s="2424"/>
      <c r="M18" s="2424"/>
      <c r="N18" s="2424"/>
      <c r="O18" s="2424"/>
      <c r="P18" s="2424"/>
      <c r="Q18" s="2424"/>
      <c r="R18" s="2424"/>
      <c r="S18" s="2424"/>
    </row>
    <row r="19" spans="1:19" ht="14.45" hidden="1" customHeight="1">
      <c r="A19" s="2421"/>
      <c r="B19" s="2404" t="str">
        <f>'Area Calculations'!M69</f>
        <v>Geotech report by</v>
      </c>
      <c r="C19" s="2426" t="s">
        <v>509</v>
      </c>
      <c r="D19" s="2405"/>
      <c r="E19" s="2405"/>
      <c r="F19" s="2405"/>
      <c r="G19" s="2423"/>
      <c r="H19" s="2424"/>
      <c r="I19" s="3430"/>
      <c r="J19" s="2424"/>
      <c r="K19" s="2424"/>
      <c r="L19" s="2424"/>
      <c r="M19" s="2424"/>
      <c r="N19" s="2424"/>
      <c r="O19" s="2424"/>
      <c r="P19" s="2424"/>
      <c r="Q19" s="2424"/>
      <c r="R19" s="2424"/>
      <c r="S19" s="2424"/>
    </row>
    <row r="20" spans="1:19">
      <c r="A20" s="162"/>
      <c r="B20" s="55"/>
      <c r="C20" s="163"/>
      <c r="D20" s="163"/>
      <c r="E20" s="163"/>
      <c r="F20" s="163"/>
      <c r="G20" s="164"/>
      <c r="H20" s="2427"/>
      <c r="I20" s="3431"/>
      <c r="J20" s="2427"/>
      <c r="K20" s="3432"/>
      <c r="L20" s="2427"/>
      <c r="M20" s="3432"/>
      <c r="N20" s="2427"/>
      <c r="O20" s="3432"/>
      <c r="P20" s="2427"/>
      <c r="Q20" s="3432"/>
      <c r="R20" s="2427"/>
      <c r="S20" s="3432"/>
    </row>
    <row r="21" spans="1:19">
      <c r="A21" s="3433"/>
      <c r="B21" s="2428" t="s">
        <v>1317</v>
      </c>
      <c r="C21" s="2426"/>
      <c r="D21" s="2405"/>
      <c r="E21" s="2405"/>
      <c r="F21" s="2405"/>
      <c r="G21" s="2423"/>
      <c r="H21" s="2427"/>
      <c r="I21" s="3407"/>
      <c r="J21" s="2427"/>
      <c r="K21" s="3382"/>
      <c r="L21" s="2427"/>
      <c r="M21" s="2481"/>
      <c r="N21" s="2427"/>
      <c r="O21" s="2481"/>
      <c r="P21" s="2427"/>
      <c r="Q21" s="2481"/>
      <c r="R21" s="2427"/>
      <c r="S21" s="2481"/>
    </row>
    <row r="22" spans="1:19">
      <c r="A22" s="3433"/>
      <c r="B22" s="2318" t="s">
        <v>512</v>
      </c>
      <c r="C22" s="2426"/>
      <c r="D22" s="2405"/>
      <c r="E22" s="2405"/>
      <c r="F22" s="2405"/>
      <c r="G22" s="2423"/>
      <c r="H22" s="2427"/>
      <c r="I22" s="3409"/>
      <c r="J22" s="2427"/>
      <c r="K22" s="3410"/>
      <c r="L22" s="2427"/>
      <c r="M22" s="3411"/>
      <c r="N22" s="2427"/>
      <c r="O22" s="3411"/>
      <c r="P22" s="2427"/>
      <c r="Q22" s="3411"/>
      <c r="R22" s="2427"/>
      <c r="S22" s="3411"/>
    </row>
    <row r="23" spans="1:19">
      <c r="A23" s="3433"/>
      <c r="B23" s="3408" t="s">
        <v>513</v>
      </c>
      <c r="C23" s="2426"/>
      <c r="D23" s="2405"/>
      <c r="E23" s="2405"/>
      <c r="F23" s="2405"/>
      <c r="G23" s="2423"/>
      <c r="H23" s="2427"/>
      <c r="I23" s="3409"/>
      <c r="J23" s="2427"/>
      <c r="K23" s="3410"/>
      <c r="L23" s="2427"/>
      <c r="M23" s="3411"/>
      <c r="N23" s="2427"/>
      <c r="O23" s="3411"/>
      <c r="P23" s="2427"/>
      <c r="Q23" s="3411"/>
      <c r="R23" s="2427"/>
      <c r="S23" s="3411"/>
    </row>
    <row r="24" spans="1:19">
      <c r="A24" s="3433"/>
      <c r="B24" s="3408" t="s">
        <v>514</v>
      </c>
      <c r="C24" s="2426"/>
      <c r="D24" s="2405"/>
      <c r="E24" s="2405"/>
      <c r="F24" s="2405"/>
      <c r="G24" s="2423"/>
      <c r="H24" s="2427"/>
      <c r="I24" s="3410"/>
      <c r="J24" s="2427"/>
      <c r="K24" s="3410"/>
      <c r="L24" s="2427"/>
      <c r="M24" s="3411"/>
      <c r="N24" s="2427"/>
      <c r="O24" s="3411"/>
      <c r="P24" s="2427"/>
      <c r="Q24" s="3411"/>
      <c r="R24" s="2427"/>
      <c r="S24" s="3411"/>
    </row>
    <row r="25" spans="1:19">
      <c r="A25" s="3433"/>
      <c r="B25" s="3412" t="s">
        <v>515</v>
      </c>
      <c r="C25" s="2426"/>
      <c r="D25" s="2405"/>
      <c r="E25" s="2405"/>
      <c r="F25" s="2405"/>
      <c r="G25" s="2423"/>
      <c r="H25" s="2427"/>
      <c r="I25" s="3410"/>
      <c r="J25" s="2427"/>
      <c r="K25" s="3410"/>
      <c r="L25" s="2427"/>
      <c r="M25" s="3411"/>
      <c r="N25" s="2427"/>
      <c r="O25" s="3410"/>
      <c r="P25" s="2427"/>
      <c r="Q25" s="3411"/>
      <c r="R25" s="2427"/>
      <c r="S25" s="3411"/>
    </row>
    <row r="26" spans="1:19">
      <c r="A26" s="3433"/>
      <c r="B26" s="3412" t="s">
        <v>516</v>
      </c>
      <c r="C26" s="2426"/>
      <c r="D26" s="2405"/>
      <c r="E26" s="2405"/>
      <c r="F26" s="2405"/>
      <c r="G26" s="2423"/>
      <c r="H26" s="2427"/>
      <c r="I26" s="3410"/>
      <c r="J26" s="2427"/>
      <c r="K26" s="3410"/>
      <c r="L26" s="2427"/>
      <c r="M26" s="3411"/>
      <c r="N26" s="2427"/>
      <c r="O26" s="3410"/>
      <c r="P26" s="2427"/>
      <c r="Q26" s="3411"/>
      <c r="R26" s="2427"/>
      <c r="S26" s="3411"/>
    </row>
    <row r="27" spans="1:19">
      <c r="A27" s="3433"/>
      <c r="B27" s="3412" t="s">
        <v>517</v>
      </c>
      <c r="C27" s="2426"/>
      <c r="D27" s="2405"/>
      <c r="E27" s="2405"/>
      <c r="F27" s="2405"/>
      <c r="G27" s="2423"/>
      <c r="H27" s="2427"/>
      <c r="I27" s="3410"/>
      <c r="J27" s="2427"/>
      <c r="K27" s="3410"/>
      <c r="L27" s="2427"/>
      <c r="M27" s="3411"/>
      <c r="N27" s="2427"/>
      <c r="O27" s="3410"/>
      <c r="P27" s="2427"/>
      <c r="Q27" s="3411"/>
      <c r="R27" s="2427"/>
      <c r="S27" s="3411"/>
    </row>
    <row r="28" spans="1:19">
      <c r="A28" s="3433"/>
      <c r="B28" s="3412" t="s">
        <v>518</v>
      </c>
      <c r="C28" s="2426"/>
      <c r="D28" s="2405"/>
      <c r="E28" s="2405"/>
      <c r="F28" s="2405"/>
      <c r="G28" s="2423"/>
      <c r="H28" s="2427"/>
      <c r="I28" s="3410"/>
      <c r="J28" s="2427"/>
      <c r="K28" s="3410"/>
      <c r="L28" s="2427"/>
      <c r="M28" s="3411"/>
      <c r="N28" s="2427"/>
      <c r="O28" s="3410"/>
      <c r="P28" s="2427"/>
      <c r="Q28" s="3411"/>
      <c r="R28" s="2427"/>
      <c r="S28" s="3411"/>
    </row>
    <row r="29" spans="1:19">
      <c r="A29" s="3433"/>
      <c r="B29" s="3412" t="s">
        <v>693</v>
      </c>
      <c r="C29" s="2426"/>
      <c r="D29" s="2405"/>
      <c r="E29" s="2405"/>
      <c r="F29" s="2405"/>
      <c r="G29" s="2423"/>
      <c r="H29" s="2427"/>
      <c r="I29" s="3410"/>
      <c r="J29" s="2427"/>
      <c r="K29" s="3410"/>
      <c r="L29" s="2427"/>
      <c r="M29" s="3411"/>
      <c r="N29" s="2427"/>
      <c r="O29" s="3410"/>
      <c r="P29" s="2427"/>
      <c r="Q29" s="3411"/>
      <c r="R29" s="2427"/>
      <c r="S29" s="3411"/>
    </row>
    <row r="30" spans="1:19">
      <c r="A30" s="3433"/>
      <c r="B30" s="3413" t="s">
        <v>519</v>
      </c>
      <c r="C30" s="2426"/>
      <c r="D30" s="2405"/>
      <c r="E30" s="2405"/>
      <c r="F30" s="2405"/>
      <c r="G30" s="2423"/>
      <c r="H30" s="2427"/>
      <c r="I30" s="3409"/>
      <c r="J30" s="2427"/>
      <c r="K30" s="3410"/>
      <c r="L30" s="2427"/>
      <c r="M30" s="3411"/>
      <c r="N30" s="2427"/>
      <c r="O30" s="3410"/>
      <c r="P30" s="2427"/>
      <c r="Q30" s="3411"/>
      <c r="R30" s="2427"/>
      <c r="S30" s="3411"/>
    </row>
    <row r="31" spans="1:19">
      <c r="A31" s="3433"/>
      <c r="B31" s="3414" t="s">
        <v>520</v>
      </c>
      <c r="C31" s="3415"/>
      <c r="D31" s="2980"/>
      <c r="E31" s="2980"/>
      <c r="F31" s="2980"/>
      <c r="G31" s="3079"/>
      <c r="H31" s="3416"/>
      <c r="I31" s="3417"/>
      <c r="J31" s="3417"/>
      <c r="K31" s="3417"/>
      <c r="L31" s="3418"/>
      <c r="M31" s="3419"/>
      <c r="N31" s="3417"/>
      <c r="O31" s="3417"/>
      <c r="P31" s="3417"/>
      <c r="Q31" s="3417"/>
      <c r="R31" s="2439"/>
      <c r="S31" s="3419"/>
    </row>
    <row r="32" spans="1:19">
      <c r="A32" s="3434"/>
      <c r="B32" s="251"/>
      <c r="C32" s="3435"/>
      <c r="D32" s="3436"/>
      <c r="E32" s="3436"/>
      <c r="F32" s="2405"/>
      <c r="G32" s="2423"/>
      <c r="H32" s="2427"/>
      <c r="I32" s="3410"/>
      <c r="J32" s="2427"/>
      <c r="K32" s="3409"/>
      <c r="L32" s="2427"/>
      <c r="M32" s="3437"/>
      <c r="N32" s="2427"/>
      <c r="O32" s="3437"/>
      <c r="P32" s="2427"/>
      <c r="Q32" s="3437"/>
      <c r="R32" s="2427"/>
      <c r="S32" s="3437"/>
    </row>
    <row r="33" spans="1:19">
      <c r="A33" s="3434"/>
      <c r="B33" s="251"/>
      <c r="C33" s="252"/>
      <c r="D33" s="253"/>
      <c r="E33" s="253"/>
      <c r="F33" s="184"/>
      <c r="G33" s="296"/>
      <c r="H33" s="2427"/>
      <c r="I33" s="3410"/>
      <c r="J33" s="2427"/>
      <c r="K33" s="3438"/>
      <c r="L33" s="2427"/>
      <c r="M33" s="3437"/>
      <c r="N33" s="2427"/>
      <c r="O33" s="3437"/>
      <c r="P33" s="2427"/>
      <c r="Q33" s="3437"/>
      <c r="R33" s="2427"/>
      <c r="S33" s="3437"/>
    </row>
    <row r="34" spans="1:19">
      <c r="A34" s="3434"/>
      <c r="B34" s="251"/>
      <c r="C34" s="252"/>
      <c r="D34" s="253"/>
      <c r="E34" s="253"/>
      <c r="F34" s="184"/>
      <c r="G34" s="296"/>
      <c r="H34" s="2427"/>
      <c r="I34" s="3410"/>
      <c r="J34" s="2427"/>
      <c r="K34" s="3438"/>
      <c r="L34" s="2427"/>
      <c r="M34" s="3437"/>
      <c r="N34" s="2427"/>
      <c r="O34" s="3437"/>
      <c r="P34" s="2427"/>
      <c r="Q34" s="3437"/>
      <c r="R34" s="2427"/>
      <c r="S34" s="3437"/>
    </row>
    <row r="35" spans="1:19">
      <c r="A35" s="3434"/>
      <c r="B35" s="251"/>
      <c r="C35" s="252"/>
      <c r="D35" s="253"/>
      <c r="E35" s="253"/>
      <c r="F35" s="184"/>
      <c r="G35" s="296"/>
      <c r="H35" s="2427"/>
      <c r="I35" s="3410"/>
      <c r="J35" s="2427"/>
      <c r="K35" s="3438"/>
      <c r="L35" s="2427"/>
      <c r="M35" s="3437"/>
      <c r="N35" s="2427"/>
      <c r="O35" s="3437"/>
      <c r="P35" s="2427"/>
      <c r="Q35" s="3437"/>
      <c r="R35" s="2427"/>
      <c r="S35" s="3437"/>
    </row>
    <row r="36" spans="1:19">
      <c r="A36" s="3434"/>
      <c r="B36" s="251"/>
      <c r="C36" s="252"/>
      <c r="D36" s="253"/>
      <c r="E36" s="253"/>
      <c r="F36" s="184"/>
      <c r="G36" s="296"/>
      <c r="H36" s="2427"/>
      <c r="I36" s="3410"/>
      <c r="J36" s="2427"/>
      <c r="K36" s="3438"/>
      <c r="L36" s="2427"/>
      <c r="M36" s="3437"/>
      <c r="N36" s="2427"/>
      <c r="O36" s="3437"/>
      <c r="P36" s="2427"/>
      <c r="Q36" s="3437"/>
      <c r="R36" s="2427"/>
      <c r="S36" s="3437"/>
    </row>
    <row r="37" spans="1:19">
      <c r="A37" s="3434"/>
      <c r="B37" s="251"/>
      <c r="C37" s="252"/>
      <c r="D37" s="253"/>
      <c r="E37" s="253"/>
      <c r="F37" s="184"/>
      <c r="G37" s="296"/>
      <c r="H37" s="2427"/>
      <c r="I37" s="3410"/>
      <c r="J37" s="2427"/>
      <c r="K37" s="3438"/>
      <c r="L37" s="2427"/>
      <c r="M37" s="3437"/>
      <c r="N37" s="2427"/>
      <c r="O37" s="3437"/>
      <c r="P37" s="2427"/>
      <c r="Q37" s="3437"/>
      <c r="R37" s="2427"/>
      <c r="S37" s="3437"/>
    </row>
    <row r="38" spans="1:19">
      <c r="A38" s="3434"/>
      <c r="B38" s="251"/>
      <c r="C38" s="252"/>
      <c r="D38" s="253"/>
      <c r="E38" s="253"/>
      <c r="F38" s="184"/>
      <c r="G38" s="296"/>
      <c r="H38" s="2427"/>
      <c r="I38" s="3410"/>
      <c r="J38" s="2427"/>
      <c r="K38" s="3438"/>
      <c r="L38" s="2427"/>
      <c r="M38" s="3437"/>
      <c r="N38" s="2427"/>
      <c r="O38" s="3437"/>
      <c r="P38" s="2427"/>
      <c r="Q38" s="3437"/>
      <c r="R38" s="2427"/>
      <c r="S38" s="3437"/>
    </row>
    <row r="39" spans="1:19">
      <c r="A39" s="3434"/>
      <c r="B39" s="251"/>
      <c r="C39" s="252"/>
      <c r="D39" s="253"/>
      <c r="E39" s="253"/>
      <c r="F39" s="184"/>
      <c r="G39" s="296"/>
      <c r="H39" s="2427"/>
      <c r="I39" s="3410"/>
      <c r="J39" s="2427"/>
      <c r="K39" s="3438"/>
      <c r="L39" s="2427"/>
      <c r="M39" s="3437"/>
      <c r="N39" s="2427"/>
      <c r="O39" s="3437"/>
      <c r="P39" s="2427"/>
      <c r="Q39" s="3437"/>
      <c r="R39" s="2427"/>
      <c r="S39" s="3437"/>
    </row>
    <row r="40" spans="1:19">
      <c r="A40" s="3434"/>
      <c r="B40" s="251"/>
      <c r="C40" s="252"/>
      <c r="D40" s="253"/>
      <c r="E40" s="253"/>
      <c r="F40" s="184"/>
      <c r="G40" s="296"/>
      <c r="H40" s="2427"/>
      <c r="I40" s="3410"/>
      <c r="J40" s="2427"/>
      <c r="K40" s="3437"/>
      <c r="L40" s="2427"/>
      <c r="M40" s="3410"/>
      <c r="N40" s="2427"/>
      <c r="O40" s="3411"/>
      <c r="P40" s="2427"/>
      <c r="Q40" s="3411"/>
      <c r="R40" s="2427"/>
      <c r="S40" s="3411"/>
    </row>
    <row r="41" spans="1:19">
      <c r="A41" s="14"/>
      <c r="B41" s="15"/>
      <c r="C41" s="16"/>
      <c r="D41" s="16"/>
      <c r="E41" s="17"/>
      <c r="F41" s="18" t="s">
        <v>567</v>
      </c>
      <c r="G41" s="19"/>
      <c r="H41" s="20"/>
      <c r="I41" s="61">
        <f>SUM(I24:I40)</f>
        <v>0</v>
      </c>
      <c r="J41" s="20"/>
      <c r="K41" s="61">
        <f>SUM(K24:K40)</f>
        <v>0</v>
      </c>
      <c r="L41" s="20"/>
      <c r="M41" s="61">
        <f>SUM(M24:M40)</f>
        <v>0</v>
      </c>
      <c r="N41" s="20"/>
      <c r="O41" s="61">
        <f>SUM(O24:O40)</f>
        <v>0</v>
      </c>
      <c r="P41" s="20"/>
      <c r="Q41" s="61">
        <f>SUM(Q24:Q40)</f>
        <v>0</v>
      </c>
      <c r="R41" s="20"/>
      <c r="S41" s="61">
        <f>SUM(S24:S40)</f>
        <v>0</v>
      </c>
    </row>
    <row r="42" spans="1:19">
      <c r="A42" s="2358"/>
      <c r="B42" s="2359"/>
      <c r="C42" s="2360"/>
      <c r="D42" s="2360"/>
      <c r="E42" s="2361"/>
      <c r="F42" s="2362" t="s">
        <v>568</v>
      </c>
      <c r="G42" s="2363"/>
      <c r="H42" s="2364">
        <v>0</v>
      </c>
      <c r="I42" s="2460"/>
      <c r="J42" s="2364">
        <v>0</v>
      </c>
      <c r="K42" s="2460"/>
      <c r="L42" s="2364">
        <v>0</v>
      </c>
      <c r="M42" s="2460"/>
      <c r="N42" s="2364">
        <v>0</v>
      </c>
      <c r="O42" s="2460"/>
      <c r="P42" s="2364">
        <v>0</v>
      </c>
      <c r="Q42" s="2460"/>
      <c r="R42" s="2364">
        <v>0</v>
      </c>
      <c r="S42" s="2460"/>
    </row>
    <row r="43" spans="1:19">
      <c r="A43" s="2358"/>
      <c r="B43" s="2359"/>
      <c r="C43" s="2360"/>
      <c r="D43" s="2360"/>
      <c r="E43" s="2361"/>
      <c r="F43" s="2362" t="s">
        <v>569</v>
      </c>
      <c r="G43" s="2363"/>
      <c r="H43" s="2366"/>
      <c r="I43" s="2462">
        <f>I41*H42</f>
        <v>0</v>
      </c>
      <c r="J43" s="2366"/>
      <c r="K43" s="2462">
        <f>K41*J42</f>
        <v>0</v>
      </c>
      <c r="L43" s="2366"/>
      <c r="M43" s="2462">
        <f>M41*L42</f>
        <v>0</v>
      </c>
      <c r="N43" s="2366"/>
      <c r="O43" s="2462">
        <f>O41*N42</f>
        <v>0</v>
      </c>
      <c r="P43" s="2366"/>
      <c r="Q43" s="2462">
        <f>Q41*P42</f>
        <v>0</v>
      </c>
      <c r="R43" s="2366"/>
      <c r="S43" s="2462">
        <f>S41*R42</f>
        <v>0</v>
      </c>
    </row>
    <row r="44" spans="1:19">
      <c r="A44" s="2358"/>
      <c r="B44" s="2359"/>
      <c r="C44" s="2360"/>
      <c r="D44" s="2360"/>
      <c r="E44" s="2361"/>
      <c r="F44" s="2362"/>
      <c r="G44" s="2363"/>
      <c r="H44" s="2366"/>
      <c r="I44" s="2464"/>
      <c r="J44" s="2366"/>
      <c r="K44" s="2464"/>
      <c r="L44" s="2366"/>
      <c r="M44" s="2464"/>
      <c r="N44" s="2366"/>
      <c r="O44" s="2464"/>
      <c r="P44" s="2366"/>
      <c r="Q44" s="2464"/>
      <c r="R44" s="2366"/>
      <c r="S44" s="2464"/>
    </row>
    <row r="45" spans="1:19">
      <c r="A45" s="2358"/>
      <c r="B45" s="2359"/>
      <c r="C45" s="2360"/>
      <c r="D45" s="2360"/>
      <c r="E45" s="2361"/>
      <c r="F45" s="2362" t="s">
        <v>570</v>
      </c>
      <c r="G45" s="2363"/>
      <c r="H45" s="2368"/>
      <c r="I45" s="2465">
        <f>SUM(I41:I43)</f>
        <v>0</v>
      </c>
      <c r="J45" s="2368"/>
      <c r="K45" s="2465">
        <f>SUM(K41:K43)</f>
        <v>0</v>
      </c>
      <c r="L45" s="2368"/>
      <c r="M45" s="2465">
        <f>SUM(M41:M43)</f>
        <v>0</v>
      </c>
      <c r="N45" s="2368"/>
      <c r="O45" s="2465">
        <f>SUM(O41:O43)</f>
        <v>0</v>
      </c>
      <c r="P45" s="2368"/>
      <c r="Q45" s="2465">
        <f>SUM(Q41:Q43)</f>
        <v>0</v>
      </c>
      <c r="R45" s="2368"/>
      <c r="S45" s="2465">
        <f>SUM(S41:S43)</f>
        <v>0</v>
      </c>
    </row>
    <row r="46" spans="1:19">
      <c r="A46" s="2358"/>
      <c r="B46" s="2359"/>
      <c r="C46" s="2360"/>
      <c r="D46" s="2360"/>
      <c r="E46" s="2361"/>
      <c r="F46" s="2370" t="s">
        <v>571</v>
      </c>
      <c r="G46" s="2371"/>
      <c r="H46" s="2372"/>
      <c r="I46" s="2373" t="e">
        <f>I45/'Area Calculations'!$J$4</f>
        <v>#DIV/0!</v>
      </c>
      <c r="J46" s="2372"/>
      <c r="K46" s="2373" t="e">
        <f>K45/'Area Calculations'!$J$4</f>
        <v>#DIV/0!</v>
      </c>
      <c r="L46" s="2372"/>
      <c r="M46" s="2373" t="e">
        <f>M45/'Area Calculations'!$J$4</f>
        <v>#DIV/0!</v>
      </c>
      <c r="N46" s="2372"/>
      <c r="O46" s="2373" t="e">
        <f>O45/'Area Calculations'!$J$4</f>
        <v>#DIV/0!</v>
      </c>
      <c r="P46" s="2372"/>
      <c r="Q46" s="2373" t="e">
        <f>Q45/'Area Calculations'!$J$4</f>
        <v>#DIV/0!</v>
      </c>
      <c r="R46" s="2372"/>
      <c r="S46" s="2373" t="e">
        <f>S45/'Area Calculations'!$J$4</f>
        <v>#DIV/0!</v>
      </c>
    </row>
    <row r="47" spans="1:19">
      <c r="A47" s="2358"/>
      <c r="B47" s="2359"/>
      <c r="C47" s="2360"/>
      <c r="D47" s="2360"/>
      <c r="E47" s="2361"/>
      <c r="F47" s="2370" t="s">
        <v>572</v>
      </c>
      <c r="G47" s="2374"/>
      <c r="H47" s="2372"/>
      <c r="I47" s="2373" t="e">
        <f>I45/'Area Calculations'!#REF!</f>
        <v>#REF!</v>
      </c>
      <c r="J47" s="2372"/>
      <c r="K47" s="2373" t="e">
        <f>K45/'Area Calculations'!#REF!</f>
        <v>#REF!</v>
      </c>
      <c r="L47" s="2372"/>
      <c r="M47" s="2373" t="e">
        <f>M45/'Area Calculations'!#REF!</f>
        <v>#REF!</v>
      </c>
      <c r="N47" s="2372"/>
      <c r="O47" s="2373" t="e">
        <f>O45/'Area Calculations'!#REF!</f>
        <v>#REF!</v>
      </c>
      <c r="P47" s="2372"/>
      <c r="Q47" s="2373" t="e">
        <f>Q45/'Area Calculations'!#REF!</f>
        <v>#REF!</v>
      </c>
      <c r="R47" s="2372"/>
      <c r="S47" s="2373" t="e">
        <f>S45/'Area Calculations'!#REF!</f>
        <v>#REF!</v>
      </c>
    </row>
    <row r="48" spans="1:19">
      <c r="A48" s="2358"/>
      <c r="B48" s="2359"/>
      <c r="C48" s="2360"/>
      <c r="D48" s="2360"/>
      <c r="E48" s="2361"/>
      <c r="F48" s="2362"/>
      <c r="G48" s="2363"/>
      <c r="H48" s="2378"/>
      <c r="I48" s="3439"/>
      <c r="J48" s="2378"/>
      <c r="K48" s="3439"/>
      <c r="L48" s="2378"/>
      <c r="M48" s="3439"/>
      <c r="N48" s="2378"/>
      <c r="O48" s="3439"/>
      <c r="P48" s="2378"/>
      <c r="Q48" s="3439"/>
      <c r="R48" s="2378"/>
      <c r="S48" s="3439"/>
    </row>
    <row r="49" spans="1:19">
      <c r="A49" s="726" t="s">
        <v>573</v>
      </c>
      <c r="B49" s="727"/>
      <c r="C49" s="12"/>
      <c r="D49" s="12"/>
      <c r="E49" s="12"/>
      <c r="F49" s="12"/>
      <c r="G49" s="13"/>
      <c r="H49" s="21"/>
      <c r="I49" s="21"/>
      <c r="J49" s="21"/>
      <c r="K49" s="21"/>
      <c r="L49" s="21"/>
      <c r="M49" s="21"/>
      <c r="N49" s="21"/>
      <c r="O49" s="21"/>
      <c r="P49" s="21"/>
      <c r="Q49" s="21"/>
      <c r="R49" s="21"/>
      <c r="S49" s="21"/>
    </row>
    <row r="50" spans="1:19">
      <c r="A50" s="3421"/>
      <c r="B50" s="2404"/>
      <c r="C50" s="3422"/>
      <c r="D50" s="3422"/>
      <c r="E50" s="3422"/>
      <c r="F50" s="3422"/>
      <c r="G50" s="3423"/>
      <c r="H50" s="3424"/>
      <c r="I50" s="3424"/>
      <c r="J50" s="3424"/>
      <c r="K50" s="3424"/>
      <c r="L50" s="3424"/>
      <c r="M50" s="3424"/>
      <c r="N50" s="3424"/>
      <c r="O50" s="3424"/>
      <c r="P50" s="3424"/>
      <c r="Q50" s="3424"/>
      <c r="R50" s="3424"/>
      <c r="S50" s="3424"/>
    </row>
    <row r="51" spans="1:19" s="2" customFormat="1">
      <c r="A51" s="3421"/>
      <c r="B51" s="2404"/>
      <c r="C51" s="3422"/>
      <c r="D51" s="3422"/>
      <c r="E51" s="3422"/>
      <c r="F51" s="3422"/>
      <c r="G51" s="3423"/>
      <c r="H51" s="3424"/>
      <c r="I51" s="3424"/>
      <c r="J51" s="3424"/>
      <c r="K51" s="3424"/>
      <c r="L51" s="3424"/>
      <c r="M51" s="3424"/>
      <c r="N51" s="3424"/>
      <c r="O51" s="3424"/>
      <c r="P51" s="3424"/>
      <c r="Q51" s="3424"/>
      <c r="R51" s="3424"/>
      <c r="S51" s="3424"/>
    </row>
    <row r="52" spans="1:19" s="2" customFormat="1">
      <c r="A52" s="3421"/>
      <c r="B52" s="2404"/>
      <c r="C52" s="3422"/>
      <c r="D52" s="3422"/>
      <c r="E52" s="3422"/>
      <c r="F52" s="3422"/>
      <c r="G52" s="3423"/>
      <c r="H52" s="3424"/>
      <c r="I52" s="3424"/>
      <c r="J52" s="3424"/>
      <c r="K52" s="3424"/>
      <c r="L52" s="3424"/>
      <c r="M52" s="3424"/>
      <c r="N52" s="3424"/>
      <c r="O52" s="3424"/>
      <c r="P52" s="3424"/>
      <c r="Q52" s="3424"/>
      <c r="R52" s="3424"/>
      <c r="S52" s="3424"/>
    </row>
    <row r="53" spans="1:19" s="2" customFormat="1">
      <c r="A53" s="726" t="s">
        <v>574</v>
      </c>
      <c r="B53" s="727"/>
      <c r="C53" s="12"/>
      <c r="D53" s="12"/>
      <c r="E53" s="12"/>
      <c r="F53" s="12"/>
      <c r="G53" s="13"/>
      <c r="H53" s="21"/>
      <c r="I53" s="21"/>
      <c r="J53" s="21"/>
      <c r="K53" s="21"/>
      <c r="L53" s="21"/>
      <c r="M53" s="21"/>
      <c r="N53" s="21"/>
      <c r="O53" s="21"/>
      <c r="P53" s="21"/>
      <c r="Q53" s="21"/>
      <c r="R53" s="21"/>
      <c r="S53" s="21"/>
    </row>
    <row r="54" spans="1:19" s="2" customFormat="1">
      <c r="A54" s="3421"/>
      <c r="B54" s="2404"/>
      <c r="C54" s="3422"/>
      <c r="D54" s="3422"/>
      <c r="E54" s="3422"/>
      <c r="F54" s="3422"/>
      <c r="G54" s="3423"/>
      <c r="H54" s="3424"/>
      <c r="I54" s="3424"/>
      <c r="J54" s="3424"/>
      <c r="K54" s="3424"/>
      <c r="L54" s="3424"/>
      <c r="M54" s="3424"/>
      <c r="N54" s="3424"/>
      <c r="O54" s="3424"/>
      <c r="P54" s="3424"/>
      <c r="Q54" s="3424"/>
      <c r="R54" s="3424"/>
      <c r="S54" s="3424"/>
    </row>
    <row r="55" spans="1:19" s="2" customFormat="1">
      <c r="A55" s="3421"/>
      <c r="B55" s="2404"/>
      <c r="C55" s="3422"/>
      <c r="D55" s="3422"/>
      <c r="E55" s="3422"/>
      <c r="F55" s="3422"/>
      <c r="G55" s="3423"/>
      <c r="H55" s="3424"/>
      <c r="I55" s="3424"/>
      <c r="J55" s="3424"/>
      <c r="K55" s="3424"/>
      <c r="L55" s="3424"/>
      <c r="M55" s="3424"/>
      <c r="N55" s="3424"/>
      <c r="O55" s="3424"/>
      <c r="P55" s="3424"/>
      <c r="Q55" s="3424"/>
      <c r="R55" s="3424"/>
      <c r="S55" s="3424"/>
    </row>
    <row r="56" spans="1:19" s="2" customFormat="1">
      <c r="A56" s="3421"/>
      <c r="B56" s="2404"/>
      <c r="C56" s="3422"/>
      <c r="D56" s="3422"/>
      <c r="E56" s="3422"/>
      <c r="F56" s="3422"/>
      <c r="G56" s="3423"/>
      <c r="H56" s="3424"/>
      <c r="I56" s="3424"/>
      <c r="J56" s="3424"/>
      <c r="K56" s="3424"/>
      <c r="L56" s="3424"/>
      <c r="M56" s="3424"/>
      <c r="N56" s="3424"/>
      <c r="O56" s="3424"/>
      <c r="P56" s="3424"/>
      <c r="Q56" s="3424"/>
      <c r="R56" s="3424"/>
      <c r="S56" s="3424"/>
    </row>
    <row r="57" spans="1:19" s="2" customFormat="1">
      <c r="A57" s="726" t="s">
        <v>575</v>
      </c>
      <c r="B57" s="727"/>
      <c r="C57" s="12"/>
      <c r="D57" s="12"/>
      <c r="E57" s="12"/>
      <c r="F57" s="12"/>
      <c r="G57" s="13"/>
      <c r="H57" s="21"/>
      <c r="I57" s="21"/>
      <c r="J57" s="21"/>
      <c r="K57" s="21"/>
      <c r="L57" s="21"/>
      <c r="M57" s="21"/>
      <c r="N57" s="21"/>
      <c r="O57" s="21"/>
      <c r="P57" s="21"/>
      <c r="Q57" s="21"/>
      <c r="R57" s="21"/>
      <c r="S57" s="21"/>
    </row>
    <row r="58" spans="1:19" s="2" customFormat="1">
      <c r="A58" s="3421"/>
      <c r="B58" s="2404"/>
      <c r="C58" s="3422"/>
      <c r="D58" s="3422"/>
      <c r="E58" s="3422"/>
      <c r="F58" s="3422"/>
      <c r="G58" s="3423"/>
      <c r="H58" s="3424"/>
      <c r="I58" s="3424"/>
      <c r="J58" s="3424"/>
      <c r="K58" s="3424"/>
      <c r="L58" s="3424"/>
      <c r="M58" s="3424"/>
      <c r="N58" s="3424"/>
      <c r="O58" s="3424"/>
      <c r="P58" s="3424"/>
      <c r="Q58" s="3424"/>
      <c r="R58" s="3424"/>
      <c r="S58" s="3424"/>
    </row>
    <row r="59" spans="1:19">
      <c r="A59" s="2421"/>
      <c r="B59" s="2404"/>
      <c r="C59" s="2405"/>
      <c r="D59" s="2405"/>
      <c r="E59" s="2405"/>
      <c r="F59" s="2405"/>
      <c r="G59" s="2423"/>
      <c r="H59" s="2382"/>
      <c r="I59" s="2382"/>
      <c r="J59" s="2382"/>
      <c r="K59" s="2382"/>
      <c r="L59" s="2382"/>
      <c r="M59" s="2382"/>
      <c r="N59" s="2382"/>
      <c r="O59" s="2382"/>
      <c r="P59" s="2382"/>
      <c r="Q59" s="2382"/>
      <c r="R59" s="2382"/>
      <c r="S59" s="2382"/>
    </row>
    <row r="60" spans="1:19" s="2" customFormat="1">
      <c r="A60" s="2383"/>
      <c r="B60" s="2384"/>
      <c r="C60" s="2405"/>
      <c r="D60" s="2405"/>
      <c r="E60" s="2405"/>
      <c r="F60" s="2405"/>
      <c r="G60" s="2423"/>
      <c r="H60" s="2385"/>
      <c r="I60" s="2385"/>
      <c r="J60" s="2385"/>
      <c r="K60" s="2385"/>
      <c r="L60" s="2385"/>
      <c r="M60" s="2385"/>
      <c r="N60" s="2385"/>
      <c r="O60" s="2385"/>
      <c r="P60" s="2385"/>
      <c r="Q60" s="2385"/>
      <c r="R60" s="2385"/>
      <c r="S60" s="2385"/>
    </row>
    <row r="61" spans="1:19" s="2" customFormat="1">
      <c r="A61" s="726" t="s">
        <v>576</v>
      </c>
      <c r="B61" s="727"/>
      <c r="C61" s="12"/>
      <c r="D61" s="12"/>
      <c r="E61" s="12"/>
      <c r="F61" s="12"/>
      <c r="G61" s="13"/>
      <c r="H61" s="21"/>
      <c r="I61" s="21"/>
      <c r="J61" s="21"/>
      <c r="K61" s="21"/>
      <c r="L61" s="21"/>
      <c r="M61" s="21"/>
      <c r="N61" s="21"/>
      <c r="O61" s="21"/>
      <c r="P61" s="21"/>
      <c r="Q61" s="21"/>
      <c r="R61" s="21"/>
      <c r="S61" s="21"/>
    </row>
    <row r="62" spans="1:19" s="2" customFormat="1">
      <c r="A62" s="3425"/>
      <c r="B62" s="3426"/>
      <c r="C62" s="3422"/>
      <c r="D62" s="3422"/>
      <c r="E62" s="3422"/>
      <c r="F62" s="3422"/>
      <c r="G62" s="3423"/>
      <c r="H62" s="3424"/>
      <c r="I62" s="3424"/>
      <c r="J62" s="3424"/>
      <c r="K62" s="3424"/>
      <c r="L62" s="3424"/>
      <c r="M62" s="3424"/>
      <c r="N62" s="3424"/>
      <c r="O62" s="3424"/>
      <c r="P62" s="3424"/>
      <c r="Q62" s="3424"/>
      <c r="R62" s="3424"/>
      <c r="S62" s="3424"/>
    </row>
    <row r="63" spans="1:19">
      <c r="A63" s="2383"/>
      <c r="B63" s="2384"/>
      <c r="C63" s="2405"/>
      <c r="D63" s="2405"/>
      <c r="E63" s="2405"/>
      <c r="F63" s="2405"/>
      <c r="G63" s="2423"/>
      <c r="H63" s="2388"/>
      <c r="I63" s="2388"/>
      <c r="J63" s="2388"/>
      <c r="K63" s="2388"/>
      <c r="L63" s="2388"/>
      <c r="M63" s="2388"/>
      <c r="N63" s="2388"/>
      <c r="O63" s="2388"/>
      <c r="P63" s="2388"/>
      <c r="Q63" s="2388"/>
      <c r="R63" s="2388"/>
      <c r="S63" s="2388"/>
    </row>
    <row r="64" spans="1:19">
      <c r="A64" s="2383"/>
      <c r="B64" s="2384"/>
      <c r="C64" s="2405"/>
      <c r="D64" s="2405"/>
      <c r="E64" s="2405"/>
      <c r="F64" s="2405"/>
      <c r="G64" s="2423"/>
      <c r="H64" s="2388"/>
      <c r="I64" s="2388"/>
      <c r="J64" s="2388"/>
      <c r="K64" s="2388"/>
      <c r="L64" s="2388"/>
      <c r="M64" s="2388"/>
      <c r="N64" s="2388"/>
      <c r="O64" s="2388"/>
      <c r="P64" s="2388"/>
      <c r="Q64" s="2388"/>
      <c r="R64" s="2388"/>
      <c r="S64" s="2388"/>
    </row>
    <row r="65" spans="1:19">
      <c r="A65" s="726" t="s">
        <v>577</v>
      </c>
      <c r="B65" s="727"/>
      <c r="C65" s="12"/>
      <c r="D65" s="12"/>
      <c r="E65" s="12"/>
      <c r="F65" s="12"/>
      <c r="G65" s="13"/>
      <c r="H65" s="21"/>
      <c r="I65" s="21"/>
      <c r="J65" s="21"/>
      <c r="K65" s="21"/>
      <c r="L65" s="21"/>
      <c r="M65" s="21"/>
      <c r="N65" s="21"/>
      <c r="O65" s="21"/>
      <c r="P65" s="21"/>
      <c r="Q65" s="21"/>
      <c r="R65" s="21"/>
      <c r="S65" s="21"/>
    </row>
    <row r="66" spans="1:19">
      <c r="A66" s="2421"/>
      <c r="B66" s="2404" t="s">
        <v>578</v>
      </c>
      <c r="C66" s="2405"/>
      <c r="D66" s="2405"/>
      <c r="E66" s="2405"/>
      <c r="F66" s="2405"/>
      <c r="G66" s="2423"/>
      <c r="H66" s="2388"/>
      <c r="I66" s="2388"/>
      <c r="J66" s="2388"/>
      <c r="K66" s="2388"/>
      <c r="L66" s="2388"/>
      <c r="M66" s="2388"/>
      <c r="N66" s="2388"/>
      <c r="O66" s="2388"/>
      <c r="P66" s="2388"/>
      <c r="Q66" s="2388"/>
      <c r="R66" s="2388"/>
      <c r="S66" s="2388"/>
    </row>
    <row r="67" spans="1:19">
      <c r="A67" s="2421"/>
      <c r="B67" s="2404" t="s">
        <v>579</v>
      </c>
      <c r="C67" s="2405"/>
      <c r="D67" s="2405"/>
      <c r="E67" s="2405"/>
      <c r="F67" s="2405"/>
      <c r="G67" s="2423"/>
      <c r="H67" s="2388"/>
      <c r="I67" s="2388"/>
      <c r="J67" s="2388"/>
      <c r="K67" s="2388"/>
      <c r="L67" s="2388"/>
      <c r="M67" s="2388"/>
      <c r="N67" s="2388"/>
      <c r="O67" s="2388"/>
      <c r="P67" s="2388"/>
      <c r="Q67" s="2388"/>
      <c r="R67" s="2388"/>
      <c r="S67" s="2388"/>
    </row>
    <row r="68" spans="1:19">
      <c r="A68" s="2421"/>
      <c r="B68" s="2404" t="s">
        <v>580</v>
      </c>
      <c r="C68" s="2405"/>
      <c r="D68" s="2405"/>
      <c r="E68" s="2405"/>
      <c r="F68" s="2405"/>
      <c r="G68" s="2423"/>
      <c r="H68" s="2388"/>
      <c r="I68" s="2388"/>
      <c r="J68" s="2388"/>
      <c r="K68" s="2388"/>
      <c r="L68" s="2388"/>
      <c r="M68" s="2388"/>
      <c r="N68" s="2388"/>
      <c r="O68" s="2388"/>
      <c r="P68" s="2388"/>
      <c r="Q68" s="2388"/>
      <c r="R68" s="2388"/>
      <c r="S68" s="2388"/>
    </row>
    <row r="69" spans="1:19">
      <c r="A69" s="2421"/>
      <c r="B69" s="2404" t="s">
        <v>581</v>
      </c>
      <c r="C69" s="2405"/>
      <c r="D69" s="2405"/>
      <c r="E69" s="2405"/>
      <c r="F69" s="2405"/>
      <c r="G69" s="2423"/>
      <c r="H69" s="2388"/>
      <c r="I69" s="2388"/>
      <c r="J69" s="2388"/>
      <c r="K69" s="2388"/>
      <c r="L69" s="2388"/>
      <c r="M69" s="2388"/>
      <c r="N69" s="2388"/>
      <c r="O69" s="2388"/>
      <c r="P69" s="2388"/>
      <c r="Q69" s="2388"/>
      <c r="R69" s="2388"/>
      <c r="S69" s="2388"/>
    </row>
    <row r="70" spans="1:19">
      <c r="A70" s="416"/>
      <c r="B70" s="295"/>
      <c r="C70" s="184"/>
      <c r="D70" s="184"/>
      <c r="E70" s="184"/>
      <c r="F70" s="184"/>
      <c r="G70" s="296"/>
      <c r="H70" s="418"/>
      <c r="I70" s="418"/>
      <c r="J70" s="418"/>
      <c r="K70" s="418"/>
      <c r="L70" s="418"/>
      <c r="M70" s="418"/>
      <c r="N70" s="418"/>
      <c r="O70" s="418"/>
      <c r="P70" s="418"/>
      <c r="Q70" s="418"/>
      <c r="R70" s="418"/>
      <c r="S70" s="418"/>
    </row>
    <row r="71" spans="1:19">
      <c r="A71" s="7" t="s">
        <v>582</v>
      </c>
      <c r="B71" s="8"/>
      <c r="C71" s="12"/>
      <c r="D71" s="12"/>
      <c r="E71" s="12"/>
      <c r="F71" s="12"/>
      <c r="G71" s="13"/>
      <c r="H71" s="21"/>
      <c r="I71" s="21"/>
      <c r="J71" s="21"/>
      <c r="K71" s="21"/>
      <c r="L71" s="21"/>
      <c r="M71" s="21"/>
      <c r="N71" s="21"/>
      <c r="O71" s="21"/>
      <c r="P71" s="21"/>
      <c r="Q71" s="21"/>
      <c r="R71" s="21"/>
      <c r="S71" s="21"/>
    </row>
    <row r="72" spans="1:19">
      <c r="A72" s="3421"/>
      <c r="B72" s="3427" t="s">
        <v>583</v>
      </c>
      <c r="C72" s="3422"/>
      <c r="D72" s="3422"/>
      <c r="E72" s="3422"/>
      <c r="F72" s="3422"/>
      <c r="G72" s="3423"/>
      <c r="H72" s="3428"/>
      <c r="I72" s="3428"/>
      <c r="J72" s="3428"/>
      <c r="K72" s="3428"/>
      <c r="L72" s="3428"/>
      <c r="M72" s="3428"/>
      <c r="N72" s="3428"/>
      <c r="O72" s="3428"/>
      <c r="P72" s="3428"/>
      <c r="Q72" s="3428"/>
      <c r="R72" s="3428"/>
      <c r="S72" s="3428"/>
    </row>
    <row r="73" spans="1:19">
      <c r="A73" s="2421"/>
      <c r="B73" s="2404" t="s">
        <v>584</v>
      </c>
      <c r="C73" s="2405"/>
      <c r="D73" s="2405"/>
      <c r="E73" s="2405"/>
      <c r="F73" s="2405"/>
      <c r="G73" s="2423"/>
      <c r="H73" s="2390"/>
      <c r="I73" s="2390"/>
      <c r="J73" s="2390"/>
      <c r="K73" s="2390"/>
      <c r="L73" s="2390"/>
      <c r="M73" s="2390"/>
      <c r="N73" s="2390"/>
      <c r="O73" s="2390"/>
      <c r="P73" s="2390"/>
      <c r="Q73" s="2390"/>
      <c r="R73" s="2390"/>
      <c r="S73" s="2390"/>
    </row>
    <row r="74" spans="1:19">
      <c r="A74" s="2391"/>
      <c r="B74" s="2392" t="s">
        <v>585</v>
      </c>
      <c r="C74" s="2393"/>
      <c r="D74" s="2393"/>
      <c r="E74" s="2393"/>
      <c r="F74" s="2393"/>
      <c r="G74" s="2394"/>
      <c r="H74" s="2395"/>
      <c r="I74" s="2395"/>
      <c r="J74" s="2395"/>
      <c r="K74" s="2395"/>
      <c r="L74" s="2395"/>
      <c r="M74" s="2395"/>
      <c r="N74" s="2395"/>
      <c r="O74" s="2395"/>
      <c r="P74" s="2395"/>
      <c r="Q74" s="2395"/>
      <c r="R74" s="2395"/>
      <c r="S74" s="2395"/>
    </row>
    <row r="75" spans="1:19">
      <c r="I75" s="2"/>
    </row>
    <row r="76" spans="1:19">
      <c r="A76" s="92" t="s">
        <v>586</v>
      </c>
      <c r="B76" s="94"/>
      <c r="I76" s="2"/>
    </row>
    <row r="77" spans="1:19">
      <c r="A77" s="93" t="s">
        <v>487</v>
      </c>
      <c r="B77" s="94"/>
      <c r="I77" s="2"/>
    </row>
    <row r="78" spans="1:19">
      <c r="A78" s="2397" t="s">
        <v>491</v>
      </c>
      <c r="B78" s="2396"/>
      <c r="I78" s="2"/>
    </row>
    <row r="79" spans="1:19">
      <c r="A79" s="2398" t="s">
        <v>494</v>
      </c>
      <c r="B79" s="2399"/>
      <c r="I79" s="2"/>
    </row>
    <row r="80" spans="1:19">
      <c r="A80" s="2398" t="s">
        <v>497</v>
      </c>
      <c r="B80" s="2400"/>
      <c r="I80" s="2"/>
    </row>
    <row r="81" spans="1:9">
      <c r="A81" s="2401" t="s">
        <v>587</v>
      </c>
      <c r="B81" s="2402"/>
      <c r="I81" s="2"/>
    </row>
    <row r="82" spans="1:9">
      <c r="I82" s="2"/>
    </row>
    <row r="83" spans="1:9">
      <c r="A83" s="95"/>
      <c r="B83" s="1" t="s">
        <v>588</v>
      </c>
      <c r="I83" s="2"/>
    </row>
    <row r="84" spans="1:9">
      <c r="A84" s="96"/>
      <c r="B84" s="1" t="s">
        <v>589</v>
      </c>
      <c r="I84" s="2"/>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49:B49"/>
    <mergeCell ref="A53:B53"/>
    <mergeCell ref="A57:B57"/>
    <mergeCell ref="A61:B61"/>
    <mergeCell ref="A65:B65"/>
  </mergeCells>
  <conditionalFormatting sqref="H20:H30">
    <cfRule type="cellIs" dxfId="147" priority="23" operator="equal">
      <formula>"X"</formula>
    </cfRule>
    <cfRule type="cellIs" dxfId="146" priority="24" operator="equal">
      <formula>"I"</formula>
    </cfRule>
  </conditionalFormatting>
  <conditionalFormatting sqref="H32:H40">
    <cfRule type="cellIs" dxfId="145" priority="21" operator="equal">
      <formula>"X"</formula>
    </cfRule>
    <cfRule type="cellIs" dxfId="144" priority="22" operator="equal">
      <formula>"I"</formula>
    </cfRule>
  </conditionalFormatting>
  <conditionalFormatting sqref="J20:J30">
    <cfRule type="cellIs" dxfId="143" priority="19" operator="equal">
      <formula>"X"</formula>
    </cfRule>
    <cfRule type="cellIs" dxfId="142" priority="20" operator="equal">
      <formula>"I"</formula>
    </cfRule>
  </conditionalFormatting>
  <conditionalFormatting sqref="J32:J40">
    <cfRule type="cellIs" dxfId="141" priority="17" operator="equal">
      <formula>"X"</formula>
    </cfRule>
    <cfRule type="cellIs" dxfId="140" priority="18" operator="equal">
      <formula>"I"</formula>
    </cfRule>
  </conditionalFormatting>
  <conditionalFormatting sqref="L20:L30">
    <cfRule type="cellIs" dxfId="139" priority="13" operator="equal">
      <formula>"X"</formula>
    </cfRule>
    <cfRule type="cellIs" dxfId="138" priority="14" operator="equal">
      <formula>"I"</formula>
    </cfRule>
  </conditionalFormatting>
  <conditionalFormatting sqref="L32:L40">
    <cfRule type="cellIs" dxfId="137" priority="15" operator="equal">
      <formula>"X"</formula>
    </cfRule>
    <cfRule type="cellIs" dxfId="136" priority="16" operator="equal">
      <formula>"I"</formula>
    </cfRule>
  </conditionalFormatting>
  <conditionalFormatting sqref="N20:N30">
    <cfRule type="cellIs" dxfId="135" priority="11" operator="equal">
      <formula>"X"</formula>
    </cfRule>
    <cfRule type="cellIs" dxfId="134" priority="12" operator="equal">
      <formula>"I"</formula>
    </cfRule>
  </conditionalFormatting>
  <conditionalFormatting sqref="N32:N40">
    <cfRule type="cellIs" dxfId="133" priority="9" operator="equal">
      <formula>"X"</formula>
    </cfRule>
    <cfRule type="cellIs" dxfId="132" priority="10" operator="equal">
      <formula>"I"</formula>
    </cfRule>
  </conditionalFormatting>
  <conditionalFormatting sqref="P20:P30">
    <cfRule type="cellIs" dxfId="131" priority="5" operator="equal">
      <formula>"X"</formula>
    </cfRule>
    <cfRule type="cellIs" dxfId="130" priority="6" operator="equal">
      <formula>"I"</formula>
    </cfRule>
  </conditionalFormatting>
  <conditionalFormatting sqref="P32:P40">
    <cfRule type="cellIs" dxfId="129" priority="7" operator="equal">
      <formula>"X"</formula>
    </cfRule>
    <cfRule type="cellIs" dxfId="128" priority="8" operator="equal">
      <formula>"I"</formula>
    </cfRule>
  </conditionalFormatting>
  <conditionalFormatting sqref="R20:R30">
    <cfRule type="cellIs" dxfId="127" priority="3" operator="equal">
      <formula>"X"</formula>
    </cfRule>
    <cfRule type="cellIs" dxfId="126" priority="4" operator="equal">
      <formula>"I"</formula>
    </cfRule>
  </conditionalFormatting>
  <conditionalFormatting sqref="R32:R40">
    <cfRule type="cellIs" dxfId="125" priority="1" operator="equal">
      <formula>"X"</formula>
    </cfRule>
    <cfRule type="cellIs" dxfId="124" priority="2" operator="equal">
      <formula>"I"</formula>
    </cfRule>
  </conditionalFormatting>
  <hyperlinks>
    <hyperlink ref="B3" location="'Cost Summary'!A1" display="BACK TO SUMMARY SHEET" xr:uid="{292C8DD6-BB7E-494E-8E5D-811E7B3012C1}"/>
  </hyperlinks>
  <pageMargins left="0.7" right="0.7" top="0.75" bottom="0.75" header="0.3" footer="0.3"/>
  <pageSetup scale="70" orientation="portrait" horizontalDpi="300" verticalDpi="300"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79D-48E8-4400-B363-C4675EA23D3B}">
  <sheetPr>
    <tabColor rgb="FF92D050"/>
  </sheetPr>
  <dimension ref="A1:S120"/>
  <sheetViews>
    <sheetView zoomScaleNormal="100" workbookViewId="0">
      <pane xSplit="2" ySplit="9" topLeftCell="C40" activePane="bottomRight" state="frozen"/>
      <selection pane="bottomRight" activeCell="F50" sqref="F50"/>
      <selection pane="bottomLeft" activeCell="A10" sqref="A10"/>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16.42578125" style="2"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t="s">
        <v>1319</v>
      </c>
      <c r="I4" s="729"/>
      <c r="J4" s="728"/>
      <c r="K4" s="729"/>
      <c r="L4" s="728"/>
      <c r="M4" s="729"/>
      <c r="N4" s="728"/>
      <c r="O4" s="729"/>
      <c r="P4" s="728"/>
      <c r="Q4" s="729"/>
      <c r="R4" s="728"/>
      <c r="S4" s="729"/>
    </row>
    <row r="5" spans="1:19">
      <c r="A5" s="2403" t="s">
        <v>489</v>
      </c>
      <c r="B5" s="2404" t="s">
        <v>1320</v>
      </c>
      <c r="C5" s="2405"/>
      <c r="D5" s="2405"/>
      <c r="E5" s="2405"/>
      <c r="F5" s="2405"/>
      <c r="G5" s="2406" t="s">
        <v>491</v>
      </c>
      <c r="H5" s="2407" t="s">
        <v>1321</v>
      </c>
      <c r="I5" s="2408"/>
      <c r="J5" s="2407"/>
      <c r="K5" s="2408"/>
      <c r="L5" s="2407"/>
      <c r="M5" s="2408"/>
      <c r="N5" s="2407"/>
      <c r="O5" s="2408"/>
      <c r="P5" s="2407"/>
      <c r="Q5" s="2408"/>
      <c r="R5" s="2407"/>
      <c r="S5" s="2408"/>
    </row>
    <row r="6" spans="1:19">
      <c r="A6" s="2403" t="s">
        <v>493</v>
      </c>
      <c r="B6" s="2410" t="s">
        <v>638</v>
      </c>
      <c r="C6" s="2405"/>
      <c r="D6" s="2405"/>
      <c r="E6" s="2405"/>
      <c r="F6" s="2405"/>
      <c r="G6" s="2406" t="s">
        <v>494</v>
      </c>
      <c r="H6" s="2411" t="s">
        <v>1322</v>
      </c>
      <c r="I6" s="2412"/>
      <c r="J6" s="2411"/>
      <c r="K6" s="2412"/>
      <c r="L6" s="2411"/>
      <c r="M6" s="2412"/>
      <c r="N6" s="2411"/>
      <c r="O6" s="2412"/>
      <c r="P6" s="2411"/>
      <c r="Q6" s="2412"/>
      <c r="R6" s="2411"/>
      <c r="S6" s="2412"/>
    </row>
    <row r="7" spans="1:19">
      <c r="A7" s="2403" t="s">
        <v>496</v>
      </c>
      <c r="B7" s="2414"/>
      <c r="C7" s="2405"/>
      <c r="D7" s="2405"/>
      <c r="E7" s="2405"/>
      <c r="F7" s="2405"/>
      <c r="G7" s="2406" t="s">
        <v>497</v>
      </c>
      <c r="H7" s="3377" t="s">
        <v>1323</v>
      </c>
      <c r="I7" s="3378"/>
      <c r="J7" s="3377"/>
      <c r="K7" s="3378"/>
      <c r="L7" s="3377"/>
      <c r="M7" s="3378"/>
      <c r="N7" s="3377"/>
      <c r="O7" s="3378"/>
      <c r="P7" s="3377"/>
      <c r="Q7" s="3378"/>
      <c r="R7" s="3377"/>
      <c r="S7" s="3378"/>
    </row>
    <row r="8" spans="1:19" ht="15.75" thickBot="1">
      <c r="A8" s="414" t="s">
        <v>499</v>
      </c>
      <c r="B8" s="295"/>
      <c r="C8" s="184"/>
      <c r="D8" s="184"/>
      <c r="E8" s="184"/>
      <c r="F8" s="184"/>
      <c r="G8" s="419" t="s">
        <v>499</v>
      </c>
      <c r="H8" s="2970">
        <f>I81</f>
        <v>239371.5</v>
      </c>
      <c r="I8" s="2971"/>
      <c r="J8" s="2970"/>
      <c r="K8" s="2971"/>
      <c r="L8" s="2970"/>
      <c r="M8" s="2971"/>
      <c r="N8" s="2970">
        <f>O81</f>
        <v>0</v>
      </c>
      <c r="O8" s="2971"/>
      <c r="P8" s="2970">
        <f>Q81</f>
        <v>0</v>
      </c>
      <c r="Q8" s="2971"/>
      <c r="R8" s="2970">
        <f>S81</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429"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3433"/>
      <c r="B20" s="2404"/>
      <c r="C20" s="2426"/>
      <c r="D20" s="2405"/>
      <c r="E20" s="2405"/>
      <c r="F20" s="2405"/>
      <c r="G20" s="2423"/>
      <c r="H20" s="2427"/>
      <c r="I20" s="2424"/>
      <c r="J20" s="2427"/>
      <c r="K20" s="2424"/>
      <c r="L20" s="2427"/>
      <c r="M20" s="2424"/>
      <c r="N20" s="2427"/>
      <c r="O20" s="2424"/>
      <c r="P20" s="2427"/>
      <c r="Q20" s="2424"/>
      <c r="R20" s="2427"/>
      <c r="S20" s="2424"/>
    </row>
    <row r="21" spans="1:19" ht="15.75" thickBot="1">
      <c r="A21" s="3433"/>
      <c r="B21" s="2428" t="s">
        <v>1320</v>
      </c>
      <c r="C21" s="56"/>
      <c r="D21" s="57"/>
      <c r="E21" s="57"/>
      <c r="F21" s="57"/>
      <c r="G21" s="63"/>
      <c r="H21" s="2427"/>
      <c r="I21" s="3409"/>
      <c r="J21" s="2427"/>
      <c r="K21" s="3410"/>
      <c r="L21" s="2427"/>
      <c r="M21" s="3411"/>
      <c r="N21" s="2427"/>
      <c r="O21" s="3411"/>
      <c r="P21" s="2427"/>
      <c r="Q21" s="3411"/>
      <c r="R21" s="2427"/>
      <c r="S21" s="3411"/>
    </row>
    <row r="22" spans="1:19">
      <c r="A22" s="3433"/>
      <c r="B22" s="2318" t="s">
        <v>512</v>
      </c>
      <c r="C22" s="2426"/>
      <c r="D22" s="2405"/>
      <c r="E22" s="2405"/>
      <c r="F22" s="2405"/>
      <c r="G22" s="2423"/>
      <c r="H22" s="2427"/>
      <c r="I22" s="3410"/>
      <c r="J22" s="2427"/>
      <c r="K22" s="3410"/>
      <c r="L22" s="2427"/>
      <c r="M22" s="3411"/>
      <c r="N22" s="2427"/>
      <c r="O22" s="3411"/>
      <c r="P22" s="2427"/>
      <c r="Q22" s="3411"/>
      <c r="R22" s="2427"/>
      <c r="S22" s="3411"/>
    </row>
    <row r="23" spans="1:19">
      <c r="A23" s="3433"/>
      <c r="B23" s="3408" t="s">
        <v>513</v>
      </c>
      <c r="C23" s="2426"/>
      <c r="D23" s="2405"/>
      <c r="E23" s="2405"/>
      <c r="F23" s="2405"/>
      <c r="G23" s="2423"/>
      <c r="H23" s="2427"/>
      <c r="I23" s="3409"/>
      <c r="J23" s="2427"/>
      <c r="K23" s="3410"/>
      <c r="L23" s="2427"/>
      <c r="M23" s="3411"/>
      <c r="N23" s="2427"/>
      <c r="O23" s="3411"/>
      <c r="P23" s="2427"/>
      <c r="Q23" s="3411"/>
      <c r="R23" s="2427"/>
      <c r="S23" s="3411"/>
    </row>
    <row r="24" spans="1:19">
      <c r="A24" s="3433"/>
      <c r="B24" s="3408" t="s">
        <v>514</v>
      </c>
      <c r="C24" s="2426"/>
      <c r="D24" s="2405"/>
      <c r="E24" s="2405"/>
      <c r="F24" s="2405"/>
      <c r="G24" s="2423"/>
      <c r="H24" s="2427"/>
      <c r="I24" s="3410"/>
      <c r="J24" s="2427"/>
      <c r="K24" s="3410"/>
      <c r="L24" s="2427"/>
      <c r="M24" s="3411"/>
      <c r="N24" s="2427"/>
      <c r="O24" s="3411"/>
      <c r="P24" s="2427"/>
      <c r="Q24" s="3411"/>
      <c r="R24" s="2427"/>
      <c r="S24" s="3411"/>
    </row>
    <row r="25" spans="1:19">
      <c r="A25" s="3433"/>
      <c r="B25" s="3412" t="s">
        <v>515</v>
      </c>
      <c r="C25" s="2426"/>
      <c r="D25" s="2405"/>
      <c r="E25" s="2405"/>
      <c r="F25" s="2405"/>
      <c r="G25" s="2423"/>
      <c r="H25" s="2427"/>
      <c r="I25" s="3410"/>
      <c r="J25" s="2427"/>
      <c r="K25" s="3410"/>
      <c r="L25" s="2427"/>
      <c r="M25" s="3411"/>
      <c r="N25" s="2427"/>
      <c r="O25" s="3410"/>
      <c r="P25" s="2427"/>
      <c r="Q25" s="3411"/>
      <c r="R25" s="2427"/>
      <c r="S25" s="3411"/>
    </row>
    <row r="26" spans="1:19">
      <c r="A26" s="3433"/>
      <c r="B26" s="3412" t="s">
        <v>516</v>
      </c>
      <c r="C26" s="2426"/>
      <c r="D26" s="2405"/>
      <c r="E26" s="2405"/>
      <c r="F26" s="2405"/>
      <c r="G26" s="2423"/>
      <c r="H26" s="2427"/>
      <c r="I26" s="3410"/>
      <c r="J26" s="2427"/>
      <c r="K26" s="3410"/>
      <c r="L26" s="2427"/>
      <c r="M26" s="3411"/>
      <c r="N26" s="2427"/>
      <c r="O26" s="3410"/>
      <c r="P26" s="2427"/>
      <c r="Q26" s="3411"/>
      <c r="R26" s="2427"/>
      <c r="S26" s="3411"/>
    </row>
    <row r="27" spans="1:19">
      <c r="A27" s="3433"/>
      <c r="B27" s="3412" t="s">
        <v>517</v>
      </c>
      <c r="C27" s="2426"/>
      <c r="D27" s="2405"/>
      <c r="E27" s="2405"/>
      <c r="F27" s="2405"/>
      <c r="G27" s="2423"/>
      <c r="H27" s="2427"/>
      <c r="I27" s="3410"/>
      <c r="J27" s="2427"/>
      <c r="K27" s="3410"/>
      <c r="L27" s="2427"/>
      <c r="M27" s="3411"/>
      <c r="N27" s="2427"/>
      <c r="O27" s="3410"/>
      <c r="P27" s="2427"/>
      <c r="Q27" s="3411"/>
      <c r="R27" s="2427"/>
      <c r="S27" s="3411"/>
    </row>
    <row r="28" spans="1:19">
      <c r="A28" s="3433"/>
      <c r="B28" s="3412" t="s">
        <v>518</v>
      </c>
      <c r="C28" s="2426"/>
      <c r="D28" s="2405"/>
      <c r="E28" s="2405"/>
      <c r="F28" s="2405"/>
      <c r="G28" s="2423"/>
      <c r="H28" s="2427"/>
      <c r="I28" s="3410"/>
      <c r="J28" s="2427"/>
      <c r="K28" s="3410"/>
      <c r="L28" s="2427"/>
      <c r="M28" s="3411"/>
      <c r="N28" s="2427"/>
      <c r="O28" s="3410"/>
      <c r="P28" s="2427"/>
      <c r="Q28" s="3411"/>
      <c r="R28" s="2427"/>
      <c r="S28" s="3411"/>
    </row>
    <row r="29" spans="1:19">
      <c r="A29" s="3433"/>
      <c r="B29" s="3412" t="s">
        <v>693</v>
      </c>
      <c r="C29" s="2426"/>
      <c r="D29" s="2405"/>
      <c r="E29" s="2405"/>
      <c r="F29" s="2405"/>
      <c r="G29" s="2423"/>
      <c r="H29" s="2427"/>
      <c r="I29" s="3410"/>
      <c r="J29" s="2427"/>
      <c r="K29" s="3410"/>
      <c r="L29" s="2427"/>
      <c r="M29" s="3411"/>
      <c r="N29" s="2427"/>
      <c r="O29" s="3410"/>
      <c r="P29" s="2427"/>
      <c r="Q29" s="3411"/>
      <c r="R29" s="2427"/>
      <c r="S29" s="3411"/>
    </row>
    <row r="30" spans="1:19">
      <c r="A30" s="3433"/>
      <c r="B30" s="3413" t="s">
        <v>519</v>
      </c>
      <c r="C30" s="2426"/>
      <c r="D30" s="2405"/>
      <c r="E30" s="2405"/>
      <c r="F30" s="2405"/>
      <c r="G30" s="2423"/>
      <c r="H30" s="2427"/>
      <c r="I30" s="3409"/>
      <c r="J30" s="2427"/>
      <c r="K30" s="3410"/>
      <c r="L30" s="2427"/>
      <c r="M30" s="3411"/>
      <c r="N30" s="2427"/>
      <c r="O30" s="3410"/>
      <c r="P30" s="2427"/>
      <c r="Q30" s="3411"/>
      <c r="R30" s="2427"/>
      <c r="S30" s="3411"/>
    </row>
    <row r="31" spans="1:19">
      <c r="A31" s="3433"/>
      <c r="B31" s="186" t="s">
        <v>520</v>
      </c>
      <c r="C31" s="2979"/>
      <c r="D31" s="3440"/>
      <c r="E31" s="2980"/>
      <c r="F31" s="3078"/>
      <c r="G31" s="3079"/>
      <c r="H31" s="2439"/>
      <c r="I31" s="3441"/>
      <c r="J31" s="2439"/>
      <c r="K31" s="3419"/>
      <c r="L31" s="2439"/>
      <c r="M31" s="3417"/>
      <c r="N31" s="2439"/>
      <c r="O31" s="3419"/>
      <c r="P31" s="3417"/>
      <c r="Q31" s="3417"/>
      <c r="R31" s="3417"/>
      <c r="S31" s="3417"/>
    </row>
    <row r="32" spans="1:19">
      <c r="A32" s="3433"/>
      <c r="B32" s="3395" t="s">
        <v>748</v>
      </c>
      <c r="C32" s="2426"/>
      <c r="D32" s="3442"/>
      <c r="E32" s="2405"/>
      <c r="F32" s="2446"/>
      <c r="G32" s="2447"/>
      <c r="H32" s="2427"/>
      <c r="I32" s="3409"/>
      <c r="J32" s="2427"/>
      <c r="K32" s="3410"/>
      <c r="L32" s="2427"/>
      <c r="M32" s="3411"/>
      <c r="N32" s="2427"/>
      <c r="O32" s="3410"/>
      <c r="P32" s="2427"/>
      <c r="Q32" s="2427"/>
      <c r="R32" s="2427"/>
      <c r="S32" s="3411"/>
    </row>
    <row r="33" spans="1:19">
      <c r="A33" s="3433"/>
      <c r="B33" s="3395"/>
      <c r="C33" s="2426"/>
      <c r="D33" s="3442"/>
      <c r="E33" s="2405"/>
      <c r="F33" s="2446"/>
      <c r="G33" s="2447"/>
      <c r="H33" s="2427"/>
      <c r="I33" s="3409"/>
      <c r="J33" s="2427"/>
      <c r="K33" s="3410"/>
      <c r="L33" s="2427"/>
      <c r="M33" s="3411"/>
      <c r="N33" s="2427"/>
      <c r="O33" s="3410"/>
      <c r="P33" s="2427"/>
      <c r="Q33" s="2427"/>
      <c r="R33" s="2427"/>
      <c r="S33" s="3411"/>
    </row>
    <row r="34" spans="1:19">
      <c r="A34" s="3433"/>
      <c r="B34" s="3443" t="s">
        <v>1324</v>
      </c>
      <c r="C34" s="3072"/>
      <c r="D34" s="2405"/>
      <c r="E34" s="2405"/>
      <c r="F34" s="2405"/>
      <c r="G34" s="2423"/>
      <c r="H34" s="2427"/>
      <c r="I34" s="3410"/>
      <c r="J34" s="2427"/>
      <c r="K34" s="3410"/>
      <c r="L34" s="2427"/>
      <c r="M34" s="3410"/>
      <c r="N34" s="2427"/>
      <c r="O34" s="3410"/>
      <c r="P34" s="2427"/>
      <c r="Q34" s="3410"/>
      <c r="R34" s="2427"/>
      <c r="S34" s="3411"/>
    </row>
    <row r="35" spans="1:19">
      <c r="A35" s="3433"/>
      <c r="B35" s="3444" t="s">
        <v>1325</v>
      </c>
      <c r="C35" s="3072" t="s">
        <v>697</v>
      </c>
      <c r="D35" s="2405">
        <f>'Cost Summary'!$J$7</f>
        <v>663</v>
      </c>
      <c r="E35" s="2405" t="s">
        <v>723</v>
      </c>
      <c r="F35" s="2405"/>
      <c r="G35" s="2423"/>
      <c r="H35" s="2427"/>
      <c r="I35" s="3410"/>
      <c r="J35" s="2427"/>
      <c r="K35" s="3410"/>
      <c r="L35" s="2427"/>
      <c r="M35" s="3410"/>
      <c r="N35" s="2427"/>
      <c r="O35" s="3410"/>
      <c r="P35" s="2427"/>
      <c r="Q35" s="3410"/>
      <c r="R35" s="2427"/>
      <c r="S35" s="3411"/>
    </row>
    <row r="36" spans="1:19">
      <c r="A36" s="3433"/>
      <c r="B36" s="3444" t="s">
        <v>1326</v>
      </c>
      <c r="C36" s="3072" t="s">
        <v>697</v>
      </c>
      <c r="D36" s="2405">
        <f>'Cost Summary'!$J$7</f>
        <v>663</v>
      </c>
      <c r="E36" s="2405" t="s">
        <v>723</v>
      </c>
      <c r="F36" s="2405"/>
      <c r="G36" s="2423"/>
      <c r="H36" s="2427"/>
      <c r="I36" s="3410"/>
      <c r="J36" s="2427"/>
      <c r="K36" s="3410"/>
      <c r="L36" s="2427"/>
      <c r="M36" s="3410"/>
      <c r="N36" s="2427"/>
      <c r="O36" s="3410"/>
      <c r="P36" s="2427"/>
      <c r="Q36" s="3410"/>
      <c r="R36" s="2427"/>
      <c r="S36" s="3411"/>
    </row>
    <row r="37" spans="1:19">
      <c r="A37" s="3433"/>
      <c r="B37" s="3444" t="s">
        <v>1327</v>
      </c>
      <c r="C37" s="3072" t="s">
        <v>697</v>
      </c>
      <c r="D37" s="2405">
        <f>'Cost Summary'!$J$7</f>
        <v>663</v>
      </c>
      <c r="E37" s="2405" t="s">
        <v>723</v>
      </c>
      <c r="F37" s="2405"/>
      <c r="G37" s="2423"/>
      <c r="H37" s="2427"/>
      <c r="I37" s="3410"/>
      <c r="J37" s="2427"/>
      <c r="K37" s="3410"/>
      <c r="L37" s="2427"/>
      <c r="M37" s="3410"/>
      <c r="N37" s="2427"/>
      <c r="O37" s="3410"/>
      <c r="P37" s="2427"/>
      <c r="Q37" s="3410"/>
      <c r="R37" s="2427"/>
      <c r="S37" s="3411"/>
    </row>
    <row r="38" spans="1:19">
      <c r="A38" s="3433"/>
      <c r="B38" s="3444" t="s">
        <v>1328</v>
      </c>
      <c r="C38" s="3072" t="s">
        <v>697</v>
      </c>
      <c r="D38" s="2405">
        <f>'Cost Summary'!$J$7</f>
        <v>663</v>
      </c>
      <c r="E38" s="2405" t="s">
        <v>723</v>
      </c>
      <c r="F38" s="2405"/>
      <c r="G38" s="2423"/>
      <c r="H38" s="2427"/>
      <c r="I38" s="3410"/>
      <c r="J38" s="2427"/>
      <c r="K38" s="3410"/>
      <c r="L38" s="2427"/>
      <c r="M38" s="3410"/>
      <c r="N38" s="2427"/>
      <c r="O38" s="3410"/>
      <c r="P38" s="2427"/>
      <c r="Q38" s="3410"/>
      <c r="R38" s="2427"/>
      <c r="S38" s="3411"/>
    </row>
    <row r="39" spans="1:19">
      <c r="A39" s="3433" t="s">
        <v>969</v>
      </c>
      <c r="B39" s="510" t="s">
        <v>1329</v>
      </c>
      <c r="C39" s="3072"/>
      <c r="D39" s="2405"/>
      <c r="E39" s="2405"/>
      <c r="F39" s="2405"/>
      <c r="G39" s="2423"/>
      <c r="H39" s="2427" t="s">
        <v>709</v>
      </c>
      <c r="I39" s="3410"/>
      <c r="J39" s="2427"/>
      <c r="K39" s="3410"/>
      <c r="L39" s="2427"/>
      <c r="M39" s="3410"/>
      <c r="N39" s="2427"/>
      <c r="O39" s="3410"/>
      <c r="P39" s="2427"/>
      <c r="Q39" s="3410"/>
      <c r="R39" s="2427"/>
      <c r="S39" s="3411"/>
    </row>
    <row r="40" spans="1:19">
      <c r="A40" s="3433"/>
      <c r="B40" s="3395"/>
      <c r="C40" s="2426"/>
      <c r="D40" s="3442"/>
      <c r="E40" s="2405"/>
      <c r="F40" s="2446"/>
      <c r="G40" s="2447"/>
      <c r="H40" s="2427"/>
      <c r="I40" s="3409"/>
      <c r="J40" s="2427"/>
      <c r="K40" s="3410"/>
      <c r="L40" s="2427"/>
      <c r="M40" s="3411"/>
      <c r="N40" s="2427"/>
      <c r="O40" s="3410"/>
      <c r="P40" s="2427"/>
      <c r="Q40" s="2427"/>
      <c r="R40" s="2427"/>
      <c r="S40" s="3411"/>
    </row>
    <row r="41" spans="1:19">
      <c r="A41" s="3433"/>
      <c r="B41" s="3445" t="s">
        <v>694</v>
      </c>
      <c r="C41" s="2990"/>
      <c r="D41" s="2450"/>
      <c r="E41" s="2450"/>
      <c r="F41" s="2450"/>
      <c r="G41" s="2531"/>
      <c r="H41" s="2453"/>
      <c r="I41" s="3446"/>
      <c r="J41" s="2453"/>
      <c r="K41" s="3446"/>
      <c r="L41" s="2453"/>
      <c r="M41" s="3446"/>
      <c r="N41" s="2453"/>
      <c r="O41" s="3446"/>
      <c r="P41" s="2453"/>
      <c r="Q41" s="3446"/>
      <c r="R41" s="2427"/>
      <c r="S41" s="3411"/>
    </row>
    <row r="42" spans="1:19">
      <c r="A42" s="3433"/>
      <c r="B42" s="3444"/>
      <c r="C42" s="2426"/>
      <c r="D42" s="2405"/>
      <c r="E42" s="2405"/>
      <c r="F42" s="2405"/>
      <c r="G42" s="2423"/>
      <c r="H42" s="2427"/>
      <c r="I42" s="3410"/>
      <c r="J42" s="2427"/>
      <c r="K42" s="3410"/>
      <c r="L42" s="2427"/>
      <c r="M42" s="3410"/>
      <c r="N42" s="2427"/>
      <c r="O42" s="3410"/>
      <c r="P42" s="2427"/>
      <c r="Q42" s="3410"/>
      <c r="R42" s="2427"/>
      <c r="S42" s="3411"/>
    </row>
    <row r="43" spans="1:19">
      <c r="A43" s="3433"/>
      <c r="B43" s="3447" t="s">
        <v>695</v>
      </c>
      <c r="C43" s="2999"/>
      <c r="D43" s="2456"/>
      <c r="E43" s="2456"/>
      <c r="F43" s="2456"/>
      <c r="G43" s="2532"/>
      <c r="H43" s="2459"/>
      <c r="I43" s="3448"/>
      <c r="J43" s="2459"/>
      <c r="K43" s="3448"/>
      <c r="L43" s="2459"/>
      <c r="M43" s="3448"/>
      <c r="N43" s="2459"/>
      <c r="O43" s="3448"/>
      <c r="P43" s="2459"/>
      <c r="Q43" s="3448"/>
      <c r="R43" s="2427"/>
      <c r="S43" s="3411"/>
    </row>
    <row r="44" spans="1:19">
      <c r="A44" s="3433"/>
      <c r="B44" s="3444" t="s">
        <v>1330</v>
      </c>
      <c r="C44" s="3072" t="s">
        <v>697</v>
      </c>
      <c r="D44" s="2405">
        <f>'Cost Summary'!$J$7</f>
        <v>663</v>
      </c>
      <c r="E44" s="2405" t="s">
        <v>723</v>
      </c>
      <c r="F44" s="2405"/>
      <c r="G44" s="2423"/>
      <c r="H44" s="2427"/>
      <c r="I44" s="3449"/>
      <c r="J44" s="2427"/>
      <c r="K44" s="3410"/>
      <c r="L44" s="2427"/>
      <c r="M44" s="3410"/>
      <c r="N44" s="2427"/>
      <c r="O44" s="3410"/>
      <c r="P44" s="2427"/>
      <c r="Q44" s="3410"/>
      <c r="R44" s="2427"/>
      <c r="S44" s="3411"/>
    </row>
    <row r="45" spans="1:19">
      <c r="A45" s="3433"/>
      <c r="B45" s="3444" t="s">
        <v>1331</v>
      </c>
      <c r="C45" s="3072" t="s">
        <v>697</v>
      </c>
      <c r="D45" s="2405">
        <f>'Cost Summary'!$J$7</f>
        <v>663</v>
      </c>
      <c r="E45" s="2405" t="s">
        <v>723</v>
      </c>
      <c r="F45" s="2405">
        <v>5</v>
      </c>
      <c r="G45" s="2423">
        <f t="shared" ref="G45:G48" si="0">D45*F45</f>
        <v>3315</v>
      </c>
      <c r="H45" s="2427" t="s">
        <v>710</v>
      </c>
      <c r="I45" s="3450">
        <v>3400</v>
      </c>
      <c r="J45" s="2427"/>
      <c r="K45" s="3410"/>
      <c r="L45" s="2427"/>
      <c r="M45" s="3410"/>
      <c r="N45" s="2427"/>
      <c r="O45" s="3410"/>
      <c r="P45" s="2427"/>
      <c r="Q45" s="3410"/>
      <c r="R45" s="2427"/>
      <c r="S45" s="3411"/>
    </row>
    <row r="46" spans="1:19">
      <c r="A46" s="3433"/>
      <c r="B46" s="3444" t="s">
        <v>1332</v>
      </c>
      <c r="C46" s="3072" t="s">
        <v>697</v>
      </c>
      <c r="D46" s="2405">
        <f>'Cost Summary'!$J$7</f>
        <v>663</v>
      </c>
      <c r="E46" s="2405" t="s">
        <v>723</v>
      </c>
      <c r="F46" s="2405">
        <v>3</v>
      </c>
      <c r="G46" s="2423">
        <f t="shared" si="0"/>
        <v>1989</v>
      </c>
      <c r="H46" s="2427" t="s">
        <v>709</v>
      </c>
      <c r="I46" s="3451">
        <f>G46</f>
        <v>1989</v>
      </c>
      <c r="J46" s="2427"/>
      <c r="K46" s="3410"/>
      <c r="L46" s="2427"/>
      <c r="M46" s="3410"/>
      <c r="N46" s="2427"/>
      <c r="O46" s="3410"/>
      <c r="P46" s="2427"/>
      <c r="Q46" s="3410"/>
      <c r="R46" s="2427"/>
      <c r="S46" s="3411"/>
    </row>
    <row r="47" spans="1:19">
      <c r="A47" s="3433"/>
      <c r="B47" s="3444" t="s">
        <v>1333</v>
      </c>
      <c r="C47" s="3072" t="s">
        <v>697</v>
      </c>
      <c r="D47" s="2405">
        <f>'Cost Summary'!$J$7</f>
        <v>663</v>
      </c>
      <c r="E47" s="2405" t="s">
        <v>723</v>
      </c>
      <c r="F47" s="2405">
        <v>5</v>
      </c>
      <c r="G47" s="2423">
        <f t="shared" si="0"/>
        <v>3315</v>
      </c>
      <c r="H47" s="2427" t="s">
        <v>710</v>
      </c>
      <c r="I47" s="3450">
        <v>4200</v>
      </c>
      <c r="J47" s="2427"/>
      <c r="K47" s="3410"/>
      <c r="L47" s="2427"/>
      <c r="M47" s="3410"/>
      <c r="N47" s="2427"/>
      <c r="O47" s="3410"/>
      <c r="P47" s="2427"/>
      <c r="Q47" s="3410"/>
      <c r="R47" s="2427"/>
      <c r="S47" s="3411"/>
    </row>
    <row r="48" spans="1:19">
      <c r="A48" s="3433"/>
      <c r="B48" s="3444" t="s">
        <v>1334</v>
      </c>
      <c r="C48" s="3072" t="s">
        <v>697</v>
      </c>
      <c r="D48" s="2405">
        <f>'Cost Summary'!$J$7</f>
        <v>663</v>
      </c>
      <c r="E48" s="2405" t="s">
        <v>723</v>
      </c>
      <c r="F48" s="2405">
        <v>3</v>
      </c>
      <c r="G48" s="2423">
        <f t="shared" si="0"/>
        <v>1989</v>
      </c>
      <c r="H48" s="2427" t="s">
        <v>710</v>
      </c>
      <c r="I48" s="3450">
        <v>1600</v>
      </c>
      <c r="J48" s="2427"/>
      <c r="K48" s="3410"/>
      <c r="L48" s="2427"/>
      <c r="M48" s="3410"/>
      <c r="N48" s="2427"/>
      <c r="O48" s="3410"/>
      <c r="P48" s="2427"/>
      <c r="Q48" s="3410"/>
      <c r="R48" s="2427"/>
      <c r="S48" s="3411"/>
    </row>
    <row r="49" spans="1:19">
      <c r="A49" s="3433"/>
      <c r="B49" s="3444" t="s">
        <v>1335</v>
      </c>
      <c r="C49" s="3072"/>
      <c r="D49" s="2405">
        <v>5</v>
      </c>
      <c r="E49" s="2405" t="s">
        <v>714</v>
      </c>
      <c r="F49" s="2405">
        <v>1500</v>
      </c>
      <c r="G49" s="2423">
        <f t="shared" ref="G49" si="1">D49*F49</f>
        <v>7500</v>
      </c>
      <c r="H49" s="2427" t="s">
        <v>709</v>
      </c>
      <c r="I49" s="3451">
        <f>G49</f>
        <v>7500</v>
      </c>
      <c r="J49" s="2427"/>
      <c r="K49" s="3410"/>
      <c r="L49" s="2427"/>
      <c r="M49" s="3410"/>
      <c r="N49" s="2427"/>
      <c r="O49" s="3410"/>
      <c r="P49" s="2427"/>
      <c r="Q49" s="3410"/>
      <c r="R49" s="2427"/>
      <c r="S49" s="3411"/>
    </row>
    <row r="50" spans="1:19">
      <c r="A50" s="3433"/>
      <c r="B50" s="3444"/>
      <c r="C50" s="2426"/>
      <c r="D50" s="2405"/>
      <c r="E50" s="2405"/>
      <c r="F50" s="2405"/>
      <c r="G50" s="2423"/>
      <c r="H50" s="2427"/>
      <c r="I50" s="3410"/>
      <c r="J50" s="2427"/>
      <c r="K50" s="3410"/>
      <c r="L50" s="2427"/>
      <c r="M50" s="3410"/>
      <c r="N50" s="2427"/>
      <c r="O50" s="3410"/>
      <c r="P50" s="2427"/>
      <c r="Q50" s="3410"/>
      <c r="R50" s="2427"/>
      <c r="S50" s="3411"/>
    </row>
    <row r="51" spans="1:19">
      <c r="A51" s="3433"/>
      <c r="B51" s="3445" t="s">
        <v>649</v>
      </c>
      <c r="C51" s="2990"/>
      <c r="D51" s="2450"/>
      <c r="E51" s="2450"/>
      <c r="F51" s="2450"/>
      <c r="G51" s="2531"/>
      <c r="H51" s="2453"/>
      <c r="I51" s="3446"/>
      <c r="J51" s="2453"/>
      <c r="K51" s="3446"/>
      <c r="L51" s="2453"/>
      <c r="M51" s="3446"/>
      <c r="N51" s="2453"/>
      <c r="O51" s="3446"/>
      <c r="P51" s="2453"/>
      <c r="Q51" s="3446"/>
      <c r="R51" s="2427"/>
      <c r="S51" s="3411"/>
    </row>
    <row r="52" spans="1:19">
      <c r="A52" s="3433"/>
      <c r="B52" s="3444"/>
      <c r="C52" s="2426"/>
      <c r="D52" s="2405"/>
      <c r="E52" s="2405"/>
      <c r="F52" s="2405"/>
      <c r="G52" s="2423"/>
      <c r="H52" s="2427"/>
      <c r="I52" s="3410"/>
      <c r="J52" s="2427"/>
      <c r="K52" s="3410"/>
      <c r="L52" s="2427"/>
      <c r="M52" s="3410"/>
      <c r="N52" s="2427"/>
      <c r="O52" s="3410"/>
      <c r="P52" s="2427"/>
      <c r="Q52" s="3410"/>
      <c r="R52" s="2427"/>
      <c r="S52" s="3411"/>
    </row>
    <row r="53" spans="1:19">
      <c r="A53" s="3433"/>
      <c r="B53" s="3447" t="s">
        <v>700</v>
      </c>
      <c r="C53" s="2999"/>
      <c r="D53" s="2456"/>
      <c r="E53" s="2456"/>
      <c r="F53" s="2456"/>
      <c r="G53" s="2532"/>
      <c r="H53" s="2459"/>
      <c r="I53" s="3448"/>
      <c r="J53" s="2459"/>
      <c r="K53" s="3448"/>
      <c r="L53" s="2459"/>
      <c r="M53" s="3448"/>
      <c r="N53" s="2459"/>
      <c r="O53" s="3448"/>
      <c r="P53" s="2459"/>
      <c r="Q53" s="3448"/>
      <c r="R53" s="2427"/>
      <c r="S53" s="3411"/>
    </row>
    <row r="54" spans="1:19">
      <c r="A54" s="3433"/>
      <c r="B54" s="3444" t="s">
        <v>1336</v>
      </c>
      <c r="C54" s="3072"/>
      <c r="D54" s="2405">
        <f>'Cost Summary'!$N$7</f>
        <v>11678</v>
      </c>
      <c r="E54" s="2405" t="s">
        <v>723</v>
      </c>
      <c r="F54" s="2405">
        <v>1</v>
      </c>
      <c r="G54" s="2423">
        <f>D54*F54</f>
        <v>11678</v>
      </c>
      <c r="H54" s="2427" t="s">
        <v>710</v>
      </c>
      <c r="I54" s="3450">
        <v>10000</v>
      </c>
      <c r="J54" s="2427"/>
      <c r="K54" s="3410"/>
      <c r="L54" s="2427"/>
      <c r="M54" s="3410"/>
      <c r="N54" s="2427"/>
      <c r="O54" s="3410"/>
      <c r="P54" s="2427"/>
      <c r="Q54" s="3410"/>
      <c r="R54" s="2427"/>
      <c r="S54" s="3411"/>
    </row>
    <row r="55" spans="1:19">
      <c r="A55" s="3433"/>
      <c r="B55" s="3444" t="s">
        <v>1330</v>
      </c>
      <c r="C55" s="3072" t="s">
        <v>702</v>
      </c>
      <c r="D55" s="2405">
        <f>'Cost Summary'!$N$7</f>
        <v>11678</v>
      </c>
      <c r="E55" s="2405" t="s">
        <v>723</v>
      </c>
      <c r="F55" s="2405">
        <v>2</v>
      </c>
      <c r="G55" s="2423">
        <f>D55*F55</f>
        <v>23356</v>
      </c>
      <c r="H55" s="2427" t="s">
        <v>710</v>
      </c>
      <c r="I55" s="3450">
        <f>9000</f>
        <v>9000</v>
      </c>
      <c r="J55" s="2427"/>
      <c r="K55" s="3410"/>
      <c r="L55" s="2427"/>
      <c r="M55" s="3410"/>
      <c r="N55" s="2427"/>
      <c r="O55" s="3410"/>
      <c r="P55" s="2427"/>
      <c r="Q55" s="3410"/>
      <c r="R55" s="2427"/>
      <c r="S55" s="3411"/>
    </row>
    <row r="56" spans="1:19">
      <c r="A56" s="3433"/>
      <c r="B56" s="3444" t="s">
        <v>1331</v>
      </c>
      <c r="C56" s="3072" t="s">
        <v>702</v>
      </c>
      <c r="D56" s="2405">
        <f>'Cost Summary'!$N$7</f>
        <v>11678</v>
      </c>
      <c r="E56" s="2405" t="s">
        <v>723</v>
      </c>
      <c r="F56" s="2405">
        <f>F55</f>
        <v>2</v>
      </c>
      <c r="G56" s="2423">
        <f t="shared" ref="G56:G59" si="2">D56*F56</f>
        <v>23356</v>
      </c>
      <c r="H56" s="2427" t="s">
        <v>710</v>
      </c>
      <c r="I56" s="3450">
        <f>15300+6000</f>
        <v>21300</v>
      </c>
      <c r="J56" s="2427"/>
      <c r="K56" s="3410"/>
      <c r="L56" s="2427"/>
      <c r="M56" s="3410"/>
      <c r="N56" s="2427"/>
      <c r="O56" s="3410"/>
      <c r="P56" s="2427"/>
      <c r="Q56" s="3410"/>
      <c r="R56" s="2427"/>
      <c r="S56" s="3411"/>
    </row>
    <row r="57" spans="1:19">
      <c r="A57" s="3433"/>
      <c r="B57" s="3444" t="s">
        <v>1332</v>
      </c>
      <c r="C57" s="3072" t="s">
        <v>702</v>
      </c>
      <c r="D57" s="2405">
        <f>'Cost Summary'!$N$7</f>
        <v>11678</v>
      </c>
      <c r="E57" s="2405" t="s">
        <v>723</v>
      </c>
      <c r="F57" s="2405">
        <v>2.5</v>
      </c>
      <c r="G57" s="2423">
        <f t="shared" si="2"/>
        <v>29195</v>
      </c>
      <c r="H57" s="2427" t="s">
        <v>709</v>
      </c>
      <c r="I57" s="3451">
        <f>G57</f>
        <v>29195</v>
      </c>
      <c r="J57" s="2427"/>
      <c r="K57" s="3410"/>
      <c r="L57" s="2427"/>
      <c r="M57" s="3410"/>
      <c r="N57" s="2427"/>
      <c r="O57" s="3410"/>
      <c r="P57" s="2427"/>
      <c r="Q57" s="3410"/>
      <c r="R57" s="2427"/>
      <c r="S57" s="3411"/>
    </row>
    <row r="58" spans="1:19">
      <c r="A58" s="3433"/>
      <c r="B58" s="3444" t="s">
        <v>1333</v>
      </c>
      <c r="C58" s="3072" t="s">
        <v>702</v>
      </c>
      <c r="D58" s="2405">
        <f>'Cost Summary'!$N$7</f>
        <v>11678</v>
      </c>
      <c r="E58" s="2405" t="s">
        <v>723</v>
      </c>
      <c r="F58" s="2405">
        <f>F55</f>
        <v>2</v>
      </c>
      <c r="G58" s="2423">
        <f t="shared" si="2"/>
        <v>23356</v>
      </c>
      <c r="H58" s="2427" t="s">
        <v>710</v>
      </c>
      <c r="I58" s="3450">
        <f>16800+3500</f>
        <v>20300</v>
      </c>
      <c r="J58" s="2427"/>
      <c r="K58" s="3410"/>
      <c r="L58" s="2427"/>
      <c r="M58" s="3410"/>
      <c r="N58" s="2427"/>
      <c r="O58" s="3410"/>
      <c r="P58" s="2427"/>
      <c r="Q58" s="3410"/>
      <c r="R58" s="2427"/>
      <c r="S58" s="3411"/>
    </row>
    <row r="59" spans="1:19">
      <c r="A59" s="3433"/>
      <c r="B59" s="3444" t="s">
        <v>1334</v>
      </c>
      <c r="C59" s="3072" t="s">
        <v>702</v>
      </c>
      <c r="D59" s="2405">
        <f>'Cost Summary'!$N$7</f>
        <v>11678</v>
      </c>
      <c r="E59" s="2405" t="s">
        <v>723</v>
      </c>
      <c r="F59" s="2405">
        <f>F55</f>
        <v>2</v>
      </c>
      <c r="G59" s="2423">
        <f t="shared" si="2"/>
        <v>23356</v>
      </c>
      <c r="H59" s="2427" t="s">
        <v>710</v>
      </c>
      <c r="I59" s="3450">
        <f>6400</f>
        <v>6400</v>
      </c>
      <c r="J59" s="2427"/>
      <c r="K59" s="3410"/>
      <c r="L59" s="2427"/>
      <c r="M59" s="3410"/>
      <c r="N59" s="2427"/>
      <c r="O59" s="3410"/>
      <c r="P59" s="2427"/>
      <c r="Q59" s="3410"/>
      <c r="R59" s="2427"/>
      <c r="S59" s="3411"/>
    </row>
    <row r="60" spans="1:19">
      <c r="A60" s="3433"/>
      <c r="B60" s="3444"/>
      <c r="C60" s="2426"/>
      <c r="D60" s="2405"/>
      <c r="E60" s="2405"/>
      <c r="F60" s="2405"/>
      <c r="G60" s="2423"/>
      <c r="H60" s="2427"/>
      <c r="I60" s="3410"/>
      <c r="J60" s="2427"/>
      <c r="K60" s="3410"/>
      <c r="L60" s="2427"/>
      <c r="M60" s="3410"/>
      <c r="N60" s="2427"/>
      <c r="O60" s="3410"/>
      <c r="P60" s="2427"/>
      <c r="Q60" s="3410"/>
      <c r="R60" s="2427"/>
      <c r="S60" s="3411"/>
    </row>
    <row r="61" spans="1:19">
      <c r="A61" s="3433"/>
      <c r="B61" s="3445" t="s">
        <v>703</v>
      </c>
      <c r="C61" s="2990"/>
      <c r="D61" s="2450"/>
      <c r="E61" s="2450"/>
      <c r="F61" s="2450"/>
      <c r="G61" s="2531"/>
      <c r="H61" s="2453"/>
      <c r="I61" s="3446"/>
      <c r="J61" s="2453"/>
      <c r="K61" s="3446"/>
      <c r="L61" s="2453"/>
      <c r="M61" s="3446"/>
      <c r="N61" s="2453"/>
      <c r="O61" s="3446"/>
      <c r="P61" s="2453"/>
      <c r="Q61" s="3446"/>
      <c r="R61" s="2427"/>
      <c r="S61" s="3411"/>
    </row>
    <row r="62" spans="1:19">
      <c r="A62" s="3433"/>
      <c r="B62" s="3444"/>
      <c r="C62" s="2426"/>
      <c r="D62" s="2405"/>
      <c r="E62" s="2405"/>
      <c r="F62" s="2405"/>
      <c r="G62" s="2423"/>
      <c r="H62" s="2427"/>
      <c r="I62" s="3410"/>
      <c r="J62" s="2427"/>
      <c r="K62" s="3410"/>
      <c r="L62" s="2427"/>
      <c r="M62" s="3410"/>
      <c r="N62" s="2427"/>
      <c r="O62" s="3410"/>
      <c r="P62" s="2427"/>
      <c r="Q62" s="3410"/>
      <c r="R62" s="2427"/>
      <c r="S62" s="3411"/>
    </row>
    <row r="63" spans="1:19">
      <c r="A63" s="3433"/>
      <c r="B63" s="3447" t="s">
        <v>704</v>
      </c>
      <c r="C63" s="2999"/>
      <c r="D63" s="2456"/>
      <c r="E63" s="2456"/>
      <c r="F63" s="2456"/>
      <c r="G63" s="2532"/>
      <c r="H63" s="2459"/>
      <c r="I63" s="3448"/>
      <c r="J63" s="2459"/>
      <c r="K63" s="3448"/>
      <c r="L63" s="2459"/>
      <c r="M63" s="3448"/>
      <c r="N63" s="2459"/>
      <c r="O63" s="3448"/>
      <c r="P63" s="2459"/>
      <c r="Q63" s="3448"/>
      <c r="R63" s="2427"/>
      <c r="S63" s="3411"/>
    </row>
    <row r="64" spans="1:19">
      <c r="A64" s="3433"/>
      <c r="B64" s="3444" t="s">
        <v>1336</v>
      </c>
      <c r="C64" s="3072"/>
      <c r="D64" s="2405">
        <f>'Cost Summary'!$R$7</f>
        <v>11225</v>
      </c>
      <c r="E64" s="2405" t="s">
        <v>723</v>
      </c>
      <c r="F64" s="2405">
        <f>F54</f>
        <v>1</v>
      </c>
      <c r="G64" s="2423">
        <f>D64*F64</f>
        <v>11225</v>
      </c>
      <c r="H64" s="2427" t="s">
        <v>710</v>
      </c>
      <c r="I64" s="3450">
        <v>10000</v>
      </c>
      <c r="J64" s="2427"/>
      <c r="K64" s="3410"/>
      <c r="L64" s="2427"/>
      <c r="M64" s="3410"/>
      <c r="N64" s="2427"/>
      <c r="O64" s="3410"/>
      <c r="P64" s="2427"/>
      <c r="Q64" s="3410"/>
      <c r="R64" s="2427"/>
      <c r="S64" s="3411"/>
    </row>
    <row r="65" spans="1:19">
      <c r="A65" s="3433"/>
      <c r="B65" s="3444" t="s">
        <v>1330</v>
      </c>
      <c r="C65" s="3072" t="s">
        <v>741</v>
      </c>
      <c r="D65" s="2405">
        <f>'Cost Summary'!$R$7</f>
        <v>11225</v>
      </c>
      <c r="E65" s="2405" t="s">
        <v>723</v>
      </c>
      <c r="F65" s="2405">
        <f>F55</f>
        <v>2</v>
      </c>
      <c r="G65" s="2423">
        <f>D65*F65</f>
        <v>22450</v>
      </c>
      <c r="H65" s="2427" t="s">
        <v>710</v>
      </c>
      <c r="I65" s="3450">
        <v>9000</v>
      </c>
      <c r="J65" s="2427"/>
      <c r="K65" s="3410"/>
      <c r="L65" s="2427"/>
      <c r="M65" s="3410"/>
      <c r="N65" s="2427"/>
      <c r="O65" s="3410"/>
      <c r="P65" s="2427"/>
      <c r="Q65" s="3410"/>
      <c r="R65" s="2427"/>
      <c r="S65" s="3411"/>
    </row>
    <row r="66" spans="1:19">
      <c r="A66" s="3433"/>
      <c r="B66" s="3444" t="s">
        <v>1331</v>
      </c>
      <c r="C66" s="3072" t="s">
        <v>741</v>
      </c>
      <c r="D66" s="2405">
        <f>D65</f>
        <v>11225</v>
      </c>
      <c r="E66" s="2405" t="s">
        <v>723</v>
      </c>
      <c r="F66" s="2405">
        <f>F55</f>
        <v>2</v>
      </c>
      <c r="G66" s="2423">
        <f t="shared" ref="G66:G69" si="3">D66*F66</f>
        <v>22450</v>
      </c>
      <c r="H66" s="2427" t="s">
        <v>710</v>
      </c>
      <c r="I66" s="3450">
        <v>10200</v>
      </c>
      <c r="J66" s="2427"/>
      <c r="K66" s="3410"/>
      <c r="L66" s="2427"/>
      <c r="M66" s="3410"/>
      <c r="N66" s="2427"/>
      <c r="O66" s="3410"/>
      <c r="P66" s="2427"/>
      <c r="Q66" s="3410"/>
      <c r="R66" s="2427"/>
      <c r="S66" s="3411"/>
    </row>
    <row r="67" spans="1:19">
      <c r="A67" s="3433"/>
      <c r="B67" s="3444" t="s">
        <v>1332</v>
      </c>
      <c r="C67" s="3072" t="s">
        <v>741</v>
      </c>
      <c r="D67" s="2405">
        <f t="shared" ref="D67:D69" si="4">D66</f>
        <v>11225</v>
      </c>
      <c r="E67" s="2405" t="s">
        <v>723</v>
      </c>
      <c r="F67" s="2405">
        <v>3.5</v>
      </c>
      <c r="G67" s="2423">
        <f t="shared" si="3"/>
        <v>39287.5</v>
      </c>
      <c r="H67" s="2427" t="s">
        <v>709</v>
      </c>
      <c r="I67" s="3451">
        <f>G67</f>
        <v>39287.5</v>
      </c>
      <c r="J67" s="2427"/>
      <c r="K67" s="3410"/>
      <c r="L67" s="2427"/>
      <c r="M67" s="3410"/>
      <c r="N67" s="2427"/>
      <c r="O67" s="3410"/>
      <c r="P67" s="2427"/>
      <c r="Q67" s="3410"/>
      <c r="R67" s="2427"/>
      <c r="S67" s="3411"/>
    </row>
    <row r="68" spans="1:19">
      <c r="A68" s="3433"/>
      <c r="B68" s="3444" t="s">
        <v>1333</v>
      </c>
      <c r="C68" s="3072" t="s">
        <v>741</v>
      </c>
      <c r="D68" s="2405">
        <f t="shared" si="4"/>
        <v>11225</v>
      </c>
      <c r="E68" s="2405" t="s">
        <v>723</v>
      </c>
      <c r="F68" s="2405">
        <f>F55</f>
        <v>2</v>
      </c>
      <c r="G68" s="2423">
        <f t="shared" si="3"/>
        <v>22450</v>
      </c>
      <c r="H68" s="2427" t="s">
        <v>710</v>
      </c>
      <c r="I68" s="3450">
        <f>30800+2800</f>
        <v>33600</v>
      </c>
      <c r="J68" s="2427"/>
      <c r="K68" s="3410"/>
      <c r="L68" s="2427"/>
      <c r="M68" s="3410"/>
      <c r="N68" s="2427"/>
      <c r="O68" s="3410"/>
      <c r="P68" s="2427"/>
      <c r="Q68" s="3410"/>
      <c r="R68" s="2427"/>
      <c r="S68" s="3411"/>
    </row>
    <row r="69" spans="1:19">
      <c r="A69" s="3433"/>
      <c r="B69" s="3444" t="s">
        <v>1334</v>
      </c>
      <c r="C69" s="3072" t="s">
        <v>741</v>
      </c>
      <c r="D69" s="2405">
        <f t="shared" si="4"/>
        <v>11225</v>
      </c>
      <c r="E69" s="2405" t="s">
        <v>723</v>
      </c>
      <c r="F69" s="2405">
        <f>F55</f>
        <v>2</v>
      </c>
      <c r="G69" s="2423">
        <f t="shared" si="3"/>
        <v>22450</v>
      </c>
      <c r="H69" s="2427" t="s">
        <v>710</v>
      </c>
      <c r="I69" s="3450">
        <v>22400</v>
      </c>
      <c r="J69" s="2427"/>
      <c r="K69" s="3410"/>
      <c r="L69" s="2427"/>
      <c r="M69" s="3410"/>
      <c r="N69" s="2427"/>
      <c r="O69" s="3410"/>
      <c r="P69" s="2427"/>
      <c r="Q69" s="3410"/>
      <c r="R69" s="2427"/>
      <c r="S69" s="3411"/>
    </row>
    <row r="70" spans="1:19">
      <c r="A70" s="3433"/>
      <c r="B70" s="3444"/>
      <c r="C70" s="2426"/>
      <c r="D70" s="2405"/>
      <c r="E70" s="2405"/>
      <c r="F70" s="2405"/>
      <c r="G70" s="2423"/>
      <c r="H70" s="2427"/>
      <c r="I70" s="3410"/>
      <c r="J70" s="2427"/>
      <c r="K70" s="3410"/>
      <c r="L70" s="2427"/>
      <c r="M70" s="3410"/>
      <c r="N70" s="2427"/>
      <c r="O70" s="3410"/>
      <c r="P70" s="2427"/>
      <c r="Q70" s="3410"/>
      <c r="R70" s="2427"/>
      <c r="S70" s="3411"/>
    </row>
    <row r="71" spans="1:19">
      <c r="A71" s="3433"/>
      <c r="B71" s="3445" t="s">
        <v>705</v>
      </c>
      <c r="C71" s="2990"/>
      <c r="D71" s="2450"/>
      <c r="E71" s="2450"/>
      <c r="F71" s="2450"/>
      <c r="G71" s="2531"/>
      <c r="H71" s="2453"/>
      <c r="I71" s="3446"/>
      <c r="J71" s="2453"/>
      <c r="K71" s="3446"/>
      <c r="L71" s="2453"/>
      <c r="M71" s="3446"/>
      <c r="N71" s="2453"/>
      <c r="O71" s="3446"/>
      <c r="P71" s="2453"/>
      <c r="Q71" s="3446"/>
      <c r="R71" s="2427"/>
      <c r="S71" s="3411"/>
    </row>
    <row r="72" spans="1:19">
      <c r="A72" s="3433"/>
      <c r="B72" s="3444"/>
      <c r="C72" s="2426"/>
      <c r="D72" s="2405"/>
      <c r="E72" s="2405"/>
      <c r="F72" s="2405"/>
      <c r="G72" s="2423"/>
      <c r="H72" s="2427"/>
      <c r="I72" s="3410"/>
      <c r="J72" s="2427"/>
      <c r="K72" s="3410"/>
      <c r="L72" s="2427"/>
      <c r="M72" s="3410"/>
      <c r="N72" s="2427"/>
      <c r="O72" s="3410"/>
      <c r="P72" s="2427"/>
      <c r="Q72" s="3410"/>
      <c r="R72" s="2427"/>
      <c r="S72" s="3411"/>
    </row>
    <row r="73" spans="1:19">
      <c r="A73" s="3433"/>
      <c r="B73" s="3447" t="s">
        <v>602</v>
      </c>
      <c r="C73" s="2999"/>
      <c r="D73" s="2456"/>
      <c r="E73" s="2456"/>
      <c r="F73" s="2456"/>
      <c r="G73" s="2532"/>
      <c r="H73" s="2459"/>
      <c r="I73" s="3448"/>
      <c r="J73" s="2459"/>
      <c r="K73" s="3448"/>
      <c r="L73" s="2459"/>
      <c r="M73" s="3448"/>
      <c r="N73" s="2459"/>
      <c r="O73" s="3448"/>
      <c r="P73" s="2459"/>
      <c r="Q73" s="3448"/>
      <c r="R73" s="2427"/>
      <c r="S73" s="3411"/>
    </row>
    <row r="74" spans="1:19">
      <c r="A74" s="3433"/>
      <c r="B74" s="3395"/>
      <c r="C74" s="2426"/>
      <c r="D74" s="2405"/>
      <c r="E74" s="2405"/>
      <c r="F74" s="2405"/>
      <c r="G74" s="2423"/>
      <c r="H74" s="2427"/>
      <c r="I74" s="3409"/>
      <c r="J74" s="2427"/>
      <c r="K74" s="3410"/>
      <c r="L74" s="2427"/>
      <c r="M74" s="3411"/>
      <c r="N74" s="2427"/>
      <c r="O74" s="3410"/>
      <c r="P74" s="2427"/>
      <c r="Q74" s="2427"/>
      <c r="R74" s="2427"/>
      <c r="S74" s="3411"/>
    </row>
    <row r="75" spans="1:19">
      <c r="A75" s="3433"/>
      <c r="B75" s="3395"/>
      <c r="C75" s="2426"/>
      <c r="D75" s="2405"/>
      <c r="E75" s="2405"/>
      <c r="F75" s="2405"/>
      <c r="G75" s="2423"/>
      <c r="H75" s="2427"/>
      <c r="I75" s="3409"/>
      <c r="J75" s="2427"/>
      <c r="K75" s="3410"/>
      <c r="L75" s="2427"/>
      <c r="M75" s="3411"/>
      <c r="N75" s="2427"/>
      <c r="O75" s="3410"/>
      <c r="P75" s="2427"/>
      <c r="Q75" s="2427"/>
      <c r="R75" s="2427"/>
      <c r="S75" s="3411"/>
    </row>
    <row r="76" spans="1:19" ht="18.600000000000001" customHeight="1" thickBot="1">
      <c r="A76" s="3433"/>
      <c r="B76" s="3364"/>
      <c r="C76" s="2426"/>
      <c r="D76" s="2405"/>
      <c r="E76" s="2405"/>
      <c r="F76" s="2405"/>
      <c r="G76" s="2423"/>
      <c r="H76" s="2427"/>
      <c r="I76" s="3409"/>
      <c r="J76" s="2427"/>
      <c r="K76" s="3411"/>
      <c r="L76" s="2427"/>
      <c r="M76" s="3411"/>
      <c r="N76" s="2427"/>
      <c r="O76" s="3411"/>
      <c r="P76" s="2427"/>
      <c r="Q76" s="2427"/>
      <c r="R76" s="2427"/>
      <c r="S76" s="3410"/>
    </row>
    <row r="77" spans="1:19" ht="15.75" thickTop="1">
      <c r="A77" s="14"/>
      <c r="B77" s="15"/>
      <c r="C77" s="16"/>
      <c r="D77" s="16"/>
      <c r="E77" s="17"/>
      <c r="F77" s="18" t="s">
        <v>567</v>
      </c>
      <c r="G77" s="19"/>
      <c r="H77" s="20"/>
      <c r="I77" s="61">
        <f>SUM(I23:I76)</f>
        <v>239371.5</v>
      </c>
      <c r="J77" s="20"/>
      <c r="K77" s="61">
        <f>SUM(K23:K76)</f>
        <v>0</v>
      </c>
      <c r="L77" s="20"/>
      <c r="M77" s="61">
        <f>SUM(M23:M76)</f>
        <v>0</v>
      </c>
      <c r="N77" s="20"/>
      <c r="O77" s="61">
        <f>SUM(O23:O76)</f>
        <v>0</v>
      </c>
      <c r="P77" s="20"/>
      <c r="Q77" s="61">
        <f>SUM(Q23:Q76)</f>
        <v>0</v>
      </c>
      <c r="R77" s="20"/>
      <c r="S77" s="61">
        <f>SUM(S23:S76)</f>
        <v>0</v>
      </c>
    </row>
    <row r="78" spans="1:19">
      <c r="A78" s="2358"/>
      <c r="B78" s="2359"/>
      <c r="C78" s="2360"/>
      <c r="D78" s="2360"/>
      <c r="E78" s="2361"/>
      <c r="F78" s="2362" t="s">
        <v>568</v>
      </c>
      <c r="G78" s="2363"/>
      <c r="H78" s="2364">
        <v>0</v>
      </c>
      <c r="I78" s="415"/>
      <c r="J78" s="2364">
        <v>0</v>
      </c>
      <c r="K78" s="415"/>
      <c r="L78" s="2364">
        <v>0</v>
      </c>
      <c r="M78" s="415"/>
      <c r="N78" s="2364">
        <v>0</v>
      </c>
      <c r="O78" s="415"/>
      <c r="P78" s="2364">
        <v>0</v>
      </c>
      <c r="Q78" s="415"/>
      <c r="R78" s="2364">
        <v>0</v>
      </c>
      <c r="S78" s="415"/>
    </row>
    <row r="79" spans="1:19">
      <c r="A79" s="2358"/>
      <c r="B79" s="2359"/>
      <c r="C79" s="2360"/>
      <c r="D79" s="2360"/>
      <c r="E79" s="2361"/>
      <c r="F79" s="2362" t="s">
        <v>569</v>
      </c>
      <c r="G79" s="2363"/>
      <c r="H79" s="2366"/>
      <c r="I79" s="2465">
        <f>I77*H78</f>
        <v>0</v>
      </c>
      <c r="J79" s="2366"/>
      <c r="K79" s="2465">
        <f>K77*J78</f>
        <v>0</v>
      </c>
      <c r="L79" s="2366"/>
      <c r="M79" s="2465">
        <f>M77*L78</f>
        <v>0</v>
      </c>
      <c r="N79" s="2366"/>
      <c r="O79" s="2465">
        <f>O77*N78</f>
        <v>0</v>
      </c>
      <c r="P79" s="2366"/>
      <c r="Q79" s="2465">
        <f>Q77*P78</f>
        <v>0</v>
      </c>
      <c r="R79" s="2366"/>
      <c r="S79" s="2465">
        <f>S77*R78</f>
        <v>0</v>
      </c>
    </row>
    <row r="80" spans="1:19">
      <c r="A80" s="2358"/>
      <c r="B80" s="2359"/>
      <c r="C80" s="2360"/>
      <c r="D80" s="2360"/>
      <c r="E80" s="2361"/>
      <c r="F80" s="2362"/>
      <c r="G80" s="2363"/>
      <c r="H80" s="2366"/>
      <c r="I80" s="2464"/>
      <c r="J80" s="2366"/>
      <c r="K80" s="2464"/>
      <c r="L80" s="2366"/>
      <c r="M80" s="2464"/>
      <c r="N80" s="2366"/>
      <c r="O80" s="2464"/>
      <c r="P80" s="2366"/>
      <c r="Q80" s="2464"/>
      <c r="R80" s="2366"/>
      <c r="S80" s="2464"/>
    </row>
    <row r="81" spans="1:19">
      <c r="A81" s="2358"/>
      <c r="B81" s="2359"/>
      <c r="C81" s="2360"/>
      <c r="D81" s="2360"/>
      <c r="E81" s="2361"/>
      <c r="F81" s="2362" t="s">
        <v>570</v>
      </c>
      <c r="G81" s="2363"/>
      <c r="H81" s="2368"/>
      <c r="I81" s="2465">
        <f>SUM(I77:I79)</f>
        <v>239371.5</v>
      </c>
      <c r="J81" s="2368"/>
      <c r="K81" s="2465">
        <f>SUM(K77:K79)</f>
        <v>0</v>
      </c>
      <c r="L81" s="2368"/>
      <c r="M81" s="2465">
        <f>SUM(M77:M79)</f>
        <v>0</v>
      </c>
      <c r="N81" s="2368"/>
      <c r="O81" s="2465">
        <f>SUM(O77:O79)</f>
        <v>0</v>
      </c>
      <c r="P81" s="2368"/>
      <c r="Q81" s="2465">
        <f>SUM(Q77:Q79)</f>
        <v>0</v>
      </c>
      <c r="R81" s="2368"/>
      <c r="S81" s="2465">
        <f>SUM(S77:S79)</f>
        <v>0</v>
      </c>
    </row>
    <row r="82" spans="1:19">
      <c r="A82" s="2358"/>
      <c r="B82" s="2359"/>
      <c r="C82" s="2360"/>
      <c r="D82" s="2360"/>
      <c r="E82" s="2361"/>
      <c r="F82" s="2370" t="s">
        <v>571</v>
      </c>
      <c r="G82" s="2371"/>
      <c r="H82" s="2372"/>
      <c r="I82" s="2373" t="e">
        <f>I81/'Area Calculations'!$J$4</f>
        <v>#DIV/0!</v>
      </c>
      <c r="J82" s="2372"/>
      <c r="K82" s="2373" t="e">
        <f>K81/'Area Calculations'!$J$4</f>
        <v>#DIV/0!</v>
      </c>
      <c r="L82" s="2372"/>
      <c r="M82" s="2373" t="e">
        <f>M81/'Area Calculations'!$J$4</f>
        <v>#DIV/0!</v>
      </c>
      <c r="N82" s="2372"/>
      <c r="O82" s="2373" t="e">
        <f>O81/'Area Calculations'!$J$4</f>
        <v>#DIV/0!</v>
      </c>
      <c r="P82" s="2372"/>
      <c r="Q82" s="2373" t="e">
        <f>Q81/'Area Calculations'!$J$4</f>
        <v>#DIV/0!</v>
      </c>
      <c r="R82" s="2372"/>
      <c r="S82" s="2373" t="e">
        <f>S81/'Area Calculations'!$J$4</f>
        <v>#DIV/0!</v>
      </c>
    </row>
    <row r="83" spans="1:19">
      <c r="A83" s="2358"/>
      <c r="B83" s="2359"/>
      <c r="C83" s="2360"/>
      <c r="D83" s="2360"/>
      <c r="E83" s="2361"/>
      <c r="F83" s="2370" t="s">
        <v>572</v>
      </c>
      <c r="G83" s="2374"/>
      <c r="H83" s="2372"/>
      <c r="I83" s="2373" t="e">
        <f>I81/'Area Calculations'!#REF!</f>
        <v>#REF!</v>
      </c>
      <c r="J83" s="2372"/>
      <c r="K83" s="2373" t="e">
        <f>K81/'Area Calculations'!#REF!</f>
        <v>#REF!</v>
      </c>
      <c r="L83" s="2372"/>
      <c r="M83" s="2373" t="e">
        <f>M81/'Area Calculations'!#REF!</f>
        <v>#REF!</v>
      </c>
      <c r="N83" s="2372"/>
      <c r="O83" s="2373" t="e">
        <f>O81/'Area Calculations'!#REF!</f>
        <v>#REF!</v>
      </c>
      <c r="P83" s="2372"/>
      <c r="Q83" s="2373" t="e">
        <f>Q81/'Area Calculations'!#REF!</f>
        <v>#REF!</v>
      </c>
      <c r="R83" s="2372"/>
      <c r="S83" s="2373" t="e">
        <f>S81/'Area Calculations'!#REF!</f>
        <v>#REF!</v>
      </c>
    </row>
    <row r="84" spans="1:19" ht="15.75" thickBot="1">
      <c r="A84" s="2358"/>
      <c r="B84" s="2359"/>
      <c r="C84" s="2360"/>
      <c r="D84" s="2360"/>
      <c r="E84" s="2361"/>
      <c r="F84" s="2362"/>
      <c r="G84" s="2375"/>
      <c r="H84" s="2376"/>
      <c r="I84" s="2377"/>
      <c r="J84" s="2376"/>
      <c r="K84" s="2377"/>
      <c r="L84" s="2376"/>
      <c r="M84" s="2377"/>
      <c r="N84" s="2376"/>
      <c r="O84" s="2377"/>
      <c r="P84" s="2376"/>
      <c r="Q84" s="2377"/>
      <c r="R84" s="2376"/>
      <c r="S84" s="2377"/>
    </row>
    <row r="85" spans="1:19" ht="16.5" thickTop="1" thickBot="1">
      <c r="A85" s="726" t="s">
        <v>573</v>
      </c>
      <c r="B85" s="727"/>
      <c r="C85" s="12"/>
      <c r="D85" s="12"/>
      <c r="E85" s="12"/>
      <c r="F85" s="12"/>
      <c r="G85" s="13"/>
      <c r="H85" s="21"/>
      <c r="I85" s="21"/>
      <c r="J85" s="21"/>
      <c r="K85" s="21"/>
      <c r="L85" s="21"/>
      <c r="M85" s="21"/>
      <c r="N85" s="21"/>
      <c r="O85" s="21"/>
      <c r="P85" s="21"/>
      <c r="Q85" s="21"/>
      <c r="R85" s="21"/>
      <c r="S85" s="21"/>
    </row>
    <row r="86" spans="1:19" ht="15.75" thickTop="1">
      <c r="A86" s="3421"/>
      <c r="B86" s="2404"/>
      <c r="C86" s="3422"/>
      <c r="D86" s="3422"/>
      <c r="E86" s="3422"/>
      <c r="F86" s="3422"/>
      <c r="G86" s="3423"/>
      <c r="H86" s="3424"/>
      <c r="I86" s="3424"/>
      <c r="J86" s="3424"/>
      <c r="K86" s="3424"/>
      <c r="L86" s="3424"/>
      <c r="M86" s="3424"/>
      <c r="N86" s="3424"/>
      <c r="O86" s="3424"/>
      <c r="P86" s="3424"/>
      <c r="Q86" s="3424"/>
      <c r="R86" s="3424"/>
      <c r="S86" s="3424"/>
    </row>
    <row r="87" spans="1:19">
      <c r="A87" s="3421"/>
      <c r="B87" s="2404"/>
      <c r="C87" s="3422"/>
      <c r="D87" s="3422"/>
      <c r="E87" s="3422"/>
      <c r="F87" s="3422"/>
      <c r="G87" s="3423"/>
      <c r="H87" s="3424"/>
      <c r="I87" s="3424"/>
      <c r="J87" s="3424"/>
      <c r="K87" s="3424"/>
      <c r="L87" s="3424"/>
      <c r="M87" s="3424"/>
      <c r="N87" s="3424"/>
      <c r="O87" s="3424"/>
      <c r="P87" s="3424"/>
      <c r="Q87" s="3424"/>
      <c r="R87" s="3424"/>
      <c r="S87" s="3424"/>
    </row>
    <row r="88" spans="1:19" ht="15.75" thickBot="1">
      <c r="A88" s="3421"/>
      <c r="B88" s="2404"/>
      <c r="C88" s="3422"/>
      <c r="D88" s="3422"/>
      <c r="E88" s="3422"/>
      <c r="F88" s="3422"/>
      <c r="G88" s="3423"/>
      <c r="H88" s="3424"/>
      <c r="I88" s="3424"/>
      <c r="J88" s="3424"/>
      <c r="K88" s="3424"/>
      <c r="L88" s="3424"/>
      <c r="M88" s="3424"/>
      <c r="N88" s="3424"/>
      <c r="O88" s="3424"/>
      <c r="P88" s="3424"/>
      <c r="Q88" s="3424"/>
      <c r="R88" s="3424"/>
      <c r="S88" s="3424"/>
    </row>
    <row r="89" spans="1:19" s="2" customFormat="1" ht="16.5" thickTop="1" thickBot="1">
      <c r="A89" s="726" t="s">
        <v>574</v>
      </c>
      <c r="B89" s="727"/>
      <c r="C89" s="12"/>
      <c r="D89" s="12"/>
      <c r="E89" s="12"/>
      <c r="F89" s="12"/>
      <c r="G89" s="13"/>
      <c r="H89" s="21"/>
      <c r="I89" s="21"/>
      <c r="J89" s="21"/>
      <c r="K89" s="21"/>
      <c r="L89" s="21"/>
      <c r="M89" s="21"/>
      <c r="N89" s="21"/>
      <c r="O89" s="21"/>
      <c r="P89" s="21"/>
      <c r="Q89" s="21"/>
      <c r="R89" s="21"/>
      <c r="S89" s="21"/>
    </row>
    <row r="90" spans="1:19" s="2" customFormat="1" ht="15.75" thickTop="1">
      <c r="A90" s="3421"/>
      <c r="B90" s="2404"/>
      <c r="C90" s="3422"/>
      <c r="D90" s="3422"/>
      <c r="E90" s="3422"/>
      <c r="F90" s="3422"/>
      <c r="G90" s="3423"/>
      <c r="H90" s="3424"/>
      <c r="I90" s="3424"/>
      <c r="J90" s="3424"/>
      <c r="K90" s="3424"/>
      <c r="L90" s="3424"/>
      <c r="M90" s="3424"/>
      <c r="N90" s="3424"/>
      <c r="O90" s="3424"/>
      <c r="P90" s="3424"/>
      <c r="Q90" s="3424"/>
      <c r="R90" s="3424"/>
      <c r="S90" s="3424"/>
    </row>
    <row r="91" spans="1:19" s="2" customFormat="1">
      <c r="A91" s="3421"/>
      <c r="B91" s="2404"/>
      <c r="C91" s="3422"/>
      <c r="D91" s="3422"/>
      <c r="E91" s="3422"/>
      <c r="F91" s="3422"/>
      <c r="G91" s="3423"/>
      <c r="H91" s="3424"/>
      <c r="I91" s="3424"/>
      <c r="J91" s="3424"/>
      <c r="K91" s="3424"/>
      <c r="L91" s="3424"/>
      <c r="M91" s="3424"/>
      <c r="N91" s="3424"/>
      <c r="O91" s="3424"/>
      <c r="P91" s="3424"/>
      <c r="Q91" s="3424"/>
      <c r="R91" s="3424"/>
      <c r="S91" s="3424"/>
    </row>
    <row r="92" spans="1:19" ht="15.75" thickBot="1">
      <c r="A92" s="3421"/>
      <c r="B92" s="2404"/>
      <c r="C92" s="3422"/>
      <c r="D92" s="3422"/>
      <c r="E92" s="3422"/>
      <c r="F92" s="3422"/>
      <c r="G92" s="3423"/>
      <c r="H92" s="3424"/>
      <c r="I92" s="3424"/>
      <c r="J92" s="3424"/>
      <c r="K92" s="3424"/>
      <c r="L92" s="3424"/>
      <c r="M92" s="3424"/>
      <c r="N92" s="3424"/>
      <c r="O92" s="3424"/>
      <c r="P92" s="3424"/>
      <c r="Q92" s="3424"/>
      <c r="R92" s="3424"/>
      <c r="S92" s="3424"/>
    </row>
    <row r="93" spans="1:19" s="2" customFormat="1" ht="16.5" thickTop="1" thickBot="1">
      <c r="A93" s="726" t="s">
        <v>575</v>
      </c>
      <c r="B93" s="727"/>
      <c r="C93" s="12"/>
      <c r="D93" s="12"/>
      <c r="E93" s="12"/>
      <c r="F93" s="12"/>
      <c r="G93" s="13"/>
      <c r="H93" s="21"/>
      <c r="I93" s="21"/>
      <c r="J93" s="21"/>
      <c r="K93" s="21"/>
      <c r="L93" s="21"/>
      <c r="M93" s="21"/>
      <c r="N93" s="21"/>
      <c r="O93" s="21"/>
      <c r="P93" s="21"/>
      <c r="Q93" s="21"/>
      <c r="R93" s="21"/>
      <c r="S93" s="21"/>
    </row>
    <row r="94" spans="1:19" s="2" customFormat="1" ht="15.75" thickTop="1">
      <c r="A94" s="3421"/>
      <c r="B94" s="2404"/>
      <c r="C94" s="3422"/>
      <c r="D94" s="3422"/>
      <c r="E94" s="3422"/>
      <c r="F94" s="3422"/>
      <c r="G94" s="3423"/>
      <c r="H94" s="3424"/>
      <c r="I94" s="3424"/>
      <c r="J94" s="3424"/>
      <c r="K94" s="3424"/>
      <c r="L94" s="3424"/>
      <c r="M94" s="3424"/>
      <c r="N94" s="3424"/>
      <c r="O94" s="3424"/>
      <c r="P94" s="3424"/>
      <c r="Q94" s="3424"/>
      <c r="R94" s="3424"/>
      <c r="S94" s="3424"/>
    </row>
    <row r="95" spans="1:19" s="2" customFormat="1">
      <c r="A95" s="2421"/>
      <c r="B95" s="2404"/>
      <c r="C95" s="2405"/>
      <c r="D95" s="2405"/>
      <c r="E95" s="2405"/>
      <c r="F95" s="2405"/>
      <c r="G95" s="2423"/>
      <c r="H95" s="2382"/>
      <c r="I95" s="2382"/>
      <c r="J95" s="2382"/>
      <c r="K95" s="2382"/>
      <c r="L95" s="2382"/>
      <c r="M95" s="2382"/>
      <c r="N95" s="2382"/>
      <c r="O95" s="2382"/>
      <c r="P95" s="2382"/>
      <c r="Q95" s="2382"/>
      <c r="R95" s="2382"/>
      <c r="S95" s="2382"/>
    </row>
    <row r="96" spans="1:19" s="2" customFormat="1" ht="15.75" thickBot="1">
      <c r="A96" s="2383"/>
      <c r="B96" s="2384"/>
      <c r="C96" s="2405"/>
      <c r="D96" s="2405"/>
      <c r="E96" s="2405"/>
      <c r="F96" s="2405"/>
      <c r="G96" s="2423"/>
      <c r="H96" s="2385"/>
      <c r="I96" s="2385"/>
      <c r="J96" s="2385"/>
      <c r="K96" s="2385"/>
      <c r="L96" s="2385"/>
      <c r="M96" s="2385"/>
      <c r="N96" s="2385"/>
      <c r="O96" s="2385"/>
      <c r="P96" s="2385"/>
      <c r="Q96" s="2385"/>
      <c r="R96" s="2385"/>
      <c r="S96" s="2385"/>
    </row>
    <row r="97" spans="1:19" s="2" customFormat="1" ht="16.5" thickTop="1" thickBot="1">
      <c r="A97" s="726" t="s">
        <v>576</v>
      </c>
      <c r="B97" s="727"/>
      <c r="C97" s="12"/>
      <c r="D97" s="12"/>
      <c r="E97" s="12"/>
      <c r="F97" s="12"/>
      <c r="G97" s="13"/>
      <c r="H97" s="21"/>
      <c r="I97" s="21"/>
      <c r="J97" s="21"/>
      <c r="K97" s="21"/>
      <c r="L97" s="21"/>
      <c r="M97" s="21"/>
      <c r="N97" s="21"/>
      <c r="O97" s="21"/>
      <c r="P97" s="21"/>
      <c r="Q97" s="21"/>
      <c r="R97" s="21"/>
      <c r="S97" s="21"/>
    </row>
    <row r="98" spans="1:19" ht="15.75" thickTop="1">
      <c r="A98" s="3425"/>
      <c r="B98" s="3426"/>
      <c r="C98" s="3422"/>
      <c r="D98" s="3422"/>
      <c r="E98" s="3422"/>
      <c r="F98" s="3422"/>
      <c r="G98" s="3423"/>
      <c r="H98" s="3424"/>
      <c r="I98" s="3424"/>
      <c r="J98" s="3424"/>
      <c r="K98" s="3424"/>
      <c r="L98" s="3424"/>
      <c r="M98" s="3424"/>
      <c r="N98" s="3424"/>
      <c r="O98" s="3424"/>
      <c r="P98" s="3424"/>
      <c r="Q98" s="3424"/>
      <c r="R98" s="3424"/>
      <c r="S98" s="3424"/>
    </row>
    <row r="99" spans="1:19">
      <c r="A99" s="2383"/>
      <c r="B99" s="2384"/>
      <c r="C99" s="2405"/>
      <c r="D99" s="2405"/>
      <c r="E99" s="2405"/>
      <c r="F99" s="2405"/>
      <c r="G99" s="2423"/>
      <c r="H99" s="2388"/>
      <c r="I99" s="2388"/>
      <c r="J99" s="2388"/>
      <c r="K99" s="2388"/>
      <c r="L99" s="2388"/>
      <c r="M99" s="2388"/>
      <c r="N99" s="2388"/>
      <c r="O99" s="2388"/>
      <c r="P99" s="2388"/>
      <c r="Q99" s="2388"/>
      <c r="R99" s="2388"/>
      <c r="S99" s="2388"/>
    </row>
    <row r="100" spans="1:19" ht="15.75" thickBot="1">
      <c r="A100" s="2383"/>
      <c r="B100" s="2384"/>
      <c r="C100" s="2405"/>
      <c r="D100" s="2405"/>
      <c r="E100" s="2405"/>
      <c r="F100" s="2405"/>
      <c r="G100" s="2423"/>
      <c r="H100" s="2388"/>
      <c r="I100" s="2388"/>
      <c r="J100" s="2388"/>
      <c r="K100" s="2388"/>
      <c r="L100" s="2388"/>
      <c r="M100" s="2388"/>
      <c r="N100" s="2388"/>
      <c r="O100" s="2388"/>
      <c r="P100" s="2388"/>
      <c r="Q100" s="2388"/>
      <c r="R100" s="2388"/>
      <c r="S100" s="2388"/>
    </row>
    <row r="101" spans="1:19" ht="16.5" thickTop="1" thickBot="1">
      <c r="A101" s="726" t="s">
        <v>577</v>
      </c>
      <c r="B101" s="727"/>
      <c r="C101" s="12"/>
      <c r="D101" s="12"/>
      <c r="E101" s="12"/>
      <c r="F101" s="12"/>
      <c r="G101" s="13"/>
      <c r="H101" s="21"/>
      <c r="I101" s="21"/>
      <c r="J101" s="21"/>
      <c r="K101" s="21"/>
      <c r="L101" s="21"/>
      <c r="M101" s="21"/>
      <c r="N101" s="21"/>
      <c r="O101" s="21"/>
      <c r="P101" s="21"/>
      <c r="Q101" s="21"/>
      <c r="R101" s="21"/>
      <c r="S101" s="21"/>
    </row>
    <row r="102" spans="1:19" ht="15.75" thickTop="1">
      <c r="A102" s="2421"/>
      <c r="B102" s="2404" t="s">
        <v>578</v>
      </c>
      <c r="C102" s="2405"/>
      <c r="D102" s="2405"/>
      <c r="E102" s="2405"/>
      <c r="F102" s="2405"/>
      <c r="G102" s="2423"/>
      <c r="H102" s="2388"/>
      <c r="I102" s="2388"/>
      <c r="J102" s="2388"/>
      <c r="K102" s="2388"/>
      <c r="L102" s="2388"/>
      <c r="M102" s="2388"/>
      <c r="N102" s="2388"/>
      <c r="O102" s="2388"/>
      <c r="P102" s="2388"/>
      <c r="Q102" s="2388"/>
      <c r="R102" s="2388"/>
      <c r="S102" s="2388"/>
    </row>
    <row r="103" spans="1:19">
      <c r="A103" s="2421"/>
      <c r="B103" s="2404" t="s">
        <v>579</v>
      </c>
      <c r="C103" s="2405"/>
      <c r="D103" s="2405"/>
      <c r="E103" s="2405"/>
      <c r="F103" s="2405"/>
      <c r="G103" s="2423"/>
      <c r="H103" s="2388"/>
      <c r="I103" s="2388"/>
      <c r="J103" s="2388"/>
      <c r="K103" s="2388"/>
      <c r="L103" s="2388"/>
      <c r="M103" s="2388"/>
      <c r="N103" s="2388"/>
      <c r="O103" s="2388"/>
      <c r="P103" s="2388"/>
      <c r="Q103" s="2388"/>
      <c r="R103" s="2388"/>
      <c r="S103" s="2388"/>
    </row>
    <row r="104" spans="1:19">
      <c r="A104" s="2421"/>
      <c r="B104" s="2404" t="s">
        <v>580</v>
      </c>
      <c r="C104" s="2405"/>
      <c r="D104" s="2405"/>
      <c r="E104" s="2405"/>
      <c r="F104" s="2405"/>
      <c r="G104" s="2423"/>
      <c r="H104" s="2388"/>
      <c r="I104" s="2388"/>
      <c r="J104" s="2388"/>
      <c r="K104" s="2388"/>
      <c r="L104" s="2388"/>
      <c r="M104" s="2388"/>
      <c r="N104" s="2388"/>
      <c r="O104" s="2388"/>
      <c r="P104" s="2388"/>
      <c r="Q104" s="2388"/>
      <c r="R104" s="2388"/>
      <c r="S104" s="2388"/>
    </row>
    <row r="105" spans="1:19">
      <c r="A105" s="2421"/>
      <c r="B105" s="2404" t="s">
        <v>581</v>
      </c>
      <c r="C105" s="2405"/>
      <c r="D105" s="2405"/>
      <c r="E105" s="2405"/>
      <c r="F105" s="2405"/>
      <c r="G105" s="2423"/>
      <c r="H105" s="2388"/>
      <c r="I105" s="2388"/>
      <c r="J105" s="2388"/>
      <c r="K105" s="2388"/>
      <c r="L105" s="2388"/>
      <c r="M105" s="2388"/>
      <c r="N105" s="2388"/>
      <c r="O105" s="2388"/>
      <c r="P105" s="2388"/>
      <c r="Q105" s="2388"/>
      <c r="R105" s="2388"/>
      <c r="S105" s="2388"/>
    </row>
    <row r="106" spans="1:19" ht="15.75" thickBot="1">
      <c r="A106" s="416"/>
      <c r="B106" s="295"/>
      <c r="C106" s="184"/>
      <c r="D106" s="184"/>
      <c r="E106" s="184"/>
      <c r="F106" s="184"/>
      <c r="G106" s="296"/>
      <c r="H106" s="418"/>
      <c r="I106" s="418"/>
      <c r="J106" s="418"/>
      <c r="K106" s="418"/>
      <c r="L106" s="418"/>
      <c r="M106" s="418"/>
      <c r="N106" s="418"/>
      <c r="O106" s="418"/>
      <c r="P106" s="418"/>
      <c r="Q106" s="418"/>
      <c r="R106" s="418"/>
      <c r="S106" s="418"/>
    </row>
    <row r="107" spans="1:19" ht="16.5" thickTop="1" thickBot="1">
      <c r="A107" s="7" t="s">
        <v>582</v>
      </c>
      <c r="B107" s="8"/>
      <c r="C107" s="12"/>
      <c r="D107" s="12"/>
      <c r="E107" s="12"/>
      <c r="F107" s="12"/>
      <c r="G107" s="13"/>
      <c r="H107" s="21"/>
      <c r="I107" s="21"/>
      <c r="J107" s="21"/>
      <c r="K107" s="21"/>
      <c r="L107" s="21"/>
      <c r="M107" s="21"/>
      <c r="N107" s="21"/>
      <c r="O107" s="21"/>
      <c r="P107" s="21"/>
      <c r="Q107" s="21"/>
      <c r="R107" s="21"/>
      <c r="S107" s="21"/>
    </row>
    <row r="108" spans="1:19" ht="15.75" thickTop="1">
      <c r="A108" s="3421"/>
      <c r="B108" s="3427" t="s">
        <v>583</v>
      </c>
      <c r="C108" s="3422"/>
      <c r="D108" s="3422"/>
      <c r="E108" s="3422"/>
      <c r="F108" s="3422"/>
      <c r="G108" s="3423"/>
      <c r="H108" s="3428"/>
      <c r="I108" s="3428"/>
      <c r="J108" s="3428"/>
      <c r="K108" s="3428"/>
      <c r="L108" s="3428"/>
      <c r="M108" s="3428"/>
      <c r="N108" s="3428"/>
      <c r="O108" s="3428"/>
      <c r="P108" s="3428"/>
      <c r="Q108" s="3428"/>
      <c r="R108" s="3428"/>
      <c r="S108" s="3428"/>
    </row>
    <row r="109" spans="1:19">
      <c r="A109" s="2421"/>
      <c r="B109" s="2404" t="s">
        <v>584</v>
      </c>
      <c r="C109" s="2405"/>
      <c r="D109" s="2405"/>
      <c r="E109" s="2405"/>
      <c r="F109" s="2405"/>
      <c r="G109" s="2423"/>
      <c r="H109" s="2390"/>
      <c r="I109" s="2390"/>
      <c r="J109" s="2390"/>
      <c r="K109" s="2390"/>
      <c r="L109" s="2390"/>
      <c r="M109" s="2390"/>
      <c r="N109" s="2390"/>
      <c r="O109" s="2390"/>
      <c r="P109" s="2390"/>
      <c r="Q109" s="2390"/>
      <c r="R109" s="2390"/>
      <c r="S109" s="2390"/>
    </row>
    <row r="110" spans="1:19" ht="15.75" thickBot="1">
      <c r="A110" s="2391"/>
      <c r="B110" s="2392" t="s">
        <v>585</v>
      </c>
      <c r="C110" s="2393"/>
      <c r="D110" s="2393"/>
      <c r="E110" s="2393"/>
      <c r="F110" s="2393"/>
      <c r="G110" s="2394"/>
      <c r="H110" s="2395"/>
      <c r="I110" s="2395"/>
      <c r="J110" s="2395"/>
      <c r="K110" s="2395"/>
      <c r="L110" s="2395"/>
      <c r="M110" s="2395"/>
      <c r="N110" s="2395"/>
      <c r="O110" s="2395"/>
      <c r="P110" s="2395"/>
      <c r="Q110" s="2395"/>
      <c r="R110" s="2395"/>
      <c r="S110" s="2395"/>
    </row>
    <row r="111" spans="1:19" ht="16.5" thickTop="1" thickBot="1"/>
    <row r="112" spans="1:19" ht="16.5" thickTop="1" thickBot="1">
      <c r="A112" s="92" t="s">
        <v>586</v>
      </c>
      <c r="B112" s="94"/>
    </row>
    <row r="113" spans="1:2" ht="15.75" thickTop="1">
      <c r="A113" s="93" t="s">
        <v>487</v>
      </c>
      <c r="B113" s="2396"/>
    </row>
    <row r="114" spans="1:2">
      <c r="A114" s="2397" t="s">
        <v>491</v>
      </c>
      <c r="B114" s="2396"/>
    </row>
    <row r="115" spans="1:2">
      <c r="A115" s="2398" t="s">
        <v>494</v>
      </c>
      <c r="B115" s="2399"/>
    </row>
    <row r="116" spans="1:2">
      <c r="A116" s="2398" t="s">
        <v>497</v>
      </c>
      <c r="B116" s="2400"/>
    </row>
    <row r="117" spans="1:2" ht="15.75" thickBot="1">
      <c r="A117" s="2401" t="s">
        <v>587</v>
      </c>
      <c r="B117" s="2402">
        <f>H8</f>
        <v>239371.5</v>
      </c>
    </row>
    <row r="118" spans="1:2" ht="15.75" thickTop="1"/>
    <row r="119" spans="1:2">
      <c r="A119" s="95"/>
      <c r="B119" s="1" t="s">
        <v>588</v>
      </c>
    </row>
    <row r="120" spans="1:2">
      <c r="A120" s="96"/>
      <c r="B120" s="1" t="s">
        <v>589</v>
      </c>
    </row>
  </sheetData>
  <mergeCells count="47">
    <mergeCell ref="J4:K4"/>
    <mergeCell ref="J5:K5"/>
    <mergeCell ref="J6:K6"/>
    <mergeCell ref="J7:K7"/>
    <mergeCell ref="J8:K8"/>
    <mergeCell ref="P4:Q4"/>
    <mergeCell ref="P5:Q5"/>
    <mergeCell ref="P6:Q6"/>
    <mergeCell ref="P7:Q7"/>
    <mergeCell ref="P8:Q8"/>
    <mergeCell ref="R4:S4"/>
    <mergeCell ref="R5:S5"/>
    <mergeCell ref="R6:S6"/>
    <mergeCell ref="R7:S7"/>
    <mergeCell ref="R8:S8"/>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L4:M4"/>
    <mergeCell ref="L5:M5"/>
    <mergeCell ref="L6:M6"/>
    <mergeCell ref="L7:M7"/>
    <mergeCell ref="L8:M8"/>
    <mergeCell ref="N4:O4"/>
    <mergeCell ref="N5:O5"/>
    <mergeCell ref="N6:O6"/>
    <mergeCell ref="N7:O7"/>
    <mergeCell ref="N8:O8"/>
    <mergeCell ref="A85:B85"/>
    <mergeCell ref="A89:B89"/>
    <mergeCell ref="A93:B93"/>
    <mergeCell ref="A97:B97"/>
    <mergeCell ref="A101:B101"/>
  </mergeCells>
  <conditionalFormatting sqref="H20:H30 H32:H76 J32:J76 L32:L76 N32:N76 P34:P39 R34:R39 P41:P73 R41:R73 P74:R76">
    <cfRule type="cellIs" dxfId="123" priority="3" operator="equal">
      <formula>"X"</formula>
    </cfRule>
    <cfRule type="cellIs" dxfId="122" priority="4" operator="equal">
      <formula>"I"</formula>
    </cfRule>
  </conditionalFormatting>
  <conditionalFormatting sqref="J20:J30">
    <cfRule type="cellIs" dxfId="121" priority="5" operator="equal">
      <formula>"X"</formula>
    </cfRule>
    <cfRule type="cellIs" dxfId="120" priority="6" operator="equal">
      <formula>"I"</formula>
    </cfRule>
  </conditionalFormatting>
  <conditionalFormatting sqref="L20:L30">
    <cfRule type="cellIs" dxfId="119" priority="7" operator="equal">
      <formula>"X"</formula>
    </cfRule>
    <cfRule type="cellIs" dxfId="118" priority="8" operator="equal">
      <formula>"I"</formula>
    </cfRule>
  </conditionalFormatting>
  <conditionalFormatting sqref="N20:N30">
    <cfRule type="cellIs" dxfId="117" priority="9" operator="equal">
      <formula>"X"</formula>
    </cfRule>
    <cfRule type="cellIs" dxfId="116" priority="10" operator="equal">
      <formula>"I"</formula>
    </cfRule>
  </conditionalFormatting>
  <conditionalFormatting sqref="P20:P30">
    <cfRule type="cellIs" dxfId="115" priority="11" operator="equal">
      <formula>"X"</formula>
    </cfRule>
    <cfRule type="cellIs" dxfId="114" priority="12" operator="equal">
      <formula>"I"</formula>
    </cfRule>
  </conditionalFormatting>
  <conditionalFormatting sqref="P32:R40">
    <cfRule type="cellIs" dxfId="113" priority="15" operator="equal">
      <formula>"X"</formula>
    </cfRule>
    <cfRule type="cellIs" dxfId="112" priority="16" operator="equal">
      <formula>"I"</formula>
    </cfRule>
  </conditionalFormatting>
  <conditionalFormatting sqref="R20:R30">
    <cfRule type="cellIs" dxfId="111" priority="13" operator="equal">
      <formula>"X"</formula>
    </cfRule>
    <cfRule type="cellIs" dxfId="110" priority="14" operator="equal">
      <formula>"I"</formula>
    </cfRule>
  </conditionalFormatting>
  <hyperlinks>
    <hyperlink ref="B3" location="'Cost Summary'!A1" display="BACK TO SUMMARY SHEET" xr:uid="{85EBB3AB-E1C3-475F-87F5-28B6CC2456A7}"/>
    <hyperlink ref="H7:I7" r:id="rId1" display="richard@capitalns.com" xr:uid="{EC0D69D9-FF7D-402D-AB88-E99FF92BB475}"/>
  </hyperlinks>
  <pageMargins left="0.7" right="0.7" top="0.75" bottom="0.75" header="0.3" footer="0.3"/>
  <pageSetup scale="70" orientation="portrait" horizontalDpi="300" verticalDpi="300"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B01-5446-4D66-BF9B-18E89A4EC9B2}">
  <sheetPr>
    <tabColor rgb="FF92D050"/>
  </sheetPr>
  <dimension ref="A1:U244"/>
  <sheetViews>
    <sheetView zoomScale="80" zoomScaleNormal="80" workbookViewId="0">
      <pane xSplit="2" ySplit="9" topLeftCell="C40" activePane="bottomRight" state="frozen"/>
      <selection pane="bottomRight" activeCell="I49" sqref="I49"/>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4" width="9.28515625" style="2" bestFit="1" customWidth="1"/>
    <col min="5" max="5" width="7.5703125" style="2" customWidth="1"/>
    <col min="6" max="6" width="10.7109375" style="2" customWidth="1"/>
    <col min="7" max="7" width="14.42578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hidden="1" customWidth="1"/>
    <col min="13" max="13" width="14.85546875" style="62" hidden="1"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0" max="20" width="7.42578125" style="2" bestFit="1" customWidth="1"/>
    <col min="21" max="21" width="14.85546875" style="2" customWidth="1"/>
  </cols>
  <sheetData>
    <row r="1" spans="1:21">
      <c r="E1" s="175"/>
      <c r="F1" s="149"/>
      <c r="G1" s="147" t="s">
        <v>474</v>
      </c>
    </row>
    <row r="2" spans="1:21" ht="15.75" thickBot="1">
      <c r="E2" s="175"/>
      <c r="F2" s="146" t="s">
        <v>475</v>
      </c>
      <c r="G2" s="147" t="s">
        <v>476</v>
      </c>
      <c r="H2" s="732"/>
      <c r="I2" s="732"/>
      <c r="J2" s="732"/>
      <c r="K2" s="732"/>
      <c r="L2" s="732" t="s">
        <v>1337</v>
      </c>
      <c r="M2" s="732"/>
      <c r="N2" s="732"/>
      <c r="O2" s="732"/>
      <c r="P2" s="732"/>
      <c r="Q2" s="732"/>
      <c r="R2" s="732"/>
      <c r="S2" s="732"/>
      <c r="T2" s="732"/>
      <c r="U2" s="732"/>
    </row>
    <row r="3" spans="1:21" ht="21" thickBot="1">
      <c r="B3" s="161" t="s">
        <v>477</v>
      </c>
      <c r="E3" s="175"/>
      <c r="F3" s="148" t="s">
        <v>478</v>
      </c>
      <c r="G3" s="147" t="s">
        <v>479</v>
      </c>
      <c r="H3" s="730" t="s">
        <v>480</v>
      </c>
      <c r="I3" s="731"/>
      <c r="J3" s="730" t="s">
        <v>481</v>
      </c>
      <c r="K3" s="731"/>
      <c r="L3" s="730" t="s">
        <v>482</v>
      </c>
      <c r="M3" s="731"/>
      <c r="N3" s="730" t="s">
        <v>482</v>
      </c>
      <c r="O3" s="731"/>
      <c r="P3" s="730" t="s">
        <v>483</v>
      </c>
      <c r="Q3" s="731"/>
      <c r="R3" s="730" t="s">
        <v>484</v>
      </c>
      <c r="S3" s="731"/>
      <c r="T3" s="730" t="s">
        <v>485</v>
      </c>
      <c r="U3" s="731"/>
    </row>
    <row r="4" spans="1:21" ht="15.75" thickTop="1">
      <c r="A4" s="3" t="s">
        <v>486</v>
      </c>
      <c r="B4" s="4" t="str">
        <f>'Area Calculations'!B4</f>
        <v>The Club at Ibis Conceptual Estimate</v>
      </c>
      <c r="C4" s="5"/>
      <c r="D4" s="5"/>
      <c r="E4" s="5"/>
      <c r="F4" s="5"/>
      <c r="G4" s="6" t="s">
        <v>487</v>
      </c>
      <c r="H4" s="728" t="s">
        <v>1338</v>
      </c>
      <c r="I4" s="729"/>
      <c r="J4" s="728"/>
      <c r="K4" s="729"/>
      <c r="L4" s="728"/>
      <c r="M4" s="729"/>
      <c r="N4" s="728"/>
      <c r="O4" s="729"/>
      <c r="P4" s="728"/>
      <c r="Q4" s="729"/>
      <c r="R4" s="728"/>
      <c r="S4" s="729"/>
      <c r="T4" s="728"/>
      <c r="U4" s="729"/>
    </row>
    <row r="5" spans="1:21">
      <c r="A5" s="2403" t="s">
        <v>489</v>
      </c>
      <c r="B5" s="2404" t="s">
        <v>225</v>
      </c>
      <c r="C5" s="2405"/>
      <c r="D5" s="2405"/>
      <c r="E5" s="2405"/>
      <c r="F5" s="2405"/>
      <c r="G5" s="2406" t="s">
        <v>491</v>
      </c>
      <c r="H5" s="2407" t="s">
        <v>1339</v>
      </c>
      <c r="I5" s="2408"/>
      <c r="J5" s="2407"/>
      <c r="K5" s="2408"/>
      <c r="L5" s="2407"/>
      <c r="M5" s="2408"/>
      <c r="N5" s="2407"/>
      <c r="O5" s="2408"/>
      <c r="P5" s="2407"/>
      <c r="Q5" s="2408"/>
      <c r="R5" s="2407"/>
      <c r="S5" s="2408"/>
      <c r="T5" s="2407"/>
      <c r="U5" s="2408"/>
    </row>
    <row r="6" spans="1:21">
      <c r="A6" s="2403" t="s">
        <v>493</v>
      </c>
      <c r="B6" s="2410" t="s">
        <v>224</v>
      </c>
      <c r="C6" s="2405"/>
      <c r="D6" s="2405"/>
      <c r="E6" s="2405"/>
      <c r="F6" s="2405"/>
      <c r="G6" s="2406" t="s">
        <v>494</v>
      </c>
      <c r="H6" s="2411" t="s">
        <v>1340</v>
      </c>
      <c r="I6" s="2412"/>
      <c r="J6" s="2411"/>
      <c r="K6" s="2412"/>
      <c r="L6" s="2411"/>
      <c r="M6" s="2412"/>
      <c r="N6" s="2411"/>
      <c r="O6" s="2412"/>
      <c r="P6" s="2411"/>
      <c r="Q6" s="2412"/>
      <c r="R6" s="2411"/>
      <c r="S6" s="2412"/>
      <c r="T6" s="2411"/>
      <c r="U6" s="2412"/>
    </row>
    <row r="7" spans="1:21">
      <c r="A7" s="2403" t="s">
        <v>496</v>
      </c>
      <c r="B7" s="2414"/>
      <c r="C7" s="2405"/>
      <c r="D7" s="2405"/>
      <c r="E7" s="2405"/>
      <c r="F7" s="2405"/>
      <c r="G7" s="2406" t="s">
        <v>497</v>
      </c>
      <c r="H7" s="2415" t="s">
        <v>1341</v>
      </c>
      <c r="I7" s="2416"/>
      <c r="J7" s="2415"/>
      <c r="K7" s="2416"/>
      <c r="L7" s="2415"/>
      <c r="M7" s="2416"/>
      <c r="N7" s="2415"/>
      <c r="O7" s="2416"/>
      <c r="P7" s="2415"/>
      <c r="Q7" s="2416"/>
      <c r="R7" s="2415"/>
      <c r="S7" s="2416"/>
      <c r="T7" s="2415"/>
      <c r="U7" s="2416"/>
    </row>
    <row r="8" spans="1:21" ht="15.75" thickBot="1">
      <c r="A8" s="414" t="s">
        <v>499</v>
      </c>
      <c r="B8" s="295"/>
      <c r="C8" s="184"/>
      <c r="D8" s="184"/>
      <c r="E8" s="184"/>
      <c r="F8" s="184"/>
      <c r="G8" s="419" t="s">
        <v>499</v>
      </c>
      <c r="H8" s="2970">
        <f>I205</f>
        <v>2082604</v>
      </c>
      <c r="I8" s="2971"/>
      <c r="J8" s="2970">
        <f>K205</f>
        <v>0</v>
      </c>
      <c r="K8" s="2971"/>
      <c r="L8" s="2970">
        <f>M205</f>
        <v>0</v>
      </c>
      <c r="M8" s="2971"/>
      <c r="N8" s="2970">
        <f>O205</f>
        <v>0</v>
      </c>
      <c r="O8" s="2971"/>
      <c r="P8" s="2970">
        <f>Q205</f>
        <v>0</v>
      </c>
      <c r="Q8" s="2971"/>
      <c r="R8" s="2970">
        <f>S205</f>
        <v>0</v>
      </c>
      <c r="S8" s="2971"/>
      <c r="T8" s="2970">
        <f>U205</f>
        <v>0</v>
      </c>
      <c r="U8" s="2971"/>
    </row>
    <row r="9" spans="1:21"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c r="T9" s="11" t="s">
        <v>506</v>
      </c>
      <c r="U9" s="11" t="s">
        <v>507</v>
      </c>
    </row>
    <row r="10" spans="1:21" ht="15.75" hidden="1" customHeight="1" thickTop="1">
      <c r="A10" s="2421"/>
      <c r="B10" s="3429" t="s">
        <v>508</v>
      </c>
      <c r="C10" s="2405"/>
      <c r="D10" s="2405"/>
      <c r="E10" s="2405"/>
      <c r="F10" s="2405"/>
      <c r="G10" s="2423"/>
      <c r="H10" s="2424"/>
      <c r="I10" s="2424"/>
      <c r="J10" s="2424"/>
      <c r="K10" s="2424"/>
      <c r="L10" s="2424"/>
      <c r="M10" s="3430"/>
      <c r="N10" s="2424"/>
      <c r="O10" s="2424"/>
      <c r="P10" s="2424"/>
      <c r="Q10" s="2424"/>
      <c r="R10" s="2424"/>
      <c r="S10" s="2424"/>
      <c r="T10" s="2424"/>
      <c r="U10" s="2424"/>
    </row>
    <row r="11" spans="1:21" ht="15.75" hidden="1" customHeight="1">
      <c r="A11" s="2421"/>
      <c r="B11" s="2404" t="str">
        <f>'Area Calculations'!M62</f>
        <v>Architectural Drawings  by</v>
      </c>
      <c r="C11" s="2426" t="s">
        <v>509</v>
      </c>
      <c r="D11" s="2405"/>
      <c r="E11" s="2405"/>
      <c r="F11" s="2405"/>
      <c r="G11" s="2423"/>
      <c r="H11" s="2424"/>
      <c r="I11" s="2424"/>
      <c r="J11" s="2424"/>
      <c r="K11" s="2424"/>
      <c r="L11" s="2424"/>
      <c r="M11" s="3430"/>
      <c r="N11" s="2424"/>
      <c r="O11" s="2424"/>
      <c r="P11" s="2424"/>
      <c r="Q11" s="2424"/>
      <c r="R11" s="2424"/>
      <c r="S11" s="2424"/>
      <c r="T11" s="2424"/>
      <c r="U11" s="2424"/>
    </row>
    <row r="12" spans="1:21" ht="15.75" hidden="1" customHeight="1">
      <c r="A12" s="2421"/>
      <c r="B12" s="2404" t="str">
        <f>'Area Calculations'!M63</f>
        <v>Structural Drawings by</v>
      </c>
      <c r="C12" s="2426" t="s">
        <v>509</v>
      </c>
      <c r="D12" s="2405"/>
      <c r="E12" s="2405"/>
      <c r="F12" s="2405"/>
      <c r="G12" s="2423"/>
      <c r="H12" s="2424"/>
      <c r="I12" s="2424"/>
      <c r="J12" s="2424"/>
      <c r="K12" s="2424"/>
      <c r="L12" s="2424"/>
      <c r="M12" s="3430"/>
      <c r="N12" s="2424"/>
      <c r="O12" s="2424"/>
      <c r="P12" s="2424"/>
      <c r="Q12" s="2424"/>
      <c r="R12" s="2424"/>
      <c r="S12" s="2424"/>
      <c r="T12" s="2424"/>
      <c r="U12" s="2424"/>
    </row>
    <row r="13" spans="1:21" ht="15.75" hidden="1" customHeight="1">
      <c r="A13" s="2421"/>
      <c r="B13" s="2404" t="str">
        <f>'Area Calculations'!M64</f>
        <v>MEP FA FP Drawings by</v>
      </c>
      <c r="C13" s="2426" t="s">
        <v>509</v>
      </c>
      <c r="D13" s="2405"/>
      <c r="E13" s="2405"/>
      <c r="F13" s="2405"/>
      <c r="G13" s="2423"/>
      <c r="H13" s="2424"/>
      <c r="I13" s="2424"/>
      <c r="J13" s="2424"/>
      <c r="K13" s="2424"/>
      <c r="L13" s="2424"/>
      <c r="M13" s="3430"/>
      <c r="N13" s="2424"/>
      <c r="O13" s="2424"/>
      <c r="P13" s="2424"/>
      <c r="Q13" s="2424"/>
      <c r="R13" s="2424"/>
      <c r="S13" s="2424"/>
      <c r="T13" s="2424"/>
      <c r="U13" s="2424"/>
    </row>
    <row r="14" spans="1:21" ht="15.75" hidden="1" customHeight="1">
      <c r="A14" s="2421"/>
      <c r="B14" s="2404" t="str">
        <f>'Area Calculations'!M65</f>
        <v xml:space="preserve">Civil Drawings by </v>
      </c>
      <c r="C14" s="2426" t="s">
        <v>509</v>
      </c>
      <c r="D14" s="2405"/>
      <c r="E14" s="2405"/>
      <c r="F14" s="2405"/>
      <c r="G14" s="2423"/>
      <c r="H14" s="2424"/>
      <c r="I14" s="2424"/>
      <c r="J14" s="2424"/>
      <c r="K14" s="2424"/>
      <c r="L14" s="2424"/>
      <c r="M14" s="3430"/>
      <c r="N14" s="2424"/>
      <c r="O14" s="2424"/>
      <c r="P14" s="2424"/>
      <c r="Q14" s="2424"/>
      <c r="R14" s="2424"/>
      <c r="S14" s="2424"/>
      <c r="T14" s="2424"/>
      <c r="U14" s="2424"/>
    </row>
    <row r="15" spans="1:21" ht="15.75" hidden="1" customHeight="1">
      <c r="A15" s="2421"/>
      <c r="B15" s="2404" t="str">
        <f>'Area Calculations'!M66</f>
        <v>Land scape Drawings by</v>
      </c>
      <c r="C15" s="2426" t="s">
        <v>509</v>
      </c>
      <c r="D15" s="2405"/>
      <c r="E15" s="2405"/>
      <c r="F15" s="2405"/>
      <c r="G15" s="2423"/>
      <c r="H15" s="2424"/>
      <c r="I15" s="2424"/>
      <c r="J15" s="2424"/>
      <c r="K15" s="2424"/>
      <c r="L15" s="2424"/>
      <c r="M15" s="3430"/>
      <c r="N15" s="2424"/>
      <c r="O15" s="2424"/>
      <c r="P15" s="2424"/>
      <c r="Q15" s="2424"/>
      <c r="R15" s="2424"/>
      <c r="S15" s="2424"/>
      <c r="T15" s="2424"/>
      <c r="U15" s="2424"/>
    </row>
    <row r="16" spans="1:21" ht="15.75" hidden="1" customHeight="1">
      <c r="A16" s="2421"/>
      <c r="B16" s="2404" t="str">
        <f>'Area Calculations'!M67</f>
        <v>Kitchen Drawings by</v>
      </c>
      <c r="C16" s="2426" t="s">
        <v>509</v>
      </c>
      <c r="D16" s="2405"/>
      <c r="E16" s="2405"/>
      <c r="F16" s="2405"/>
      <c r="G16" s="2423"/>
      <c r="H16" s="2424"/>
      <c r="I16" s="2424"/>
      <c r="J16" s="2424"/>
      <c r="K16" s="2424"/>
      <c r="L16" s="2424"/>
      <c r="M16" s="3430"/>
      <c r="N16" s="2424"/>
      <c r="O16" s="2424"/>
      <c r="P16" s="2424"/>
      <c r="Q16" s="2424"/>
      <c r="R16" s="2424"/>
      <c r="S16" s="2424"/>
      <c r="T16" s="2424"/>
      <c r="U16" s="2424"/>
    </row>
    <row r="17" spans="1:21" ht="15.75" hidden="1" customHeight="1">
      <c r="A17" s="2421"/>
      <c r="B17" s="2404" t="str">
        <f>'Area Calculations'!M68</f>
        <v>Storefront Designer by</v>
      </c>
      <c r="C17" s="2426" t="s">
        <v>509</v>
      </c>
      <c r="D17" s="2405"/>
      <c r="E17" s="2405"/>
      <c r="F17" s="2405"/>
      <c r="G17" s="2423"/>
      <c r="H17" s="2424"/>
      <c r="I17" s="2424"/>
      <c r="J17" s="2424"/>
      <c r="K17" s="2424"/>
      <c r="L17" s="2424"/>
      <c r="M17" s="3430"/>
      <c r="N17" s="2424"/>
      <c r="O17" s="2424"/>
      <c r="P17" s="2424"/>
      <c r="Q17" s="2424"/>
      <c r="R17" s="2424"/>
      <c r="S17" s="2424"/>
      <c r="T17" s="2424"/>
      <c r="U17" s="2424"/>
    </row>
    <row r="18" spans="1:21" ht="15.75" hidden="1" customHeight="1">
      <c r="A18" s="2421"/>
      <c r="B18" s="2404" t="str">
        <f>'Area Calculations'!M69</f>
        <v>Geotech report by</v>
      </c>
      <c r="C18" s="2426" t="s">
        <v>509</v>
      </c>
      <c r="D18" s="2405"/>
      <c r="E18" s="2405"/>
      <c r="F18" s="2405"/>
      <c r="G18" s="2423"/>
      <c r="H18" s="2424"/>
      <c r="I18" s="2424"/>
      <c r="J18" s="2424"/>
      <c r="K18" s="2424"/>
      <c r="L18" s="2424"/>
      <c r="M18" s="3430"/>
      <c r="N18" s="2424"/>
      <c r="O18" s="2424"/>
      <c r="P18" s="2424"/>
      <c r="Q18" s="2424"/>
      <c r="R18" s="2424"/>
      <c r="S18" s="2424"/>
      <c r="T18" s="2424"/>
      <c r="U18" s="2424"/>
    </row>
    <row r="19" spans="1:21" ht="15.75" hidden="1" customHeight="1">
      <c r="A19" s="2421"/>
      <c r="B19" s="2404" t="str">
        <f>'Area Calculations'!M70</f>
        <v>Specifications</v>
      </c>
      <c r="C19" s="2426" t="s">
        <v>509</v>
      </c>
      <c r="D19" s="2405"/>
      <c r="E19" s="2405"/>
      <c r="F19" s="2405"/>
      <c r="G19" s="2423"/>
      <c r="H19" s="2424"/>
      <c r="I19" s="2424"/>
      <c r="J19" s="2424"/>
      <c r="K19" s="2424"/>
      <c r="L19" s="2424"/>
      <c r="M19" s="3430"/>
      <c r="N19" s="2424"/>
      <c r="O19" s="2424"/>
      <c r="P19" s="2424"/>
      <c r="Q19" s="2424"/>
      <c r="R19" s="2424"/>
      <c r="S19" s="2424"/>
      <c r="T19" s="2424"/>
      <c r="U19" s="2424"/>
    </row>
    <row r="20" spans="1:21" ht="15.75" hidden="1" customHeight="1">
      <c r="A20" s="2421"/>
      <c r="B20" s="2404"/>
      <c r="C20" s="2426"/>
      <c r="D20" s="2405"/>
      <c r="E20" s="2405"/>
      <c r="F20" s="2405"/>
      <c r="G20" s="2423"/>
      <c r="H20" s="2424"/>
      <c r="I20" s="2424"/>
      <c r="J20" s="2424"/>
      <c r="K20" s="2424"/>
      <c r="L20" s="2424"/>
      <c r="M20" s="3430"/>
      <c r="N20" s="2424"/>
      <c r="O20" s="2424"/>
      <c r="P20" s="2424"/>
      <c r="Q20" s="2424"/>
      <c r="R20" s="2424"/>
      <c r="S20" s="2424"/>
      <c r="T20" s="2424"/>
      <c r="U20" s="2424"/>
    </row>
    <row r="21" spans="1:21" hidden="1">
      <c r="A21" s="2421"/>
      <c r="B21" s="2404"/>
      <c r="C21" s="2426"/>
      <c r="D21" s="2405"/>
      <c r="E21" s="2405"/>
      <c r="F21" s="2405"/>
      <c r="G21" s="2423"/>
      <c r="H21" s="2427"/>
      <c r="I21" s="2424"/>
      <c r="J21" s="2427"/>
      <c r="K21" s="2424"/>
      <c r="L21" s="2424"/>
      <c r="M21" s="3430"/>
      <c r="N21" s="2427"/>
      <c r="O21" s="2424"/>
      <c r="P21" s="2427"/>
      <c r="Q21" s="2424"/>
      <c r="R21" s="2427"/>
      <c r="S21" s="2424"/>
      <c r="T21" s="2427"/>
      <c r="U21" s="2424"/>
    </row>
    <row r="22" spans="1:21" ht="16.5" thickTop="1" thickBot="1">
      <c r="A22" s="2421"/>
      <c r="B22" s="2428" t="s">
        <v>225</v>
      </c>
      <c r="C22" s="2426"/>
      <c r="D22" s="2405"/>
      <c r="E22" s="2405"/>
      <c r="F22" s="2405"/>
      <c r="G22" s="2423"/>
      <c r="H22" s="2427"/>
      <c r="I22" s="2424"/>
      <c r="J22" s="2427"/>
      <c r="K22" s="2424"/>
      <c r="L22" s="2424"/>
      <c r="M22" s="3430"/>
      <c r="N22" s="2427"/>
      <c r="O22" s="2424"/>
      <c r="P22" s="2427"/>
      <c r="Q22" s="2424"/>
      <c r="R22" s="2427"/>
      <c r="S22" s="2424"/>
      <c r="T22" s="2427"/>
      <c r="U22" s="2424"/>
    </row>
    <row r="23" spans="1:21">
      <c r="A23" s="3433"/>
      <c r="B23" s="2318" t="s">
        <v>512</v>
      </c>
      <c r="C23" s="2426"/>
      <c r="D23" s="2405"/>
      <c r="E23" s="2405"/>
      <c r="F23" s="2405"/>
      <c r="G23" s="2423"/>
      <c r="H23" s="2427"/>
      <c r="I23" s="3411"/>
      <c r="J23" s="2427"/>
      <c r="K23" s="3411"/>
      <c r="L23" s="3411"/>
      <c r="M23" s="3409"/>
      <c r="N23" s="2427"/>
      <c r="O23" s="3411"/>
      <c r="P23" s="2427"/>
      <c r="Q23" s="3411"/>
      <c r="R23" s="2427"/>
      <c r="S23" s="3411"/>
      <c r="T23" s="2427"/>
      <c r="U23" s="3411"/>
    </row>
    <row r="24" spans="1:21">
      <c r="A24" s="3433"/>
      <c r="B24" s="3408" t="s">
        <v>513</v>
      </c>
      <c r="C24" s="3452"/>
      <c r="D24" s="2405"/>
      <c r="E24" s="2405"/>
      <c r="F24" s="2405"/>
      <c r="G24" s="2423"/>
      <c r="H24" s="2427" t="s">
        <v>710</v>
      </c>
      <c r="I24" s="3410"/>
      <c r="J24" s="2427"/>
      <c r="K24" s="3411"/>
      <c r="L24" s="2537"/>
      <c r="M24" s="3410"/>
      <c r="N24" s="2427"/>
      <c r="O24" s="3411"/>
      <c r="P24" s="2427"/>
      <c r="Q24" s="3411"/>
      <c r="R24" s="2427"/>
      <c r="S24" s="3410"/>
      <c r="T24" s="2427"/>
      <c r="U24" s="3410"/>
    </row>
    <row r="25" spans="1:21">
      <c r="A25" s="3433"/>
      <c r="B25" s="3408" t="s">
        <v>514</v>
      </c>
      <c r="C25" s="3452"/>
      <c r="D25" s="2405"/>
      <c r="E25" s="2405"/>
      <c r="F25" s="2405"/>
      <c r="G25" s="2423"/>
      <c r="H25" s="2427" t="s">
        <v>710</v>
      </c>
      <c r="I25" s="3410"/>
      <c r="J25" s="2427"/>
      <c r="K25" s="3411"/>
      <c r="L25" s="3453"/>
      <c r="M25" s="3410"/>
      <c r="N25" s="2427"/>
      <c r="O25" s="3411"/>
      <c r="P25" s="2427"/>
      <c r="Q25" s="3411"/>
      <c r="R25" s="2427"/>
      <c r="S25" s="3410"/>
      <c r="T25" s="2427"/>
      <c r="U25" s="3410"/>
    </row>
    <row r="26" spans="1:21">
      <c r="A26" s="3433"/>
      <c r="B26" s="3412" t="s">
        <v>515</v>
      </c>
      <c r="C26" s="3452"/>
      <c r="D26" s="2405"/>
      <c r="E26" s="2405"/>
      <c r="F26" s="2405"/>
      <c r="G26" s="2423"/>
      <c r="H26" s="2427" t="s">
        <v>709</v>
      </c>
      <c r="I26" s="3411"/>
      <c r="J26" s="2427"/>
      <c r="K26" s="3411"/>
      <c r="L26" s="3453"/>
      <c r="M26" s="3410"/>
      <c r="N26" s="2427"/>
      <c r="O26" s="3411"/>
      <c r="P26" s="2427"/>
      <c r="Q26" s="3411"/>
      <c r="R26" s="2427"/>
      <c r="S26" s="3410"/>
      <c r="T26" s="2427"/>
      <c r="U26" s="3410"/>
    </row>
    <row r="27" spans="1:21">
      <c r="A27" s="3433"/>
      <c r="B27" s="3412" t="s">
        <v>516</v>
      </c>
      <c r="C27" s="3452"/>
      <c r="D27" s="2405"/>
      <c r="E27" s="2405"/>
      <c r="F27" s="2405"/>
      <c r="G27" s="2423"/>
      <c r="H27" s="2427" t="s">
        <v>710</v>
      </c>
      <c r="I27" s="3411"/>
      <c r="J27" s="2427"/>
      <c r="K27" s="3411"/>
      <c r="L27" s="3453"/>
      <c r="M27" s="3410"/>
      <c r="N27" s="2427"/>
      <c r="O27" s="3411"/>
      <c r="P27" s="2427"/>
      <c r="Q27" s="3411"/>
      <c r="R27" s="2427"/>
      <c r="S27" s="3410"/>
      <c r="T27" s="2427"/>
      <c r="U27" s="3410"/>
    </row>
    <row r="28" spans="1:21">
      <c r="A28" s="3433"/>
      <c r="B28" s="3412" t="s">
        <v>517</v>
      </c>
      <c r="C28" s="3452"/>
      <c r="D28" s="2405"/>
      <c r="E28" s="2405"/>
      <c r="F28" s="2405"/>
      <c r="G28" s="2423"/>
      <c r="H28" s="2427" t="s">
        <v>710</v>
      </c>
      <c r="I28" s="3411"/>
      <c r="J28" s="2427"/>
      <c r="K28" s="3411"/>
      <c r="L28" s="3453"/>
      <c r="M28" s="3410"/>
      <c r="N28" s="2427"/>
      <c r="O28" s="3411"/>
      <c r="P28" s="2427"/>
      <c r="Q28" s="3411"/>
      <c r="R28" s="2427"/>
      <c r="S28" s="3410"/>
      <c r="T28" s="2427"/>
      <c r="U28" s="3410"/>
    </row>
    <row r="29" spans="1:21">
      <c r="A29" s="3433"/>
      <c r="B29" s="3412" t="s">
        <v>518</v>
      </c>
      <c r="C29" s="3452"/>
      <c r="D29" s="2405"/>
      <c r="E29" s="2405"/>
      <c r="F29" s="2405"/>
      <c r="G29" s="2423"/>
      <c r="H29" s="2427" t="s">
        <v>710</v>
      </c>
      <c r="I29" s="3411"/>
      <c r="J29" s="2427"/>
      <c r="K29" s="3411"/>
      <c r="L29" s="3453"/>
      <c r="M29" s="3410"/>
      <c r="N29" s="2427"/>
      <c r="O29" s="3411"/>
      <c r="P29" s="2427"/>
      <c r="Q29" s="3411"/>
      <c r="R29" s="2427"/>
      <c r="S29" s="3410"/>
      <c r="T29" s="2427"/>
      <c r="U29" s="3410"/>
    </row>
    <row r="30" spans="1:21">
      <c r="A30" s="3433"/>
      <c r="B30" s="3412" t="s">
        <v>693</v>
      </c>
      <c r="C30" s="3452"/>
      <c r="D30" s="2405"/>
      <c r="E30" s="2405"/>
      <c r="F30" s="2405"/>
      <c r="G30" s="2423"/>
      <c r="H30" s="2427" t="s">
        <v>710</v>
      </c>
      <c r="I30" s="3411" t="s">
        <v>1342</v>
      </c>
      <c r="J30" s="2427"/>
      <c r="K30" s="3411"/>
      <c r="L30" s="3453"/>
      <c r="M30" s="3410"/>
      <c r="N30" s="2427"/>
      <c r="O30" s="3411"/>
      <c r="P30" s="2427"/>
      <c r="Q30" s="3411"/>
      <c r="R30" s="2427"/>
      <c r="S30" s="3410"/>
      <c r="T30" s="2427"/>
      <c r="U30" s="3410"/>
    </row>
    <row r="31" spans="1:21">
      <c r="A31" s="3433"/>
      <c r="B31" s="3413" t="s">
        <v>519</v>
      </c>
      <c r="C31" s="3452"/>
      <c r="D31" s="2405"/>
      <c r="E31" s="2405"/>
      <c r="F31" s="2405"/>
      <c r="G31" s="2423"/>
      <c r="H31" s="2427"/>
      <c r="I31" s="3411"/>
      <c r="J31" s="2427"/>
      <c r="K31" s="3411"/>
      <c r="L31" s="3453"/>
      <c r="M31" s="3410"/>
      <c r="N31" s="2427"/>
      <c r="O31" s="3411"/>
      <c r="P31" s="2427"/>
      <c r="Q31" s="3411"/>
      <c r="R31" s="2427"/>
      <c r="S31" s="3410"/>
      <c r="T31" s="2427"/>
      <c r="U31" s="3410"/>
    </row>
    <row r="32" spans="1:21">
      <c r="A32" s="3433"/>
      <c r="B32" s="3414" t="s">
        <v>520</v>
      </c>
      <c r="C32" s="3415"/>
      <c r="D32" s="2980"/>
      <c r="E32" s="2980"/>
      <c r="F32" s="2980"/>
      <c r="G32" s="3079"/>
      <c r="H32" s="3416"/>
      <c r="I32" s="3417"/>
      <c r="J32" s="3417"/>
      <c r="K32" s="3417"/>
      <c r="L32" s="3418"/>
      <c r="M32" s="3419"/>
      <c r="N32" s="3417"/>
      <c r="O32" s="3417"/>
      <c r="P32" s="3417"/>
      <c r="Q32" s="3417"/>
      <c r="R32" s="2439"/>
      <c r="S32" s="3419"/>
      <c r="T32" s="3418"/>
      <c r="U32" s="3419"/>
    </row>
    <row r="33" spans="1:21">
      <c r="A33" s="3433"/>
      <c r="B33" s="3454"/>
      <c r="C33" s="3455"/>
      <c r="D33" s="3442"/>
      <c r="E33" s="3456"/>
      <c r="F33" s="3457"/>
      <c r="G33" s="3458"/>
      <c r="H33" s="2427"/>
      <c r="I33" s="3411"/>
      <c r="J33" s="2427"/>
      <c r="K33" s="3411"/>
      <c r="L33" s="3453"/>
      <c r="M33" s="3410"/>
      <c r="N33" s="2427"/>
      <c r="O33" s="3411"/>
      <c r="P33" s="2427"/>
      <c r="Q33" s="3411"/>
      <c r="R33" s="2427"/>
      <c r="S33" s="3410"/>
      <c r="T33" s="2427"/>
      <c r="U33" s="3410"/>
    </row>
    <row r="34" spans="1:21">
      <c r="A34" s="3433"/>
      <c r="B34" s="3454" t="s">
        <v>1343</v>
      </c>
      <c r="C34" s="3455"/>
      <c r="D34" s="3442"/>
      <c r="E34" s="3456"/>
      <c r="F34" s="3457"/>
      <c r="G34" s="3458"/>
      <c r="H34" s="2427" t="s">
        <v>710</v>
      </c>
      <c r="I34" s="3411"/>
      <c r="J34" s="2427"/>
      <c r="K34" s="3411"/>
      <c r="L34" s="3453"/>
      <c r="M34" s="3410"/>
      <c r="N34" s="2427"/>
      <c r="O34" s="3411"/>
      <c r="P34" s="2427"/>
      <c r="Q34" s="3411"/>
      <c r="R34" s="2427"/>
      <c r="S34" s="3410"/>
      <c r="T34" s="2427"/>
      <c r="U34" s="3410"/>
    </row>
    <row r="35" spans="1:21">
      <c r="A35" s="3433"/>
      <c r="B35" s="3454" t="s">
        <v>1344</v>
      </c>
      <c r="C35" s="3455"/>
      <c r="D35" s="3442"/>
      <c r="E35" s="3456"/>
      <c r="F35" s="3457"/>
      <c r="G35" s="3458"/>
      <c r="H35" s="2427" t="s">
        <v>710</v>
      </c>
      <c r="I35" s="3411"/>
      <c r="J35" s="2427"/>
      <c r="K35" s="3411"/>
      <c r="L35" s="3453"/>
      <c r="M35" s="3410"/>
      <c r="N35" s="2427"/>
      <c r="O35" s="3411"/>
      <c r="P35" s="2427"/>
      <c r="Q35" s="3411"/>
      <c r="R35" s="2427"/>
      <c r="S35" s="3410"/>
      <c r="T35" s="2427"/>
      <c r="U35" s="3410"/>
    </row>
    <row r="36" spans="1:21">
      <c r="A36" s="3433"/>
      <c r="B36" s="3454" t="s">
        <v>1345</v>
      </c>
      <c r="C36" s="3455"/>
      <c r="D36" s="3442"/>
      <c r="E36" s="3456"/>
      <c r="F36" s="3457"/>
      <c r="G36" s="3458"/>
      <c r="H36" s="2427" t="s">
        <v>710</v>
      </c>
      <c r="I36" s="3411"/>
      <c r="J36" s="2427"/>
      <c r="K36" s="3411"/>
      <c r="L36" s="3453"/>
      <c r="M36" s="3410"/>
      <c r="N36" s="2427"/>
      <c r="O36" s="3411"/>
      <c r="P36" s="2427"/>
      <c r="Q36" s="3411"/>
      <c r="R36" s="2427"/>
      <c r="S36" s="3410"/>
      <c r="T36" s="2427"/>
      <c r="U36" s="3410"/>
    </row>
    <row r="37" spans="1:21">
      <c r="A37" s="3433"/>
      <c r="B37" s="3454" t="s">
        <v>1346</v>
      </c>
      <c r="C37" s="3455"/>
      <c r="D37" s="3442"/>
      <c r="E37" s="3456"/>
      <c r="F37" s="3457"/>
      <c r="G37" s="3458"/>
      <c r="H37" s="2427" t="s">
        <v>710</v>
      </c>
      <c r="I37" s="3411"/>
      <c r="J37" s="2427"/>
      <c r="K37" s="3411"/>
      <c r="L37" s="3453"/>
      <c r="M37" s="3410"/>
      <c r="N37" s="2427"/>
      <c r="O37" s="3411"/>
      <c r="P37" s="2427"/>
      <c r="Q37" s="3411"/>
      <c r="R37" s="2427"/>
      <c r="S37" s="3410"/>
      <c r="T37" s="2427"/>
      <c r="U37" s="3410"/>
    </row>
    <row r="38" spans="1:21">
      <c r="A38" s="3433"/>
      <c r="B38" s="3454" t="s">
        <v>1347</v>
      </c>
      <c r="C38" s="3455"/>
      <c r="D38" s="3442"/>
      <c r="E38" s="3456"/>
      <c r="F38" s="3457"/>
      <c r="G38" s="3458"/>
      <c r="H38" s="2427" t="s">
        <v>710</v>
      </c>
      <c r="I38" s="3411"/>
      <c r="J38" s="2427"/>
      <c r="K38" s="3411"/>
      <c r="L38" s="3453"/>
      <c r="M38" s="3410"/>
      <c r="N38" s="2427"/>
      <c r="O38" s="3411"/>
      <c r="P38" s="2427"/>
      <c r="Q38" s="3411"/>
      <c r="R38" s="2427"/>
      <c r="S38" s="3410"/>
      <c r="T38" s="2427"/>
      <c r="U38" s="3410"/>
    </row>
    <row r="39" spans="1:21">
      <c r="A39" s="3433"/>
      <c r="B39" s="3454" t="s">
        <v>1348</v>
      </c>
      <c r="C39" s="3455"/>
      <c r="D39" s="3442"/>
      <c r="E39" s="3456"/>
      <c r="F39" s="3457"/>
      <c r="G39" s="3458"/>
      <c r="H39" s="2427" t="s">
        <v>710</v>
      </c>
      <c r="I39" s="3411"/>
      <c r="J39" s="2427"/>
      <c r="K39" s="3411"/>
      <c r="L39" s="3453"/>
      <c r="M39" s="3410"/>
      <c r="N39" s="2427"/>
      <c r="O39" s="3411"/>
      <c r="P39" s="2427"/>
      <c r="Q39" s="3411"/>
      <c r="R39" s="2427"/>
      <c r="S39" s="3410"/>
      <c r="T39" s="2427"/>
      <c r="U39" s="3410"/>
    </row>
    <row r="40" spans="1:21">
      <c r="A40" s="3433"/>
      <c r="B40" s="3454"/>
      <c r="C40" s="3455"/>
      <c r="D40" s="3442"/>
      <c r="E40" s="3456"/>
      <c r="F40" s="3457"/>
      <c r="G40" s="3458"/>
      <c r="H40" s="2427"/>
      <c r="I40" s="3411"/>
      <c r="J40" s="2427"/>
      <c r="K40" s="3411"/>
      <c r="L40" s="3453"/>
      <c r="M40" s="3410"/>
      <c r="N40" s="2427"/>
      <c r="O40" s="3411"/>
      <c r="P40" s="2427"/>
      <c r="Q40" s="3411"/>
      <c r="R40" s="2427"/>
      <c r="S40" s="3410"/>
      <c r="T40" s="2427"/>
      <c r="U40" s="3410"/>
    </row>
    <row r="41" spans="1:21">
      <c r="A41" s="3433"/>
      <c r="B41" s="3459" t="s">
        <v>694</v>
      </c>
      <c r="C41" s="3460"/>
      <c r="D41" s="3461"/>
      <c r="E41" s="3462"/>
      <c r="F41" s="3463"/>
      <c r="G41" s="3464"/>
      <c r="H41" s="2453"/>
      <c r="I41" s="3465"/>
      <c r="J41" s="2453"/>
      <c r="K41" s="3465"/>
      <c r="L41" s="3466"/>
      <c r="M41" s="3446"/>
      <c r="N41" s="2453"/>
      <c r="O41" s="3465"/>
      <c r="P41" s="2453"/>
      <c r="Q41" s="3465"/>
      <c r="R41" s="2453"/>
      <c r="S41" s="3446"/>
      <c r="T41" s="2453"/>
      <c r="U41" s="3446"/>
    </row>
    <row r="42" spans="1:21">
      <c r="A42" s="3433"/>
      <c r="B42" s="3454"/>
      <c r="C42" s="3455"/>
      <c r="D42" s="3442"/>
      <c r="E42" s="3456"/>
      <c r="F42" s="3457"/>
      <c r="G42" s="3458"/>
      <c r="H42" s="2427"/>
      <c r="I42" s="3411"/>
      <c r="J42" s="2427"/>
      <c r="K42" s="3411"/>
      <c r="L42" s="3453"/>
      <c r="M42" s="3410"/>
      <c r="N42" s="2427"/>
      <c r="O42" s="3411"/>
      <c r="P42" s="2427"/>
      <c r="Q42" s="3411"/>
      <c r="R42" s="2427"/>
      <c r="S42" s="3410"/>
      <c r="T42" s="2427"/>
      <c r="U42" s="3410"/>
    </row>
    <row r="43" spans="1:21">
      <c r="A43" s="3433"/>
      <c r="B43" s="2601" t="s">
        <v>695</v>
      </c>
      <c r="C43" s="3467"/>
      <c r="D43" s="3468"/>
      <c r="E43" s="3469"/>
      <c r="F43" s="3470"/>
      <c r="G43" s="3471"/>
      <c r="H43" s="2459"/>
      <c r="I43" s="3472">
        <f>692840+389280</f>
        <v>1082120</v>
      </c>
      <c r="J43" s="2459"/>
      <c r="K43" s="3473"/>
      <c r="L43" s="3474"/>
      <c r="M43" s="3448"/>
      <c r="N43" s="2459"/>
      <c r="O43" s="3473"/>
      <c r="P43" s="2459"/>
      <c r="Q43" s="3473"/>
      <c r="R43" s="2459"/>
      <c r="S43" s="3448"/>
      <c r="T43" s="2459"/>
      <c r="U43" s="3448"/>
    </row>
    <row r="44" spans="1:21">
      <c r="A44" s="3433"/>
      <c r="B44" s="3454"/>
      <c r="C44" s="3455"/>
      <c r="D44" s="3442"/>
      <c r="E44" s="3456"/>
      <c r="F44" s="3457"/>
      <c r="G44" s="3458"/>
      <c r="H44" s="2427"/>
      <c r="I44" s="3411"/>
      <c r="J44" s="2427"/>
      <c r="K44" s="3411"/>
      <c r="L44" s="3453"/>
      <c r="M44" s="3410"/>
      <c r="N44" s="2427"/>
      <c r="O44" s="3411"/>
      <c r="P44" s="2427"/>
      <c r="Q44" s="3411"/>
      <c r="R44" s="2427"/>
      <c r="S44" s="3410"/>
      <c r="T44" s="2427"/>
      <c r="U44" s="3410"/>
    </row>
    <row r="45" spans="1:21">
      <c r="A45" s="3433" t="s">
        <v>1279</v>
      </c>
      <c r="B45" s="3454" t="s">
        <v>1349</v>
      </c>
      <c r="C45" s="3455" t="s">
        <v>713</v>
      </c>
      <c r="D45" s="3442">
        <v>1532</v>
      </c>
      <c r="E45" s="3456" t="s">
        <v>116</v>
      </c>
      <c r="F45" s="3457">
        <v>10</v>
      </c>
      <c r="G45" s="3458">
        <f t="shared" ref="G45:G52" si="0">D45*F45</f>
        <v>15320</v>
      </c>
      <c r="H45" s="2427" t="s">
        <v>710</v>
      </c>
      <c r="I45" s="3475"/>
      <c r="J45" s="2427"/>
      <c r="K45" s="3411"/>
      <c r="L45" s="3453"/>
      <c r="M45" s="3410"/>
      <c r="N45" s="2427"/>
      <c r="O45" s="3411"/>
      <c r="P45" s="2427"/>
      <c r="Q45" s="3411"/>
      <c r="R45" s="2427"/>
      <c r="S45" s="3410"/>
      <c r="T45" s="2427"/>
      <c r="U45" s="3410"/>
    </row>
    <row r="46" spans="1:21">
      <c r="A46" s="3433" t="s">
        <v>1279</v>
      </c>
      <c r="B46" s="3454" t="s">
        <v>1350</v>
      </c>
      <c r="C46" s="3455" t="s">
        <v>713</v>
      </c>
      <c r="D46" s="3442">
        <v>27693</v>
      </c>
      <c r="E46" s="3456" t="s">
        <v>723</v>
      </c>
      <c r="F46" s="3457">
        <v>5</v>
      </c>
      <c r="G46" s="3458">
        <f t="shared" si="0"/>
        <v>138465</v>
      </c>
      <c r="H46" s="2427" t="s">
        <v>710</v>
      </c>
      <c r="I46" s="3475"/>
      <c r="J46" s="2427"/>
      <c r="K46" s="3411"/>
      <c r="L46" s="3453"/>
      <c r="M46" s="3410"/>
      <c r="N46" s="2427"/>
      <c r="O46" s="3411"/>
      <c r="P46" s="2427"/>
      <c r="Q46" s="3411"/>
      <c r="R46" s="2427"/>
      <c r="S46" s="3410"/>
      <c r="T46" s="2427"/>
      <c r="U46" s="3410"/>
    </row>
    <row r="47" spans="1:21">
      <c r="A47" s="3433" t="s">
        <v>1279</v>
      </c>
      <c r="B47" s="3454" t="s">
        <v>1351</v>
      </c>
      <c r="C47" s="3455" t="s">
        <v>713</v>
      </c>
      <c r="D47" s="3442">
        <v>7210</v>
      </c>
      <c r="E47" s="3456" t="s">
        <v>723</v>
      </c>
      <c r="F47" s="3457">
        <v>5</v>
      </c>
      <c r="G47" s="3458">
        <f t="shared" si="0"/>
        <v>36050</v>
      </c>
      <c r="H47" s="2427" t="s">
        <v>710</v>
      </c>
      <c r="I47" s="3475"/>
      <c r="J47" s="2427"/>
      <c r="K47" s="3411"/>
      <c r="L47" s="3453"/>
      <c r="M47" s="3410"/>
      <c r="N47" s="2427"/>
      <c r="O47" s="3411"/>
      <c r="P47" s="2427"/>
      <c r="Q47" s="3411"/>
      <c r="R47" s="2427"/>
      <c r="S47" s="3410"/>
      <c r="T47" s="2427"/>
      <c r="U47" s="3410"/>
    </row>
    <row r="48" spans="1:21">
      <c r="A48" s="3433" t="s">
        <v>717</v>
      </c>
      <c r="B48" s="3454" t="s">
        <v>1352</v>
      </c>
      <c r="C48" s="3455" t="s">
        <v>1353</v>
      </c>
      <c r="D48" s="3442">
        <v>4925</v>
      </c>
      <c r="E48" s="3456" t="s">
        <v>723</v>
      </c>
      <c r="F48" s="3457">
        <v>5</v>
      </c>
      <c r="G48" s="3458">
        <f>D48*F48</f>
        <v>24625</v>
      </c>
      <c r="H48" s="2427" t="s">
        <v>1354</v>
      </c>
      <c r="I48" s="3475"/>
      <c r="J48" s="2427"/>
      <c r="K48" s="3411"/>
      <c r="L48" s="3453"/>
      <c r="M48" s="3410"/>
      <c r="N48" s="2427"/>
      <c r="O48" s="3411"/>
      <c r="P48" s="2427"/>
      <c r="Q48" s="3411"/>
      <c r="R48" s="2427"/>
      <c r="S48" s="3410"/>
      <c r="T48" s="2427"/>
      <c r="U48" s="3410"/>
    </row>
    <row r="49" spans="1:21">
      <c r="A49" s="3433" t="s">
        <v>1279</v>
      </c>
      <c r="B49" s="3454" t="s">
        <v>1355</v>
      </c>
      <c r="C49" s="3455" t="s">
        <v>1356</v>
      </c>
      <c r="D49" s="3442">
        <f>14370+381+7791</f>
        <v>22542</v>
      </c>
      <c r="E49" s="3456" t="s">
        <v>723</v>
      </c>
      <c r="F49" s="3457">
        <v>5</v>
      </c>
      <c r="G49" s="3458">
        <f t="shared" si="0"/>
        <v>112710</v>
      </c>
      <c r="H49" s="2427" t="s">
        <v>710</v>
      </c>
      <c r="I49" s="3476">
        <f>7791*4</f>
        <v>31164</v>
      </c>
      <c r="J49" s="2427"/>
      <c r="K49" s="3411"/>
      <c r="L49" s="3453"/>
      <c r="M49" s="3410"/>
      <c r="N49" s="2427"/>
      <c r="O49" s="3411"/>
      <c r="P49" s="2427"/>
      <c r="Q49" s="3411"/>
      <c r="R49" s="2427"/>
      <c r="S49" s="3410"/>
      <c r="T49" s="2427"/>
      <c r="U49" s="3410"/>
    </row>
    <row r="50" spans="1:21">
      <c r="A50" s="3433" t="s">
        <v>1279</v>
      </c>
      <c r="B50" s="3454" t="s">
        <v>1357</v>
      </c>
      <c r="C50" s="3455" t="s">
        <v>713</v>
      </c>
      <c r="D50" s="3442">
        <v>3</v>
      </c>
      <c r="E50" s="3456" t="s">
        <v>714</v>
      </c>
      <c r="F50" s="3457">
        <v>3000</v>
      </c>
      <c r="G50" s="3458">
        <f t="shared" si="0"/>
        <v>9000</v>
      </c>
      <c r="H50" s="2427" t="s">
        <v>710</v>
      </c>
      <c r="I50" s="3475"/>
      <c r="J50" s="2427"/>
      <c r="K50" s="3411"/>
      <c r="L50" s="3453"/>
      <c r="M50" s="3410"/>
      <c r="N50" s="2427"/>
      <c r="O50" s="3411"/>
      <c r="P50" s="2427"/>
      <c r="Q50" s="3411"/>
      <c r="R50" s="2427"/>
      <c r="S50" s="3410"/>
      <c r="T50" s="2427"/>
      <c r="U50" s="3410"/>
    </row>
    <row r="51" spans="1:21">
      <c r="A51" s="3433" t="s">
        <v>1279</v>
      </c>
      <c r="B51" s="3454" t="s">
        <v>1358</v>
      </c>
      <c r="C51" s="3455" t="s">
        <v>713</v>
      </c>
      <c r="D51" s="3442">
        <v>1</v>
      </c>
      <c r="E51" s="3456" t="s">
        <v>714</v>
      </c>
      <c r="F51" s="3457">
        <v>500</v>
      </c>
      <c r="G51" s="3458">
        <f t="shared" si="0"/>
        <v>500</v>
      </c>
      <c r="H51" s="2427" t="s">
        <v>710</v>
      </c>
      <c r="I51" s="3475"/>
      <c r="J51" s="2427"/>
      <c r="K51" s="3411"/>
      <c r="L51" s="3453"/>
      <c r="M51" s="3410"/>
      <c r="N51" s="2427"/>
      <c r="O51" s="3411"/>
      <c r="P51" s="2427"/>
      <c r="Q51" s="3411"/>
      <c r="R51" s="2427"/>
      <c r="S51" s="3410"/>
      <c r="T51" s="2427"/>
      <c r="U51" s="3410"/>
    </row>
    <row r="52" spans="1:21">
      <c r="A52" s="3433" t="s">
        <v>1279</v>
      </c>
      <c r="B52" s="3477" t="s">
        <v>1359</v>
      </c>
      <c r="C52" s="3455" t="s">
        <v>713</v>
      </c>
      <c r="D52" s="3442">
        <v>1770</v>
      </c>
      <c r="E52" s="3456" t="s">
        <v>384</v>
      </c>
      <c r="F52" s="3457">
        <v>50</v>
      </c>
      <c r="G52" s="3458">
        <f t="shared" si="0"/>
        <v>88500</v>
      </c>
      <c r="H52" s="2427" t="s">
        <v>710</v>
      </c>
      <c r="I52" s="3475"/>
      <c r="J52" s="2427"/>
      <c r="K52" s="3411"/>
      <c r="L52" s="3453"/>
      <c r="M52" s="3410"/>
      <c r="N52" s="2427"/>
      <c r="O52" s="3411"/>
      <c r="P52" s="2427"/>
      <c r="Q52" s="3411"/>
      <c r="R52" s="2427"/>
      <c r="S52" s="3410"/>
      <c r="T52" s="2427"/>
      <c r="U52" s="3410"/>
    </row>
    <row r="53" spans="1:21">
      <c r="A53" s="3433" t="s">
        <v>1279</v>
      </c>
      <c r="B53" s="3478" t="s">
        <v>1360</v>
      </c>
      <c r="C53" s="3455" t="s">
        <v>1361</v>
      </c>
      <c r="D53" s="3442">
        <v>1</v>
      </c>
      <c r="E53" s="3456" t="s">
        <v>698</v>
      </c>
      <c r="F53" s="3457">
        <v>50000</v>
      </c>
      <c r="G53" s="3458">
        <f>D53*F53</f>
        <v>50000</v>
      </c>
      <c r="H53" s="2427" t="s">
        <v>710</v>
      </c>
      <c r="I53" s="3475"/>
      <c r="J53" s="2427"/>
      <c r="K53" s="3411"/>
      <c r="L53" s="3453"/>
      <c r="M53" s="3410"/>
      <c r="N53" s="2427"/>
      <c r="O53" s="3411"/>
      <c r="P53" s="2427"/>
      <c r="Q53" s="3411"/>
      <c r="R53" s="2427"/>
      <c r="S53" s="3410"/>
      <c r="T53" s="2427"/>
      <c r="U53" s="3410"/>
    </row>
    <row r="54" spans="1:21">
      <c r="A54" s="3433"/>
      <c r="B54" s="3454"/>
      <c r="C54" s="3455"/>
      <c r="D54" s="3442"/>
      <c r="E54" s="3456"/>
      <c r="F54" s="3457"/>
      <c r="G54" s="3458"/>
      <c r="H54" s="2427"/>
      <c r="I54" s="3475"/>
      <c r="J54" s="2427"/>
      <c r="K54" s="3411"/>
      <c r="L54" s="3453"/>
      <c r="M54" s="3410"/>
      <c r="N54" s="2427"/>
      <c r="O54" s="3411"/>
      <c r="P54" s="2427"/>
      <c r="Q54" s="3411"/>
      <c r="R54" s="2427"/>
      <c r="S54" s="3410"/>
      <c r="T54" s="2427"/>
      <c r="U54" s="3410"/>
    </row>
    <row r="55" spans="1:21">
      <c r="A55" s="3433"/>
      <c r="B55" s="3454" t="s">
        <v>1362</v>
      </c>
      <c r="C55" s="3455"/>
      <c r="D55" s="3442">
        <v>1</v>
      </c>
      <c r="E55" s="3456" t="s">
        <v>698</v>
      </c>
      <c r="F55" s="3457">
        <v>25000</v>
      </c>
      <c r="G55" s="3458">
        <f>D55*F55</f>
        <v>25000</v>
      </c>
      <c r="H55" s="2427"/>
      <c r="I55" s="3476">
        <f>G55</f>
        <v>25000</v>
      </c>
      <c r="J55" s="2427"/>
      <c r="K55" s="3411"/>
      <c r="L55" s="3453"/>
      <c r="M55" s="3410"/>
      <c r="N55" s="2427"/>
      <c r="O55" s="3411"/>
      <c r="P55" s="2427"/>
      <c r="Q55" s="3411"/>
      <c r="R55" s="2427"/>
      <c r="S55" s="3410"/>
      <c r="T55" s="2427"/>
      <c r="U55" s="3410"/>
    </row>
    <row r="56" spans="1:21">
      <c r="A56" s="3433"/>
      <c r="B56" s="3454" t="s">
        <v>225</v>
      </c>
      <c r="C56" s="3455"/>
      <c r="D56" s="3442">
        <v>3.49</v>
      </c>
      <c r="E56" s="3456" t="s">
        <v>699</v>
      </c>
      <c r="F56" s="3457">
        <v>100000</v>
      </c>
      <c r="G56" s="3458">
        <f>D56*F56</f>
        <v>349000</v>
      </c>
      <c r="H56" s="2427"/>
      <c r="I56" s="3475"/>
      <c r="J56" s="2427"/>
      <c r="K56" s="3411"/>
      <c r="L56" s="3453"/>
      <c r="M56" s="3410"/>
      <c r="N56" s="2427"/>
      <c r="O56" s="3411"/>
      <c r="P56" s="2427"/>
      <c r="Q56" s="3411"/>
      <c r="R56" s="2427"/>
      <c r="S56" s="3410"/>
      <c r="T56" s="2427"/>
      <c r="U56" s="3410"/>
    </row>
    <row r="57" spans="1:21">
      <c r="A57" s="3433"/>
      <c r="B57" s="3454" t="s">
        <v>1363</v>
      </c>
      <c r="C57" s="3455" t="s">
        <v>713</v>
      </c>
      <c r="D57" s="3442">
        <v>1</v>
      </c>
      <c r="E57" s="3456" t="s">
        <v>698</v>
      </c>
      <c r="F57" s="3457">
        <v>100000</v>
      </c>
      <c r="G57" s="3458">
        <f>D57*F57</f>
        <v>100000</v>
      </c>
      <c r="H57" s="2427" t="s">
        <v>710</v>
      </c>
      <c r="I57" s="3475" t="s">
        <v>1364</v>
      </c>
      <c r="J57" s="2427"/>
      <c r="K57" s="3411"/>
      <c r="L57" s="3453"/>
      <c r="M57" s="3410"/>
      <c r="N57" s="2427"/>
      <c r="O57" s="3411"/>
      <c r="P57" s="2427"/>
      <c r="Q57" s="3411"/>
      <c r="R57" s="2427"/>
      <c r="S57" s="3410"/>
      <c r="T57" s="2427"/>
      <c r="U57" s="3410"/>
    </row>
    <row r="58" spans="1:21">
      <c r="A58" s="3433"/>
      <c r="B58" s="3454" t="s">
        <v>1365</v>
      </c>
      <c r="C58" s="3455" t="s">
        <v>731</v>
      </c>
      <c r="D58" s="3442">
        <f>44+83+54+81+145+89+65</f>
        <v>561</v>
      </c>
      <c r="E58" s="3456" t="s">
        <v>116</v>
      </c>
      <c r="F58" s="3457">
        <v>100</v>
      </c>
      <c r="G58" s="3458">
        <f t="shared" ref="G58:G65" si="1">D58*F58</f>
        <v>56100</v>
      </c>
      <c r="H58" s="2427" t="s">
        <v>710</v>
      </c>
      <c r="I58" s="3475"/>
      <c r="J58" s="2427"/>
      <c r="K58" s="3411"/>
      <c r="L58" s="3453"/>
      <c r="M58" s="3410"/>
      <c r="N58" s="2427"/>
      <c r="O58" s="3411"/>
      <c r="P58" s="2427"/>
      <c r="Q58" s="3411"/>
      <c r="R58" s="2427"/>
      <c r="S58" s="3410"/>
      <c r="T58" s="2427"/>
      <c r="U58" s="3410"/>
    </row>
    <row r="59" spans="1:21">
      <c r="A59" s="3433"/>
      <c r="B59" s="3454" t="s">
        <v>1366</v>
      </c>
      <c r="C59" s="3455" t="s">
        <v>731</v>
      </c>
      <c r="D59" s="3442">
        <f>83+54+89</f>
        <v>226</v>
      </c>
      <c r="E59" s="3456" t="s">
        <v>116</v>
      </c>
      <c r="F59" s="3457">
        <v>125</v>
      </c>
      <c r="G59" s="3458">
        <f t="shared" si="1"/>
        <v>28250</v>
      </c>
      <c r="H59" s="2427" t="s">
        <v>710</v>
      </c>
      <c r="I59" s="3475"/>
      <c r="J59" s="2427"/>
      <c r="K59" s="3411"/>
      <c r="L59" s="3453"/>
      <c r="M59" s="3410"/>
      <c r="N59" s="2427"/>
      <c r="O59" s="3411"/>
      <c r="P59" s="2427"/>
      <c r="Q59" s="3411"/>
      <c r="R59" s="2427"/>
      <c r="S59" s="3410"/>
      <c r="T59" s="2427"/>
      <c r="U59" s="3410"/>
    </row>
    <row r="60" spans="1:21">
      <c r="A60" s="3433"/>
      <c r="B60" s="3454" t="s">
        <v>1367</v>
      </c>
      <c r="C60" s="3455" t="s">
        <v>731</v>
      </c>
      <c r="D60" s="3442">
        <v>2</v>
      </c>
      <c r="E60" s="3456" t="s">
        <v>714</v>
      </c>
      <c r="F60" s="3457">
        <v>2500</v>
      </c>
      <c r="G60" s="3458">
        <f t="shared" si="1"/>
        <v>5000</v>
      </c>
      <c r="H60" s="2427" t="s">
        <v>710</v>
      </c>
      <c r="I60" s="3475"/>
      <c r="J60" s="2427"/>
      <c r="K60" s="3411"/>
      <c r="L60" s="3453"/>
      <c r="M60" s="3410"/>
      <c r="N60" s="2427"/>
      <c r="O60" s="3411"/>
      <c r="P60" s="2427"/>
      <c r="Q60" s="3411"/>
      <c r="R60" s="2427"/>
      <c r="S60" s="3410"/>
      <c r="T60" s="2427"/>
      <c r="U60" s="3410"/>
    </row>
    <row r="61" spans="1:21">
      <c r="A61" s="3433"/>
      <c r="B61" s="3454" t="s">
        <v>1368</v>
      </c>
      <c r="C61" s="3455" t="s">
        <v>731</v>
      </c>
      <c r="D61" s="3442">
        <v>2</v>
      </c>
      <c r="E61" s="3456" t="s">
        <v>714</v>
      </c>
      <c r="F61" s="3457">
        <v>8000</v>
      </c>
      <c r="G61" s="3458">
        <f t="shared" si="1"/>
        <v>16000</v>
      </c>
      <c r="H61" s="2427" t="s">
        <v>710</v>
      </c>
      <c r="I61" s="3475"/>
      <c r="J61" s="2427"/>
      <c r="K61" s="3411"/>
      <c r="L61" s="3453"/>
      <c r="M61" s="3410"/>
      <c r="N61" s="2427"/>
      <c r="O61" s="3411"/>
      <c r="P61" s="2427"/>
      <c r="Q61" s="3411"/>
      <c r="R61" s="2427"/>
      <c r="S61" s="3410"/>
      <c r="T61" s="2427"/>
      <c r="U61" s="3410"/>
    </row>
    <row r="62" spans="1:21">
      <c r="A62" s="3433"/>
      <c r="B62" s="3454" t="s">
        <v>1369</v>
      </c>
      <c r="C62" s="3455" t="s">
        <v>731</v>
      </c>
      <c r="D62" s="3442">
        <v>5</v>
      </c>
      <c r="E62" s="3456" t="s">
        <v>714</v>
      </c>
      <c r="F62" s="3457">
        <v>3000</v>
      </c>
      <c r="G62" s="3458">
        <f t="shared" si="1"/>
        <v>15000</v>
      </c>
      <c r="H62" s="2427" t="s">
        <v>710</v>
      </c>
      <c r="I62" s="3475"/>
      <c r="J62" s="2427"/>
      <c r="K62" s="3411"/>
      <c r="L62" s="3453"/>
      <c r="M62" s="3410"/>
      <c r="N62" s="2427"/>
      <c r="O62" s="3411"/>
      <c r="P62" s="2427"/>
      <c r="Q62" s="3411"/>
      <c r="R62" s="2427"/>
      <c r="S62" s="3410"/>
      <c r="T62" s="2427"/>
      <c r="U62" s="3410"/>
    </row>
    <row r="63" spans="1:21">
      <c r="A63" s="3433"/>
      <c r="B63" s="3454" t="s">
        <v>1370</v>
      </c>
      <c r="C63" s="3455" t="s">
        <v>731</v>
      </c>
      <c r="D63" s="3442">
        <v>47</v>
      </c>
      <c r="E63" s="3456" t="s">
        <v>116</v>
      </c>
      <c r="F63" s="3457">
        <v>200</v>
      </c>
      <c r="G63" s="3458">
        <f t="shared" ref="G63" si="2">D63*F63</f>
        <v>9400</v>
      </c>
      <c r="H63" s="2427" t="s">
        <v>710</v>
      </c>
      <c r="I63" s="3475"/>
      <c r="J63" s="2427"/>
      <c r="K63" s="3411"/>
      <c r="L63" s="3453"/>
      <c r="M63" s="3410"/>
      <c r="N63" s="2427"/>
      <c r="O63" s="3411"/>
      <c r="P63" s="2427"/>
      <c r="Q63" s="3411"/>
      <c r="R63" s="2427"/>
      <c r="S63" s="3410"/>
      <c r="T63" s="2427"/>
      <c r="U63" s="3410"/>
    </row>
    <row r="64" spans="1:21">
      <c r="A64" s="3433"/>
      <c r="B64" s="3454" t="s">
        <v>1371</v>
      </c>
      <c r="C64" s="3455" t="s">
        <v>731</v>
      </c>
      <c r="D64" s="3442">
        <v>47</v>
      </c>
      <c r="E64" s="3456" t="s">
        <v>116</v>
      </c>
      <c r="F64" s="3457">
        <v>150</v>
      </c>
      <c r="G64" s="3458">
        <f t="shared" ref="G64" si="3">D64*F64</f>
        <v>7050</v>
      </c>
      <c r="H64" s="2427" t="s">
        <v>710</v>
      </c>
      <c r="I64" s="3475"/>
      <c r="J64" s="2427"/>
      <c r="K64" s="3411"/>
      <c r="L64" s="3453"/>
      <c r="M64" s="3410"/>
      <c r="N64" s="2427"/>
      <c r="O64" s="3411"/>
      <c r="P64" s="2427"/>
      <c r="Q64" s="3411"/>
      <c r="R64" s="2427"/>
      <c r="S64" s="3410"/>
      <c r="T64" s="2427"/>
      <c r="U64" s="3410"/>
    </row>
    <row r="65" spans="1:21">
      <c r="A65" s="3433"/>
      <c r="B65" s="3454" t="s">
        <v>1372</v>
      </c>
      <c r="C65" s="3455" t="s">
        <v>731</v>
      </c>
      <c r="D65" s="3442">
        <f>9548+8381</f>
        <v>17929</v>
      </c>
      <c r="E65" s="3456" t="s">
        <v>723</v>
      </c>
      <c r="F65" s="3457">
        <v>8</v>
      </c>
      <c r="G65" s="3458">
        <f t="shared" si="1"/>
        <v>143432</v>
      </c>
      <c r="H65" s="2427" t="s">
        <v>710</v>
      </c>
      <c r="I65" s="3475"/>
      <c r="J65" s="2427"/>
      <c r="K65" s="3411"/>
      <c r="L65" s="3453"/>
      <c r="M65" s="3410"/>
      <c r="N65" s="2427"/>
      <c r="O65" s="3411"/>
      <c r="P65" s="2427"/>
      <c r="Q65" s="3411"/>
      <c r="R65" s="2427"/>
      <c r="S65" s="3410"/>
      <c r="T65" s="2427"/>
      <c r="U65" s="3410"/>
    </row>
    <row r="66" spans="1:21">
      <c r="A66" s="3433"/>
      <c r="B66" s="3454" t="s">
        <v>1373</v>
      </c>
      <c r="C66" s="3455" t="s">
        <v>1353</v>
      </c>
      <c r="D66" s="3442">
        <v>3220</v>
      </c>
      <c r="E66" s="3456" t="s">
        <v>723</v>
      </c>
      <c r="F66" s="3457">
        <v>8</v>
      </c>
      <c r="G66" s="3458">
        <f t="shared" ref="G66" si="4">D66*F66</f>
        <v>25760</v>
      </c>
      <c r="H66" s="2427" t="s">
        <v>710</v>
      </c>
      <c r="I66" s="3475"/>
      <c r="J66" s="2427"/>
      <c r="K66" s="3411"/>
      <c r="L66" s="3453"/>
      <c r="M66" s="3410"/>
      <c r="N66" s="2427"/>
      <c r="O66" s="3411"/>
      <c r="P66" s="2427"/>
      <c r="Q66" s="3411"/>
      <c r="R66" s="2427"/>
      <c r="S66" s="3410"/>
      <c r="T66" s="2427"/>
      <c r="U66" s="3410"/>
    </row>
    <row r="67" spans="1:21">
      <c r="A67" s="3433"/>
      <c r="B67" s="3454"/>
      <c r="C67" s="3455"/>
      <c r="D67" s="3442"/>
      <c r="E67" s="3456"/>
      <c r="F67" s="3457"/>
      <c r="G67" s="3458"/>
      <c r="H67" s="2427"/>
      <c r="I67" s="3411"/>
      <c r="J67" s="2427"/>
      <c r="K67" s="3411"/>
      <c r="L67" s="3453"/>
      <c r="M67" s="3410"/>
      <c r="N67" s="2427"/>
      <c r="O67" s="3411"/>
      <c r="P67" s="2427"/>
      <c r="Q67" s="3411"/>
      <c r="R67" s="2427"/>
      <c r="S67" s="3410"/>
      <c r="T67" s="2427"/>
      <c r="U67" s="3410"/>
    </row>
    <row r="68" spans="1:21">
      <c r="A68" s="3433"/>
      <c r="B68" s="3459" t="s">
        <v>649</v>
      </c>
      <c r="C68" s="3460"/>
      <c r="D68" s="3461"/>
      <c r="E68" s="3462"/>
      <c r="F68" s="3463"/>
      <c r="G68" s="3464"/>
      <c r="H68" s="2453"/>
      <c r="I68" s="3465"/>
      <c r="J68" s="2453"/>
      <c r="K68" s="3465"/>
      <c r="L68" s="3466"/>
      <c r="M68" s="3446"/>
      <c r="N68" s="2453"/>
      <c r="O68" s="3465"/>
      <c r="P68" s="2453"/>
      <c r="Q68" s="3465"/>
      <c r="R68" s="2453"/>
      <c r="S68" s="3446"/>
      <c r="T68" s="2453"/>
      <c r="U68" s="3446"/>
    </row>
    <row r="69" spans="1:21">
      <c r="A69" s="3433"/>
      <c r="B69" s="3454"/>
      <c r="C69" s="3455"/>
      <c r="D69" s="3442"/>
      <c r="E69" s="3456"/>
      <c r="F69" s="3457"/>
      <c r="G69" s="3458"/>
      <c r="H69" s="2427"/>
      <c r="I69" s="3411"/>
      <c r="J69" s="2427"/>
      <c r="K69" s="3411"/>
      <c r="L69" s="3453"/>
      <c r="M69" s="3410"/>
      <c r="N69" s="2427"/>
      <c r="O69" s="3411"/>
      <c r="P69" s="2427"/>
      <c r="Q69" s="3411"/>
      <c r="R69" s="2427"/>
      <c r="S69" s="3410"/>
      <c r="T69" s="2427"/>
      <c r="U69" s="3410"/>
    </row>
    <row r="70" spans="1:21">
      <c r="A70" s="3433"/>
      <c r="B70" s="2601" t="s">
        <v>700</v>
      </c>
      <c r="C70" s="3467"/>
      <c r="D70" s="3468"/>
      <c r="E70" s="3469"/>
      <c r="F70" s="3470"/>
      <c r="G70" s="3471"/>
      <c r="H70" s="2459"/>
      <c r="I70" s="3473"/>
      <c r="J70" s="2459"/>
      <c r="K70" s="3473"/>
      <c r="L70" s="3474"/>
      <c r="M70" s="3448"/>
      <c r="N70" s="2459"/>
      <c r="O70" s="3473"/>
      <c r="P70" s="2459"/>
      <c r="Q70" s="3473"/>
      <c r="R70" s="2459"/>
      <c r="S70" s="3448"/>
      <c r="T70" s="2459"/>
      <c r="U70" s="3448"/>
    </row>
    <row r="71" spans="1:21">
      <c r="A71" s="3433"/>
      <c r="B71" s="3454" t="s">
        <v>701</v>
      </c>
      <c r="C71" s="3455" t="s">
        <v>1353</v>
      </c>
      <c r="D71" s="3442">
        <f>'Cost Summary'!$N$9</f>
        <v>2.14</v>
      </c>
      <c r="E71" s="3456" t="s">
        <v>699</v>
      </c>
      <c r="F71" s="3457">
        <v>250000</v>
      </c>
      <c r="G71" s="3458">
        <f>D71*F71</f>
        <v>535000</v>
      </c>
      <c r="H71" s="2427"/>
      <c r="I71" s="3472">
        <v>550000</v>
      </c>
      <c r="J71" s="2427"/>
      <c r="K71" s="3411"/>
      <c r="L71" s="3453"/>
      <c r="M71" s="3410"/>
      <c r="N71" s="2427"/>
      <c r="O71" s="3411"/>
      <c r="P71" s="2427"/>
      <c r="Q71" s="3411"/>
      <c r="R71" s="2427"/>
      <c r="S71" s="3410"/>
      <c r="T71" s="2427"/>
      <c r="U71" s="3410"/>
    </row>
    <row r="72" spans="1:21">
      <c r="A72" s="3433"/>
      <c r="B72" s="3454"/>
      <c r="C72" s="3455"/>
      <c r="D72" s="3442"/>
      <c r="E72" s="3456"/>
      <c r="F72" s="3457"/>
      <c r="G72" s="3458"/>
      <c r="H72" s="2427"/>
      <c r="I72" s="3411"/>
      <c r="J72" s="2427"/>
      <c r="K72" s="3411"/>
      <c r="L72" s="3453"/>
      <c r="M72" s="3410"/>
      <c r="N72" s="2427"/>
      <c r="O72" s="3411"/>
      <c r="P72" s="2427"/>
      <c r="Q72" s="3411"/>
      <c r="R72" s="2427"/>
      <c r="S72" s="3410"/>
      <c r="T72" s="2427"/>
      <c r="U72" s="3410"/>
    </row>
    <row r="73" spans="1:21">
      <c r="A73" s="3433"/>
      <c r="B73" s="3459" t="s">
        <v>703</v>
      </c>
      <c r="C73" s="3460"/>
      <c r="D73" s="3461"/>
      <c r="E73" s="3462"/>
      <c r="F73" s="3463"/>
      <c r="G73" s="3464"/>
      <c r="H73" s="2453"/>
      <c r="I73" s="3465"/>
      <c r="J73" s="2453"/>
      <c r="K73" s="3465"/>
      <c r="L73" s="3466"/>
      <c r="M73" s="3446"/>
      <c r="N73" s="2453"/>
      <c r="O73" s="3465"/>
      <c r="P73" s="2453"/>
      <c r="Q73" s="3465"/>
      <c r="R73" s="2453"/>
      <c r="S73" s="3446"/>
      <c r="T73" s="2453"/>
      <c r="U73" s="3446"/>
    </row>
    <row r="74" spans="1:21">
      <c r="A74" s="3433"/>
      <c r="B74" s="3454"/>
      <c r="C74" s="3455"/>
      <c r="D74" s="3442"/>
      <c r="E74" s="3456"/>
      <c r="F74" s="3457"/>
      <c r="G74" s="3458"/>
      <c r="H74" s="2427"/>
      <c r="I74" s="3411"/>
      <c r="J74" s="2427"/>
      <c r="K74" s="3411"/>
      <c r="L74" s="3453"/>
      <c r="M74" s="3410"/>
      <c r="N74" s="2427"/>
      <c r="O74" s="3411"/>
      <c r="P74" s="2427"/>
      <c r="Q74" s="3411"/>
      <c r="R74" s="2427"/>
      <c r="S74" s="3410"/>
      <c r="T74" s="2427"/>
      <c r="U74" s="3410"/>
    </row>
    <row r="75" spans="1:21">
      <c r="A75" s="3433"/>
      <c r="B75" s="2601" t="s">
        <v>704</v>
      </c>
      <c r="C75" s="3467"/>
      <c r="D75" s="3468"/>
      <c r="E75" s="3469"/>
      <c r="F75" s="3470"/>
      <c r="G75" s="3471"/>
      <c r="H75" s="2459"/>
      <c r="I75" s="3472">
        <v>394320</v>
      </c>
      <c r="J75" s="2459"/>
      <c r="K75" s="3473"/>
      <c r="L75" s="3474"/>
      <c r="M75" s="3448"/>
      <c r="N75" s="2459"/>
      <c r="O75" s="3473"/>
      <c r="P75" s="2459"/>
      <c r="Q75" s="3473"/>
      <c r="R75" s="2459"/>
      <c r="S75" s="3448"/>
      <c r="T75" s="2459"/>
      <c r="U75" s="3448"/>
    </row>
    <row r="76" spans="1:21">
      <c r="A76" s="3433"/>
      <c r="B76" s="3454" t="s">
        <v>701</v>
      </c>
      <c r="C76" s="3455" t="s">
        <v>1374</v>
      </c>
      <c r="D76" s="3442">
        <f>'Cost Summary'!$R$9</f>
        <v>0.96</v>
      </c>
      <c r="E76" s="3456" t="s">
        <v>699</v>
      </c>
      <c r="F76" s="3457">
        <v>350000</v>
      </c>
      <c r="G76" s="3458">
        <f>D76*F76</f>
        <v>336000</v>
      </c>
      <c r="H76" s="2427"/>
      <c r="I76" s="3475"/>
      <c r="J76" s="2427"/>
      <c r="K76" s="3411"/>
      <c r="L76" s="3453"/>
      <c r="M76" s="3410"/>
      <c r="N76" s="2427"/>
      <c r="O76" s="3411"/>
      <c r="P76" s="2427"/>
      <c r="Q76" s="3411"/>
      <c r="R76" s="2427"/>
      <c r="S76" s="3410"/>
      <c r="T76" s="2427"/>
      <c r="U76" s="3410"/>
    </row>
    <row r="77" spans="1:21">
      <c r="A77" s="3433"/>
      <c r="B77" s="3454"/>
      <c r="C77" s="3455"/>
      <c r="D77" s="3442"/>
      <c r="E77" s="3456"/>
      <c r="F77" s="3457"/>
      <c r="G77" s="3458"/>
      <c r="H77" s="2427"/>
      <c r="I77" s="3411"/>
      <c r="J77" s="2427"/>
      <c r="K77" s="3411"/>
      <c r="L77" s="3453"/>
      <c r="M77" s="3410"/>
      <c r="N77" s="2427"/>
      <c r="O77" s="3411"/>
      <c r="P77" s="2427"/>
      <c r="Q77" s="3411"/>
      <c r="R77" s="2427"/>
      <c r="S77" s="3410"/>
      <c r="T77" s="2427"/>
      <c r="U77" s="3410"/>
    </row>
    <row r="78" spans="1:21">
      <c r="A78" s="3433"/>
      <c r="B78" s="3459" t="s">
        <v>705</v>
      </c>
      <c r="C78" s="3460"/>
      <c r="D78" s="3461"/>
      <c r="E78" s="3462"/>
      <c r="F78" s="3463"/>
      <c r="G78" s="3464"/>
      <c r="H78" s="2453"/>
      <c r="I78" s="3465"/>
      <c r="J78" s="2453"/>
      <c r="K78" s="3465"/>
      <c r="L78" s="3466"/>
      <c r="M78" s="3446"/>
      <c r="N78" s="2453"/>
      <c r="O78" s="3465"/>
      <c r="P78" s="2453"/>
      <c r="Q78" s="3465"/>
      <c r="R78" s="2453"/>
      <c r="S78" s="3446"/>
      <c r="T78" s="2453"/>
      <c r="U78" s="3446"/>
    </row>
    <row r="79" spans="1:21">
      <c r="A79" s="3433"/>
      <c r="B79" s="3454"/>
      <c r="C79" s="3455"/>
      <c r="D79" s="3442"/>
      <c r="E79" s="3456"/>
      <c r="F79" s="3457"/>
      <c r="G79" s="3458"/>
      <c r="H79" s="2427"/>
      <c r="I79" s="3411"/>
      <c r="J79" s="2427"/>
      <c r="K79" s="3411"/>
      <c r="L79" s="3453"/>
      <c r="M79" s="3410"/>
      <c r="N79" s="2427"/>
      <c r="O79" s="3411"/>
      <c r="P79" s="2427"/>
      <c r="Q79" s="3411"/>
      <c r="R79" s="2427"/>
      <c r="S79" s="3410"/>
      <c r="T79" s="2427"/>
      <c r="U79" s="3410"/>
    </row>
    <row r="80" spans="1:21">
      <c r="A80" s="3433"/>
      <c r="B80" s="2601" t="s">
        <v>602</v>
      </c>
      <c r="C80" s="3467"/>
      <c r="D80" s="3468"/>
      <c r="E80" s="3469"/>
      <c r="F80" s="3470"/>
      <c r="G80" s="3471"/>
      <c r="H80" s="2459"/>
      <c r="I80" s="3473"/>
      <c r="J80" s="2459"/>
      <c r="K80" s="3473"/>
      <c r="L80" s="3474"/>
      <c r="M80" s="3448"/>
      <c r="N80" s="2459"/>
      <c r="O80" s="3473"/>
      <c r="P80" s="2459"/>
      <c r="Q80" s="3473"/>
      <c r="R80" s="2459"/>
      <c r="S80" s="3448"/>
      <c r="T80" s="2459"/>
      <c r="U80" s="3448"/>
    </row>
    <row r="81" spans="1:21">
      <c r="A81" s="3433"/>
      <c r="B81" s="3454"/>
      <c r="C81" s="3455"/>
      <c r="D81" s="3442"/>
      <c r="E81" s="3456"/>
      <c r="F81" s="3457"/>
      <c r="G81" s="3458"/>
      <c r="H81" s="2427"/>
      <c r="I81" s="3411"/>
      <c r="J81" s="2427"/>
      <c r="K81" s="3411"/>
      <c r="L81" s="3453"/>
      <c r="M81" s="3410"/>
      <c r="N81" s="2427"/>
      <c r="O81" s="3411"/>
      <c r="P81" s="2427"/>
      <c r="Q81" s="3411"/>
      <c r="R81" s="2427"/>
      <c r="S81" s="3410"/>
      <c r="T81" s="2427"/>
      <c r="U81" s="3410"/>
    </row>
    <row r="82" spans="1:21">
      <c r="A82" s="3433"/>
      <c r="B82" s="3454"/>
      <c r="C82" s="3455"/>
      <c r="D82" s="3442"/>
      <c r="E82" s="3456"/>
      <c r="F82" s="3457"/>
      <c r="G82" s="3458"/>
      <c r="H82" s="2427"/>
      <c r="I82" s="3411"/>
      <c r="J82" s="2427"/>
      <c r="K82" s="3411"/>
      <c r="L82" s="3453"/>
      <c r="M82" s="3410"/>
      <c r="N82" s="2427"/>
      <c r="O82" s="3411"/>
      <c r="P82" s="2427"/>
      <c r="Q82" s="3411"/>
      <c r="R82" s="2427"/>
      <c r="S82" s="3410"/>
      <c r="T82" s="2427"/>
      <c r="U82" s="3410"/>
    </row>
    <row r="83" spans="1:21" hidden="1">
      <c r="A83" s="3433"/>
      <c r="B83" s="3454" t="s">
        <v>1375</v>
      </c>
      <c r="C83" s="3455"/>
      <c r="D83" s="3442"/>
      <c r="E83" s="3456"/>
      <c r="F83" s="3479"/>
      <c r="G83" s="3458"/>
      <c r="H83" s="2427"/>
      <c r="I83" s="3411"/>
      <c r="J83" s="2427"/>
      <c r="K83" s="3411"/>
      <c r="L83" s="3453"/>
      <c r="M83" s="3410"/>
      <c r="N83" s="2427"/>
      <c r="O83" s="3411"/>
      <c r="P83" s="2427"/>
      <c r="Q83" s="3411"/>
      <c r="R83" s="2427"/>
      <c r="S83" s="3410"/>
      <c r="T83" s="2427"/>
      <c r="U83" s="3410"/>
    </row>
    <row r="84" spans="1:21" hidden="1">
      <c r="A84" s="3433"/>
      <c r="B84" s="3480" t="s">
        <v>681</v>
      </c>
      <c r="C84" s="3455"/>
      <c r="D84" s="3442"/>
      <c r="E84" s="3456"/>
      <c r="F84" s="3481"/>
      <c r="G84" s="3458"/>
      <c r="H84" s="2427"/>
      <c r="I84" s="3410"/>
      <c r="J84" s="2427"/>
      <c r="K84" s="3410"/>
      <c r="L84" s="3411"/>
      <c r="M84" s="3409"/>
      <c r="N84" s="2427"/>
      <c r="O84" s="3410"/>
      <c r="P84" s="2427"/>
      <c r="Q84" s="3410"/>
      <c r="R84" s="2427"/>
      <c r="S84" s="3410"/>
      <c r="T84" s="2427"/>
      <c r="U84" s="3411"/>
    </row>
    <row r="85" spans="1:21" hidden="1">
      <c r="A85" s="2685"/>
      <c r="B85" s="3454"/>
      <c r="C85" s="3455"/>
      <c r="D85" s="3442"/>
      <c r="E85" s="3456"/>
      <c r="F85" s="3481"/>
      <c r="G85" s="3458"/>
      <c r="H85" s="2427"/>
      <c r="I85" s="3410"/>
      <c r="J85" s="2427"/>
      <c r="K85" s="3410"/>
      <c r="L85" s="3411"/>
      <c r="M85" s="3410"/>
      <c r="N85" s="2427"/>
      <c r="O85" s="3410"/>
      <c r="P85" s="2427"/>
      <c r="Q85" s="3410"/>
      <c r="R85" s="2427"/>
      <c r="S85" s="3410"/>
      <c r="T85" s="2427"/>
      <c r="U85" s="3411"/>
    </row>
    <row r="86" spans="1:21" hidden="1">
      <c r="A86" s="3433"/>
      <c r="B86" s="3454"/>
      <c r="C86" s="3455"/>
      <c r="D86" s="3442"/>
      <c r="E86" s="3456"/>
      <c r="F86" s="3481"/>
      <c r="G86" s="3458"/>
      <c r="H86" s="2427"/>
      <c r="I86" s="3410"/>
      <c r="J86" s="2427"/>
      <c r="K86" s="3410"/>
      <c r="L86" s="3411"/>
      <c r="M86" s="3410"/>
      <c r="N86" s="2427"/>
      <c r="O86" s="3410"/>
      <c r="P86" s="2427"/>
      <c r="Q86" s="3410"/>
      <c r="R86" s="2427"/>
      <c r="S86" s="3410"/>
      <c r="T86" s="2427"/>
      <c r="U86" s="3411"/>
    </row>
    <row r="87" spans="1:21" hidden="1">
      <c r="A87" s="3433"/>
      <c r="B87" s="3482" t="s">
        <v>1376</v>
      </c>
      <c r="C87" s="3455"/>
      <c r="D87" s="3442"/>
      <c r="E87" s="3456"/>
      <c r="F87" s="3481"/>
      <c r="G87" s="3458"/>
      <c r="H87" s="2427"/>
      <c r="I87" s="3410"/>
      <c r="J87" s="2427"/>
      <c r="K87" s="3410"/>
      <c r="L87" s="3411"/>
      <c r="M87" s="3410"/>
      <c r="N87" s="2427"/>
      <c r="O87" s="3410"/>
      <c r="P87" s="2427"/>
      <c r="Q87" s="3410"/>
      <c r="R87" s="2427"/>
      <c r="S87" s="3410"/>
      <c r="T87" s="2427"/>
      <c r="U87" s="3411"/>
    </row>
    <row r="88" spans="1:21" hidden="1">
      <c r="A88" s="3433"/>
      <c r="B88" s="3483" t="s">
        <v>1377</v>
      </c>
      <c r="C88" s="3455"/>
      <c r="D88" s="3442"/>
      <c r="E88" s="3456"/>
      <c r="F88" s="3484"/>
      <c r="G88" s="3458"/>
      <c r="H88" s="2427"/>
      <c r="I88" s="3410"/>
      <c r="J88" s="2427"/>
      <c r="K88" s="3410"/>
      <c r="L88" s="3411"/>
      <c r="M88" s="3410"/>
      <c r="N88" s="2427"/>
      <c r="O88" s="3410"/>
      <c r="P88" s="2427"/>
      <c r="Q88" s="3410"/>
      <c r="R88" s="2427"/>
      <c r="S88" s="3410"/>
      <c r="T88" s="2427"/>
      <c r="U88" s="3411"/>
    </row>
    <row r="89" spans="1:21" hidden="1">
      <c r="A89" s="3433"/>
      <c r="B89" s="3483" t="s">
        <v>1378</v>
      </c>
      <c r="C89" s="3455"/>
      <c r="D89" s="3442"/>
      <c r="E89" s="3456"/>
      <c r="F89" s="3484"/>
      <c r="G89" s="3458"/>
      <c r="H89" s="2427"/>
      <c r="I89" s="3410"/>
      <c r="J89" s="2427"/>
      <c r="K89" s="3410"/>
      <c r="L89" s="3411"/>
      <c r="M89" s="3410"/>
      <c r="N89" s="2427"/>
      <c r="O89" s="3410"/>
      <c r="P89" s="2427"/>
      <c r="Q89" s="3410"/>
      <c r="R89" s="2427"/>
      <c r="S89" s="3410"/>
      <c r="T89" s="2427"/>
      <c r="U89" s="3411"/>
    </row>
    <row r="90" spans="1:21" hidden="1">
      <c r="A90" s="3433"/>
      <c r="B90" s="3483" t="s">
        <v>1379</v>
      </c>
      <c r="C90" s="3455"/>
      <c r="D90" s="3442"/>
      <c r="E90" s="3456"/>
      <c r="F90" s="3484"/>
      <c r="G90" s="3458"/>
      <c r="H90" s="2427"/>
      <c r="I90" s="3410"/>
      <c r="J90" s="2427"/>
      <c r="K90" s="3410"/>
      <c r="L90" s="3411"/>
      <c r="M90" s="3410"/>
      <c r="N90" s="2427"/>
      <c r="O90" s="3410"/>
      <c r="P90" s="2427"/>
      <c r="Q90" s="3410"/>
      <c r="R90" s="2427"/>
      <c r="S90" s="3410"/>
      <c r="T90" s="2427"/>
      <c r="U90" s="3411"/>
    </row>
    <row r="91" spans="1:21" hidden="1">
      <c r="A91" s="3433"/>
      <c r="B91" s="3483" t="s">
        <v>1380</v>
      </c>
      <c r="C91" s="3455"/>
      <c r="D91" s="3442"/>
      <c r="E91" s="3456"/>
      <c r="F91" s="3484"/>
      <c r="G91" s="3458"/>
      <c r="H91" s="2427"/>
      <c r="I91" s="3410"/>
      <c r="J91" s="2427"/>
      <c r="K91" s="3410"/>
      <c r="L91" s="3411"/>
      <c r="M91" s="3410"/>
      <c r="N91" s="2427"/>
      <c r="O91" s="3410"/>
      <c r="P91" s="2427"/>
      <c r="Q91" s="3410"/>
      <c r="R91" s="2427"/>
      <c r="S91" s="3410"/>
      <c r="T91" s="2427"/>
      <c r="U91" s="3411"/>
    </row>
    <row r="92" spans="1:21" hidden="1">
      <c r="A92" s="3433"/>
      <c r="B92" s="3483" t="s">
        <v>1381</v>
      </c>
      <c r="C92" s="3455"/>
      <c r="D92" s="3442"/>
      <c r="E92" s="3456"/>
      <c r="F92" s="3481"/>
      <c r="G92" s="3458"/>
      <c r="H92" s="2427"/>
      <c r="I92" s="3410"/>
      <c r="J92" s="2427"/>
      <c r="K92" s="3410"/>
      <c r="L92" s="3411"/>
      <c r="M92" s="3410"/>
      <c r="N92" s="2427"/>
      <c r="O92" s="3410"/>
      <c r="P92" s="2427"/>
      <c r="Q92" s="3410"/>
      <c r="R92" s="2427"/>
      <c r="S92" s="3410"/>
      <c r="T92" s="2427"/>
      <c r="U92" s="3411"/>
    </row>
    <row r="93" spans="1:21" hidden="1">
      <c r="A93" s="3433"/>
      <c r="B93" s="3454"/>
      <c r="C93" s="3455"/>
      <c r="D93" s="3442"/>
      <c r="E93" s="3456"/>
      <c r="F93" s="3481"/>
      <c r="G93" s="3458"/>
      <c r="H93" s="2427"/>
      <c r="I93" s="3410"/>
      <c r="J93" s="2427"/>
      <c r="K93" s="3410"/>
      <c r="L93" s="3411"/>
      <c r="M93" s="3410"/>
      <c r="N93" s="2427"/>
      <c r="O93" s="3410"/>
      <c r="P93" s="2427"/>
      <c r="Q93" s="3410"/>
      <c r="R93" s="2427"/>
      <c r="S93" s="3410"/>
      <c r="T93" s="2427"/>
      <c r="U93" s="3411"/>
    </row>
    <row r="94" spans="1:21" hidden="1">
      <c r="A94" s="3433"/>
      <c r="B94" s="3454"/>
      <c r="C94" s="3455"/>
      <c r="D94" s="3442"/>
      <c r="E94" s="3456"/>
      <c r="F94" s="3481"/>
      <c r="G94" s="3458"/>
      <c r="H94" s="2427"/>
      <c r="I94" s="3410"/>
      <c r="J94" s="2427"/>
      <c r="K94" s="3410"/>
      <c r="L94" s="3411"/>
      <c r="M94" s="3410"/>
      <c r="N94" s="2427"/>
      <c r="O94" s="3410"/>
      <c r="P94" s="2427"/>
      <c r="Q94" s="3410"/>
      <c r="R94" s="2427"/>
      <c r="S94" s="3410"/>
      <c r="T94" s="2427"/>
      <c r="U94" s="3411"/>
    </row>
    <row r="95" spans="1:21" hidden="1">
      <c r="A95" s="3433"/>
      <c r="B95" s="3482" t="s">
        <v>1382</v>
      </c>
      <c r="C95" s="3455"/>
      <c r="D95" s="3442"/>
      <c r="E95" s="3456"/>
      <c r="F95" s="3481"/>
      <c r="G95" s="3458"/>
      <c r="H95" s="2427"/>
      <c r="I95" s="3410"/>
      <c r="J95" s="2427"/>
      <c r="K95" s="3410"/>
      <c r="L95" s="3411"/>
      <c r="M95" s="3410"/>
      <c r="N95" s="2427"/>
      <c r="O95" s="3410"/>
      <c r="P95" s="2427"/>
      <c r="Q95" s="3410"/>
      <c r="R95" s="2427"/>
      <c r="S95" s="3410"/>
      <c r="T95" s="2427"/>
      <c r="U95" s="3411"/>
    </row>
    <row r="96" spans="1:21" hidden="1">
      <c r="A96" s="3433"/>
      <c r="B96" s="3454" t="s">
        <v>1383</v>
      </c>
      <c r="C96" s="3455"/>
      <c r="D96" s="3442"/>
      <c r="E96" s="3456"/>
      <c r="F96" s="3484"/>
      <c r="G96" s="3458"/>
      <c r="H96" s="2427"/>
      <c r="I96" s="3410"/>
      <c r="J96" s="2427"/>
      <c r="K96" s="3410"/>
      <c r="L96" s="3411"/>
      <c r="M96" s="3410"/>
      <c r="N96" s="2427"/>
      <c r="O96" s="3410"/>
      <c r="P96" s="2427"/>
      <c r="Q96" s="3410"/>
      <c r="R96" s="2427"/>
      <c r="S96" s="3410"/>
      <c r="T96" s="2427"/>
      <c r="U96" s="3411"/>
    </row>
    <row r="97" spans="1:21" hidden="1">
      <c r="A97" s="3433"/>
      <c r="B97" s="3454" t="s">
        <v>1384</v>
      </c>
      <c r="C97" s="3455"/>
      <c r="D97" s="3442"/>
      <c r="E97" s="3456"/>
      <c r="F97" s="3484"/>
      <c r="G97" s="3458"/>
      <c r="H97" s="2427"/>
      <c r="I97" s="3410"/>
      <c r="J97" s="2427"/>
      <c r="K97" s="3410"/>
      <c r="L97" s="3411"/>
      <c r="M97" s="3410"/>
      <c r="N97" s="2427"/>
      <c r="O97" s="3410"/>
      <c r="P97" s="2427"/>
      <c r="Q97" s="3410"/>
      <c r="R97" s="2427"/>
      <c r="S97" s="3410"/>
      <c r="T97" s="2427"/>
      <c r="U97" s="3411"/>
    </row>
    <row r="98" spans="1:21" hidden="1">
      <c r="A98" s="3433"/>
      <c r="B98" s="3454" t="s">
        <v>1385</v>
      </c>
      <c r="C98" s="3455"/>
      <c r="D98" s="3442"/>
      <c r="E98" s="3456"/>
      <c r="F98" s="3484"/>
      <c r="G98" s="3458"/>
      <c r="H98" s="2427"/>
      <c r="I98" s="3410"/>
      <c r="J98" s="2427"/>
      <c r="K98" s="3410"/>
      <c r="L98" s="3411"/>
      <c r="M98" s="3410"/>
      <c r="N98" s="2427"/>
      <c r="O98" s="3410"/>
      <c r="P98" s="2427"/>
      <c r="Q98" s="3410"/>
      <c r="R98" s="2427"/>
      <c r="S98" s="3410"/>
      <c r="T98" s="2427"/>
      <c r="U98" s="3411"/>
    </row>
    <row r="99" spans="1:21" hidden="1">
      <c r="A99" s="3433"/>
      <c r="B99" s="3454" t="s">
        <v>1386</v>
      </c>
      <c r="C99" s="3455"/>
      <c r="D99" s="3442"/>
      <c r="E99" s="3456"/>
      <c r="F99" s="3484"/>
      <c r="G99" s="3458"/>
      <c r="H99" s="2427"/>
      <c r="I99" s="3410"/>
      <c r="J99" s="2427"/>
      <c r="K99" s="3410"/>
      <c r="L99" s="3411"/>
      <c r="M99" s="3410"/>
      <c r="N99" s="2427"/>
      <c r="O99" s="3410"/>
      <c r="P99" s="2427"/>
      <c r="Q99" s="3410"/>
      <c r="R99" s="2427"/>
      <c r="S99" s="3410"/>
      <c r="T99" s="2427"/>
      <c r="U99" s="3411"/>
    </row>
    <row r="100" spans="1:21" hidden="1">
      <c r="A100" s="3433"/>
      <c r="B100" s="3454" t="s">
        <v>1387</v>
      </c>
      <c r="C100" s="3455"/>
      <c r="D100" s="3442"/>
      <c r="E100" s="3456"/>
      <c r="F100" s="3484"/>
      <c r="G100" s="3458"/>
      <c r="H100" s="2427"/>
      <c r="I100" s="3410"/>
      <c r="J100" s="2427"/>
      <c r="K100" s="3410"/>
      <c r="L100" s="3411"/>
      <c r="M100" s="3410"/>
      <c r="N100" s="2427"/>
      <c r="O100" s="3410"/>
      <c r="P100" s="2427"/>
      <c r="Q100" s="3410"/>
      <c r="R100" s="2427"/>
      <c r="S100" s="3410"/>
      <c r="T100" s="2427"/>
      <c r="U100" s="3411"/>
    </row>
    <row r="101" spans="1:21" hidden="1">
      <c r="A101" s="3433"/>
      <c r="B101" s="3454" t="s">
        <v>1388</v>
      </c>
      <c r="C101" s="3455"/>
      <c r="D101" s="3442"/>
      <c r="E101" s="3456"/>
      <c r="F101" s="3484"/>
      <c r="G101" s="3458"/>
      <c r="H101" s="2427"/>
      <c r="I101" s="3410"/>
      <c r="J101" s="2427"/>
      <c r="K101" s="3410"/>
      <c r="L101" s="3411"/>
      <c r="M101" s="3410"/>
      <c r="N101" s="2427"/>
      <c r="O101" s="3410"/>
      <c r="P101" s="2427"/>
      <c r="Q101" s="3410"/>
      <c r="R101" s="2427"/>
      <c r="S101" s="3410"/>
      <c r="T101" s="2427"/>
      <c r="U101" s="3411"/>
    </row>
    <row r="102" spans="1:21" hidden="1">
      <c r="A102" s="3433"/>
      <c r="B102" s="3485" t="s">
        <v>1389</v>
      </c>
      <c r="C102" s="3455"/>
      <c r="D102" s="3442"/>
      <c r="E102" s="3456"/>
      <c r="F102" s="3484"/>
      <c r="G102" s="3458"/>
      <c r="H102" s="2427"/>
      <c r="I102" s="3410"/>
      <c r="J102" s="2427"/>
      <c r="K102" s="3410"/>
      <c r="L102" s="3411"/>
      <c r="M102" s="3410"/>
      <c r="N102" s="2427"/>
      <c r="O102" s="3410"/>
      <c r="P102" s="2427"/>
      <c r="Q102" s="3410"/>
      <c r="R102" s="2427"/>
      <c r="S102" s="3410"/>
      <c r="T102" s="2427"/>
      <c r="U102" s="3411"/>
    </row>
    <row r="103" spans="1:21" hidden="1">
      <c r="A103" s="3433"/>
      <c r="B103" s="3454"/>
      <c r="C103" s="3455"/>
      <c r="D103" s="3442"/>
      <c r="E103" s="3456"/>
      <c r="F103" s="3481"/>
      <c r="G103" s="3458"/>
      <c r="H103" s="2427"/>
      <c r="I103" s="3410"/>
      <c r="J103" s="2427"/>
      <c r="K103" s="3410"/>
      <c r="L103" s="3411"/>
      <c r="M103" s="3410"/>
      <c r="N103" s="2427"/>
      <c r="O103" s="3410"/>
      <c r="P103" s="2427"/>
      <c r="Q103" s="3410"/>
      <c r="R103" s="2427"/>
      <c r="S103" s="3410"/>
      <c r="T103" s="2427"/>
      <c r="U103" s="3411"/>
    </row>
    <row r="104" spans="1:21" hidden="1">
      <c r="A104" s="2685"/>
      <c r="B104" s="3454"/>
      <c r="C104" s="3455"/>
      <c r="D104" s="3442"/>
      <c r="E104" s="3456"/>
      <c r="F104" s="3481"/>
      <c r="G104" s="3458"/>
      <c r="H104" s="2427"/>
      <c r="I104" s="3410"/>
      <c r="J104" s="2427"/>
      <c r="K104" s="3410"/>
      <c r="L104" s="3411"/>
      <c r="M104" s="3410"/>
      <c r="N104" s="2427"/>
      <c r="O104" s="3410"/>
      <c r="P104" s="2427"/>
      <c r="Q104" s="3410"/>
      <c r="R104" s="2427"/>
      <c r="S104" s="3410"/>
      <c r="T104" s="2427"/>
      <c r="U104" s="3411"/>
    </row>
    <row r="105" spans="1:21" hidden="1">
      <c r="A105" s="2685"/>
      <c r="B105" s="3482" t="s">
        <v>1390</v>
      </c>
      <c r="C105" s="3455"/>
      <c r="D105" s="3442"/>
      <c r="E105" s="3456"/>
      <c r="F105" s="3481"/>
      <c r="G105" s="3458"/>
      <c r="H105" s="2427"/>
      <c r="I105" s="3410"/>
      <c r="J105" s="2427"/>
      <c r="K105" s="3410"/>
      <c r="L105" s="3411"/>
      <c r="M105" s="3410"/>
      <c r="N105" s="2427"/>
      <c r="O105" s="3410"/>
      <c r="P105" s="2427"/>
      <c r="Q105" s="3410"/>
      <c r="R105" s="2427"/>
      <c r="S105" s="3410"/>
      <c r="T105" s="2427"/>
      <c r="U105" s="3411"/>
    </row>
    <row r="106" spans="1:21" hidden="1">
      <c r="A106" s="3433"/>
      <c r="B106" s="3483" t="s">
        <v>1391</v>
      </c>
      <c r="C106" s="3455"/>
      <c r="D106" s="3442"/>
      <c r="E106" s="3456"/>
      <c r="F106" s="3484"/>
      <c r="G106" s="3458"/>
      <c r="H106" s="2427"/>
      <c r="I106" s="3410"/>
      <c r="J106" s="2427"/>
      <c r="K106" s="3410"/>
      <c r="L106" s="3411"/>
      <c r="M106" s="3410"/>
      <c r="N106" s="2427"/>
      <c r="O106" s="3410"/>
      <c r="P106" s="2427"/>
      <c r="Q106" s="3410"/>
      <c r="R106" s="2427"/>
      <c r="S106" s="3410"/>
      <c r="T106" s="2427"/>
      <c r="U106" s="3411"/>
    </row>
    <row r="107" spans="1:21" hidden="1">
      <c r="A107" s="2685"/>
      <c r="B107" s="3483" t="s">
        <v>1392</v>
      </c>
      <c r="C107" s="3455"/>
      <c r="D107" s="3442"/>
      <c r="E107" s="3456"/>
      <c r="F107" s="3484"/>
      <c r="G107" s="3458"/>
      <c r="H107" s="2427"/>
      <c r="I107" s="3410"/>
      <c r="J107" s="2427"/>
      <c r="K107" s="3410"/>
      <c r="L107" s="3411"/>
      <c r="M107" s="3409"/>
      <c r="N107" s="2427"/>
      <c r="O107" s="3410"/>
      <c r="P107" s="2427"/>
      <c r="Q107" s="3410"/>
      <c r="R107" s="2427"/>
      <c r="S107" s="3410"/>
      <c r="T107" s="2427"/>
      <c r="U107" s="3411"/>
    </row>
    <row r="108" spans="1:21" hidden="1">
      <c r="A108" s="3433"/>
      <c r="B108" s="3483" t="s">
        <v>1393</v>
      </c>
      <c r="C108" s="3455"/>
      <c r="D108" s="3442"/>
      <c r="E108" s="3456"/>
      <c r="F108" s="3484"/>
      <c r="G108" s="3458"/>
      <c r="H108" s="2427"/>
      <c r="I108" s="3410"/>
      <c r="J108" s="2427"/>
      <c r="K108" s="3410"/>
      <c r="L108" s="3411"/>
      <c r="M108" s="3409"/>
      <c r="N108" s="2427"/>
      <c r="O108" s="3410"/>
      <c r="P108" s="2427"/>
      <c r="Q108" s="3410"/>
      <c r="R108" s="2427"/>
      <c r="S108" s="3410"/>
      <c r="T108" s="2427"/>
      <c r="U108" s="3411"/>
    </row>
    <row r="109" spans="1:21" hidden="1">
      <c r="A109" s="2685"/>
      <c r="B109" s="3483" t="s">
        <v>1394</v>
      </c>
      <c r="C109" s="3455"/>
      <c r="D109" s="3442"/>
      <c r="E109" s="3456"/>
      <c r="F109" s="3484"/>
      <c r="G109" s="3458"/>
      <c r="H109" s="2427"/>
      <c r="I109" s="3410"/>
      <c r="J109" s="2427"/>
      <c r="K109" s="3410"/>
      <c r="L109" s="3411"/>
      <c r="M109" s="3409"/>
      <c r="N109" s="2427"/>
      <c r="O109" s="3410"/>
      <c r="P109" s="2427"/>
      <c r="Q109" s="3410"/>
      <c r="R109" s="2427"/>
      <c r="S109" s="3410"/>
      <c r="T109" s="2427"/>
      <c r="U109" s="3411"/>
    </row>
    <row r="110" spans="1:21" hidden="1">
      <c r="A110" s="2685"/>
      <c r="B110" s="3483" t="s">
        <v>1395</v>
      </c>
      <c r="C110" s="3455"/>
      <c r="D110" s="3442"/>
      <c r="E110" s="3456"/>
      <c r="F110" s="3484"/>
      <c r="G110" s="3458"/>
      <c r="H110" s="2427"/>
      <c r="I110" s="3410"/>
      <c r="J110" s="2427"/>
      <c r="K110" s="3410"/>
      <c r="L110" s="3411"/>
      <c r="M110" s="3409"/>
      <c r="N110" s="2427"/>
      <c r="O110" s="3410"/>
      <c r="P110" s="2427"/>
      <c r="Q110" s="3410"/>
      <c r="R110" s="2427"/>
      <c r="S110" s="3410"/>
      <c r="T110" s="2427"/>
      <c r="U110" s="3410"/>
    </row>
    <row r="111" spans="1:21" ht="18.600000000000001" hidden="1" customHeight="1">
      <c r="A111" s="3433"/>
      <c r="B111" s="3483" t="s">
        <v>1396</v>
      </c>
      <c r="C111" s="3455"/>
      <c r="D111" s="3442"/>
      <c r="E111" s="3456"/>
      <c r="F111" s="3484"/>
      <c r="G111" s="3458"/>
      <c r="H111" s="2427"/>
      <c r="I111" s="3410"/>
      <c r="J111" s="2427"/>
      <c r="K111" s="3410"/>
      <c r="L111" s="3411"/>
      <c r="M111" s="3410"/>
      <c r="N111" s="2427"/>
      <c r="O111" s="3410"/>
      <c r="P111" s="2427"/>
      <c r="Q111" s="3410"/>
      <c r="R111" s="2427"/>
      <c r="S111" s="3410"/>
      <c r="T111" s="2427"/>
      <c r="U111" s="3411"/>
    </row>
    <row r="112" spans="1:21" hidden="1">
      <c r="A112" s="2685"/>
      <c r="B112" s="3483" t="s">
        <v>1397</v>
      </c>
      <c r="C112" s="3455"/>
      <c r="D112" s="3442"/>
      <c r="E112" s="3456"/>
      <c r="F112" s="3484"/>
      <c r="G112" s="3458"/>
      <c r="H112" s="2427"/>
      <c r="I112" s="3410"/>
      <c r="J112" s="2427"/>
      <c r="K112" s="3410"/>
      <c r="L112" s="3411"/>
      <c r="M112" s="3410"/>
      <c r="N112" s="2427"/>
      <c r="O112" s="3410"/>
      <c r="P112" s="2427"/>
      <c r="Q112" s="3410"/>
      <c r="R112" s="2427"/>
      <c r="S112" s="3410"/>
      <c r="T112" s="2427"/>
      <c r="U112" s="3411"/>
    </row>
    <row r="113" spans="1:21" hidden="1">
      <c r="A113" s="3433"/>
      <c r="B113" s="3483" t="s">
        <v>1398</v>
      </c>
      <c r="C113" s="3455"/>
      <c r="D113" s="3442"/>
      <c r="E113" s="3456"/>
      <c r="F113" s="3484"/>
      <c r="G113" s="3458"/>
      <c r="H113" s="2427"/>
      <c r="I113" s="3410"/>
      <c r="J113" s="2427"/>
      <c r="K113" s="3410"/>
      <c r="L113" s="3411"/>
      <c r="M113" s="3410"/>
      <c r="N113" s="2427"/>
      <c r="O113" s="3410"/>
      <c r="P113" s="2427"/>
      <c r="Q113" s="3410"/>
      <c r="R113" s="2427"/>
      <c r="S113" s="3410"/>
      <c r="T113" s="2427"/>
      <c r="U113" s="3411"/>
    </row>
    <row r="114" spans="1:21" hidden="1">
      <c r="A114" s="2685"/>
      <c r="B114" s="3483" t="s">
        <v>1399</v>
      </c>
      <c r="C114" s="3455"/>
      <c r="D114" s="3442"/>
      <c r="E114" s="3456"/>
      <c r="F114" s="3484"/>
      <c r="G114" s="3458"/>
      <c r="H114" s="2427"/>
      <c r="I114" s="3410"/>
      <c r="J114" s="2427"/>
      <c r="K114" s="3410"/>
      <c r="L114" s="3411"/>
      <c r="M114" s="3410"/>
      <c r="N114" s="2427"/>
      <c r="O114" s="3410"/>
      <c r="P114" s="2427"/>
      <c r="Q114" s="3410"/>
      <c r="R114" s="2427"/>
      <c r="S114" s="3410"/>
      <c r="T114" s="2427"/>
      <c r="U114" s="3411"/>
    </row>
    <row r="115" spans="1:21" hidden="1">
      <c r="A115" s="3433"/>
      <c r="B115" s="3483" t="s">
        <v>1400</v>
      </c>
      <c r="C115" s="3455"/>
      <c r="D115" s="3442"/>
      <c r="E115" s="3456"/>
      <c r="F115" s="3484"/>
      <c r="G115" s="3458"/>
      <c r="H115" s="2427"/>
      <c r="I115" s="3410"/>
      <c r="J115" s="2427"/>
      <c r="K115" s="3410"/>
      <c r="L115" s="3411"/>
      <c r="M115" s="3410"/>
      <c r="N115" s="2427"/>
      <c r="O115" s="3410"/>
      <c r="P115" s="2427"/>
      <c r="Q115" s="3410"/>
      <c r="R115" s="2427"/>
      <c r="S115" s="3410"/>
      <c r="T115" s="2427"/>
      <c r="U115" s="3411"/>
    </row>
    <row r="116" spans="1:21" hidden="1">
      <c r="A116" s="2685"/>
      <c r="B116" s="3483" t="s">
        <v>1401</v>
      </c>
      <c r="C116" s="3455"/>
      <c r="D116" s="3442"/>
      <c r="E116" s="3456"/>
      <c r="F116" s="3484"/>
      <c r="G116" s="3458"/>
      <c r="H116" s="2427"/>
      <c r="I116" s="3411"/>
      <c r="J116" s="2427"/>
      <c r="K116" s="3411"/>
      <c r="L116" s="3411"/>
      <c r="M116" s="3410"/>
      <c r="N116" s="2427"/>
      <c r="O116" s="3411"/>
      <c r="P116" s="2427"/>
      <c r="Q116" s="3411"/>
      <c r="R116" s="2427"/>
      <c r="S116" s="3410"/>
      <c r="T116" s="2427"/>
      <c r="U116" s="3411"/>
    </row>
    <row r="117" spans="1:21" hidden="1">
      <c r="A117" s="3433"/>
      <c r="B117" s="3483" t="s">
        <v>1402</v>
      </c>
      <c r="C117" s="3455"/>
      <c r="D117" s="3442"/>
      <c r="E117" s="3456"/>
      <c r="F117" s="3484"/>
      <c r="G117" s="3458"/>
      <c r="H117" s="2427"/>
      <c r="I117" s="3411"/>
      <c r="J117" s="2427"/>
      <c r="K117" s="3411"/>
      <c r="L117" s="3411"/>
      <c r="M117" s="3410"/>
      <c r="N117" s="2427"/>
      <c r="O117" s="3411"/>
      <c r="P117" s="2427"/>
      <c r="Q117" s="3411"/>
      <c r="R117" s="2427"/>
      <c r="S117" s="3410"/>
      <c r="T117" s="2427"/>
      <c r="U117" s="3411"/>
    </row>
    <row r="118" spans="1:21" hidden="1">
      <c r="A118" s="3433"/>
      <c r="B118" s="3483" t="s">
        <v>1403</v>
      </c>
      <c r="C118" s="3455"/>
      <c r="D118" s="3442"/>
      <c r="E118" s="3456"/>
      <c r="F118" s="3484"/>
      <c r="G118" s="3458"/>
      <c r="H118" s="2427"/>
      <c r="I118" s="3411"/>
      <c r="J118" s="2427"/>
      <c r="K118" s="3411"/>
      <c r="L118" s="3411"/>
      <c r="M118" s="3410"/>
      <c r="N118" s="2427"/>
      <c r="O118" s="3411"/>
      <c r="P118" s="2427"/>
      <c r="Q118" s="3411"/>
      <c r="R118" s="2427"/>
      <c r="S118" s="3410"/>
      <c r="T118" s="2427"/>
      <c r="U118" s="3411"/>
    </row>
    <row r="119" spans="1:21" hidden="1">
      <c r="A119" s="3433"/>
      <c r="B119" s="3483" t="s">
        <v>1404</v>
      </c>
      <c r="C119" s="3455"/>
      <c r="D119" s="3442"/>
      <c r="E119" s="3456"/>
      <c r="F119" s="3484"/>
      <c r="G119" s="3458"/>
      <c r="H119" s="2427"/>
      <c r="I119" s="3410"/>
      <c r="J119" s="2427"/>
      <c r="K119" s="3410"/>
      <c r="L119" s="3411"/>
      <c r="M119" s="3410"/>
      <c r="N119" s="2427"/>
      <c r="O119" s="3410"/>
      <c r="P119" s="2427"/>
      <c r="Q119" s="3410"/>
      <c r="R119" s="2427"/>
      <c r="S119" s="3410"/>
      <c r="T119" s="2427"/>
      <c r="U119" s="3411"/>
    </row>
    <row r="120" spans="1:21" hidden="1">
      <c r="A120" s="2685"/>
      <c r="B120" s="3483" t="s">
        <v>1405</v>
      </c>
      <c r="C120" s="3455"/>
      <c r="D120" s="3442"/>
      <c r="E120" s="3456"/>
      <c r="F120" s="3484"/>
      <c r="G120" s="3458"/>
      <c r="H120" s="2427"/>
      <c r="I120" s="3410"/>
      <c r="J120" s="2427"/>
      <c r="K120" s="3410"/>
      <c r="L120" s="3411"/>
      <c r="M120" s="3410"/>
      <c r="N120" s="2427"/>
      <c r="O120" s="3410"/>
      <c r="P120" s="2427"/>
      <c r="Q120" s="3410"/>
      <c r="R120" s="2427"/>
      <c r="S120" s="3410"/>
      <c r="T120" s="2427"/>
      <c r="U120" s="3411"/>
    </row>
    <row r="121" spans="1:21" hidden="1">
      <c r="A121" s="3433"/>
      <c r="B121" s="3483" t="s">
        <v>1406</v>
      </c>
      <c r="C121" s="3455"/>
      <c r="D121" s="3442"/>
      <c r="E121" s="3456"/>
      <c r="F121" s="3484"/>
      <c r="G121" s="3458"/>
      <c r="H121" s="2427"/>
      <c r="I121" s="3411"/>
      <c r="J121" s="2427"/>
      <c r="K121" s="3411"/>
      <c r="L121" s="3411"/>
      <c r="M121" s="3410"/>
      <c r="N121" s="2427"/>
      <c r="O121" s="3411"/>
      <c r="P121" s="2427"/>
      <c r="Q121" s="3411"/>
      <c r="R121" s="2427"/>
      <c r="S121" s="3410"/>
      <c r="T121" s="2427"/>
      <c r="U121" s="3411"/>
    </row>
    <row r="122" spans="1:21" hidden="1">
      <c r="A122" s="2685"/>
      <c r="B122" s="3483" t="s">
        <v>1407</v>
      </c>
      <c r="C122" s="3455"/>
      <c r="D122" s="3442"/>
      <c r="E122" s="3456"/>
      <c r="F122" s="3484"/>
      <c r="G122" s="3458"/>
      <c r="H122" s="2427"/>
      <c r="I122" s="3410"/>
      <c r="J122" s="2427"/>
      <c r="K122" s="3410"/>
      <c r="L122" s="2537"/>
      <c r="M122" s="3410"/>
      <c r="N122" s="2427"/>
      <c r="O122" s="3410"/>
      <c r="P122" s="2427"/>
      <c r="Q122" s="3410"/>
      <c r="R122" s="2427"/>
      <c r="S122" s="3410"/>
      <c r="T122" s="2427"/>
      <c r="U122" s="3410"/>
    </row>
    <row r="123" spans="1:21" hidden="1">
      <c r="A123" s="3433"/>
      <c r="B123" s="3483" t="s">
        <v>1408</v>
      </c>
      <c r="C123" s="3455"/>
      <c r="D123" s="3442"/>
      <c r="E123" s="3456"/>
      <c r="F123" s="3484"/>
      <c r="G123" s="3458"/>
      <c r="H123" s="2427"/>
      <c r="I123" s="3411"/>
      <c r="J123" s="2427"/>
      <c r="K123" s="3411"/>
      <c r="L123" s="2537"/>
      <c r="M123" s="3410"/>
      <c r="N123" s="2427"/>
      <c r="O123" s="3411"/>
      <c r="P123" s="2427"/>
      <c r="Q123" s="3411"/>
      <c r="R123" s="2427"/>
      <c r="S123" s="3410"/>
      <c r="T123" s="2427"/>
      <c r="U123" s="3411"/>
    </row>
    <row r="124" spans="1:21" hidden="1">
      <c r="A124" s="3433"/>
      <c r="B124" s="3483" t="s">
        <v>1409</v>
      </c>
      <c r="C124" s="3455"/>
      <c r="D124" s="3442"/>
      <c r="E124" s="3456"/>
      <c r="F124" s="3484"/>
      <c r="G124" s="3458"/>
      <c r="H124" s="2427"/>
      <c r="I124" s="3410"/>
      <c r="J124" s="2427"/>
      <c r="K124" s="3410"/>
      <c r="L124" s="2537"/>
      <c r="M124" s="3410"/>
      <c r="N124" s="2427"/>
      <c r="O124" s="3410"/>
      <c r="P124" s="2427"/>
      <c r="Q124" s="3410"/>
      <c r="R124" s="2427"/>
      <c r="S124" s="3410"/>
      <c r="T124" s="2427"/>
      <c r="U124" s="3411"/>
    </row>
    <row r="125" spans="1:21" ht="15" hidden="1" customHeight="1">
      <c r="A125" s="2685"/>
      <c r="B125" s="3483" t="s">
        <v>1410</v>
      </c>
      <c r="C125" s="3455"/>
      <c r="D125" s="3442"/>
      <c r="E125" s="3456"/>
      <c r="F125" s="3484"/>
      <c r="G125" s="3458"/>
      <c r="H125" s="2427"/>
      <c r="I125" s="3410"/>
      <c r="J125" s="2427"/>
      <c r="K125" s="3410"/>
      <c r="L125" s="2537"/>
      <c r="M125" s="3409"/>
      <c r="N125" s="2427"/>
      <c r="O125" s="3410"/>
      <c r="P125" s="2427"/>
      <c r="Q125" s="3410"/>
      <c r="R125" s="2427"/>
      <c r="S125" s="3410"/>
      <c r="T125" s="2427"/>
      <c r="U125" s="3411"/>
    </row>
    <row r="126" spans="1:21" ht="15" hidden="1" customHeight="1">
      <c r="A126" s="3433"/>
      <c r="B126" s="3483" t="s">
        <v>1411</v>
      </c>
      <c r="C126" s="3455"/>
      <c r="D126" s="3442"/>
      <c r="E126" s="3456"/>
      <c r="F126" s="3484"/>
      <c r="G126" s="3458"/>
      <c r="H126" s="2427"/>
      <c r="I126" s="3410"/>
      <c r="J126" s="2427"/>
      <c r="K126" s="3410"/>
      <c r="L126" s="2537"/>
      <c r="M126" s="3409"/>
      <c r="N126" s="2427"/>
      <c r="O126" s="3410"/>
      <c r="P126" s="2427"/>
      <c r="Q126" s="3410"/>
      <c r="R126" s="2427"/>
      <c r="S126" s="3410"/>
      <c r="T126" s="2427"/>
      <c r="U126" s="3411"/>
    </row>
    <row r="127" spans="1:21" ht="15" hidden="1" customHeight="1">
      <c r="A127" s="2685"/>
      <c r="B127" s="3483" t="s">
        <v>1412</v>
      </c>
      <c r="C127" s="3455"/>
      <c r="D127" s="3442"/>
      <c r="E127" s="3456"/>
      <c r="F127" s="3484"/>
      <c r="G127" s="3458"/>
      <c r="H127" s="2427"/>
      <c r="I127" s="3410"/>
      <c r="J127" s="2427"/>
      <c r="K127" s="3410"/>
      <c r="L127" s="2537"/>
      <c r="M127" s="3409"/>
      <c r="N127" s="2427"/>
      <c r="O127" s="3410"/>
      <c r="P127" s="2427"/>
      <c r="Q127" s="3410"/>
      <c r="R127" s="2427"/>
      <c r="S127" s="3410"/>
      <c r="T127" s="2427"/>
      <c r="U127" s="3411"/>
    </row>
    <row r="128" spans="1:21" ht="15" hidden="1" customHeight="1">
      <c r="A128" s="3433"/>
      <c r="B128" s="3454"/>
      <c r="C128" s="3455"/>
      <c r="D128" s="3442"/>
      <c r="E128" s="3456"/>
      <c r="F128" s="3481"/>
      <c r="G128" s="3458"/>
      <c r="H128" s="2427"/>
      <c r="I128" s="3410"/>
      <c r="J128" s="2427"/>
      <c r="K128" s="3410"/>
      <c r="L128" s="2537"/>
      <c r="M128" s="3409"/>
      <c r="N128" s="2427"/>
      <c r="O128" s="3410"/>
      <c r="P128" s="2427"/>
      <c r="Q128" s="3410"/>
      <c r="R128" s="2427"/>
      <c r="S128" s="3410"/>
      <c r="T128" s="2427"/>
      <c r="U128" s="3411"/>
    </row>
    <row r="129" spans="1:21" ht="18.600000000000001" hidden="1" customHeight="1">
      <c r="A129" s="2685"/>
      <c r="B129" s="3454"/>
      <c r="C129" s="3455"/>
      <c r="D129" s="3442"/>
      <c r="E129" s="3456"/>
      <c r="F129" s="3481"/>
      <c r="G129" s="3458"/>
      <c r="H129" s="2427"/>
      <c r="I129" s="3410"/>
      <c r="J129" s="2427"/>
      <c r="K129" s="3410"/>
      <c r="L129" s="2537"/>
      <c r="M129" s="3409"/>
      <c r="N129" s="2427"/>
      <c r="O129" s="3410"/>
      <c r="P129" s="2427"/>
      <c r="Q129" s="3410"/>
      <c r="R129" s="2427"/>
      <c r="S129" s="3410"/>
      <c r="T129" s="2427"/>
      <c r="U129" s="3411"/>
    </row>
    <row r="130" spans="1:21" ht="15" hidden="1" customHeight="1">
      <c r="A130" s="3433"/>
      <c r="B130" s="3482" t="s">
        <v>1413</v>
      </c>
      <c r="C130" s="3455"/>
      <c r="D130" s="3442"/>
      <c r="E130" s="3456"/>
      <c r="F130" s="3481"/>
      <c r="G130" s="3458"/>
      <c r="H130" s="2427"/>
      <c r="I130" s="3410"/>
      <c r="J130" s="2427"/>
      <c r="K130" s="3410"/>
      <c r="L130" s="2537"/>
      <c r="M130" s="3409"/>
      <c r="N130" s="2427"/>
      <c r="O130" s="3410"/>
      <c r="P130" s="2427"/>
      <c r="Q130" s="3410"/>
      <c r="R130" s="2427"/>
      <c r="S130" s="3410"/>
      <c r="T130" s="2427"/>
      <c r="U130" s="3411"/>
    </row>
    <row r="131" spans="1:21" ht="15" hidden="1" customHeight="1">
      <c r="A131" s="2685"/>
      <c r="B131" s="3483" t="s">
        <v>1414</v>
      </c>
      <c r="C131" s="3455"/>
      <c r="D131" s="3442"/>
      <c r="E131" s="3456"/>
      <c r="F131" s="3484"/>
      <c r="G131" s="3458"/>
      <c r="H131" s="2427"/>
      <c r="I131" s="3410"/>
      <c r="J131" s="2427"/>
      <c r="K131" s="3410"/>
      <c r="L131" s="2537"/>
      <c r="M131" s="3409"/>
      <c r="N131" s="2427"/>
      <c r="O131" s="3410"/>
      <c r="P131" s="2427"/>
      <c r="Q131" s="3410"/>
      <c r="R131" s="2427"/>
      <c r="S131" s="3410"/>
      <c r="T131" s="2427"/>
      <c r="U131" s="3411"/>
    </row>
    <row r="132" spans="1:21" ht="15" hidden="1" customHeight="1">
      <c r="A132" s="3433"/>
      <c r="B132" s="3483" t="s">
        <v>1415</v>
      </c>
      <c r="C132" s="3455"/>
      <c r="D132" s="3442"/>
      <c r="E132" s="3456"/>
      <c r="F132" s="3484"/>
      <c r="G132" s="3458"/>
      <c r="H132" s="2427"/>
      <c r="I132" s="3410"/>
      <c r="J132" s="2427"/>
      <c r="K132" s="3410"/>
      <c r="L132" s="2537"/>
      <c r="M132" s="3409"/>
      <c r="N132" s="2427"/>
      <c r="O132" s="3410"/>
      <c r="P132" s="2427"/>
      <c r="Q132" s="3410"/>
      <c r="R132" s="2427"/>
      <c r="S132" s="3410"/>
      <c r="T132" s="2427"/>
      <c r="U132" s="3411"/>
    </row>
    <row r="133" spans="1:21" ht="15" hidden="1" customHeight="1">
      <c r="A133" s="2685"/>
      <c r="B133" s="3483" t="s">
        <v>1416</v>
      </c>
      <c r="C133" s="3455"/>
      <c r="D133" s="3442"/>
      <c r="E133" s="3456"/>
      <c r="F133" s="3484"/>
      <c r="G133" s="3458"/>
      <c r="H133" s="2427"/>
      <c r="I133" s="3410"/>
      <c r="J133" s="2427"/>
      <c r="K133" s="3410"/>
      <c r="L133" s="2537"/>
      <c r="M133" s="3409"/>
      <c r="N133" s="2427"/>
      <c r="O133" s="3410"/>
      <c r="P133" s="2427"/>
      <c r="Q133" s="3410"/>
      <c r="R133" s="2427"/>
      <c r="S133" s="3410"/>
      <c r="T133" s="2427"/>
      <c r="U133" s="3411"/>
    </row>
    <row r="134" spans="1:21" hidden="1">
      <c r="A134" s="2685"/>
      <c r="B134" s="3483" t="s">
        <v>1417</v>
      </c>
      <c r="C134" s="3455"/>
      <c r="D134" s="3442"/>
      <c r="E134" s="3456"/>
      <c r="F134" s="3484"/>
      <c r="G134" s="3458"/>
      <c r="H134" s="2427"/>
      <c r="I134" s="3410"/>
      <c r="J134" s="2427"/>
      <c r="K134" s="3410"/>
      <c r="L134" s="2537"/>
      <c r="M134" s="3409"/>
      <c r="N134" s="2427"/>
      <c r="O134" s="3410"/>
      <c r="P134" s="2427"/>
      <c r="Q134" s="3410"/>
      <c r="R134" s="2427"/>
      <c r="S134" s="3410"/>
      <c r="T134" s="2427"/>
      <c r="U134" s="3411"/>
    </row>
    <row r="135" spans="1:21" hidden="1">
      <c r="A135" s="3433"/>
      <c r="B135" s="3483" t="s">
        <v>1418</v>
      </c>
      <c r="C135" s="3455"/>
      <c r="D135" s="3442"/>
      <c r="E135" s="3456"/>
      <c r="F135" s="3484"/>
      <c r="G135" s="3458"/>
      <c r="H135" s="2427"/>
      <c r="I135" s="3410"/>
      <c r="J135" s="2427"/>
      <c r="K135" s="3410"/>
      <c r="L135" s="2537"/>
      <c r="M135" s="3409"/>
      <c r="N135" s="2427"/>
      <c r="O135" s="3410"/>
      <c r="P135" s="2427"/>
      <c r="Q135" s="3410"/>
      <c r="R135" s="2427"/>
      <c r="S135" s="3410"/>
      <c r="T135" s="2427"/>
      <c r="U135" s="3411"/>
    </row>
    <row r="136" spans="1:21" hidden="1">
      <c r="A136" s="2685"/>
      <c r="B136" s="3483" t="s">
        <v>1419</v>
      </c>
      <c r="C136" s="3455"/>
      <c r="D136" s="3442"/>
      <c r="E136" s="3456"/>
      <c r="F136" s="3484"/>
      <c r="G136" s="3458"/>
      <c r="H136" s="2427"/>
      <c r="I136" s="3410"/>
      <c r="J136" s="2427"/>
      <c r="K136" s="3410"/>
      <c r="L136" s="2537"/>
      <c r="M136" s="3410"/>
      <c r="N136" s="2427"/>
      <c r="O136" s="3410"/>
      <c r="P136" s="2427"/>
      <c r="Q136" s="3410"/>
      <c r="R136" s="2427"/>
      <c r="S136" s="3410"/>
      <c r="T136" s="2427"/>
      <c r="U136" s="3410"/>
    </row>
    <row r="137" spans="1:21" hidden="1">
      <c r="A137" s="3433"/>
      <c r="B137" s="3483" t="s">
        <v>1420</v>
      </c>
      <c r="C137" s="3455"/>
      <c r="D137" s="3442"/>
      <c r="E137" s="3456"/>
      <c r="F137" s="3484"/>
      <c r="G137" s="3458"/>
      <c r="H137" s="2427"/>
      <c r="I137" s="3410"/>
      <c r="J137" s="2427"/>
      <c r="K137" s="3410"/>
      <c r="L137" s="2537"/>
      <c r="M137" s="3410"/>
      <c r="N137" s="2427"/>
      <c r="O137" s="3410"/>
      <c r="P137" s="2427"/>
      <c r="Q137" s="3410"/>
      <c r="R137" s="2427"/>
      <c r="S137" s="3410"/>
      <c r="T137" s="2427"/>
      <c r="U137" s="3410"/>
    </row>
    <row r="138" spans="1:21" hidden="1">
      <c r="A138" s="2685"/>
      <c r="B138" s="3483" t="s">
        <v>1421</v>
      </c>
      <c r="C138" s="3455"/>
      <c r="D138" s="3442"/>
      <c r="E138" s="3456"/>
      <c r="F138" s="3484"/>
      <c r="G138" s="3458"/>
      <c r="H138" s="2427"/>
      <c r="I138" s="3410"/>
      <c r="J138" s="2427"/>
      <c r="K138" s="3410"/>
      <c r="L138" s="2537"/>
      <c r="M138" s="3410"/>
      <c r="N138" s="2427"/>
      <c r="O138" s="3410"/>
      <c r="P138" s="2427"/>
      <c r="Q138" s="3410"/>
      <c r="R138" s="2427"/>
      <c r="S138" s="3410"/>
      <c r="T138" s="2427"/>
      <c r="U138" s="3410"/>
    </row>
    <row r="139" spans="1:21" hidden="1">
      <c r="A139" s="2685"/>
      <c r="B139" s="3483" t="s">
        <v>1422</v>
      </c>
      <c r="C139" s="3455"/>
      <c r="D139" s="3442"/>
      <c r="E139" s="3456"/>
      <c r="F139" s="3484"/>
      <c r="G139" s="3458"/>
      <c r="H139" s="2427"/>
      <c r="I139" s="3410"/>
      <c r="J139" s="2427"/>
      <c r="K139" s="3410"/>
      <c r="L139" s="2537"/>
      <c r="M139" s="3409"/>
      <c r="N139" s="2427"/>
      <c r="O139" s="3410"/>
      <c r="P139" s="2427"/>
      <c r="Q139" s="3410"/>
      <c r="R139" s="2427"/>
      <c r="S139" s="3410"/>
      <c r="T139" s="2427"/>
      <c r="U139" s="3410"/>
    </row>
    <row r="140" spans="1:21" hidden="1">
      <c r="A140" s="3433"/>
      <c r="B140" s="3454"/>
      <c r="C140" s="3455"/>
      <c r="D140" s="3442"/>
      <c r="E140" s="3456"/>
      <c r="F140" s="3481"/>
      <c r="G140" s="3458"/>
      <c r="H140" s="2427"/>
      <c r="I140" s="3410"/>
      <c r="J140" s="2427"/>
      <c r="K140" s="3410"/>
      <c r="L140" s="3411"/>
      <c r="M140" s="3409"/>
      <c r="N140" s="2427"/>
      <c r="O140" s="3410"/>
      <c r="P140" s="2427"/>
      <c r="Q140" s="3410"/>
      <c r="R140" s="2427"/>
      <c r="S140" s="3410"/>
      <c r="T140" s="2427"/>
      <c r="U140" s="3410"/>
    </row>
    <row r="141" spans="1:21" hidden="1">
      <c r="A141" s="3433"/>
      <c r="B141" s="3454"/>
      <c r="C141" s="3455"/>
      <c r="D141" s="3442"/>
      <c r="E141" s="3456"/>
      <c r="F141" s="3481"/>
      <c r="G141" s="3458"/>
      <c r="H141" s="2427"/>
      <c r="I141" s="3410"/>
      <c r="J141" s="2427"/>
      <c r="K141" s="3410"/>
      <c r="L141" s="3411"/>
      <c r="M141" s="3409"/>
      <c r="N141" s="2427"/>
      <c r="O141" s="3410"/>
      <c r="P141" s="2427"/>
      <c r="Q141" s="3410"/>
      <c r="R141" s="2427"/>
      <c r="S141" s="3410"/>
      <c r="T141" s="2427"/>
      <c r="U141" s="3410"/>
    </row>
    <row r="142" spans="1:21" hidden="1">
      <c r="A142" s="2685"/>
      <c r="B142" s="3482" t="s">
        <v>1423</v>
      </c>
      <c r="C142" s="3455"/>
      <c r="D142" s="3442"/>
      <c r="E142" s="3456"/>
      <c r="F142" s="3481"/>
      <c r="G142" s="3458"/>
      <c r="H142" s="2427"/>
      <c r="I142" s="3410"/>
      <c r="J142" s="2427"/>
      <c r="K142" s="3410"/>
      <c r="L142" s="3411"/>
      <c r="M142" s="3409"/>
      <c r="N142" s="2427"/>
      <c r="O142" s="3410"/>
      <c r="P142" s="2427"/>
      <c r="Q142" s="3410"/>
      <c r="R142" s="2427"/>
      <c r="S142" s="3410"/>
      <c r="T142" s="2427"/>
      <c r="U142" s="3410"/>
    </row>
    <row r="143" spans="1:21" hidden="1">
      <c r="A143" s="3433"/>
      <c r="B143" s="3483" t="s">
        <v>1424</v>
      </c>
      <c r="C143" s="3455"/>
      <c r="D143" s="3442"/>
      <c r="E143" s="3456"/>
      <c r="F143" s="3484"/>
      <c r="G143" s="3458"/>
      <c r="H143" s="2427"/>
      <c r="I143" s="3410"/>
      <c r="J143" s="2427"/>
      <c r="K143" s="3410"/>
      <c r="L143" s="3411"/>
      <c r="M143" s="3409"/>
      <c r="N143" s="2427"/>
      <c r="O143" s="3410"/>
      <c r="P143" s="2427"/>
      <c r="Q143" s="3410"/>
      <c r="R143" s="2427"/>
      <c r="S143" s="3410"/>
      <c r="T143" s="2427"/>
      <c r="U143" s="3410"/>
    </row>
    <row r="144" spans="1:21" hidden="1">
      <c r="A144" s="2685"/>
      <c r="B144" s="3483" t="s">
        <v>1425</v>
      </c>
      <c r="C144" s="3455"/>
      <c r="D144" s="3442"/>
      <c r="E144" s="3456"/>
      <c r="F144" s="3484"/>
      <c r="G144" s="3458"/>
      <c r="H144" s="2427"/>
      <c r="I144" s="3411"/>
      <c r="J144" s="2427"/>
      <c r="K144" s="3411"/>
      <c r="L144" s="3411"/>
      <c r="M144" s="3409"/>
      <c r="N144" s="2427"/>
      <c r="O144" s="3411"/>
      <c r="P144" s="2427"/>
      <c r="Q144" s="3411"/>
      <c r="R144" s="2427"/>
      <c r="S144" s="3410"/>
      <c r="T144" s="2427"/>
      <c r="U144" s="3410"/>
    </row>
    <row r="145" spans="1:21" hidden="1">
      <c r="A145" s="3433"/>
      <c r="B145" s="3483" t="s">
        <v>1426</v>
      </c>
      <c r="C145" s="3455"/>
      <c r="D145" s="3442"/>
      <c r="E145" s="3456"/>
      <c r="F145" s="3484"/>
      <c r="G145" s="3458"/>
      <c r="H145" s="2427"/>
      <c r="I145" s="3411"/>
      <c r="J145" s="2427"/>
      <c r="K145" s="3411"/>
      <c r="L145" s="3411"/>
      <c r="M145" s="3409"/>
      <c r="N145" s="2427"/>
      <c r="O145" s="3411"/>
      <c r="P145" s="2427"/>
      <c r="Q145" s="3411"/>
      <c r="R145" s="2427"/>
      <c r="S145" s="3410"/>
      <c r="T145" s="2427"/>
      <c r="U145" s="3410"/>
    </row>
    <row r="146" spans="1:21" hidden="1">
      <c r="A146" s="2685"/>
      <c r="B146" s="3483" t="s">
        <v>1427</v>
      </c>
      <c r="C146" s="3455"/>
      <c r="D146" s="3442"/>
      <c r="E146" s="3456"/>
      <c r="F146" s="3484"/>
      <c r="G146" s="3458"/>
      <c r="H146" s="2427"/>
      <c r="I146" s="3411"/>
      <c r="J146" s="2427"/>
      <c r="K146" s="3411"/>
      <c r="L146" s="3411"/>
      <c r="M146" s="3409"/>
      <c r="N146" s="2427"/>
      <c r="O146" s="3411"/>
      <c r="P146" s="2427"/>
      <c r="Q146" s="3411"/>
      <c r="R146" s="2427"/>
      <c r="S146" s="3410"/>
      <c r="T146" s="2427"/>
      <c r="U146" s="3410"/>
    </row>
    <row r="147" spans="1:21" hidden="1">
      <c r="A147" s="3433"/>
      <c r="B147" s="3483" t="s">
        <v>1428</v>
      </c>
      <c r="C147" s="3455"/>
      <c r="D147" s="3442"/>
      <c r="E147" s="3456"/>
      <c r="F147" s="3484"/>
      <c r="G147" s="3458"/>
      <c r="H147" s="2427"/>
      <c r="I147" s="3411"/>
      <c r="J147" s="2427"/>
      <c r="K147" s="3411"/>
      <c r="L147" s="3411"/>
      <c r="M147" s="3409"/>
      <c r="N147" s="2427"/>
      <c r="O147" s="3411"/>
      <c r="P147" s="2427"/>
      <c r="Q147" s="3411"/>
      <c r="R147" s="2427"/>
      <c r="S147" s="3410"/>
      <c r="T147" s="2427"/>
      <c r="U147" s="3410"/>
    </row>
    <row r="148" spans="1:21" hidden="1">
      <c r="A148" s="2685"/>
      <c r="B148" s="3454"/>
      <c r="C148" s="3455"/>
      <c r="D148" s="3442"/>
      <c r="E148" s="3456"/>
      <c r="F148" s="3481"/>
      <c r="G148" s="3458"/>
      <c r="H148" s="2427"/>
      <c r="I148" s="3411"/>
      <c r="J148" s="2427"/>
      <c r="K148" s="3411"/>
      <c r="L148" s="3411"/>
      <c r="M148" s="3409"/>
      <c r="N148" s="2427"/>
      <c r="O148" s="3411"/>
      <c r="P148" s="2427"/>
      <c r="Q148" s="3411"/>
      <c r="R148" s="2427"/>
      <c r="S148" s="3410"/>
      <c r="T148" s="2427"/>
      <c r="U148" s="3410"/>
    </row>
    <row r="149" spans="1:21" s="65" customFormat="1" hidden="1">
      <c r="A149" s="3434"/>
      <c r="B149" s="3454"/>
      <c r="C149" s="3455"/>
      <c r="D149" s="3442"/>
      <c r="E149" s="3456"/>
      <c r="F149" s="3481"/>
      <c r="G149" s="3458"/>
      <c r="H149" s="2427"/>
      <c r="I149" s="3486"/>
      <c r="J149" s="2427"/>
      <c r="K149" s="3486"/>
      <c r="L149" s="2537"/>
      <c r="M149" s="3486"/>
      <c r="N149" s="2427"/>
      <c r="O149" s="3486"/>
      <c r="P149" s="2427"/>
      <c r="Q149" s="3486"/>
      <c r="R149" s="2427"/>
      <c r="S149" s="3487"/>
      <c r="T149" s="2427"/>
      <c r="U149" s="3410"/>
    </row>
    <row r="150" spans="1:21" s="65" customFormat="1" hidden="1">
      <c r="A150" s="3434"/>
      <c r="B150" s="3482" t="s">
        <v>1429</v>
      </c>
      <c r="C150" s="3455"/>
      <c r="D150" s="3442"/>
      <c r="E150" s="3456"/>
      <c r="F150" s="3481"/>
      <c r="G150" s="3458"/>
      <c r="H150" s="2427"/>
      <c r="I150" s="3486"/>
      <c r="J150" s="2427"/>
      <c r="K150" s="3486"/>
      <c r="L150" s="2537"/>
      <c r="M150" s="3487"/>
      <c r="N150" s="2427"/>
      <c r="O150" s="3486"/>
      <c r="P150" s="2427"/>
      <c r="Q150" s="3486"/>
      <c r="R150" s="2427"/>
      <c r="S150" s="3487"/>
      <c r="T150" s="2427"/>
      <c r="U150" s="3410"/>
    </row>
    <row r="151" spans="1:21" s="65" customFormat="1" hidden="1">
      <c r="A151" s="3434"/>
      <c r="B151" s="3483" t="s">
        <v>1430</v>
      </c>
      <c r="C151" s="3455"/>
      <c r="D151" s="3442"/>
      <c r="E151" s="3456"/>
      <c r="F151" s="3484"/>
      <c r="G151" s="3458"/>
      <c r="H151" s="2427"/>
      <c r="I151" s="3486"/>
      <c r="J151" s="2427"/>
      <c r="K151" s="3486"/>
      <c r="L151" s="2537"/>
      <c r="M151" s="3487"/>
      <c r="N151" s="2427"/>
      <c r="O151" s="3486"/>
      <c r="P151" s="2427"/>
      <c r="Q151" s="3486"/>
      <c r="R151" s="2427"/>
      <c r="S151" s="3487"/>
      <c r="T151" s="2427"/>
      <c r="U151" s="3410"/>
    </row>
    <row r="152" spans="1:21" s="65" customFormat="1" hidden="1">
      <c r="A152" s="3434"/>
      <c r="B152" s="3483" t="s">
        <v>1431</v>
      </c>
      <c r="C152" s="3455"/>
      <c r="D152" s="3442"/>
      <c r="E152" s="3456"/>
      <c r="F152" s="3484"/>
      <c r="G152" s="3458"/>
      <c r="H152" s="2427"/>
      <c r="I152" s="3486"/>
      <c r="J152" s="2427"/>
      <c r="K152" s="3486"/>
      <c r="L152" s="3487"/>
      <c r="M152" s="3487"/>
      <c r="N152" s="2427"/>
      <c r="O152" s="3486"/>
      <c r="P152" s="2427"/>
      <c r="Q152" s="3486"/>
      <c r="R152" s="2427"/>
      <c r="S152" s="3487"/>
      <c r="T152" s="2427"/>
      <c r="U152" s="3410"/>
    </row>
    <row r="153" spans="1:21" s="65" customFormat="1" hidden="1">
      <c r="A153" s="3434"/>
      <c r="B153" s="3483" t="s">
        <v>1432</v>
      </c>
      <c r="C153" s="3455"/>
      <c r="D153" s="3442"/>
      <c r="E153" s="3456"/>
      <c r="F153" s="3484"/>
      <c r="G153" s="3458"/>
      <c r="H153" s="2427"/>
      <c r="I153" s="3486"/>
      <c r="J153" s="2427"/>
      <c r="K153" s="3486"/>
      <c r="L153" s="3487"/>
      <c r="M153" s="3487"/>
      <c r="N153" s="2427"/>
      <c r="O153" s="3486"/>
      <c r="P153" s="2427"/>
      <c r="Q153" s="3486"/>
      <c r="R153" s="2427"/>
      <c r="S153" s="3487"/>
      <c r="T153" s="2427"/>
      <c r="U153" s="3410"/>
    </row>
    <row r="154" spans="1:21" s="65" customFormat="1" hidden="1">
      <c r="A154" s="3434"/>
      <c r="B154" s="3483" t="s">
        <v>1433</v>
      </c>
      <c r="C154" s="3455"/>
      <c r="D154" s="3442"/>
      <c r="E154" s="3456"/>
      <c r="F154" s="3484"/>
      <c r="G154" s="3458"/>
      <c r="H154" s="2427"/>
      <c r="I154" s="3486"/>
      <c r="J154" s="2427"/>
      <c r="K154" s="3486"/>
      <c r="L154" s="3487"/>
      <c r="M154" s="3487"/>
      <c r="N154" s="2427"/>
      <c r="O154" s="3486"/>
      <c r="P154" s="2427"/>
      <c r="Q154" s="3486"/>
      <c r="R154" s="2427"/>
      <c r="S154" s="3487"/>
      <c r="T154" s="2427"/>
      <c r="U154" s="3410"/>
    </row>
    <row r="155" spans="1:21" s="65" customFormat="1" hidden="1">
      <c r="A155" s="3434"/>
      <c r="B155" s="3483" t="s">
        <v>1434</v>
      </c>
      <c r="C155" s="3455"/>
      <c r="D155" s="3442"/>
      <c r="E155" s="3456"/>
      <c r="F155" s="3484"/>
      <c r="G155" s="3458"/>
      <c r="H155" s="2427"/>
      <c r="I155" s="3486"/>
      <c r="J155" s="2427"/>
      <c r="K155" s="3486"/>
      <c r="L155" s="3487"/>
      <c r="M155" s="3487"/>
      <c r="N155" s="2427"/>
      <c r="O155" s="3486"/>
      <c r="P155" s="2427"/>
      <c r="Q155" s="3486"/>
      <c r="R155" s="2427"/>
      <c r="S155" s="3487"/>
      <c r="T155" s="2427"/>
      <c r="U155" s="3410"/>
    </row>
    <row r="156" spans="1:21" s="65" customFormat="1" hidden="1">
      <c r="A156" s="3434"/>
      <c r="B156" s="3483" t="s">
        <v>1435</v>
      </c>
      <c r="C156" s="3455"/>
      <c r="D156" s="3442"/>
      <c r="E156" s="3456"/>
      <c r="F156" s="3484"/>
      <c r="G156" s="3458"/>
      <c r="H156" s="2427"/>
      <c r="I156" s="3486"/>
      <c r="J156" s="2427"/>
      <c r="K156" s="3486"/>
      <c r="L156" s="3487"/>
      <c r="M156" s="3487"/>
      <c r="N156" s="2427"/>
      <c r="O156" s="3486"/>
      <c r="P156" s="2427"/>
      <c r="Q156" s="3486"/>
      <c r="R156" s="2427"/>
      <c r="S156" s="3487"/>
      <c r="T156" s="2427"/>
      <c r="U156" s="3410"/>
    </row>
    <row r="157" spans="1:21" s="65" customFormat="1" hidden="1">
      <c r="A157" s="3434"/>
      <c r="B157" s="3483" t="s">
        <v>1436</v>
      </c>
      <c r="C157" s="3455"/>
      <c r="D157" s="3442"/>
      <c r="E157" s="3456"/>
      <c r="F157" s="3484"/>
      <c r="G157" s="3458"/>
      <c r="H157" s="2427"/>
      <c r="I157" s="3410"/>
      <c r="J157" s="2427"/>
      <c r="K157" s="3410"/>
      <c r="L157" s="2537"/>
      <c r="M157" s="3410"/>
      <c r="N157" s="2427"/>
      <c r="O157" s="3410"/>
      <c r="P157" s="2427"/>
      <c r="Q157" s="3410"/>
      <c r="R157" s="2427"/>
      <c r="S157" s="3410"/>
      <c r="T157" s="2427"/>
      <c r="U157" s="3410"/>
    </row>
    <row r="158" spans="1:21" s="65" customFormat="1" hidden="1">
      <c r="A158" s="3488"/>
      <c r="B158" s="3483" t="s">
        <v>1437</v>
      </c>
      <c r="C158" s="3455"/>
      <c r="D158" s="3442"/>
      <c r="E158" s="3456"/>
      <c r="F158" s="3484"/>
      <c r="G158" s="3458"/>
      <c r="H158" s="2427"/>
      <c r="I158" s="3410"/>
      <c r="J158" s="2427"/>
      <c r="K158" s="3410"/>
      <c r="L158" s="2537"/>
      <c r="M158" s="3411"/>
      <c r="N158" s="2427"/>
      <c r="O158" s="3410"/>
      <c r="P158" s="2427"/>
      <c r="Q158" s="3410"/>
      <c r="R158" s="2427"/>
      <c r="S158" s="3410"/>
      <c r="T158" s="2427"/>
      <c r="U158" s="3410"/>
    </row>
    <row r="159" spans="1:21" s="65" customFormat="1" hidden="1">
      <c r="A159" s="3434"/>
      <c r="B159" s="3483" t="s">
        <v>1438</v>
      </c>
      <c r="C159" s="3455"/>
      <c r="D159" s="3442"/>
      <c r="E159" s="3456"/>
      <c r="F159" s="3484"/>
      <c r="G159" s="3458"/>
      <c r="H159" s="2427"/>
      <c r="I159" s="3410"/>
      <c r="J159" s="2427"/>
      <c r="K159" s="3410"/>
      <c r="L159" s="2537"/>
      <c r="M159" s="3411"/>
      <c r="N159" s="2427"/>
      <c r="O159" s="3410"/>
      <c r="P159" s="2427"/>
      <c r="Q159" s="3410"/>
      <c r="R159" s="2427"/>
      <c r="S159" s="3410"/>
      <c r="T159" s="2427"/>
      <c r="U159" s="3410"/>
    </row>
    <row r="160" spans="1:21" s="65" customFormat="1" hidden="1">
      <c r="A160" s="3434"/>
      <c r="B160" s="3483" t="s">
        <v>1439</v>
      </c>
      <c r="C160" s="3455"/>
      <c r="D160" s="3442"/>
      <c r="E160" s="3456"/>
      <c r="F160" s="3484"/>
      <c r="G160" s="3458"/>
      <c r="H160" s="2427"/>
      <c r="I160" s="3410"/>
      <c r="J160" s="2427"/>
      <c r="K160" s="3410"/>
      <c r="L160" s="2537"/>
      <c r="M160" s="3411"/>
      <c r="N160" s="2427"/>
      <c r="O160" s="3410"/>
      <c r="P160" s="2427"/>
      <c r="Q160" s="3410"/>
      <c r="R160" s="2427"/>
      <c r="S160" s="3410"/>
      <c r="T160" s="2427"/>
      <c r="U160" s="3410"/>
    </row>
    <row r="161" spans="1:21" s="65" customFormat="1" hidden="1">
      <c r="A161" s="3434"/>
      <c r="B161" s="3483" t="s">
        <v>1440</v>
      </c>
      <c r="C161" s="3455"/>
      <c r="D161" s="3442"/>
      <c r="E161" s="3456"/>
      <c r="F161" s="3484"/>
      <c r="G161" s="3458"/>
      <c r="H161" s="2427"/>
      <c r="I161" s="3410"/>
      <c r="J161" s="2427"/>
      <c r="K161" s="3410"/>
      <c r="L161" s="2537"/>
      <c r="M161" s="3411"/>
      <c r="N161" s="2427"/>
      <c r="O161" s="3410"/>
      <c r="P161" s="2427"/>
      <c r="Q161" s="3410"/>
      <c r="R161" s="2427"/>
      <c r="S161" s="3410"/>
      <c r="T161" s="2427"/>
      <c r="U161" s="3410"/>
    </row>
    <row r="162" spans="1:21" s="65" customFormat="1" hidden="1">
      <c r="A162" s="3434"/>
      <c r="B162" s="3454"/>
      <c r="C162" s="3455"/>
      <c r="D162" s="3442"/>
      <c r="E162" s="3456"/>
      <c r="F162" s="3481"/>
      <c r="G162" s="3458"/>
      <c r="H162" s="2427"/>
      <c r="I162" s="3410"/>
      <c r="J162" s="2427"/>
      <c r="K162" s="3410"/>
      <c r="L162" s="2537"/>
      <c r="M162" s="3411"/>
      <c r="N162" s="2427"/>
      <c r="O162" s="3410"/>
      <c r="P162" s="2427"/>
      <c r="Q162" s="3410"/>
      <c r="R162" s="2427"/>
      <c r="S162" s="3410"/>
      <c r="T162" s="2427"/>
      <c r="U162" s="3410"/>
    </row>
    <row r="163" spans="1:21" s="65" customFormat="1" hidden="1">
      <c r="A163" s="3434"/>
      <c r="B163" s="3454"/>
      <c r="C163" s="3455"/>
      <c r="D163" s="3442"/>
      <c r="E163" s="3456"/>
      <c r="F163" s="3481"/>
      <c r="G163" s="3458"/>
      <c r="H163" s="2427"/>
      <c r="I163" s="3410"/>
      <c r="J163" s="2427"/>
      <c r="K163" s="3410"/>
      <c r="L163" s="2537"/>
      <c r="M163" s="3411"/>
      <c r="N163" s="2427"/>
      <c r="O163" s="3410"/>
      <c r="P163" s="2427"/>
      <c r="Q163" s="3410"/>
      <c r="R163" s="2427"/>
      <c r="S163" s="3410"/>
      <c r="T163" s="2427"/>
      <c r="U163" s="3410"/>
    </row>
    <row r="164" spans="1:21" s="65" customFormat="1" hidden="1">
      <c r="A164" s="3434"/>
      <c r="B164" s="3482" t="s">
        <v>1441</v>
      </c>
      <c r="C164" s="3455"/>
      <c r="D164" s="3442"/>
      <c r="E164" s="3456"/>
      <c r="F164" s="3481"/>
      <c r="G164" s="3458"/>
      <c r="H164" s="2427"/>
      <c r="I164" s="3410"/>
      <c r="J164" s="2427"/>
      <c r="K164" s="3410"/>
      <c r="L164" s="2537"/>
      <c r="M164" s="3411"/>
      <c r="N164" s="2427"/>
      <c r="O164" s="3410"/>
      <c r="P164" s="2427"/>
      <c r="Q164" s="3410"/>
      <c r="R164" s="2427"/>
      <c r="S164" s="3410"/>
      <c r="T164" s="2427"/>
      <c r="U164" s="3410"/>
    </row>
    <row r="165" spans="1:21" s="65" customFormat="1" ht="15" hidden="1" customHeight="1">
      <c r="A165" s="3434"/>
      <c r="B165" s="3483" t="s">
        <v>1442</v>
      </c>
      <c r="C165" s="3455"/>
      <c r="D165" s="3442"/>
      <c r="E165" s="3456"/>
      <c r="F165" s="3484"/>
      <c r="G165" s="3458"/>
      <c r="H165" s="2427"/>
      <c r="I165" s="3410"/>
      <c r="J165" s="2427"/>
      <c r="K165" s="3410"/>
      <c r="L165" s="3453"/>
      <c r="M165" s="3411"/>
      <c r="N165" s="2427"/>
      <c r="O165" s="3410"/>
      <c r="P165" s="2427"/>
      <c r="Q165" s="3410"/>
      <c r="R165" s="2427"/>
      <c r="S165" s="3410"/>
      <c r="T165" s="2427"/>
      <c r="U165" s="3410"/>
    </row>
    <row r="166" spans="1:21" s="65" customFormat="1" ht="15" hidden="1" customHeight="1">
      <c r="A166" s="3434"/>
      <c r="B166" s="3483" t="s">
        <v>1443</v>
      </c>
      <c r="C166" s="3455"/>
      <c r="D166" s="3442"/>
      <c r="E166" s="3456"/>
      <c r="F166" s="3484"/>
      <c r="G166" s="3458"/>
      <c r="H166" s="2427"/>
      <c r="I166" s="3410"/>
      <c r="J166" s="2427"/>
      <c r="K166" s="3410"/>
      <c r="L166" s="3453"/>
      <c r="M166" s="3411"/>
      <c r="N166" s="2427"/>
      <c r="O166" s="3410"/>
      <c r="P166" s="2427"/>
      <c r="Q166" s="3410"/>
      <c r="R166" s="2427"/>
      <c r="S166" s="3410"/>
      <c r="T166" s="2427"/>
      <c r="U166" s="3410"/>
    </row>
    <row r="167" spans="1:21" s="65" customFormat="1" ht="15" hidden="1" customHeight="1">
      <c r="A167" s="3434"/>
      <c r="B167" s="3483" t="s">
        <v>1444</v>
      </c>
      <c r="C167" s="3455"/>
      <c r="D167" s="3442"/>
      <c r="E167" s="3456"/>
      <c r="F167" s="3484"/>
      <c r="G167" s="3458"/>
      <c r="H167" s="2427"/>
      <c r="I167" s="3410"/>
      <c r="J167" s="2427"/>
      <c r="K167" s="3410"/>
      <c r="L167" s="3453"/>
      <c r="M167" s="3411"/>
      <c r="N167" s="2427"/>
      <c r="O167" s="3410"/>
      <c r="P167" s="2427"/>
      <c r="Q167" s="3410"/>
      <c r="R167" s="2427"/>
      <c r="S167" s="3410"/>
      <c r="T167" s="2427" t="s">
        <v>509</v>
      </c>
      <c r="U167" s="3410"/>
    </row>
    <row r="168" spans="1:21" s="65" customFormat="1" ht="15" hidden="1" customHeight="1">
      <c r="A168" s="3434"/>
      <c r="B168" s="3483" t="s">
        <v>1445</v>
      </c>
      <c r="C168" s="3455"/>
      <c r="D168" s="3442"/>
      <c r="E168" s="3456"/>
      <c r="F168" s="3484"/>
      <c r="G168" s="3458"/>
      <c r="H168" s="2427"/>
      <c r="I168" s="3410"/>
      <c r="J168" s="2427"/>
      <c r="K168" s="3410"/>
      <c r="L168" s="3453"/>
      <c r="M168" s="3411"/>
      <c r="N168" s="2427"/>
      <c r="O168" s="3410"/>
      <c r="P168" s="2427"/>
      <c r="Q168" s="3410"/>
      <c r="R168" s="2427"/>
      <c r="S168" s="3410"/>
      <c r="T168" s="2427"/>
      <c r="U168" s="3410"/>
    </row>
    <row r="169" spans="1:21" s="65" customFormat="1" hidden="1">
      <c r="A169" s="3488"/>
      <c r="B169" s="3483" t="s">
        <v>1446</v>
      </c>
      <c r="C169" s="3455"/>
      <c r="D169" s="3442"/>
      <c r="E169" s="3456"/>
      <c r="F169" s="3484"/>
      <c r="G169" s="3458"/>
      <c r="H169" s="2427"/>
      <c r="I169" s="3486"/>
      <c r="J169" s="2427"/>
      <c r="K169" s="3486"/>
      <c r="L169" s="2537"/>
      <c r="M169" s="3486"/>
      <c r="N169" s="2427"/>
      <c r="O169" s="3486"/>
      <c r="P169" s="2427"/>
      <c r="Q169" s="3486"/>
      <c r="R169" s="2427"/>
      <c r="S169" s="3486"/>
      <c r="T169" s="2427"/>
      <c r="U169" s="3487"/>
    </row>
    <row r="170" spans="1:21" s="65" customFormat="1" hidden="1">
      <c r="A170" s="3434"/>
      <c r="B170" s="3483" t="s">
        <v>1447</v>
      </c>
      <c r="C170" s="3455"/>
      <c r="D170" s="3442"/>
      <c r="E170" s="3456"/>
      <c r="F170" s="3484"/>
      <c r="G170" s="3458"/>
      <c r="H170" s="2427"/>
      <c r="I170" s="3486"/>
      <c r="J170" s="2427"/>
      <c r="K170" s="3486"/>
      <c r="L170" s="2537"/>
      <c r="M170" s="3487"/>
      <c r="N170" s="2427"/>
      <c r="O170" s="3486"/>
      <c r="P170" s="2427"/>
      <c r="Q170" s="3486"/>
      <c r="R170" s="2427"/>
      <c r="S170" s="3487"/>
      <c r="T170" s="2427"/>
      <c r="U170" s="3410"/>
    </row>
    <row r="171" spans="1:21" s="65" customFormat="1" hidden="1">
      <c r="A171" s="3434"/>
      <c r="B171" s="3483" t="s">
        <v>1448</v>
      </c>
      <c r="C171" s="3455"/>
      <c r="D171" s="3442"/>
      <c r="E171" s="3456"/>
      <c r="F171" s="3484"/>
      <c r="G171" s="3458"/>
      <c r="H171" s="2427"/>
      <c r="I171" s="3486"/>
      <c r="J171" s="2427"/>
      <c r="K171" s="3486"/>
      <c r="L171" s="2537"/>
      <c r="M171" s="3487"/>
      <c r="N171" s="2427"/>
      <c r="O171" s="3486"/>
      <c r="P171" s="2427"/>
      <c r="Q171" s="3486"/>
      <c r="R171" s="2427"/>
      <c r="S171" s="3487"/>
      <c r="T171" s="2427"/>
      <c r="U171" s="3487"/>
    </row>
    <row r="172" spans="1:21" s="65" customFormat="1" hidden="1">
      <c r="A172" s="3434"/>
      <c r="B172" s="3454"/>
      <c r="C172" s="3455"/>
      <c r="D172" s="3442"/>
      <c r="E172" s="3456"/>
      <c r="F172" s="3481"/>
      <c r="G172" s="3458"/>
      <c r="H172" s="2427"/>
      <c r="I172" s="3486"/>
      <c r="J172" s="2427"/>
      <c r="K172" s="3486"/>
      <c r="L172" s="2537"/>
      <c r="M172" s="3487"/>
      <c r="N172" s="2427"/>
      <c r="O172" s="3486"/>
      <c r="P172" s="2427"/>
      <c r="Q172" s="3486"/>
      <c r="R172" s="2427"/>
      <c r="S172" s="3487"/>
      <c r="T172" s="2427"/>
      <c r="U172" s="3487"/>
    </row>
    <row r="173" spans="1:21" s="65" customFormat="1" hidden="1">
      <c r="A173" s="3434"/>
      <c r="B173" s="3454"/>
      <c r="C173" s="3455"/>
      <c r="D173" s="3442"/>
      <c r="E173" s="3456"/>
      <c r="F173" s="3481"/>
      <c r="G173" s="3458"/>
      <c r="H173" s="2427"/>
      <c r="I173" s="3486"/>
      <c r="J173" s="2427"/>
      <c r="K173" s="3486"/>
      <c r="L173" s="2537"/>
      <c r="M173" s="3487"/>
      <c r="N173" s="2427"/>
      <c r="O173" s="3486"/>
      <c r="P173" s="2427"/>
      <c r="Q173" s="3486"/>
      <c r="R173" s="2427"/>
      <c r="S173" s="3487"/>
      <c r="T173" s="2427"/>
      <c r="U173" s="3487"/>
    </row>
    <row r="174" spans="1:21" s="65" customFormat="1" hidden="1">
      <c r="A174" s="3434"/>
      <c r="B174" s="3482" t="s">
        <v>1449</v>
      </c>
      <c r="C174" s="3455"/>
      <c r="D174" s="3442"/>
      <c r="E174" s="3456"/>
      <c r="F174" s="3481"/>
      <c r="G174" s="3458"/>
      <c r="H174" s="2427"/>
      <c r="I174" s="3486"/>
      <c r="J174" s="2427"/>
      <c r="K174" s="3486"/>
      <c r="L174" s="2537"/>
      <c r="M174" s="3486"/>
      <c r="N174" s="2427"/>
      <c r="O174" s="3486"/>
      <c r="P174" s="2427"/>
      <c r="Q174" s="3486"/>
      <c r="R174" s="2427"/>
      <c r="S174" s="3487"/>
      <c r="T174" s="2427"/>
      <c r="U174" s="3410"/>
    </row>
    <row r="175" spans="1:21" s="65" customFormat="1" hidden="1">
      <c r="A175" s="3434"/>
      <c r="B175" s="3483" t="s">
        <v>1450</v>
      </c>
      <c r="C175" s="3455"/>
      <c r="D175" s="3442"/>
      <c r="E175" s="3456"/>
      <c r="F175" s="3484"/>
      <c r="G175" s="3458"/>
      <c r="H175" s="2427"/>
      <c r="I175" s="3486"/>
      <c r="J175" s="2427"/>
      <c r="K175" s="3486"/>
      <c r="L175" s="2537"/>
      <c r="M175" s="3487"/>
      <c r="N175" s="2427"/>
      <c r="O175" s="3486"/>
      <c r="P175" s="2427"/>
      <c r="Q175" s="3486"/>
      <c r="R175" s="2427"/>
      <c r="S175" s="3487"/>
      <c r="T175" s="2427"/>
      <c r="U175" s="3410"/>
    </row>
    <row r="176" spans="1:21" s="65" customFormat="1" hidden="1">
      <c r="A176" s="3434"/>
      <c r="B176" s="3483" t="s">
        <v>1451</v>
      </c>
      <c r="C176" s="3455"/>
      <c r="D176" s="3442"/>
      <c r="E176" s="3456"/>
      <c r="F176" s="3484"/>
      <c r="G176" s="3458"/>
      <c r="H176" s="2427"/>
      <c r="I176" s="3486"/>
      <c r="J176" s="2427"/>
      <c r="K176" s="3486"/>
      <c r="L176" s="2537"/>
      <c r="M176" s="3487"/>
      <c r="N176" s="2427"/>
      <c r="O176" s="3486"/>
      <c r="P176" s="2427"/>
      <c r="Q176" s="3486"/>
      <c r="R176" s="2427"/>
      <c r="S176" s="3487"/>
      <c r="T176" s="2427"/>
      <c r="U176" s="3410"/>
    </row>
    <row r="177" spans="1:21" s="65" customFormat="1" hidden="1">
      <c r="A177" s="3434"/>
      <c r="B177" s="3483" t="s">
        <v>1452</v>
      </c>
      <c r="C177" s="3455"/>
      <c r="D177" s="3442"/>
      <c r="E177" s="3456"/>
      <c r="F177" s="3484"/>
      <c r="G177" s="3458"/>
      <c r="H177" s="2427"/>
      <c r="I177" s="3486"/>
      <c r="J177" s="2427"/>
      <c r="K177" s="3486"/>
      <c r="L177" s="2537"/>
      <c r="M177" s="3486"/>
      <c r="N177" s="2427"/>
      <c r="O177" s="3486"/>
      <c r="P177" s="2427"/>
      <c r="Q177" s="3486"/>
      <c r="R177" s="2427"/>
      <c r="S177" s="3487"/>
      <c r="T177" s="2427"/>
      <c r="U177" s="3410"/>
    </row>
    <row r="178" spans="1:21" s="65" customFormat="1" hidden="1">
      <c r="A178" s="3434"/>
      <c r="B178" s="3483" t="s">
        <v>1453</v>
      </c>
      <c r="C178" s="3455"/>
      <c r="D178" s="3442"/>
      <c r="E178" s="3456"/>
      <c r="F178" s="3484"/>
      <c r="G178" s="3458"/>
      <c r="H178" s="2427"/>
      <c r="I178" s="3486"/>
      <c r="J178" s="2427"/>
      <c r="K178" s="3486"/>
      <c r="L178" s="2537"/>
      <c r="M178" s="3487"/>
      <c r="N178" s="2427"/>
      <c r="O178" s="3486"/>
      <c r="P178" s="2427"/>
      <c r="Q178" s="3486"/>
      <c r="R178" s="2427"/>
      <c r="S178" s="3487"/>
      <c r="T178" s="2427"/>
      <c r="U178" s="3410"/>
    </row>
    <row r="179" spans="1:21" s="65" customFormat="1" hidden="1">
      <c r="A179" s="3434"/>
      <c r="B179" s="3483" t="s">
        <v>1454</v>
      </c>
      <c r="C179" s="3455"/>
      <c r="D179" s="3442"/>
      <c r="E179" s="3456"/>
      <c r="F179" s="3484"/>
      <c r="G179" s="3458"/>
      <c r="H179" s="2427"/>
      <c r="I179" s="3486"/>
      <c r="J179" s="2427"/>
      <c r="K179" s="3486"/>
      <c r="L179" s="2537"/>
      <c r="M179" s="3487"/>
      <c r="N179" s="2427"/>
      <c r="O179" s="3486"/>
      <c r="P179" s="2427"/>
      <c r="Q179" s="3486"/>
      <c r="R179" s="2427"/>
      <c r="S179" s="3487"/>
      <c r="T179" s="2427"/>
      <c r="U179" s="3410"/>
    </row>
    <row r="180" spans="1:21" s="65" customFormat="1" hidden="1">
      <c r="A180" s="3434"/>
      <c r="B180" s="3483" t="s">
        <v>1455</v>
      </c>
      <c r="C180" s="3455"/>
      <c r="D180" s="3442"/>
      <c r="E180" s="3456"/>
      <c r="F180" s="3484"/>
      <c r="G180" s="3458"/>
      <c r="H180" s="2427"/>
      <c r="I180" s="3486"/>
      <c r="J180" s="2427"/>
      <c r="K180" s="3486"/>
      <c r="L180" s="3487"/>
      <c r="M180" s="3487"/>
      <c r="N180" s="2427"/>
      <c r="O180" s="3486"/>
      <c r="P180" s="2427"/>
      <c r="Q180" s="3486"/>
      <c r="R180" s="2427"/>
      <c r="S180" s="3487"/>
      <c r="T180" s="2427"/>
      <c r="U180" s="3410"/>
    </row>
    <row r="181" spans="1:21" s="65" customFormat="1" hidden="1">
      <c r="A181" s="3434"/>
      <c r="B181" s="3483" t="s">
        <v>1456</v>
      </c>
      <c r="C181" s="3455"/>
      <c r="D181" s="3442"/>
      <c r="E181" s="3456"/>
      <c r="F181" s="3484"/>
      <c r="G181" s="3458"/>
      <c r="H181" s="2427"/>
      <c r="I181" s="3486"/>
      <c r="J181" s="2427"/>
      <c r="K181" s="3486"/>
      <c r="L181" s="3487"/>
      <c r="M181" s="3487"/>
      <c r="N181" s="2427"/>
      <c r="O181" s="3486"/>
      <c r="P181" s="2427"/>
      <c r="Q181" s="3486"/>
      <c r="R181" s="2427"/>
      <c r="S181" s="3487"/>
      <c r="T181" s="2427"/>
      <c r="U181" s="3410"/>
    </row>
    <row r="182" spans="1:21" s="65" customFormat="1" hidden="1">
      <c r="A182" s="3434"/>
      <c r="B182" s="3483" t="s">
        <v>1457</v>
      </c>
      <c r="C182" s="3455"/>
      <c r="D182" s="3442"/>
      <c r="E182" s="3456"/>
      <c r="F182" s="3484"/>
      <c r="G182" s="3458"/>
      <c r="H182" s="2427"/>
      <c r="I182" s="3486"/>
      <c r="J182" s="2427"/>
      <c r="K182" s="3486"/>
      <c r="L182" s="3487"/>
      <c r="M182" s="3487"/>
      <c r="N182" s="2427"/>
      <c r="O182" s="3486"/>
      <c r="P182" s="2427"/>
      <c r="Q182" s="3486"/>
      <c r="R182" s="2427"/>
      <c r="S182" s="3487"/>
      <c r="T182" s="2427"/>
      <c r="U182" s="3410"/>
    </row>
    <row r="183" spans="1:21" s="65" customFormat="1" hidden="1">
      <c r="A183" s="3434"/>
      <c r="B183" s="3483" t="s">
        <v>1458</v>
      </c>
      <c r="C183" s="3455"/>
      <c r="D183" s="3442"/>
      <c r="E183" s="3456"/>
      <c r="F183" s="3484"/>
      <c r="G183" s="3458"/>
      <c r="H183" s="2427"/>
      <c r="I183" s="3486"/>
      <c r="J183" s="2427"/>
      <c r="K183" s="3486"/>
      <c r="L183" s="3487"/>
      <c r="M183" s="3487"/>
      <c r="N183" s="2427"/>
      <c r="O183" s="3486"/>
      <c r="P183" s="2427"/>
      <c r="Q183" s="3486"/>
      <c r="R183" s="2427"/>
      <c r="S183" s="3487"/>
      <c r="T183" s="2427"/>
      <c r="U183" s="3410"/>
    </row>
    <row r="184" spans="1:21" s="65" customFormat="1" hidden="1">
      <c r="A184" s="3434"/>
      <c r="B184" s="3483" t="s">
        <v>1459</v>
      </c>
      <c r="C184" s="3455"/>
      <c r="D184" s="3442"/>
      <c r="E184" s="3456"/>
      <c r="F184" s="3484"/>
      <c r="G184" s="3458"/>
      <c r="H184" s="2427"/>
      <c r="I184" s="3486"/>
      <c r="J184" s="2427"/>
      <c r="K184" s="3486"/>
      <c r="L184" s="3487"/>
      <c r="M184" s="3487"/>
      <c r="N184" s="2427"/>
      <c r="O184" s="3486"/>
      <c r="P184" s="2427"/>
      <c r="Q184" s="3486"/>
      <c r="R184" s="2427"/>
      <c r="S184" s="3487"/>
      <c r="T184" s="2427"/>
      <c r="U184" s="3410"/>
    </row>
    <row r="185" spans="1:21" s="65" customFormat="1" ht="18.600000000000001" hidden="1" customHeight="1">
      <c r="A185" s="3434"/>
      <c r="B185" s="3483" t="s">
        <v>1460</v>
      </c>
      <c r="C185" s="3455"/>
      <c r="D185" s="3442"/>
      <c r="E185" s="3456"/>
      <c r="F185" s="3484"/>
      <c r="G185" s="3458"/>
      <c r="H185" s="2427"/>
      <c r="I185" s="3486"/>
      <c r="J185" s="2427"/>
      <c r="K185" s="3486"/>
      <c r="L185" s="2537"/>
      <c r="M185" s="3486"/>
      <c r="N185" s="2427"/>
      <c r="O185" s="3486"/>
      <c r="P185" s="2427"/>
      <c r="Q185" s="3486"/>
      <c r="R185" s="2427"/>
      <c r="S185" s="3487"/>
      <c r="T185" s="2427"/>
      <c r="U185" s="3410"/>
    </row>
    <row r="186" spans="1:21" s="65" customFormat="1" hidden="1">
      <c r="A186" s="3488"/>
      <c r="B186" s="3483" t="s">
        <v>1461</v>
      </c>
      <c r="C186" s="3455"/>
      <c r="D186" s="3442"/>
      <c r="E186" s="3456"/>
      <c r="F186" s="3484"/>
      <c r="G186" s="3458"/>
      <c r="H186" s="2427"/>
      <c r="I186" s="3486"/>
      <c r="J186" s="2427"/>
      <c r="K186" s="3486"/>
      <c r="L186" s="2537"/>
      <c r="M186" s="3487"/>
      <c r="N186" s="2427"/>
      <c r="O186" s="3486"/>
      <c r="P186" s="2427"/>
      <c r="Q186" s="3486"/>
      <c r="R186" s="2427"/>
      <c r="S186" s="3487"/>
      <c r="T186" s="2427"/>
      <c r="U186" s="3410"/>
    </row>
    <row r="187" spans="1:21" s="65" customFormat="1" ht="15" hidden="1" customHeight="1">
      <c r="A187" s="3488"/>
      <c r="B187" s="3483" t="s">
        <v>1462</v>
      </c>
      <c r="C187" s="3455"/>
      <c r="D187" s="3442"/>
      <c r="E187" s="3456"/>
      <c r="F187" s="3484"/>
      <c r="G187" s="3458"/>
      <c r="H187" s="2427"/>
      <c r="I187" s="3486"/>
      <c r="J187" s="2427"/>
      <c r="K187" s="3486"/>
      <c r="L187" s="2537"/>
      <c r="M187" s="3487"/>
      <c r="N187" s="2427"/>
      <c r="O187" s="3486"/>
      <c r="P187" s="2427"/>
      <c r="Q187" s="3486"/>
      <c r="R187" s="2427"/>
      <c r="S187" s="3487"/>
      <c r="T187" s="2427"/>
      <c r="U187" s="3410"/>
    </row>
    <row r="188" spans="1:21" s="65" customFormat="1" hidden="1">
      <c r="A188" s="3488"/>
      <c r="B188" s="3483" t="s">
        <v>1463</v>
      </c>
      <c r="C188" s="3455"/>
      <c r="D188" s="3442"/>
      <c r="E188" s="3456"/>
      <c r="F188" s="3484"/>
      <c r="G188" s="3458"/>
      <c r="H188" s="2427"/>
      <c r="I188" s="3486"/>
      <c r="J188" s="2427"/>
      <c r="K188" s="3486"/>
      <c r="L188" s="2537"/>
      <c r="M188" s="3487"/>
      <c r="N188" s="2427"/>
      <c r="O188" s="3486"/>
      <c r="P188" s="2427"/>
      <c r="Q188" s="3486"/>
      <c r="R188" s="2427"/>
      <c r="S188" s="3487"/>
      <c r="T188" s="2427"/>
      <c r="U188" s="3410"/>
    </row>
    <row r="189" spans="1:21" s="65" customFormat="1" hidden="1">
      <c r="A189" s="3434"/>
      <c r="B189" s="3483" t="s">
        <v>1464</v>
      </c>
      <c r="C189" s="3455"/>
      <c r="D189" s="3442"/>
      <c r="E189" s="3456"/>
      <c r="F189" s="3484"/>
      <c r="G189" s="3458"/>
      <c r="H189" s="2427"/>
      <c r="I189" s="3486"/>
      <c r="J189" s="2427"/>
      <c r="K189" s="3486"/>
      <c r="L189" s="2537"/>
      <c r="M189" s="3487"/>
      <c r="N189" s="2427"/>
      <c r="O189" s="3486"/>
      <c r="P189" s="2427"/>
      <c r="Q189" s="3486"/>
      <c r="R189" s="2427"/>
      <c r="S189" s="3487"/>
      <c r="T189" s="2427"/>
      <c r="U189" s="3410"/>
    </row>
    <row r="190" spans="1:21" s="65" customFormat="1" hidden="1">
      <c r="A190" s="3488"/>
      <c r="B190" s="3454"/>
      <c r="C190" s="3455"/>
      <c r="D190" s="3442"/>
      <c r="E190" s="3456"/>
      <c r="F190" s="3481"/>
      <c r="G190" s="3458"/>
      <c r="H190" s="2427"/>
      <c r="I190" s="3487"/>
      <c r="J190" s="2427"/>
      <c r="K190" s="3487"/>
      <c r="L190" s="2537"/>
      <c r="M190" s="3487"/>
      <c r="N190" s="2427"/>
      <c r="O190" s="3487"/>
      <c r="P190" s="2427"/>
      <c r="Q190" s="3487"/>
      <c r="R190" s="2427"/>
      <c r="S190" s="3487"/>
      <c r="T190" s="2427"/>
      <c r="U190" s="3410"/>
    </row>
    <row r="191" spans="1:21" s="65" customFormat="1" hidden="1">
      <c r="A191" s="3488"/>
      <c r="B191" s="3454"/>
      <c r="C191" s="3455"/>
      <c r="D191" s="3442"/>
      <c r="E191" s="3456"/>
      <c r="F191" s="3481"/>
      <c r="G191" s="3458"/>
      <c r="H191" s="2427"/>
      <c r="I191" s="3487"/>
      <c r="J191" s="2427"/>
      <c r="K191" s="3487"/>
      <c r="L191" s="2537"/>
      <c r="M191" s="3487"/>
      <c r="N191" s="2427"/>
      <c r="O191" s="3487"/>
      <c r="P191" s="2427"/>
      <c r="Q191" s="3487"/>
      <c r="R191" s="2427"/>
      <c r="S191" s="3487"/>
      <c r="T191" s="2427"/>
      <c r="U191" s="3410"/>
    </row>
    <row r="192" spans="1:21" s="65" customFormat="1" hidden="1">
      <c r="A192" s="3488"/>
      <c r="B192" s="3482" t="s">
        <v>1465</v>
      </c>
      <c r="C192" s="3455"/>
      <c r="D192" s="3442"/>
      <c r="E192" s="3456"/>
      <c r="F192" s="3481"/>
      <c r="G192" s="3458"/>
      <c r="H192" s="2427"/>
      <c r="I192" s="3487"/>
      <c r="J192" s="2427"/>
      <c r="K192" s="3487"/>
      <c r="L192" s="2537"/>
      <c r="M192" s="3487"/>
      <c r="N192" s="2427"/>
      <c r="O192" s="3487"/>
      <c r="P192" s="2427"/>
      <c r="Q192" s="3487"/>
      <c r="R192" s="2427"/>
      <c r="S192" s="3487"/>
      <c r="T192" s="2427"/>
      <c r="U192" s="3410"/>
    </row>
    <row r="193" spans="1:21" s="65" customFormat="1" hidden="1">
      <c r="A193" s="3434"/>
      <c r="B193" s="3489" t="s">
        <v>1466</v>
      </c>
      <c r="C193" s="3455"/>
      <c r="D193" s="3442"/>
      <c r="E193" s="3456"/>
      <c r="F193" s="3484"/>
      <c r="G193" s="3458"/>
      <c r="H193" s="2427"/>
      <c r="I193" s="3487"/>
      <c r="J193" s="2427"/>
      <c r="K193" s="3487"/>
      <c r="L193" s="2537"/>
      <c r="M193" s="3487"/>
      <c r="N193" s="2427"/>
      <c r="O193" s="3487"/>
      <c r="P193" s="2427"/>
      <c r="Q193" s="3487"/>
      <c r="R193" s="2427"/>
      <c r="S193" s="3487"/>
      <c r="T193" s="2427"/>
      <c r="U193" s="3410"/>
    </row>
    <row r="194" spans="1:21" s="65" customFormat="1" hidden="1">
      <c r="A194" s="3488"/>
      <c r="B194" s="3483" t="s">
        <v>1467</v>
      </c>
      <c r="C194" s="3455"/>
      <c r="D194" s="3442"/>
      <c r="E194" s="3456"/>
      <c r="F194" s="3484"/>
      <c r="G194" s="3458"/>
      <c r="H194" s="2427"/>
      <c r="I194" s="3487"/>
      <c r="J194" s="2427"/>
      <c r="K194" s="3487"/>
      <c r="L194" s="2537"/>
      <c r="M194" s="3487"/>
      <c r="N194" s="2427"/>
      <c r="O194" s="3487"/>
      <c r="P194" s="2427"/>
      <c r="Q194" s="3487"/>
      <c r="R194" s="2427"/>
      <c r="S194" s="3487"/>
      <c r="T194" s="2427"/>
      <c r="U194" s="3410"/>
    </row>
    <row r="195" spans="1:21" hidden="1">
      <c r="A195" s="3433"/>
      <c r="B195" s="3483" t="s">
        <v>1468</v>
      </c>
      <c r="C195" s="3455"/>
      <c r="D195" s="3442"/>
      <c r="E195" s="3456"/>
      <c r="F195" s="3484"/>
      <c r="G195" s="3458"/>
      <c r="H195" s="2427"/>
      <c r="I195" s="3411"/>
      <c r="J195" s="2427"/>
      <c r="K195" s="3411"/>
      <c r="L195" s="3411"/>
      <c r="M195" s="3409"/>
      <c r="N195" s="2427"/>
      <c r="O195" s="3411"/>
      <c r="P195" s="2427"/>
      <c r="Q195" s="3411"/>
      <c r="R195" s="2427"/>
      <c r="S195" s="3410"/>
      <c r="T195" s="2427"/>
      <c r="U195" s="3411"/>
    </row>
    <row r="196" spans="1:21" hidden="1">
      <c r="A196" s="2685"/>
      <c r="B196" s="3483" t="s">
        <v>1469</v>
      </c>
      <c r="C196" s="3455"/>
      <c r="D196" s="3442"/>
      <c r="E196" s="3456"/>
      <c r="F196" s="3484"/>
      <c r="G196" s="3458"/>
      <c r="H196" s="2427"/>
      <c r="I196" s="3411"/>
      <c r="J196" s="2427"/>
      <c r="K196" s="3411"/>
      <c r="L196" s="3411"/>
      <c r="M196" s="3409"/>
      <c r="N196" s="2427"/>
      <c r="O196" s="3411"/>
      <c r="P196" s="2427"/>
      <c r="Q196" s="3411"/>
      <c r="R196" s="2427"/>
      <c r="S196" s="3410"/>
      <c r="T196" s="2427"/>
      <c r="U196" s="3411"/>
    </row>
    <row r="197" spans="1:21" hidden="1">
      <c r="A197" s="2685"/>
      <c r="B197" s="3483" t="s">
        <v>1470</v>
      </c>
      <c r="C197" s="3455"/>
      <c r="D197" s="3442"/>
      <c r="E197" s="3456"/>
      <c r="F197" s="3484"/>
      <c r="G197" s="3458"/>
      <c r="H197" s="2427"/>
      <c r="I197" s="3411"/>
      <c r="J197" s="2427"/>
      <c r="K197" s="3411"/>
      <c r="L197" s="3411"/>
      <c r="M197" s="3409"/>
      <c r="N197" s="2427"/>
      <c r="O197" s="3411"/>
      <c r="P197" s="2427"/>
      <c r="Q197" s="3411"/>
      <c r="R197" s="2427"/>
      <c r="S197" s="3410"/>
      <c r="T197" s="2427"/>
      <c r="U197" s="3411"/>
    </row>
    <row r="198" spans="1:21" hidden="1">
      <c r="A198" s="2685"/>
      <c r="B198" s="3485" t="s">
        <v>1471</v>
      </c>
      <c r="C198" s="3455"/>
      <c r="D198" s="3442"/>
      <c r="E198" s="3456"/>
      <c r="F198" s="3481"/>
      <c r="G198" s="3458"/>
      <c r="H198" s="2427"/>
      <c r="I198" s="3411"/>
      <c r="J198" s="2427"/>
      <c r="K198" s="3411"/>
      <c r="L198" s="3410"/>
      <c r="M198" s="3410"/>
      <c r="N198" s="2427"/>
      <c r="O198" s="3411"/>
      <c r="P198" s="2427"/>
      <c r="Q198" s="3411"/>
      <c r="R198" s="2427"/>
      <c r="S198" s="3410"/>
      <c r="T198" s="2427"/>
      <c r="U198" s="3411"/>
    </row>
    <row r="199" spans="1:21">
      <c r="A199" s="3433"/>
      <c r="B199" s="3454"/>
      <c r="C199" s="3455"/>
      <c r="D199" s="3442"/>
      <c r="E199" s="2405"/>
      <c r="F199" s="2405"/>
      <c r="G199" s="3458"/>
      <c r="H199" s="2427"/>
      <c r="I199" s="3411"/>
      <c r="J199" s="2427"/>
      <c r="K199" s="3411"/>
      <c r="L199" s="3411"/>
      <c r="M199" s="3409"/>
      <c r="N199" s="2427"/>
      <c r="O199" s="3411"/>
      <c r="P199" s="2427"/>
      <c r="Q199" s="3411"/>
      <c r="R199" s="2427"/>
      <c r="S199" s="3410"/>
      <c r="T199" s="2427"/>
      <c r="U199" s="3411"/>
    </row>
    <row r="200" spans="1:21" ht="15.75" thickBot="1">
      <c r="A200" s="2685"/>
      <c r="B200" s="3454"/>
      <c r="C200" s="2426"/>
      <c r="D200" s="3442"/>
      <c r="E200" s="2405"/>
      <c r="F200" s="2405"/>
      <c r="G200" s="3458"/>
      <c r="H200" s="2427"/>
      <c r="I200" s="3411"/>
      <c r="J200" s="2427"/>
      <c r="K200" s="3411"/>
      <c r="L200" s="3411"/>
      <c r="M200" s="3409"/>
      <c r="N200" s="2427"/>
      <c r="O200" s="3411"/>
      <c r="P200" s="2427"/>
      <c r="Q200" s="3411"/>
      <c r="R200" s="2427"/>
      <c r="S200" s="3410"/>
      <c r="T200" s="2427"/>
      <c r="U200" s="3411"/>
    </row>
    <row r="201" spans="1:21" ht="15.75" thickTop="1">
      <c r="A201" s="14"/>
      <c r="B201" s="15"/>
      <c r="C201" s="16"/>
      <c r="D201" s="16"/>
      <c r="E201" s="17"/>
      <c r="F201" s="18" t="s">
        <v>567</v>
      </c>
      <c r="G201" s="19"/>
      <c r="H201" s="20"/>
      <c r="I201" s="61">
        <f>SUM(I22:I200)</f>
        <v>2082604</v>
      </c>
      <c r="J201" s="51"/>
      <c r="K201" s="61">
        <f>SUM(K85:K200)</f>
        <v>0</v>
      </c>
      <c r="L201" s="20"/>
      <c r="M201" s="61">
        <f>SUM(M23:M200)</f>
        <v>0</v>
      </c>
      <c r="N201" s="51"/>
      <c r="O201" s="61">
        <f>SUM(O85:O200)</f>
        <v>0</v>
      </c>
      <c r="P201" s="51"/>
      <c r="Q201" s="61">
        <f>SUM(Q85:Q200)</f>
        <v>0</v>
      </c>
      <c r="R201" s="51"/>
      <c r="S201" s="61">
        <f>SUM(S85:S200)</f>
        <v>0</v>
      </c>
      <c r="T201" s="51"/>
      <c r="U201" s="61">
        <f>SUM(U85:U200)</f>
        <v>0</v>
      </c>
    </row>
    <row r="202" spans="1:21">
      <c r="A202" s="2358"/>
      <c r="B202" s="2359"/>
      <c r="C202" s="2360"/>
      <c r="D202" s="2360"/>
      <c r="E202" s="2361"/>
      <c r="F202" s="2362" t="s">
        <v>568</v>
      </c>
      <c r="G202" s="2363"/>
      <c r="H202" s="2364">
        <v>0</v>
      </c>
      <c r="I202" s="2460"/>
      <c r="J202" s="2461">
        <v>0</v>
      </c>
      <c r="K202" s="2460"/>
      <c r="L202" s="3173">
        <v>1.7500000000000002E-2</v>
      </c>
      <c r="M202" s="2460"/>
      <c r="N202" s="2461">
        <v>0</v>
      </c>
      <c r="O202" s="2460"/>
      <c r="P202" s="2461">
        <v>0</v>
      </c>
      <c r="Q202" s="2460"/>
      <c r="R202" s="2461">
        <v>0</v>
      </c>
      <c r="S202" s="2460"/>
      <c r="T202" s="2461">
        <v>0</v>
      </c>
      <c r="U202" s="2460"/>
    </row>
    <row r="203" spans="1:21">
      <c r="A203" s="2358"/>
      <c r="B203" s="2359"/>
      <c r="C203" s="2360"/>
      <c r="D203" s="2360"/>
      <c r="E203" s="2361"/>
      <c r="F203" s="2362" t="s">
        <v>569</v>
      </c>
      <c r="G203" s="2363"/>
      <c r="H203" s="2366"/>
      <c r="I203" s="2462">
        <f>I201*H202</f>
        <v>0</v>
      </c>
      <c r="J203" s="2463"/>
      <c r="K203" s="2462">
        <f>K201*J202</f>
        <v>0</v>
      </c>
      <c r="L203" s="2366"/>
      <c r="M203" s="2464"/>
      <c r="N203" s="2463"/>
      <c r="O203" s="2462">
        <f>O201*N202</f>
        <v>0</v>
      </c>
      <c r="P203" s="2463"/>
      <c r="Q203" s="2462">
        <f>Q201*P202</f>
        <v>0</v>
      </c>
      <c r="R203" s="2463"/>
      <c r="S203" s="2462">
        <f>S201*R202</f>
        <v>0</v>
      </c>
      <c r="T203" s="2463"/>
      <c r="U203" s="2462">
        <f>U201*T202</f>
        <v>0</v>
      </c>
    </row>
    <row r="204" spans="1:21">
      <c r="A204" s="2358"/>
      <c r="B204" s="2359"/>
      <c r="C204" s="2360"/>
      <c r="D204" s="2360"/>
      <c r="E204" s="2361"/>
      <c r="F204" s="2362"/>
      <c r="G204" s="2363"/>
      <c r="H204" s="2366"/>
      <c r="I204" s="2464"/>
      <c r="J204" s="2463"/>
      <c r="K204" s="2464"/>
      <c r="L204" s="2366"/>
      <c r="M204" s="2464"/>
      <c r="N204" s="2463"/>
      <c r="O204" s="2464"/>
      <c r="P204" s="2463"/>
      <c r="Q204" s="2464"/>
      <c r="R204" s="2463"/>
      <c r="S204" s="2464"/>
      <c r="T204" s="2463"/>
      <c r="U204" s="2464"/>
    </row>
    <row r="205" spans="1:21">
      <c r="A205" s="2358"/>
      <c r="B205" s="2359"/>
      <c r="C205" s="2360"/>
      <c r="D205" s="2360"/>
      <c r="E205" s="2361"/>
      <c r="F205" s="2362" t="s">
        <v>570</v>
      </c>
      <c r="G205" s="2363"/>
      <c r="H205" s="2368"/>
      <c r="I205" s="2465">
        <f>SUM(I201:I203)</f>
        <v>2082604</v>
      </c>
      <c r="J205" s="2466"/>
      <c r="K205" s="2465">
        <f>SUM(K201:K203)</f>
        <v>0</v>
      </c>
      <c r="L205" s="2368"/>
      <c r="M205" s="2465">
        <f>SUM(M201:M203)</f>
        <v>0</v>
      </c>
      <c r="N205" s="2466"/>
      <c r="O205" s="2465">
        <f>SUM(O201:O203)</f>
        <v>0</v>
      </c>
      <c r="P205" s="2466"/>
      <c r="Q205" s="2465">
        <f>SUM(Q201:Q203)</f>
        <v>0</v>
      </c>
      <c r="R205" s="2466"/>
      <c r="S205" s="2465">
        <f>SUM(S201:S203)</f>
        <v>0</v>
      </c>
      <c r="T205" s="2466"/>
      <c r="U205" s="2465">
        <f>SUM(U201:U203)</f>
        <v>0</v>
      </c>
    </row>
    <row r="206" spans="1:21">
      <c r="A206" s="2358"/>
      <c r="B206" s="2359"/>
      <c r="C206" s="2360"/>
      <c r="D206" s="2360"/>
      <c r="E206" s="2361"/>
      <c r="F206" s="2370" t="s">
        <v>571</v>
      </c>
      <c r="G206" s="2371"/>
      <c r="H206" s="2372"/>
      <c r="I206" s="2373" t="e">
        <f>I205/'Area Calculations'!$J$4</f>
        <v>#DIV/0!</v>
      </c>
      <c r="J206" s="2467"/>
      <c r="K206" s="2373" t="e">
        <f>K205/'Area Calculations'!$J$4</f>
        <v>#DIV/0!</v>
      </c>
      <c r="L206" s="2372"/>
      <c r="M206" s="2373" t="e">
        <f>M205/'Cost Summary'!#REF!</f>
        <v>#REF!</v>
      </c>
      <c r="N206" s="2467"/>
      <c r="O206" s="2373" t="e">
        <f>O205/'Area Calculations'!$J$4</f>
        <v>#DIV/0!</v>
      </c>
      <c r="P206" s="2467"/>
      <c r="Q206" s="2373" t="e">
        <f>Q205/'Area Calculations'!$J$4</f>
        <v>#DIV/0!</v>
      </c>
      <c r="R206" s="2467"/>
      <c r="S206" s="2373" t="e">
        <f>S205/'Area Calculations'!$J$4</f>
        <v>#DIV/0!</v>
      </c>
      <c r="T206" s="2467"/>
      <c r="U206" s="2373" t="e">
        <f>U205/'Area Calculations'!$J$4</f>
        <v>#DIV/0!</v>
      </c>
    </row>
    <row r="207" spans="1:21">
      <c r="A207" s="2358"/>
      <c r="B207" s="2359"/>
      <c r="C207" s="2360"/>
      <c r="D207" s="2360"/>
      <c r="E207" s="2361"/>
      <c r="F207" s="2370" t="s">
        <v>572</v>
      </c>
      <c r="G207" s="2374"/>
      <c r="H207" s="2372"/>
      <c r="I207" s="2373" t="e">
        <f>I205/'Area Calculations'!#REF!</f>
        <v>#REF!</v>
      </c>
      <c r="J207" s="2467"/>
      <c r="K207" s="2373" t="e">
        <f>K205/'Area Calculations'!#REF!</f>
        <v>#REF!</v>
      </c>
      <c r="L207" s="2372"/>
      <c r="M207" s="2373" t="e">
        <f>M205/'Cost Summary'!#REF!</f>
        <v>#REF!</v>
      </c>
      <c r="N207" s="2467"/>
      <c r="O207" s="2373" t="e">
        <f>O205/'Area Calculations'!#REF!</f>
        <v>#REF!</v>
      </c>
      <c r="P207" s="2467"/>
      <c r="Q207" s="2373" t="e">
        <f>Q205/'Area Calculations'!#REF!</f>
        <v>#REF!</v>
      </c>
      <c r="R207" s="2467"/>
      <c r="S207" s="2373" t="e">
        <f>S205/'Area Calculations'!#REF!</f>
        <v>#REF!</v>
      </c>
      <c r="T207" s="2467"/>
      <c r="U207" s="2373" t="e">
        <f>U205/'Area Calculations'!#REF!</f>
        <v>#REF!</v>
      </c>
    </row>
    <row r="208" spans="1:21" ht="15.75" thickBot="1">
      <c r="A208" s="2358"/>
      <c r="B208" s="2359"/>
      <c r="C208" s="2360"/>
      <c r="D208" s="2360"/>
      <c r="E208" s="2361"/>
      <c r="F208" s="2362"/>
      <c r="G208" s="2363"/>
      <c r="H208" s="2378"/>
      <c r="I208" s="2378"/>
      <c r="J208" s="3490"/>
      <c r="K208" s="2378"/>
      <c r="L208" s="2378"/>
      <c r="M208" s="3439"/>
      <c r="N208" s="3490"/>
      <c r="O208" s="2378"/>
      <c r="P208" s="3490"/>
      <c r="Q208" s="2378"/>
      <c r="R208" s="3490"/>
      <c r="S208" s="2378"/>
      <c r="T208" s="3490"/>
      <c r="U208" s="2378"/>
    </row>
    <row r="209" spans="1:21" ht="16.5" thickTop="1" thickBot="1">
      <c r="A209" s="726" t="s">
        <v>573</v>
      </c>
      <c r="B209" s="727"/>
      <c r="C209" s="12"/>
      <c r="D209" s="12"/>
      <c r="E209" s="12"/>
      <c r="F209" s="12"/>
      <c r="G209" s="13"/>
      <c r="H209" s="21"/>
      <c r="I209" s="21"/>
      <c r="J209" s="21"/>
      <c r="K209" s="21"/>
      <c r="L209" s="21"/>
      <c r="M209" s="21"/>
      <c r="N209" s="21"/>
      <c r="O209" s="21"/>
      <c r="P209" s="21"/>
      <c r="Q209" s="21"/>
      <c r="R209" s="21"/>
      <c r="S209" s="21"/>
      <c r="T209" s="21"/>
      <c r="U209" s="21"/>
    </row>
    <row r="210" spans="1:21" ht="15.75" thickTop="1">
      <c r="A210" s="3421"/>
      <c r="B210" s="2404"/>
      <c r="C210" s="3422"/>
      <c r="D210" s="3422"/>
      <c r="E210" s="3422"/>
      <c r="F210" s="3422"/>
      <c r="G210" s="3423"/>
      <c r="H210" s="3424"/>
      <c r="I210" s="3424"/>
      <c r="J210" s="3424"/>
      <c r="K210" s="3424"/>
      <c r="L210" s="3424"/>
      <c r="M210" s="3424"/>
      <c r="N210" s="3424"/>
      <c r="O210" s="3424"/>
      <c r="P210" s="3424"/>
      <c r="Q210" s="3424"/>
      <c r="R210" s="3424"/>
      <c r="S210" s="3424"/>
      <c r="T210" s="3424"/>
      <c r="U210" s="3424"/>
    </row>
    <row r="211" spans="1:21">
      <c r="A211" s="3421"/>
      <c r="B211" s="2404"/>
      <c r="C211" s="3422"/>
      <c r="D211" s="3422"/>
      <c r="E211" s="3422"/>
      <c r="F211" s="3422"/>
      <c r="G211" s="3423"/>
      <c r="H211" s="3424"/>
      <c r="I211" s="3424"/>
      <c r="J211" s="3424"/>
      <c r="K211" s="3424"/>
      <c r="L211" s="3424"/>
      <c r="M211" s="3424"/>
      <c r="N211" s="3424"/>
      <c r="O211" s="3424"/>
      <c r="P211" s="3424"/>
      <c r="Q211" s="3424"/>
      <c r="R211" s="3424"/>
      <c r="S211" s="3424"/>
      <c r="T211" s="3424"/>
      <c r="U211" s="3424"/>
    </row>
    <row r="212" spans="1:21" ht="15" hidden="1" customHeight="1">
      <c r="A212" s="3421"/>
      <c r="B212" s="2404"/>
      <c r="C212" s="3422"/>
      <c r="D212" s="3422"/>
      <c r="E212" s="3422"/>
      <c r="F212" s="3422"/>
      <c r="G212" s="3423"/>
      <c r="H212" s="3424"/>
      <c r="I212" s="3424"/>
      <c r="J212" s="3424"/>
      <c r="K212" s="3424"/>
      <c r="L212" s="3424"/>
      <c r="M212" s="3424"/>
      <c r="N212" s="3424"/>
      <c r="O212" s="3424"/>
      <c r="P212" s="3424"/>
      <c r="Q212" s="3424"/>
      <c r="R212" s="3424"/>
      <c r="S212" s="3424"/>
      <c r="T212" s="3424"/>
      <c r="U212" s="3424"/>
    </row>
    <row r="213" spans="1:21" s="2" customFormat="1" ht="16.5" hidden="1" customHeight="1" thickTop="1" thickBot="1">
      <c r="A213" s="726" t="s">
        <v>574</v>
      </c>
      <c r="B213" s="727"/>
      <c r="C213" s="12"/>
      <c r="D213" s="12"/>
      <c r="E213" s="12"/>
      <c r="F213" s="12"/>
      <c r="G213" s="13"/>
      <c r="H213" s="21"/>
      <c r="I213" s="21"/>
      <c r="J213" s="21"/>
      <c r="K213" s="21"/>
      <c r="L213" s="21"/>
      <c r="M213" s="21"/>
      <c r="N213" s="21"/>
      <c r="O213" s="21"/>
      <c r="P213" s="21"/>
      <c r="Q213" s="21"/>
      <c r="R213" s="21"/>
      <c r="S213" s="21"/>
      <c r="T213" s="21"/>
      <c r="U213" s="21"/>
    </row>
    <row r="214" spans="1:21" s="2" customFormat="1">
      <c r="A214" s="3421"/>
      <c r="B214" s="2404"/>
      <c r="C214" s="3422"/>
      <c r="D214" s="3422"/>
      <c r="E214" s="3422"/>
      <c r="F214" s="3422"/>
      <c r="G214" s="3423"/>
      <c r="H214" s="3424"/>
      <c r="I214" s="3424"/>
      <c r="J214" s="3424"/>
      <c r="K214" s="3424"/>
      <c r="L214" s="3424"/>
      <c r="M214" s="3424"/>
      <c r="N214" s="3424"/>
      <c r="O214" s="3424"/>
      <c r="P214" s="3424"/>
      <c r="Q214" s="3424"/>
      <c r="R214" s="3424"/>
      <c r="S214" s="3424"/>
      <c r="T214" s="3424"/>
      <c r="U214" s="3424"/>
    </row>
    <row r="215" spans="1:21" s="2" customFormat="1">
      <c r="A215" s="3421"/>
      <c r="B215" s="2404"/>
      <c r="C215" s="3422"/>
      <c r="D215" s="3422"/>
      <c r="E215" s="3422"/>
      <c r="F215" s="3422"/>
      <c r="G215" s="3423"/>
      <c r="H215" s="3424"/>
      <c r="I215" s="3424"/>
      <c r="J215" s="3424"/>
      <c r="K215" s="3424"/>
      <c r="L215" s="3424"/>
      <c r="M215" s="3424"/>
      <c r="N215" s="3424"/>
      <c r="O215" s="3424"/>
      <c r="P215" s="3424"/>
      <c r="Q215" s="3424"/>
      <c r="R215" s="3424"/>
      <c r="S215" s="3424"/>
      <c r="T215" s="3424"/>
      <c r="U215" s="3424"/>
    </row>
    <row r="216" spans="1:21" ht="15.75" thickBot="1">
      <c r="A216" s="3421"/>
      <c r="B216" s="2404"/>
      <c r="C216" s="3422"/>
      <c r="D216" s="3422"/>
      <c r="E216" s="3422"/>
      <c r="F216" s="3422"/>
      <c r="G216" s="3423"/>
      <c r="H216" s="3424"/>
      <c r="I216" s="3424"/>
      <c r="J216" s="3424"/>
      <c r="K216" s="3424"/>
      <c r="L216" s="3424"/>
      <c r="M216" s="3424"/>
      <c r="N216" s="3424"/>
      <c r="O216" s="3424"/>
      <c r="P216" s="3424"/>
      <c r="Q216" s="3424"/>
      <c r="R216" s="3424"/>
      <c r="S216" s="3424"/>
      <c r="T216" s="3424"/>
      <c r="U216" s="3424"/>
    </row>
    <row r="217" spans="1:21" s="2" customFormat="1" ht="16.5" thickTop="1" thickBot="1">
      <c r="A217" s="726" t="s">
        <v>575</v>
      </c>
      <c r="B217" s="727"/>
      <c r="C217" s="12"/>
      <c r="D217" s="12"/>
      <c r="E217" s="12"/>
      <c r="F217" s="12"/>
      <c r="G217" s="13"/>
      <c r="H217" s="21"/>
      <c r="I217" s="21"/>
      <c r="J217" s="21"/>
      <c r="K217" s="21"/>
      <c r="L217" s="21"/>
      <c r="M217" s="21"/>
      <c r="N217" s="21"/>
      <c r="O217" s="21"/>
      <c r="P217" s="21"/>
      <c r="Q217" s="21"/>
      <c r="R217" s="21"/>
      <c r="S217" s="21"/>
      <c r="T217" s="21"/>
      <c r="U217" s="21"/>
    </row>
    <row r="218" spans="1:21" s="2" customFormat="1" ht="14.25" hidden="1" customHeight="1">
      <c r="A218" s="3421"/>
      <c r="B218" s="2404"/>
      <c r="C218" s="3422"/>
      <c r="D218" s="3422"/>
      <c r="E218" s="3422"/>
      <c r="F218" s="3422"/>
      <c r="G218" s="3423"/>
      <c r="H218" s="3424"/>
      <c r="I218" s="3424"/>
      <c r="J218" s="3424"/>
      <c r="K218" s="3424"/>
      <c r="L218" s="3424"/>
      <c r="M218" s="3424"/>
      <c r="N218" s="3424"/>
      <c r="O218" s="3424"/>
      <c r="P218" s="3424"/>
      <c r="Q218" s="3424"/>
      <c r="R218" s="3424"/>
      <c r="S218" s="3424"/>
      <c r="T218" s="3424"/>
      <c r="U218" s="3424"/>
    </row>
    <row r="219" spans="1:21" s="2" customFormat="1" ht="15.75" hidden="1" customHeight="1" thickTop="1">
      <c r="A219" s="2421"/>
      <c r="B219" s="2404"/>
      <c r="C219" s="2405"/>
      <c r="D219" s="2405"/>
      <c r="E219" s="2405"/>
      <c r="F219" s="2405"/>
      <c r="G219" s="2423"/>
      <c r="H219" s="2382"/>
      <c r="I219" s="2382"/>
      <c r="J219" s="2382"/>
      <c r="K219" s="2382"/>
      <c r="L219" s="2382"/>
      <c r="M219" s="2382"/>
      <c r="N219" s="2382"/>
      <c r="O219" s="2382"/>
      <c r="P219" s="2382"/>
      <c r="Q219" s="2382"/>
      <c r="R219" s="2382"/>
      <c r="S219" s="2382"/>
      <c r="T219" s="2382"/>
      <c r="U219" s="2382"/>
    </row>
    <row r="220" spans="1:21" s="2" customFormat="1" ht="16.5" thickTop="1" thickBot="1">
      <c r="A220" s="2383"/>
      <c r="B220" s="2384"/>
      <c r="C220" s="2405"/>
      <c r="D220" s="2405"/>
      <c r="E220" s="2405"/>
      <c r="F220" s="2405"/>
      <c r="G220" s="2423"/>
      <c r="H220" s="2385"/>
      <c r="I220" s="2385"/>
      <c r="J220" s="2385"/>
      <c r="K220" s="2385"/>
      <c r="L220" s="2385"/>
      <c r="M220" s="2385"/>
      <c r="N220" s="2385"/>
      <c r="O220" s="2385"/>
      <c r="P220" s="2385"/>
      <c r="Q220" s="2385"/>
      <c r="R220" s="2385"/>
      <c r="S220" s="2385"/>
      <c r="T220" s="2385"/>
      <c r="U220" s="2385"/>
    </row>
    <row r="221" spans="1:21" s="2" customFormat="1" ht="16.5" thickTop="1" thickBot="1">
      <c r="A221" s="726" t="s">
        <v>576</v>
      </c>
      <c r="B221" s="727"/>
      <c r="C221" s="12"/>
      <c r="D221" s="12"/>
      <c r="E221" s="12"/>
      <c r="F221" s="12"/>
      <c r="G221" s="13"/>
      <c r="H221" s="21"/>
      <c r="I221" s="21"/>
      <c r="J221" s="21"/>
      <c r="K221" s="21"/>
      <c r="L221" s="21"/>
      <c r="M221" s="21"/>
      <c r="N221" s="21"/>
      <c r="O221" s="21"/>
      <c r="P221" s="21"/>
      <c r="Q221" s="21"/>
      <c r="R221" s="21"/>
      <c r="S221" s="21"/>
      <c r="T221" s="21"/>
      <c r="U221" s="21"/>
    </row>
    <row r="222" spans="1:21" ht="15.75" thickTop="1">
      <c r="A222" s="3425"/>
      <c r="B222" s="3426"/>
      <c r="C222" s="3422"/>
      <c r="D222" s="3422"/>
      <c r="E222" s="3422"/>
      <c r="F222" s="3422"/>
      <c r="G222" s="3423"/>
      <c r="H222" s="3424"/>
      <c r="I222" s="3424"/>
      <c r="J222" s="3424"/>
      <c r="K222" s="3424"/>
      <c r="L222" s="3424"/>
      <c r="M222" s="3424"/>
      <c r="N222" s="3424"/>
      <c r="O222" s="3424"/>
      <c r="P222" s="3424"/>
      <c r="Q222" s="3424"/>
      <c r="R222" s="3424"/>
      <c r="S222" s="3424"/>
      <c r="T222" s="3424"/>
      <c r="U222" s="3424"/>
    </row>
    <row r="223" spans="1:21">
      <c r="A223" s="2383"/>
      <c r="B223" s="2384"/>
      <c r="C223" s="2405"/>
      <c r="D223" s="2405"/>
      <c r="E223" s="2405"/>
      <c r="F223" s="2405"/>
      <c r="G223" s="2423"/>
      <c r="H223" s="2388"/>
      <c r="I223" s="2388"/>
      <c r="J223" s="2388"/>
      <c r="K223" s="2388"/>
      <c r="L223" s="2388"/>
      <c r="M223" s="2388"/>
      <c r="N223" s="2388"/>
      <c r="O223" s="2388"/>
      <c r="P223" s="2388"/>
      <c r="Q223" s="2388"/>
      <c r="R223" s="2388"/>
      <c r="S223" s="2388"/>
      <c r="T223" s="2388"/>
      <c r="U223" s="2388"/>
    </row>
    <row r="224" spans="1:21" ht="15.75" thickBot="1">
      <c r="A224" s="2383"/>
      <c r="B224" s="2384"/>
      <c r="C224" s="2405"/>
      <c r="D224" s="2405"/>
      <c r="E224" s="2405"/>
      <c r="F224" s="2405"/>
      <c r="G224" s="2423"/>
      <c r="H224" s="2388"/>
      <c r="I224" s="2388"/>
      <c r="J224" s="2388"/>
      <c r="K224" s="2388"/>
      <c r="L224" s="2388"/>
      <c r="M224" s="2388"/>
      <c r="N224" s="2388"/>
      <c r="O224" s="2388"/>
      <c r="P224" s="2388"/>
      <c r="Q224" s="2388"/>
      <c r="R224" s="2388"/>
      <c r="S224" s="2388"/>
      <c r="T224" s="2388"/>
      <c r="U224" s="2388"/>
    </row>
    <row r="225" spans="1:21" ht="16.5" thickTop="1" thickBot="1">
      <c r="A225" s="726" t="s">
        <v>577</v>
      </c>
      <c r="B225" s="727"/>
      <c r="C225" s="12"/>
      <c r="D225" s="12"/>
      <c r="E225" s="12"/>
      <c r="F225" s="12"/>
      <c r="G225" s="13"/>
      <c r="H225" s="21"/>
      <c r="I225" s="21"/>
      <c r="J225" s="21"/>
      <c r="K225" s="21"/>
      <c r="L225" s="21"/>
      <c r="M225" s="21"/>
      <c r="N225" s="21"/>
      <c r="O225" s="21"/>
      <c r="P225" s="21"/>
      <c r="Q225" s="21"/>
      <c r="R225" s="21"/>
      <c r="S225" s="21"/>
      <c r="T225" s="21"/>
      <c r="U225" s="21"/>
    </row>
    <row r="226" spans="1:21" ht="15.75" thickTop="1">
      <c r="A226" s="2421"/>
      <c r="B226" s="2404" t="s">
        <v>578</v>
      </c>
      <c r="C226" s="2405"/>
      <c r="D226" s="2405"/>
      <c r="E226" s="2405"/>
      <c r="F226" s="2405"/>
      <c r="G226" s="2423"/>
      <c r="H226" s="2388"/>
      <c r="I226" s="2388"/>
      <c r="J226" s="2388"/>
      <c r="K226" s="2388"/>
      <c r="L226" s="2388"/>
      <c r="M226" s="2388"/>
      <c r="N226" s="2388"/>
      <c r="O226" s="2388"/>
      <c r="P226" s="2388"/>
      <c r="Q226" s="2388"/>
      <c r="R226" s="2388"/>
      <c r="S226" s="2388"/>
      <c r="T226" s="2388"/>
      <c r="U226" s="2388"/>
    </row>
    <row r="227" spans="1:21">
      <c r="A227" s="2421"/>
      <c r="B227" s="2404" t="s">
        <v>579</v>
      </c>
      <c r="C227" s="2405"/>
      <c r="D227" s="2405"/>
      <c r="E227" s="2405"/>
      <c r="F227" s="2405"/>
      <c r="G227" s="2423"/>
      <c r="H227" s="2388"/>
      <c r="I227" s="2388"/>
      <c r="J227" s="2388"/>
      <c r="K227" s="2388"/>
      <c r="L227" s="2388"/>
      <c r="M227" s="2388"/>
      <c r="N227" s="2388"/>
      <c r="O227" s="2388"/>
      <c r="P227" s="2388"/>
      <c r="Q227" s="2388"/>
      <c r="R227" s="2388"/>
      <c r="S227" s="2388"/>
      <c r="T227" s="2388"/>
      <c r="U227" s="2388"/>
    </row>
    <row r="228" spans="1:21">
      <c r="A228" s="2421"/>
      <c r="B228" s="2404" t="s">
        <v>580</v>
      </c>
      <c r="C228" s="2405"/>
      <c r="D228" s="2405"/>
      <c r="E228" s="2405"/>
      <c r="F228" s="2405"/>
      <c r="G228" s="2423"/>
      <c r="H228" s="2388"/>
      <c r="I228" s="2388"/>
      <c r="J228" s="2388"/>
      <c r="K228" s="2388"/>
      <c r="L228" s="2388"/>
      <c r="M228" s="2388"/>
      <c r="N228" s="2388"/>
      <c r="O228" s="2388"/>
      <c r="P228" s="2388"/>
      <c r="Q228" s="2388"/>
      <c r="R228" s="2388"/>
      <c r="S228" s="2388"/>
      <c r="T228" s="2388"/>
      <c r="U228" s="2388"/>
    </row>
    <row r="229" spans="1:21">
      <c r="A229" s="2421"/>
      <c r="B229" s="2404" t="s">
        <v>581</v>
      </c>
      <c r="C229" s="2405"/>
      <c r="D229" s="2405"/>
      <c r="E229" s="2405"/>
      <c r="F229" s="2405"/>
      <c r="G229" s="2423"/>
      <c r="H229" s="2388"/>
      <c r="I229" s="2388"/>
      <c r="J229" s="2388"/>
      <c r="K229" s="2388"/>
      <c r="L229" s="2388"/>
      <c r="M229" s="2388"/>
      <c r="N229" s="2388"/>
      <c r="O229" s="2388"/>
      <c r="P229" s="2388"/>
      <c r="Q229" s="2388"/>
      <c r="R229" s="2388"/>
      <c r="S229" s="2388"/>
      <c r="T229" s="2388"/>
      <c r="U229" s="2388"/>
    </row>
    <row r="230" spans="1:21" ht="15.75" thickBot="1">
      <c r="A230" s="416"/>
      <c r="B230" s="295"/>
      <c r="C230" s="184"/>
      <c r="D230" s="184"/>
      <c r="E230" s="184"/>
      <c r="F230" s="184"/>
      <c r="G230" s="296"/>
      <c r="H230" s="418"/>
      <c r="I230" s="418"/>
      <c r="J230" s="418"/>
      <c r="K230" s="418"/>
      <c r="L230" s="418"/>
      <c r="M230" s="418"/>
      <c r="N230" s="418"/>
      <c r="O230" s="418"/>
      <c r="P230" s="418"/>
      <c r="Q230" s="418"/>
      <c r="R230" s="418"/>
      <c r="S230" s="418"/>
      <c r="T230" s="418"/>
      <c r="U230" s="418"/>
    </row>
    <row r="231" spans="1:21" ht="16.5" thickTop="1" thickBot="1">
      <c r="A231" s="7" t="s">
        <v>582</v>
      </c>
      <c r="B231" s="8"/>
      <c r="C231" s="12"/>
      <c r="D231" s="12"/>
      <c r="E231" s="12"/>
      <c r="F231" s="12"/>
      <c r="G231" s="13"/>
      <c r="H231" s="21"/>
      <c r="I231" s="21"/>
      <c r="J231" s="21"/>
      <c r="K231" s="21"/>
      <c r="L231" s="21"/>
      <c r="M231" s="21"/>
      <c r="N231" s="21"/>
      <c r="O231" s="21"/>
      <c r="P231" s="21"/>
      <c r="Q231" s="21"/>
      <c r="R231" s="21"/>
      <c r="S231" s="21"/>
      <c r="T231" s="21"/>
      <c r="U231" s="21"/>
    </row>
    <row r="232" spans="1:21" ht="15.75" thickTop="1">
      <c r="A232" s="3421"/>
      <c r="B232" s="3427" t="s">
        <v>583</v>
      </c>
      <c r="C232" s="3422"/>
      <c r="D232" s="3422"/>
      <c r="E232" s="3422"/>
      <c r="F232" s="3422"/>
      <c r="G232" s="3423"/>
      <c r="H232" s="3428"/>
      <c r="I232" s="3428"/>
      <c r="J232" s="3428"/>
      <c r="K232" s="3428"/>
      <c r="L232" s="3428"/>
      <c r="M232" s="3428"/>
      <c r="N232" s="3428"/>
      <c r="O232" s="3428"/>
      <c r="P232" s="3428"/>
      <c r="Q232" s="3428"/>
      <c r="R232" s="3428"/>
      <c r="S232" s="3428"/>
      <c r="T232" s="3428"/>
      <c r="U232" s="3428"/>
    </row>
    <row r="233" spans="1:21">
      <c r="A233" s="2421"/>
      <c r="B233" s="2404" t="s">
        <v>584</v>
      </c>
      <c r="C233" s="2405"/>
      <c r="D233" s="2405"/>
      <c r="E233" s="2405"/>
      <c r="F233" s="2405"/>
      <c r="G233" s="2423"/>
      <c r="H233" s="2390"/>
      <c r="I233" s="2390"/>
      <c r="J233" s="2390"/>
      <c r="K233" s="2390"/>
      <c r="L233" s="2390"/>
      <c r="M233" s="2390"/>
      <c r="N233" s="2390"/>
      <c r="O233" s="2390"/>
      <c r="P233" s="2390"/>
      <c r="Q233" s="2390"/>
      <c r="R233" s="2390"/>
      <c r="S233" s="2390"/>
      <c r="T233" s="2390"/>
      <c r="U233" s="2390"/>
    </row>
    <row r="234" spans="1:21" ht="15.75" thickBot="1">
      <c r="A234" s="2391"/>
      <c r="B234" s="2392" t="s">
        <v>585</v>
      </c>
      <c r="C234" s="2393"/>
      <c r="D234" s="2393"/>
      <c r="E234" s="2393"/>
      <c r="F234" s="2393"/>
      <c r="G234" s="2394"/>
      <c r="H234" s="2395"/>
      <c r="I234" s="2395"/>
      <c r="J234" s="2395"/>
      <c r="K234" s="2395"/>
      <c r="L234" s="2395"/>
      <c r="M234" s="2395"/>
      <c r="N234" s="2395"/>
      <c r="O234" s="2395"/>
      <c r="P234" s="2395"/>
      <c r="Q234" s="2395"/>
      <c r="R234" s="2395"/>
      <c r="S234" s="2395"/>
      <c r="T234" s="2395"/>
      <c r="U234" s="2395"/>
    </row>
    <row r="235" spans="1:21" ht="16.5" thickTop="1" thickBot="1">
      <c r="M235" s="2"/>
    </row>
    <row r="236" spans="1:21" ht="16.5" thickTop="1" thickBot="1">
      <c r="A236" s="92" t="s">
        <v>586</v>
      </c>
      <c r="B236" s="94"/>
      <c r="M236" s="2"/>
    </row>
    <row r="237" spans="1:21" ht="15.75" thickTop="1">
      <c r="A237" s="93" t="s">
        <v>487</v>
      </c>
      <c r="B237" s="2396"/>
      <c r="M237" s="2"/>
    </row>
    <row r="238" spans="1:21">
      <c r="A238" s="2397" t="s">
        <v>491</v>
      </c>
      <c r="B238" s="2396"/>
      <c r="M238" s="2"/>
    </row>
    <row r="239" spans="1:21">
      <c r="A239" s="2398" t="s">
        <v>494</v>
      </c>
      <c r="B239" s="2399"/>
      <c r="M239" s="2"/>
    </row>
    <row r="240" spans="1:21">
      <c r="A240" s="2398" t="s">
        <v>497</v>
      </c>
      <c r="B240" s="2400"/>
      <c r="M240" s="2"/>
    </row>
    <row r="241" spans="1:13" ht="15.75" thickBot="1">
      <c r="A241" s="2401" t="s">
        <v>587</v>
      </c>
      <c r="B241" s="2402">
        <f>H8</f>
        <v>2082604</v>
      </c>
      <c r="C241" s="193"/>
      <c r="M241" s="2"/>
    </row>
    <row r="242" spans="1:13" ht="15.75" thickTop="1">
      <c r="M242" s="2"/>
    </row>
    <row r="243" spans="1:13">
      <c r="A243" s="95"/>
      <c r="B243" s="1" t="s">
        <v>588</v>
      </c>
      <c r="M243" s="2"/>
    </row>
    <row r="244" spans="1:13">
      <c r="A244" s="96"/>
      <c r="B244" s="1" t="s">
        <v>589</v>
      </c>
      <c r="M244" s="2"/>
    </row>
  </sheetData>
  <mergeCells count="54">
    <mergeCell ref="T3:U3"/>
    <mergeCell ref="H2:I2"/>
    <mergeCell ref="J2:K2"/>
    <mergeCell ref="L2:M2"/>
    <mergeCell ref="N2:O2"/>
    <mergeCell ref="R2:S2"/>
    <mergeCell ref="T2:U2"/>
    <mergeCell ref="H3:I3"/>
    <mergeCell ref="J3:K3"/>
    <mergeCell ref="L3:M3"/>
    <mergeCell ref="N3:O3"/>
    <mergeCell ref="R3:S3"/>
    <mergeCell ref="P3:Q3"/>
    <mergeCell ref="P2:Q2"/>
    <mergeCell ref="R8:S8"/>
    <mergeCell ref="T4:U4"/>
    <mergeCell ref="T5:U5"/>
    <mergeCell ref="T6:U6"/>
    <mergeCell ref="T7:U7"/>
    <mergeCell ref="T8:U8"/>
    <mergeCell ref="R4:S4"/>
    <mergeCell ref="R5:S5"/>
    <mergeCell ref="R6:S6"/>
    <mergeCell ref="R7:S7"/>
    <mergeCell ref="A225:B225"/>
    <mergeCell ref="J4:K4"/>
    <mergeCell ref="J5:K5"/>
    <mergeCell ref="J6:K6"/>
    <mergeCell ref="J7:K7"/>
    <mergeCell ref="J8:K8"/>
    <mergeCell ref="H4:I4"/>
    <mergeCell ref="H5:I5"/>
    <mergeCell ref="H6:I6"/>
    <mergeCell ref="H7:I7"/>
    <mergeCell ref="H8:I8"/>
    <mergeCell ref="A209:B209"/>
    <mergeCell ref="A213:B213"/>
    <mergeCell ref="A217:B217"/>
    <mergeCell ref="A221:B221"/>
    <mergeCell ref="L4:M4"/>
    <mergeCell ref="L5:M5"/>
    <mergeCell ref="P7:Q7"/>
    <mergeCell ref="P8:Q8"/>
    <mergeCell ref="N4:O4"/>
    <mergeCell ref="N5:O5"/>
    <mergeCell ref="N6:O6"/>
    <mergeCell ref="N7:O7"/>
    <mergeCell ref="N8:O8"/>
    <mergeCell ref="L6:M6"/>
    <mergeCell ref="L7:M7"/>
    <mergeCell ref="L8:M8"/>
    <mergeCell ref="P4:Q4"/>
    <mergeCell ref="P5:Q5"/>
    <mergeCell ref="P6:Q6"/>
  </mergeCells>
  <conditionalFormatting sqref="H21:H31">
    <cfRule type="cellIs" dxfId="109" priority="1" operator="equal">
      <formula>"X"</formula>
    </cfRule>
    <cfRule type="cellIs" dxfId="108" priority="2" operator="equal">
      <formula>"I"</formula>
    </cfRule>
  </conditionalFormatting>
  <conditionalFormatting sqref="H33:H200 J33:J200 N33:N200 P33:P200 R33:R200 T33:T200">
    <cfRule type="cellIs" dxfId="107" priority="25" operator="equal">
      <formula>"X"</formula>
    </cfRule>
    <cfRule type="cellIs" dxfId="106" priority="26" operator="equal">
      <formula>"I"</formula>
    </cfRule>
  </conditionalFormatting>
  <conditionalFormatting sqref="J21:J31">
    <cfRule type="cellIs" dxfId="105" priority="19" operator="equal">
      <formula>"X"</formula>
    </cfRule>
    <cfRule type="cellIs" dxfId="104" priority="20" operator="equal">
      <formula>"I"</formula>
    </cfRule>
  </conditionalFormatting>
  <conditionalFormatting sqref="N21:N31">
    <cfRule type="cellIs" dxfId="103" priority="17" operator="equal">
      <formula>"X"</formula>
    </cfRule>
    <cfRule type="cellIs" dxfId="102" priority="18" operator="equal">
      <formula>"I"</formula>
    </cfRule>
  </conditionalFormatting>
  <conditionalFormatting sqref="P21:P31">
    <cfRule type="cellIs" dxfId="101" priority="11" operator="equal">
      <formula>"X"</formula>
    </cfRule>
    <cfRule type="cellIs" dxfId="100" priority="12" operator="equal">
      <formula>"I"</formula>
    </cfRule>
  </conditionalFormatting>
  <conditionalFormatting sqref="R21:R31">
    <cfRule type="cellIs" dxfId="99" priority="9" operator="equal">
      <formula>"X"</formula>
    </cfRule>
    <cfRule type="cellIs" dxfId="98" priority="10" operator="equal">
      <formula>"I"</formula>
    </cfRule>
  </conditionalFormatting>
  <conditionalFormatting sqref="T21:T31">
    <cfRule type="cellIs" dxfId="97" priority="3" operator="equal">
      <formula>"X"</formula>
    </cfRule>
    <cfRule type="cellIs" dxfId="96" priority="4" operator="equal">
      <formula>"I"</formula>
    </cfRule>
  </conditionalFormatting>
  <hyperlinks>
    <hyperlink ref="B3" location="'Cost Summary'!A1" display="BACK TO SUMMARY SHEET" xr:uid="{BA903774-D007-4F0C-99A8-EAA0CB346A37}"/>
    <hyperlink ref="H7:I7" r:id="rId1" display="jcriscione@aedcorp.com" xr:uid="{E633B7F8-9FED-48FE-B128-BFBC50C0BB7B}"/>
  </hyperlinks>
  <printOptions horizontalCentered="1"/>
  <pageMargins left="0.2" right="0.2" top="0.75" bottom="0.75" header="0.3" footer="0.3"/>
  <pageSetup scale="57" orientation="portrait" horizontalDpi="300" verticalDpi="300" r:id="rId2"/>
  <rowBreaks count="1" manualBreakCount="1">
    <brk id="121" max="6" man="1"/>
  </rowBreaks>
  <legacyDrawing r:id="rId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B25A-5C54-4BD4-B5A9-2BB95FD63A8A}">
  <sheetPr>
    <tabColor rgb="FF92D050"/>
  </sheetPr>
  <dimension ref="A1:S101"/>
  <sheetViews>
    <sheetView zoomScale="95" zoomScaleNormal="95" workbookViewId="0">
      <pane xSplit="2" ySplit="9" topLeftCell="C31" activePane="bottomRight" state="frozen"/>
      <selection pane="bottomRight" activeCell="B3" sqref="B3"/>
      <selection pane="bottomLeft" sqref="A1:B1"/>
      <selection pane="topRight" sqref="A1:B1"/>
    </sheetView>
  </sheetViews>
  <sheetFormatPr defaultRowHeight="15"/>
  <cols>
    <col min="1" max="1" width="11" customWidth="1"/>
    <col min="2" max="2" width="70.7109375" style="1" customWidth="1"/>
    <col min="3" max="3" width="17.28515625" style="2" bestFit="1" customWidth="1"/>
    <col min="4" max="4" width="10.5703125" style="2" bestFit="1" customWidth="1"/>
    <col min="5" max="5" width="7.5703125" style="2" customWidth="1"/>
    <col min="6" max="6" width="14.140625" style="193" customWidth="1"/>
    <col min="7" max="7" width="1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93"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188"/>
      <c r="G4" s="6" t="s">
        <v>487</v>
      </c>
      <c r="H4" s="728"/>
      <c r="I4" s="729"/>
      <c r="J4" s="728"/>
      <c r="K4" s="729"/>
      <c r="L4" s="728"/>
      <c r="M4" s="729"/>
      <c r="N4" s="728"/>
      <c r="O4" s="729"/>
      <c r="P4" s="728"/>
      <c r="Q4" s="729"/>
      <c r="R4" s="728"/>
      <c r="S4" s="729"/>
    </row>
    <row r="5" spans="1:19">
      <c r="A5" s="2403" t="s">
        <v>489</v>
      </c>
      <c r="B5" s="2404" t="s">
        <v>641</v>
      </c>
      <c r="C5" s="2405"/>
      <c r="D5" s="2405"/>
      <c r="E5" s="2405"/>
      <c r="F5" s="2446"/>
      <c r="G5" s="2406" t="s">
        <v>491</v>
      </c>
      <c r="H5" s="2407"/>
      <c r="I5" s="2408"/>
      <c r="J5" s="2407"/>
      <c r="K5" s="2408"/>
      <c r="L5" s="2407"/>
      <c r="M5" s="2408"/>
      <c r="N5" s="2407"/>
      <c r="O5" s="2408"/>
      <c r="P5" s="2407"/>
      <c r="Q5" s="2408"/>
      <c r="R5" s="2407"/>
      <c r="S5" s="2408"/>
    </row>
    <row r="6" spans="1:19">
      <c r="A6" s="2403" t="s">
        <v>493</v>
      </c>
      <c r="B6" s="2410" t="s">
        <v>640</v>
      </c>
      <c r="C6" s="2405"/>
      <c r="D6" s="2405"/>
      <c r="E6" s="2405"/>
      <c r="F6" s="2446"/>
      <c r="G6" s="3491" t="s">
        <v>494</v>
      </c>
      <c r="H6" s="2411"/>
      <c r="I6" s="2412"/>
      <c r="J6" s="2411"/>
      <c r="K6" s="2412"/>
      <c r="L6" s="2411"/>
      <c r="M6" s="2412"/>
      <c r="N6" s="2411"/>
      <c r="O6" s="2412"/>
      <c r="P6" s="2411"/>
      <c r="Q6" s="2412"/>
      <c r="R6" s="2411"/>
      <c r="S6" s="2412"/>
    </row>
    <row r="7" spans="1:19">
      <c r="A7" s="2403" t="s">
        <v>496</v>
      </c>
      <c r="B7" s="2414"/>
      <c r="C7" s="2405"/>
      <c r="D7" s="2405"/>
      <c r="E7" s="2405"/>
      <c r="F7" s="2446"/>
      <c r="G7" s="3491" t="s">
        <v>497</v>
      </c>
      <c r="H7" s="3377"/>
      <c r="I7" s="3378"/>
      <c r="J7" s="3377"/>
      <c r="K7" s="3378"/>
      <c r="L7" s="3377"/>
      <c r="M7" s="3378"/>
      <c r="N7" s="3377"/>
      <c r="O7" s="3378"/>
      <c r="P7" s="3377"/>
      <c r="Q7" s="3378"/>
      <c r="R7" s="3377"/>
      <c r="S7" s="3378"/>
    </row>
    <row r="8" spans="1:19" ht="15.75" thickBot="1">
      <c r="A8" s="414" t="s">
        <v>499</v>
      </c>
      <c r="B8" s="295"/>
      <c r="C8" s="184"/>
      <c r="D8" s="184"/>
      <c r="E8" s="184"/>
      <c r="F8" s="307"/>
      <c r="G8" s="414" t="s">
        <v>499</v>
      </c>
      <c r="H8" s="2970">
        <f>I62</f>
        <v>282021</v>
      </c>
      <c r="I8" s="2971"/>
      <c r="J8" s="2970">
        <f>K62</f>
        <v>0</v>
      </c>
      <c r="K8" s="2971"/>
      <c r="L8" s="2970">
        <f>M62</f>
        <v>0</v>
      </c>
      <c r="M8" s="2971"/>
      <c r="N8" s="2970">
        <f>O62</f>
        <v>0</v>
      </c>
      <c r="O8" s="2971"/>
      <c r="P8" s="2970">
        <f>Q62</f>
        <v>0</v>
      </c>
      <c r="Q8" s="2971"/>
      <c r="R8" s="2970">
        <f>S62</f>
        <v>0</v>
      </c>
      <c r="S8" s="2971"/>
    </row>
    <row r="9" spans="1:19" ht="31.5" thickTop="1" thickBot="1">
      <c r="A9" s="7" t="s">
        <v>500</v>
      </c>
      <c r="B9" s="8"/>
      <c r="C9" s="9" t="s">
        <v>501</v>
      </c>
      <c r="D9" s="9" t="s">
        <v>502</v>
      </c>
      <c r="E9" s="9" t="s">
        <v>503</v>
      </c>
      <c r="F9" s="18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429" t="s">
        <v>508</v>
      </c>
      <c r="C10" s="2405"/>
      <c r="D10" s="2405"/>
      <c r="E10" s="2405"/>
      <c r="F10" s="2446"/>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46"/>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46"/>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46"/>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46"/>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46"/>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46"/>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46"/>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46"/>
      <c r="G18" s="2423"/>
      <c r="H18" s="2424"/>
      <c r="I18" s="2424"/>
      <c r="J18" s="2424"/>
      <c r="K18" s="2424"/>
      <c r="L18" s="2424"/>
      <c r="M18" s="2424"/>
      <c r="N18" s="2424"/>
      <c r="O18" s="2424"/>
      <c r="P18" s="2424"/>
      <c r="Q18" s="2424"/>
      <c r="R18" s="2424"/>
      <c r="S18" s="2424"/>
    </row>
    <row r="19" spans="1:19" hidden="1">
      <c r="A19" s="2421"/>
      <c r="B19" s="2404" t="str">
        <f>'Area Calculations'!M70</f>
        <v>Specifications</v>
      </c>
      <c r="C19" s="2426" t="s">
        <v>509</v>
      </c>
      <c r="D19" s="2405"/>
      <c r="E19" s="2405"/>
      <c r="F19" s="2446"/>
      <c r="G19" s="2423"/>
      <c r="H19" s="2424"/>
      <c r="I19" s="2424"/>
      <c r="J19" s="2424"/>
      <c r="K19" s="2424"/>
      <c r="L19" s="2424"/>
      <c r="M19" s="2424"/>
      <c r="N19" s="2424"/>
      <c r="O19" s="2424"/>
      <c r="P19" s="2424"/>
      <c r="Q19" s="2424"/>
      <c r="R19" s="2424"/>
      <c r="S19" s="2424"/>
    </row>
    <row r="20" spans="1:19" hidden="1">
      <c r="A20" s="2421"/>
      <c r="B20" s="2404"/>
      <c r="C20" s="2426"/>
      <c r="D20" s="2405"/>
      <c r="E20" s="2405"/>
      <c r="F20" s="2446"/>
      <c r="G20" s="2423"/>
      <c r="H20" s="2424"/>
      <c r="I20" s="2424"/>
      <c r="J20" s="2424"/>
      <c r="K20" s="2424"/>
      <c r="L20" s="2424"/>
      <c r="M20" s="2424"/>
      <c r="N20" s="2424"/>
      <c r="O20" s="2424"/>
      <c r="P20" s="2424"/>
      <c r="Q20" s="2424"/>
      <c r="R20" s="2424"/>
      <c r="S20" s="2424"/>
    </row>
    <row r="21" spans="1:19" hidden="1">
      <c r="A21" s="2421"/>
      <c r="B21" s="2404"/>
      <c r="C21" s="2426"/>
      <c r="D21" s="2405"/>
      <c r="E21" s="2405"/>
      <c r="F21" s="2446"/>
      <c r="G21" s="2423"/>
      <c r="H21" s="2427"/>
      <c r="I21" s="2424"/>
      <c r="J21" s="2427"/>
      <c r="K21" s="2424"/>
      <c r="L21" s="2427"/>
      <c r="M21" s="2424"/>
      <c r="N21" s="2427"/>
      <c r="O21" s="2424"/>
      <c r="P21" s="2427"/>
      <c r="Q21" s="2424"/>
      <c r="R21" s="2427"/>
      <c r="S21" s="2424"/>
    </row>
    <row r="22" spans="1:19" ht="16.5" thickTop="1" thickBot="1">
      <c r="A22" s="59"/>
      <c r="B22" s="2428" t="s">
        <v>641</v>
      </c>
      <c r="C22" s="56"/>
      <c r="D22" s="57"/>
      <c r="E22" s="57"/>
      <c r="F22" s="190"/>
      <c r="G22" s="63"/>
      <c r="H22" s="2427"/>
      <c r="I22" s="58"/>
      <c r="J22" s="2427"/>
      <c r="K22" s="2424"/>
      <c r="L22" s="2427"/>
      <c r="M22" s="2424"/>
      <c r="N22" s="2427"/>
      <c r="O22" s="2424"/>
      <c r="P22" s="2427"/>
      <c r="Q22" s="2424"/>
      <c r="R22" s="2427"/>
      <c r="S22" s="2424"/>
    </row>
    <row r="23" spans="1:19">
      <c r="A23" s="3433"/>
      <c r="B23" s="2318" t="s">
        <v>512</v>
      </c>
      <c r="C23" s="2426"/>
      <c r="D23" s="2405"/>
      <c r="E23" s="2405"/>
      <c r="F23" s="2446"/>
      <c r="G23" s="3492"/>
      <c r="H23" s="2427"/>
      <c r="I23" s="3409"/>
      <c r="J23" s="2427"/>
      <c r="K23" s="3407"/>
      <c r="L23" s="2427"/>
      <c r="M23" s="2481"/>
      <c r="N23" s="2427"/>
      <c r="O23" s="2481"/>
      <c r="P23" s="2427"/>
      <c r="Q23" s="2481"/>
      <c r="R23" s="2427"/>
      <c r="S23" s="2481"/>
    </row>
    <row r="24" spans="1:19">
      <c r="A24" s="3433"/>
      <c r="B24" s="3408" t="s">
        <v>513</v>
      </c>
      <c r="C24" s="2426"/>
      <c r="D24" s="2405"/>
      <c r="E24" s="2405"/>
      <c r="F24" s="2446"/>
      <c r="G24" s="3492"/>
      <c r="H24" s="2427"/>
      <c r="I24" s="3409"/>
      <c r="J24" s="2427"/>
      <c r="K24" s="3410"/>
      <c r="L24" s="2427"/>
      <c r="M24" s="3411"/>
      <c r="N24" s="2427"/>
      <c r="O24" s="3411"/>
      <c r="P24" s="2427"/>
      <c r="Q24" s="3411"/>
      <c r="R24" s="2427"/>
      <c r="S24" s="3411"/>
    </row>
    <row r="25" spans="1:19">
      <c r="A25" s="3433"/>
      <c r="B25" s="3408" t="s">
        <v>514</v>
      </c>
      <c r="C25" s="2426"/>
      <c r="D25" s="2405"/>
      <c r="E25" s="2405"/>
      <c r="F25" s="2446"/>
      <c r="G25" s="3492"/>
      <c r="H25" s="2427"/>
      <c r="I25" s="3410"/>
      <c r="J25" s="2427"/>
      <c r="K25" s="3410"/>
      <c r="L25" s="2427"/>
      <c r="M25" s="3411"/>
      <c r="N25" s="2427"/>
      <c r="O25" s="3411"/>
      <c r="P25" s="2427"/>
      <c r="Q25" s="3411"/>
      <c r="R25" s="2427"/>
      <c r="S25" s="3411"/>
    </row>
    <row r="26" spans="1:19">
      <c r="A26" s="3433"/>
      <c r="B26" s="3412" t="s">
        <v>515</v>
      </c>
      <c r="C26" s="2426"/>
      <c r="D26" s="2405"/>
      <c r="E26" s="2405"/>
      <c r="F26" s="2446"/>
      <c r="G26" s="3492"/>
      <c r="H26" s="2427"/>
      <c r="I26" s="3410"/>
      <c r="J26" s="2427"/>
      <c r="K26" s="3410"/>
      <c r="L26" s="2427"/>
      <c r="M26" s="3411"/>
      <c r="N26" s="2427"/>
      <c r="O26" s="3410"/>
      <c r="P26" s="2427"/>
      <c r="Q26" s="3411"/>
      <c r="R26" s="2427"/>
      <c r="S26" s="3411"/>
    </row>
    <row r="27" spans="1:19">
      <c r="A27" s="3433"/>
      <c r="B27" s="3412" t="s">
        <v>516</v>
      </c>
      <c r="C27" s="2426"/>
      <c r="D27" s="2405"/>
      <c r="E27" s="2405"/>
      <c r="F27" s="2446"/>
      <c r="G27" s="3492"/>
      <c r="H27" s="2427"/>
      <c r="I27" s="3410"/>
      <c r="J27" s="2427"/>
      <c r="K27" s="3410"/>
      <c r="L27" s="2427"/>
      <c r="M27" s="3411"/>
      <c r="N27" s="2427"/>
      <c r="O27" s="3410"/>
      <c r="P27" s="2427"/>
      <c r="Q27" s="3411"/>
      <c r="R27" s="2427"/>
      <c r="S27" s="3411"/>
    </row>
    <row r="28" spans="1:19">
      <c r="A28" s="3433"/>
      <c r="B28" s="3412" t="s">
        <v>517</v>
      </c>
      <c r="C28" s="2426"/>
      <c r="D28" s="2405"/>
      <c r="E28" s="2405"/>
      <c r="F28" s="2446"/>
      <c r="G28" s="3492"/>
      <c r="H28" s="2427"/>
      <c r="I28" s="3410"/>
      <c r="J28" s="2427"/>
      <c r="K28" s="3410"/>
      <c r="L28" s="2427"/>
      <c r="M28" s="3411"/>
      <c r="N28" s="2427"/>
      <c r="O28" s="3410"/>
      <c r="P28" s="2427"/>
      <c r="Q28" s="3411"/>
      <c r="R28" s="2427"/>
      <c r="S28" s="3411"/>
    </row>
    <row r="29" spans="1:19">
      <c r="A29" s="3433"/>
      <c r="B29" s="3412" t="s">
        <v>518</v>
      </c>
      <c r="C29" s="2426"/>
      <c r="D29" s="2405"/>
      <c r="E29" s="2405"/>
      <c r="F29" s="2446"/>
      <c r="G29" s="3492"/>
      <c r="H29" s="2427"/>
      <c r="I29" s="3410"/>
      <c r="J29" s="2427"/>
      <c r="K29" s="3410"/>
      <c r="L29" s="2427"/>
      <c r="M29" s="3411"/>
      <c r="N29" s="2427"/>
      <c r="O29" s="3410"/>
      <c r="P29" s="2427"/>
      <c r="Q29" s="3411"/>
      <c r="R29" s="2427"/>
      <c r="S29" s="3411"/>
    </row>
    <row r="30" spans="1:19">
      <c r="A30" s="3493"/>
      <c r="B30" s="3412" t="s">
        <v>693</v>
      </c>
      <c r="C30" s="2426"/>
      <c r="D30" s="2405"/>
      <c r="E30" s="2405"/>
      <c r="F30" s="2446"/>
      <c r="G30" s="3492"/>
      <c r="H30" s="2427"/>
      <c r="I30" s="3494"/>
      <c r="J30" s="2427"/>
      <c r="K30" s="3494"/>
      <c r="L30" s="2427"/>
      <c r="M30" s="3353"/>
      <c r="N30" s="2427"/>
      <c r="O30" s="3494"/>
      <c r="P30" s="2427"/>
      <c r="Q30" s="3353"/>
      <c r="R30" s="2427"/>
      <c r="S30" s="3353"/>
    </row>
    <row r="31" spans="1:19">
      <c r="A31" s="3493"/>
      <c r="B31" s="3495" t="s">
        <v>519</v>
      </c>
      <c r="C31" s="2426"/>
      <c r="D31" s="2405"/>
      <c r="E31" s="2405"/>
      <c r="F31" s="2446"/>
      <c r="G31" s="3492"/>
      <c r="H31" s="2427"/>
      <c r="I31" s="3409"/>
      <c r="J31" s="2427"/>
      <c r="K31" s="3410"/>
      <c r="L31" s="2427"/>
      <c r="M31" s="3411"/>
      <c r="N31" s="2427"/>
      <c r="O31" s="3410"/>
      <c r="P31" s="2427"/>
      <c r="Q31" s="3411"/>
      <c r="R31" s="2427"/>
      <c r="S31" s="3411"/>
    </row>
    <row r="32" spans="1:19">
      <c r="A32" s="3493"/>
      <c r="B32" s="3496" t="s">
        <v>520</v>
      </c>
      <c r="C32" s="3497"/>
      <c r="D32" s="2980"/>
      <c r="E32" s="2980"/>
      <c r="F32" s="3078"/>
      <c r="G32" s="3498"/>
      <c r="H32" s="2439"/>
      <c r="I32" s="3441"/>
      <c r="J32" s="2439"/>
      <c r="K32" s="3419"/>
      <c r="L32" s="2439"/>
      <c r="M32" s="3417"/>
      <c r="N32" s="2439"/>
      <c r="O32" s="3419"/>
      <c r="P32" s="3417"/>
      <c r="Q32" s="3417"/>
      <c r="R32" s="3417"/>
      <c r="S32" s="3417"/>
    </row>
    <row r="33" spans="1:19">
      <c r="A33" s="3493"/>
      <c r="B33" s="3499"/>
      <c r="C33" s="3455"/>
      <c r="D33" s="2405"/>
      <c r="E33" s="2405"/>
      <c r="F33" s="2446"/>
      <c r="G33" s="3492"/>
      <c r="H33" s="2427"/>
      <c r="I33" s="3409"/>
      <c r="J33" s="2427"/>
      <c r="K33" s="3410"/>
      <c r="L33" s="2427"/>
      <c r="M33" s="3411"/>
      <c r="N33" s="2427"/>
      <c r="O33" s="3410"/>
      <c r="P33" s="2427"/>
      <c r="Q33" s="3411"/>
      <c r="R33" s="2427"/>
      <c r="S33" s="3411"/>
    </row>
    <row r="34" spans="1:19">
      <c r="A34" s="3493"/>
      <c r="B34" s="3500" t="s">
        <v>694</v>
      </c>
      <c r="C34" s="3460"/>
      <c r="D34" s="2450"/>
      <c r="E34" s="2450"/>
      <c r="F34" s="2451"/>
      <c r="G34" s="3501"/>
      <c r="H34" s="2453"/>
      <c r="I34" s="3502"/>
      <c r="J34" s="2453"/>
      <c r="K34" s="3446"/>
      <c r="L34" s="2453"/>
      <c r="M34" s="3465"/>
      <c r="N34" s="2453"/>
      <c r="O34" s="3446"/>
      <c r="P34" s="2453"/>
      <c r="Q34" s="3465"/>
      <c r="R34" s="2453"/>
      <c r="S34" s="3465"/>
    </row>
    <row r="35" spans="1:19">
      <c r="A35" s="3493"/>
      <c r="B35" s="3499"/>
      <c r="C35" s="3455"/>
      <c r="D35" s="2405"/>
      <c r="E35" s="2405"/>
      <c r="F35" s="2446"/>
      <c r="G35" s="3492"/>
      <c r="H35" s="2427"/>
      <c r="I35" s="3409"/>
      <c r="J35" s="2427"/>
      <c r="K35" s="3410"/>
      <c r="L35" s="2427"/>
      <c r="M35" s="3411"/>
      <c r="N35" s="2427"/>
      <c r="O35" s="3410"/>
      <c r="P35" s="2427"/>
      <c r="Q35" s="3411"/>
      <c r="R35" s="2427"/>
      <c r="S35" s="3411"/>
    </row>
    <row r="36" spans="1:19">
      <c r="A36" s="3493"/>
      <c r="B36" s="3503" t="s">
        <v>695</v>
      </c>
      <c r="C36" s="3467"/>
      <c r="D36" s="2456"/>
      <c r="E36" s="2456"/>
      <c r="F36" s="2457"/>
      <c r="G36" s="3504"/>
      <c r="H36" s="2459"/>
      <c r="I36" s="3505"/>
      <c r="J36" s="2459"/>
      <c r="K36" s="3448"/>
      <c r="L36" s="2459"/>
      <c r="M36" s="3473"/>
      <c r="N36" s="2459"/>
      <c r="O36" s="3448"/>
      <c r="P36" s="2459"/>
      <c r="Q36" s="3473"/>
      <c r="R36" s="2459"/>
      <c r="S36" s="3473"/>
    </row>
    <row r="37" spans="1:19">
      <c r="A37" s="3493"/>
      <c r="B37" s="3499" t="s">
        <v>1472</v>
      </c>
      <c r="C37" s="3455" t="s">
        <v>731</v>
      </c>
      <c r="D37" s="2405">
        <v>1375</v>
      </c>
      <c r="E37" s="2405" t="s">
        <v>723</v>
      </c>
      <c r="F37" s="2446">
        <v>15</v>
      </c>
      <c r="G37" s="3506">
        <f>D37*F37</f>
        <v>20625</v>
      </c>
      <c r="H37" s="2427"/>
      <c r="I37" s="3507">
        <f>G37</f>
        <v>20625</v>
      </c>
      <c r="J37" s="2427"/>
      <c r="K37" s="3410"/>
      <c r="L37" s="2427"/>
      <c r="M37" s="3411"/>
      <c r="N37" s="2427"/>
      <c r="O37" s="3410"/>
      <c r="P37" s="2427"/>
      <c r="Q37" s="3411"/>
      <c r="R37" s="2427"/>
      <c r="S37" s="3411"/>
    </row>
    <row r="38" spans="1:19">
      <c r="A38" s="3493"/>
      <c r="B38" s="3499" t="s">
        <v>1473</v>
      </c>
      <c r="C38" s="3455" t="s">
        <v>731</v>
      </c>
      <c r="D38" s="2405">
        <f>6541+7791</f>
        <v>14332</v>
      </c>
      <c r="E38" s="2405" t="s">
        <v>723</v>
      </c>
      <c r="F38" s="2446">
        <v>10</v>
      </c>
      <c r="G38" s="3506">
        <f>D38*F38</f>
        <v>143320</v>
      </c>
      <c r="H38" s="2427"/>
      <c r="I38" s="3507">
        <f>G38</f>
        <v>143320</v>
      </c>
      <c r="J38" s="2427"/>
      <c r="K38" s="3494"/>
      <c r="L38" s="2427"/>
      <c r="M38" s="3353"/>
      <c r="N38" s="2427"/>
      <c r="O38" s="3494"/>
      <c r="P38" s="2427"/>
      <c r="Q38" s="3353"/>
      <c r="R38" s="2427"/>
      <c r="S38" s="3353"/>
    </row>
    <row r="39" spans="1:19">
      <c r="A39" s="3508"/>
      <c r="B39" s="3499" t="s">
        <v>1474</v>
      </c>
      <c r="C39" s="3455"/>
      <c r="D39" s="2405">
        <v>7791</v>
      </c>
      <c r="E39" s="2405" t="s">
        <v>723</v>
      </c>
      <c r="F39" s="2446">
        <f>F38</f>
        <v>10</v>
      </c>
      <c r="G39" s="3506">
        <f>D39*F39</f>
        <v>77910</v>
      </c>
      <c r="H39" s="2427"/>
      <c r="I39" s="3507"/>
      <c r="J39" s="2427"/>
      <c r="K39" s="3410"/>
      <c r="L39" s="2427"/>
      <c r="M39" s="3411"/>
      <c r="N39" s="2427"/>
      <c r="O39" s="3410"/>
      <c r="P39" s="2427"/>
      <c r="Q39" s="3411"/>
      <c r="R39" s="2427"/>
      <c r="S39" s="3411"/>
    </row>
    <row r="40" spans="1:19">
      <c r="A40" s="3433" t="s">
        <v>717</v>
      </c>
      <c r="B40" s="3454" t="s">
        <v>1475</v>
      </c>
      <c r="C40" s="3455" t="s">
        <v>1353</v>
      </c>
      <c r="D40" s="3442">
        <v>474</v>
      </c>
      <c r="E40" s="2405" t="s">
        <v>723</v>
      </c>
      <c r="F40" s="2446">
        <f>F38</f>
        <v>10</v>
      </c>
      <c r="G40" s="3506">
        <f>D40*F40</f>
        <v>4740</v>
      </c>
      <c r="H40" s="2427"/>
      <c r="I40" s="3507">
        <f>G40</f>
        <v>4740</v>
      </c>
      <c r="J40" s="2427"/>
      <c r="K40" s="3494"/>
      <c r="L40" s="2427"/>
      <c r="M40" s="3353"/>
      <c r="N40" s="2427"/>
      <c r="O40" s="3494"/>
      <c r="P40" s="2427"/>
      <c r="Q40" s="3353"/>
      <c r="R40" s="2427"/>
      <c r="S40" s="3353"/>
    </row>
    <row r="41" spans="1:19">
      <c r="A41" s="3493"/>
      <c r="B41" s="3499"/>
      <c r="C41" s="3455"/>
      <c r="D41" s="2405"/>
      <c r="E41" s="2405"/>
      <c r="F41" s="2446"/>
      <c r="G41" s="3492"/>
      <c r="H41" s="2427"/>
      <c r="I41" s="3409"/>
      <c r="J41" s="2427"/>
      <c r="K41" s="3494"/>
      <c r="L41" s="2427"/>
      <c r="M41" s="3353"/>
      <c r="N41" s="2427"/>
      <c r="O41" s="3494"/>
      <c r="P41" s="2427"/>
      <c r="Q41" s="3353"/>
      <c r="R41" s="2427"/>
      <c r="S41" s="3353"/>
    </row>
    <row r="42" spans="1:19">
      <c r="A42" s="3493"/>
      <c r="B42" s="3500" t="s">
        <v>649</v>
      </c>
      <c r="C42" s="3460"/>
      <c r="D42" s="2450"/>
      <c r="E42" s="2450"/>
      <c r="F42" s="2451"/>
      <c r="G42" s="3501"/>
      <c r="H42" s="2453"/>
      <c r="I42" s="3502"/>
      <c r="J42" s="2453"/>
      <c r="K42" s="3446"/>
      <c r="L42" s="2453"/>
      <c r="M42" s="3465"/>
      <c r="N42" s="2453"/>
      <c r="O42" s="3446"/>
      <c r="P42" s="2453"/>
      <c r="Q42" s="3465"/>
      <c r="R42" s="2453"/>
      <c r="S42" s="3465"/>
    </row>
    <row r="43" spans="1:19">
      <c r="A43" s="3493"/>
      <c r="B43" s="3499"/>
      <c r="C43" s="3455"/>
      <c r="D43" s="2405"/>
      <c r="E43" s="2405"/>
      <c r="F43" s="2446"/>
      <c r="G43" s="3492"/>
      <c r="H43" s="2427"/>
      <c r="I43" s="3409"/>
      <c r="J43" s="2427"/>
      <c r="K43" s="3410"/>
      <c r="L43" s="2427"/>
      <c r="M43" s="3411"/>
      <c r="N43" s="2427"/>
      <c r="O43" s="3410"/>
      <c r="P43" s="2427"/>
      <c r="Q43" s="3411"/>
      <c r="R43" s="2427"/>
      <c r="S43" s="3411"/>
    </row>
    <row r="44" spans="1:19">
      <c r="A44" s="3493"/>
      <c r="B44" s="3503" t="s">
        <v>700</v>
      </c>
      <c r="C44" s="3467"/>
      <c r="D44" s="2456"/>
      <c r="E44" s="2456"/>
      <c r="F44" s="2457"/>
      <c r="G44" s="3504"/>
      <c r="H44" s="2459"/>
      <c r="I44" s="3505"/>
      <c r="J44" s="2459"/>
      <c r="K44" s="3448"/>
      <c r="L44" s="2459"/>
      <c r="M44" s="3473"/>
      <c r="N44" s="2459"/>
      <c r="O44" s="3448"/>
      <c r="P44" s="2459"/>
      <c r="Q44" s="3473"/>
      <c r="R44" s="2459"/>
      <c r="S44" s="3473"/>
    </row>
    <row r="45" spans="1:19">
      <c r="A45" s="3493"/>
      <c r="B45" s="3499" t="s">
        <v>1476</v>
      </c>
      <c r="C45" s="3455" t="s">
        <v>702</v>
      </c>
      <c r="D45" s="2405">
        <v>4121</v>
      </c>
      <c r="E45" s="2405" t="s">
        <v>723</v>
      </c>
      <c r="F45" s="2446">
        <v>16</v>
      </c>
      <c r="G45" s="3506">
        <f>D45*F45</f>
        <v>65936</v>
      </c>
      <c r="H45" s="2427"/>
      <c r="I45" s="3507">
        <f>G45</f>
        <v>65936</v>
      </c>
      <c r="J45" s="2427"/>
      <c r="K45" s="3410"/>
      <c r="L45" s="2427"/>
      <c r="M45" s="3411"/>
      <c r="N45" s="2427"/>
      <c r="O45" s="3410"/>
      <c r="P45" s="2427"/>
      <c r="Q45" s="3411"/>
      <c r="R45" s="2427"/>
      <c r="S45" s="3411"/>
    </row>
    <row r="46" spans="1:19">
      <c r="A46" s="3493"/>
      <c r="B46" s="3499"/>
      <c r="C46" s="3455"/>
      <c r="D46" s="2405"/>
      <c r="E46" s="2405"/>
      <c r="F46" s="2446"/>
      <c r="G46" s="3492"/>
      <c r="H46" s="2427"/>
      <c r="I46" s="3409"/>
      <c r="J46" s="2427"/>
      <c r="K46" s="3410"/>
      <c r="L46" s="2427"/>
      <c r="M46" s="3411"/>
      <c r="N46" s="2427"/>
      <c r="O46" s="3410"/>
      <c r="P46" s="2427"/>
      <c r="Q46" s="3411"/>
      <c r="R46" s="2427"/>
      <c r="S46" s="3411"/>
    </row>
    <row r="47" spans="1:19">
      <c r="A47" s="3493"/>
      <c r="B47" s="3500" t="s">
        <v>703</v>
      </c>
      <c r="C47" s="3460"/>
      <c r="D47" s="2450"/>
      <c r="E47" s="2450"/>
      <c r="F47" s="2451"/>
      <c r="G47" s="3501"/>
      <c r="H47" s="2453"/>
      <c r="I47" s="3502"/>
      <c r="J47" s="2453"/>
      <c r="K47" s="3446"/>
      <c r="L47" s="2453"/>
      <c r="M47" s="3465"/>
      <c r="N47" s="2453"/>
      <c r="O47" s="3446"/>
      <c r="P47" s="2453"/>
      <c r="Q47" s="3465"/>
      <c r="R47" s="2453"/>
      <c r="S47" s="3465"/>
    </row>
    <row r="48" spans="1:19">
      <c r="A48" s="3493"/>
      <c r="B48" s="3499"/>
      <c r="C48" s="3455"/>
      <c r="D48" s="2405"/>
      <c r="E48" s="2405"/>
      <c r="F48" s="2446"/>
      <c r="G48" s="3492"/>
      <c r="H48" s="2427"/>
      <c r="I48" s="3409"/>
      <c r="J48" s="2427"/>
      <c r="K48" s="3410"/>
      <c r="L48" s="2427"/>
      <c r="M48" s="3411"/>
      <c r="N48" s="2427"/>
      <c r="O48" s="3410"/>
      <c r="P48" s="2427"/>
      <c r="Q48" s="3411"/>
      <c r="R48" s="2427"/>
      <c r="S48" s="3411"/>
    </row>
    <row r="49" spans="1:19">
      <c r="A49" s="3493"/>
      <c r="B49" s="3503" t="s">
        <v>704</v>
      </c>
      <c r="C49" s="3467"/>
      <c r="D49" s="2456"/>
      <c r="E49" s="2456"/>
      <c r="F49" s="2457"/>
      <c r="G49" s="3504"/>
      <c r="H49" s="2459"/>
      <c r="I49" s="3505"/>
      <c r="J49" s="2459"/>
      <c r="K49" s="3448"/>
      <c r="L49" s="2459"/>
      <c r="M49" s="3473"/>
      <c r="N49" s="2459"/>
      <c r="O49" s="3448"/>
      <c r="P49" s="2459"/>
      <c r="Q49" s="3473"/>
      <c r="R49" s="2459"/>
      <c r="S49" s="3473"/>
    </row>
    <row r="50" spans="1:19">
      <c r="A50" s="3493"/>
      <c r="B50" s="3499" t="s">
        <v>1473</v>
      </c>
      <c r="C50" s="3455" t="s">
        <v>702</v>
      </c>
      <c r="D50" s="2405">
        <v>2370</v>
      </c>
      <c r="E50" s="2405" t="s">
        <v>723</v>
      </c>
      <c r="F50" s="2446">
        <v>20</v>
      </c>
      <c r="G50" s="3506">
        <f>D50*F50</f>
        <v>47400</v>
      </c>
      <c r="H50" s="2427"/>
      <c r="I50" s="3507">
        <f>G50</f>
        <v>47400</v>
      </c>
      <c r="J50" s="2427"/>
      <c r="K50" s="3410"/>
      <c r="L50" s="2427"/>
      <c r="M50" s="3411"/>
      <c r="N50" s="2427"/>
      <c r="O50" s="3410"/>
      <c r="P50" s="2427"/>
      <c r="Q50" s="3411"/>
      <c r="R50" s="2427"/>
      <c r="S50" s="3411"/>
    </row>
    <row r="51" spans="1:19">
      <c r="A51" s="3493"/>
      <c r="B51" s="3499"/>
      <c r="C51" s="3455"/>
      <c r="D51" s="2405"/>
      <c r="E51" s="2405"/>
      <c r="F51" s="2446"/>
      <c r="G51" s="3492"/>
      <c r="H51" s="2427"/>
      <c r="I51" s="3409"/>
      <c r="J51" s="2427"/>
      <c r="K51" s="3494"/>
      <c r="L51" s="2427"/>
      <c r="M51" s="3353"/>
      <c r="N51" s="2427"/>
      <c r="O51" s="3494"/>
      <c r="P51" s="2427"/>
      <c r="Q51" s="3353"/>
      <c r="R51" s="2427"/>
      <c r="S51" s="3353"/>
    </row>
    <row r="52" spans="1:19">
      <c r="A52" s="3493"/>
      <c r="B52" s="3500" t="s">
        <v>705</v>
      </c>
      <c r="C52" s="3460"/>
      <c r="D52" s="2450"/>
      <c r="E52" s="2450"/>
      <c r="F52" s="2451"/>
      <c r="G52" s="3501"/>
      <c r="H52" s="2453"/>
      <c r="I52" s="3502"/>
      <c r="J52" s="2453"/>
      <c r="K52" s="3446"/>
      <c r="L52" s="2453"/>
      <c r="M52" s="3465"/>
      <c r="N52" s="2453"/>
      <c r="O52" s="3446"/>
      <c r="P52" s="2453"/>
      <c r="Q52" s="3465"/>
      <c r="R52" s="2453"/>
      <c r="S52" s="3465"/>
    </row>
    <row r="53" spans="1:19">
      <c r="A53" s="3493"/>
      <c r="B53" s="3499"/>
      <c r="C53" s="3455"/>
      <c r="D53" s="2405"/>
      <c r="E53" s="2405"/>
      <c r="F53" s="2446"/>
      <c r="G53" s="3492"/>
      <c r="H53" s="2427"/>
      <c r="I53" s="3409"/>
      <c r="J53" s="2427"/>
      <c r="K53" s="3410"/>
      <c r="L53" s="2427"/>
      <c r="M53" s="3411"/>
      <c r="N53" s="2427"/>
      <c r="O53" s="3410"/>
      <c r="P53" s="2427"/>
      <c r="Q53" s="3411"/>
      <c r="R53" s="2427"/>
      <c r="S53" s="3411"/>
    </row>
    <row r="54" spans="1:19">
      <c r="A54" s="3493"/>
      <c r="B54" s="3503" t="s">
        <v>602</v>
      </c>
      <c r="C54" s="3467"/>
      <c r="D54" s="2456"/>
      <c r="E54" s="2456"/>
      <c r="F54" s="2457"/>
      <c r="G54" s="3504"/>
      <c r="H54" s="2459"/>
      <c r="I54" s="3505"/>
      <c r="J54" s="2459"/>
      <c r="K54" s="3448"/>
      <c r="L54" s="2459"/>
      <c r="M54" s="3473"/>
      <c r="N54" s="2459"/>
      <c r="O54" s="3448"/>
      <c r="P54" s="2459"/>
      <c r="Q54" s="3473"/>
      <c r="R54" s="2459"/>
      <c r="S54" s="3473"/>
    </row>
    <row r="55" spans="1:19">
      <c r="A55" s="3493"/>
      <c r="B55" s="3499"/>
      <c r="C55" s="3455"/>
      <c r="D55" s="2405"/>
      <c r="E55" s="2405"/>
      <c r="F55" s="2446"/>
      <c r="G55" s="3492"/>
      <c r="H55" s="2427"/>
      <c r="I55" s="3409"/>
      <c r="J55" s="2427"/>
      <c r="K55" s="3410"/>
      <c r="L55" s="2427"/>
      <c r="M55" s="3411"/>
      <c r="N55" s="2427"/>
      <c r="O55" s="3410"/>
      <c r="P55" s="2427"/>
      <c r="Q55" s="3411"/>
      <c r="R55" s="2427"/>
      <c r="S55" s="3411"/>
    </row>
    <row r="56" spans="1:19">
      <c r="A56" s="3493"/>
      <c r="B56" s="3499"/>
      <c r="C56" s="3455"/>
      <c r="D56" s="2405"/>
      <c r="E56" s="2405"/>
      <c r="F56" s="2446"/>
      <c r="G56" s="3492"/>
      <c r="H56" s="2427"/>
      <c r="I56" s="3409"/>
      <c r="J56" s="2427"/>
      <c r="K56" s="3410"/>
      <c r="L56" s="2427"/>
      <c r="M56" s="3411"/>
      <c r="N56" s="2427"/>
      <c r="O56" s="3410"/>
      <c r="P56" s="2427"/>
      <c r="Q56" s="3411"/>
      <c r="R56" s="2427"/>
      <c r="S56" s="3411"/>
    </row>
    <row r="57" spans="1:19">
      <c r="A57" s="2685"/>
      <c r="B57" s="3499"/>
      <c r="C57" s="2426"/>
      <c r="D57" s="2405"/>
      <c r="E57" s="2405"/>
      <c r="F57" s="2446"/>
      <c r="G57" s="3492"/>
      <c r="H57" s="2427"/>
      <c r="I57" s="3411"/>
      <c r="J57" s="2427"/>
      <c r="K57" s="3411"/>
      <c r="L57" s="2427"/>
      <c r="M57" s="3411"/>
      <c r="N57" s="2427"/>
      <c r="O57" s="3411"/>
      <c r="P57" s="2427"/>
      <c r="Q57" s="3411"/>
      <c r="R57" s="2427"/>
      <c r="S57" s="3411"/>
    </row>
    <row r="58" spans="1:19" ht="15.75" thickTop="1">
      <c r="A58" s="14"/>
      <c r="B58" s="15"/>
      <c r="C58" s="16"/>
      <c r="D58" s="16"/>
      <c r="E58" s="17"/>
      <c r="F58" s="191" t="s">
        <v>567</v>
      </c>
      <c r="G58" s="19"/>
      <c r="H58" s="20"/>
      <c r="I58" s="61">
        <f>SUM(I24:I57)</f>
        <v>282021</v>
      </c>
      <c r="J58" s="20"/>
      <c r="K58" s="61">
        <f>SUM(K24:K57)</f>
        <v>0</v>
      </c>
      <c r="L58" s="20"/>
      <c r="M58" s="61">
        <f>SUM(M24:M57)</f>
        <v>0</v>
      </c>
      <c r="N58" s="20"/>
      <c r="O58" s="61">
        <f>SUM(O24:O57)</f>
        <v>0</v>
      </c>
      <c r="P58" s="20"/>
      <c r="Q58" s="61">
        <f>SUM(Q24:Q57)</f>
        <v>0</v>
      </c>
      <c r="R58" s="20"/>
      <c r="S58" s="61">
        <f>SUM(S24:S57)</f>
        <v>0</v>
      </c>
    </row>
    <row r="59" spans="1:19">
      <c r="A59" s="2358"/>
      <c r="B59" s="2359"/>
      <c r="C59" s="2360"/>
      <c r="D59" s="2360"/>
      <c r="E59" s="2361"/>
      <c r="F59" s="3509" t="s">
        <v>568</v>
      </c>
      <c r="G59" s="2363"/>
      <c r="H59" s="2364">
        <v>0</v>
      </c>
      <c r="I59" s="415"/>
      <c r="J59" s="2364">
        <v>0</v>
      </c>
      <c r="K59" s="415"/>
      <c r="L59" s="2364">
        <v>0</v>
      </c>
      <c r="M59" s="415"/>
      <c r="N59" s="2364">
        <v>0</v>
      </c>
      <c r="O59" s="415"/>
      <c r="P59" s="2364">
        <v>0</v>
      </c>
      <c r="Q59" s="415"/>
      <c r="R59" s="2364">
        <v>0</v>
      </c>
      <c r="S59" s="415"/>
    </row>
    <row r="60" spans="1:19">
      <c r="A60" s="2358"/>
      <c r="B60" s="2359"/>
      <c r="C60" s="2360"/>
      <c r="D60" s="2360"/>
      <c r="E60" s="2361"/>
      <c r="F60" s="3509" t="s">
        <v>569</v>
      </c>
      <c r="G60" s="2363"/>
      <c r="H60" s="2366"/>
      <c r="I60" s="2465">
        <f>I58*H59</f>
        <v>0</v>
      </c>
      <c r="J60" s="2366"/>
      <c r="K60" s="2465">
        <f>K58*J59</f>
        <v>0</v>
      </c>
      <c r="L60" s="2366"/>
      <c r="M60" s="2465">
        <f>M58*L59</f>
        <v>0</v>
      </c>
      <c r="N60" s="2366"/>
      <c r="O60" s="2465">
        <f>O58*N59</f>
        <v>0</v>
      </c>
      <c r="P60" s="2366"/>
      <c r="Q60" s="2465">
        <f>Q58*P59</f>
        <v>0</v>
      </c>
      <c r="R60" s="2366"/>
      <c r="S60" s="2465">
        <f>S58*R59</f>
        <v>0</v>
      </c>
    </row>
    <row r="61" spans="1:19">
      <c r="A61" s="2358"/>
      <c r="B61" s="2359"/>
      <c r="C61" s="2360"/>
      <c r="D61" s="2360"/>
      <c r="E61" s="2361"/>
      <c r="F61" s="3509"/>
      <c r="G61" s="2363"/>
      <c r="H61" s="2366"/>
      <c r="I61" s="2464"/>
      <c r="J61" s="2366"/>
      <c r="K61" s="2464"/>
      <c r="L61" s="2366"/>
      <c r="M61" s="2464"/>
      <c r="N61" s="2366"/>
      <c r="O61" s="2464"/>
      <c r="P61" s="2366"/>
      <c r="Q61" s="2464"/>
      <c r="R61" s="2366"/>
      <c r="S61" s="2464"/>
    </row>
    <row r="62" spans="1:19">
      <c r="A62" s="2358"/>
      <c r="B62" s="2359"/>
      <c r="C62" s="2360"/>
      <c r="D62" s="2360"/>
      <c r="E62" s="2361"/>
      <c r="F62" s="3509" t="s">
        <v>570</v>
      </c>
      <c r="G62" s="2363"/>
      <c r="H62" s="2368"/>
      <c r="I62" s="2465">
        <f>SUM(I58:I60)</f>
        <v>282021</v>
      </c>
      <c r="J62" s="2368"/>
      <c r="K62" s="2465">
        <f>SUM(K58:K60)</f>
        <v>0</v>
      </c>
      <c r="L62" s="2368"/>
      <c r="M62" s="2465">
        <f>SUM(M58:M60)</f>
        <v>0</v>
      </c>
      <c r="N62" s="2368"/>
      <c r="O62" s="2465">
        <f>SUM(O58:O60)</f>
        <v>0</v>
      </c>
      <c r="P62" s="2368"/>
      <c r="Q62" s="2465">
        <f>SUM(Q58:Q60)</f>
        <v>0</v>
      </c>
      <c r="R62" s="2368"/>
      <c r="S62" s="2465">
        <f>SUM(S58:S60)</f>
        <v>0</v>
      </c>
    </row>
    <row r="63" spans="1:19">
      <c r="A63" s="2358"/>
      <c r="B63" s="2359"/>
      <c r="C63" s="2360"/>
      <c r="D63" s="2360"/>
      <c r="E63" s="2361"/>
      <c r="F63" s="3510" t="s">
        <v>571</v>
      </c>
      <c r="G63" s="2371"/>
      <c r="H63" s="2372"/>
      <c r="I63" s="2373" t="e">
        <f>I62/'Area Calculations'!$J$4</f>
        <v>#DIV/0!</v>
      </c>
      <c r="J63" s="2372"/>
      <c r="K63" s="2373" t="e">
        <f>K62/'Area Calculations'!$J$4</f>
        <v>#DIV/0!</v>
      </c>
      <c r="L63" s="2372"/>
      <c r="M63" s="2373" t="e">
        <f>M62/'Area Calculations'!$J$4</f>
        <v>#DIV/0!</v>
      </c>
      <c r="N63" s="2372"/>
      <c r="O63" s="2373" t="e">
        <f>O62/'Area Calculations'!$J$4</f>
        <v>#DIV/0!</v>
      </c>
      <c r="P63" s="2372"/>
      <c r="Q63" s="2373" t="e">
        <f>Q62/'Area Calculations'!$J$4</f>
        <v>#DIV/0!</v>
      </c>
      <c r="R63" s="2372"/>
      <c r="S63" s="2373" t="e">
        <f>S62/'Area Calculations'!$J$4</f>
        <v>#DIV/0!</v>
      </c>
    </row>
    <row r="64" spans="1:19">
      <c r="A64" s="2358"/>
      <c r="B64" s="2359"/>
      <c r="C64" s="2360"/>
      <c r="D64" s="2360"/>
      <c r="E64" s="2361"/>
      <c r="F64" s="3510" t="s">
        <v>572</v>
      </c>
      <c r="G64" s="2374"/>
      <c r="H64" s="2372"/>
      <c r="I64" s="2373" t="e">
        <f>I62/'Area Calculations'!#REF!</f>
        <v>#REF!</v>
      </c>
      <c r="J64" s="2372"/>
      <c r="K64" s="2373" t="e">
        <f>K62/'Area Calculations'!#REF!</f>
        <v>#REF!</v>
      </c>
      <c r="L64" s="2372"/>
      <c r="M64" s="2373" t="e">
        <f>M62/'Area Calculations'!#REF!</f>
        <v>#REF!</v>
      </c>
      <c r="N64" s="2372"/>
      <c r="O64" s="2373" t="e">
        <f>O62/'Area Calculations'!#REF!</f>
        <v>#REF!</v>
      </c>
      <c r="P64" s="2372"/>
      <c r="Q64" s="2373" t="e">
        <f>Q62/'Area Calculations'!#REF!</f>
        <v>#REF!</v>
      </c>
      <c r="R64" s="2372"/>
      <c r="S64" s="2373" t="e">
        <f>S62/'Area Calculations'!#REF!</f>
        <v>#REF!</v>
      </c>
    </row>
    <row r="65" spans="1:19" ht="15.75" thickBot="1">
      <c r="A65" s="2358"/>
      <c r="B65" s="2359"/>
      <c r="C65" s="2360"/>
      <c r="D65" s="2360"/>
      <c r="E65" s="2361"/>
      <c r="F65" s="3509"/>
      <c r="G65" s="2375"/>
      <c r="H65" s="2376"/>
      <c r="I65" s="2377"/>
      <c r="J65" s="2376"/>
      <c r="K65" s="2377"/>
      <c r="L65" s="2376"/>
      <c r="M65" s="2377"/>
      <c r="N65" s="2376"/>
      <c r="O65" s="2377"/>
      <c r="P65" s="2376"/>
      <c r="Q65" s="2377"/>
      <c r="R65" s="2376"/>
      <c r="S65" s="2377"/>
    </row>
    <row r="66" spans="1:19" ht="16.5" thickTop="1" thickBot="1">
      <c r="A66" s="726" t="s">
        <v>573</v>
      </c>
      <c r="B66" s="727"/>
      <c r="C66" s="12"/>
      <c r="D66" s="12"/>
      <c r="E66" s="12"/>
      <c r="F66" s="192"/>
      <c r="G66" s="54"/>
      <c r="H66" s="52"/>
      <c r="I66" s="21"/>
      <c r="J66" s="21"/>
      <c r="K66" s="21"/>
      <c r="L66" s="21"/>
      <c r="M66" s="21"/>
      <c r="N66" s="21"/>
      <c r="O66" s="21"/>
      <c r="P66" s="21"/>
      <c r="Q66" s="21"/>
      <c r="R66" s="21"/>
      <c r="S66" s="21"/>
    </row>
    <row r="67" spans="1:19" ht="15.75" thickTop="1">
      <c r="A67" s="3421"/>
      <c r="B67" s="2404"/>
      <c r="C67" s="3422"/>
      <c r="D67" s="3422"/>
      <c r="E67" s="3422"/>
      <c r="F67" s="3511"/>
      <c r="G67" s="3512"/>
      <c r="H67" s="3449"/>
      <c r="I67" s="3424"/>
      <c r="J67" s="3424"/>
      <c r="K67" s="3424"/>
      <c r="L67" s="3424"/>
      <c r="M67" s="3424"/>
      <c r="N67" s="3424"/>
      <c r="O67" s="3424"/>
      <c r="P67" s="3424"/>
      <c r="Q67" s="3424"/>
      <c r="R67" s="3424"/>
      <c r="S67" s="3424"/>
    </row>
    <row r="68" spans="1:19">
      <c r="A68" s="3421"/>
      <c r="B68" s="2404"/>
      <c r="C68" s="3422"/>
      <c r="D68" s="3422"/>
      <c r="E68" s="3422"/>
      <c r="F68" s="3511"/>
      <c r="G68" s="3512"/>
      <c r="H68" s="3449"/>
      <c r="I68" s="3424"/>
      <c r="J68" s="3424"/>
      <c r="K68" s="3424"/>
      <c r="L68" s="3424"/>
      <c r="M68" s="3424"/>
      <c r="N68" s="3424"/>
      <c r="O68" s="3424"/>
      <c r="P68" s="3424"/>
      <c r="Q68" s="3424"/>
      <c r="R68" s="3424"/>
      <c r="S68" s="3424"/>
    </row>
    <row r="69" spans="1:19" ht="15.75" thickBot="1">
      <c r="A69" s="3421"/>
      <c r="B69" s="2404"/>
      <c r="C69" s="3422"/>
      <c r="D69" s="3422"/>
      <c r="E69" s="3422"/>
      <c r="F69" s="3511"/>
      <c r="G69" s="3512"/>
      <c r="H69" s="3449"/>
      <c r="I69" s="3424"/>
      <c r="J69" s="3424"/>
      <c r="K69" s="3424"/>
      <c r="L69" s="3424"/>
      <c r="M69" s="3424"/>
      <c r="N69" s="3424"/>
      <c r="O69" s="3424"/>
      <c r="P69" s="3424"/>
      <c r="Q69" s="3424"/>
      <c r="R69" s="3424"/>
      <c r="S69" s="3424"/>
    </row>
    <row r="70" spans="1:19" s="2" customFormat="1" ht="16.5" thickTop="1" thickBot="1">
      <c r="A70" s="726" t="s">
        <v>574</v>
      </c>
      <c r="B70" s="727"/>
      <c r="C70" s="12"/>
      <c r="D70" s="12"/>
      <c r="E70" s="12"/>
      <c r="F70" s="192"/>
      <c r="G70" s="54"/>
      <c r="H70" s="52"/>
      <c r="I70" s="21"/>
      <c r="J70" s="21"/>
      <c r="K70" s="21"/>
      <c r="L70" s="21"/>
      <c r="M70" s="21"/>
      <c r="N70" s="21"/>
      <c r="O70" s="21"/>
      <c r="P70" s="21"/>
      <c r="Q70" s="21"/>
      <c r="R70" s="21"/>
      <c r="S70" s="21"/>
    </row>
    <row r="71" spans="1:19" s="2" customFormat="1" ht="15.75" thickTop="1">
      <c r="A71" s="3421"/>
      <c r="B71" s="2404"/>
      <c r="C71" s="3422"/>
      <c r="D71" s="3422"/>
      <c r="E71" s="3422"/>
      <c r="F71" s="3511"/>
      <c r="G71" s="3512"/>
      <c r="H71" s="3449"/>
      <c r="I71" s="3424"/>
      <c r="J71" s="3424"/>
      <c r="K71" s="3424"/>
      <c r="L71" s="3424"/>
      <c r="M71" s="3424"/>
      <c r="N71" s="3424"/>
      <c r="O71" s="3424"/>
      <c r="P71" s="3424"/>
      <c r="Q71" s="3424"/>
      <c r="R71" s="3424"/>
      <c r="S71" s="3424"/>
    </row>
    <row r="72" spans="1:19" s="2" customFormat="1">
      <c r="A72" s="3421"/>
      <c r="B72" s="2404"/>
      <c r="C72" s="3422"/>
      <c r="D72" s="3422"/>
      <c r="E72" s="3422"/>
      <c r="F72" s="3511"/>
      <c r="G72" s="3512"/>
      <c r="H72" s="3449"/>
      <c r="I72" s="3424"/>
      <c r="J72" s="3424"/>
      <c r="K72" s="3424"/>
      <c r="L72" s="3424"/>
      <c r="M72" s="3424"/>
      <c r="N72" s="3424"/>
      <c r="O72" s="3424"/>
      <c r="P72" s="3424"/>
      <c r="Q72" s="3424"/>
      <c r="R72" s="3424"/>
      <c r="S72" s="3424"/>
    </row>
    <row r="73" spans="1:19" ht="15.75" thickBot="1">
      <c r="A73" s="3421"/>
      <c r="B73" s="2404"/>
      <c r="C73" s="3422"/>
      <c r="D73" s="3422"/>
      <c r="E73" s="3422"/>
      <c r="F73" s="3511"/>
      <c r="G73" s="3512"/>
      <c r="H73" s="3449"/>
      <c r="I73" s="3424"/>
      <c r="J73" s="3424"/>
      <c r="K73" s="3424"/>
      <c r="L73" s="3424"/>
      <c r="M73" s="3424"/>
      <c r="N73" s="3424"/>
      <c r="O73" s="3424"/>
      <c r="P73" s="3424"/>
      <c r="Q73" s="3424"/>
      <c r="R73" s="3424"/>
      <c r="S73" s="3424"/>
    </row>
    <row r="74" spans="1:19" s="2" customFormat="1" ht="16.5" thickTop="1" thickBot="1">
      <c r="A74" s="726" t="s">
        <v>575</v>
      </c>
      <c r="B74" s="727"/>
      <c r="C74" s="12"/>
      <c r="D74" s="12"/>
      <c r="E74" s="12"/>
      <c r="F74" s="192"/>
      <c r="G74" s="54"/>
      <c r="H74" s="52"/>
      <c r="I74" s="21"/>
      <c r="J74" s="21"/>
      <c r="K74" s="21"/>
      <c r="L74" s="21"/>
      <c r="M74" s="21"/>
      <c r="N74" s="21"/>
      <c r="O74" s="21"/>
      <c r="P74" s="21"/>
      <c r="Q74" s="21"/>
      <c r="R74" s="21"/>
      <c r="S74" s="21"/>
    </row>
    <row r="75" spans="1:19" s="2" customFormat="1" ht="15.75" thickTop="1">
      <c r="A75" s="3421"/>
      <c r="B75" s="2404"/>
      <c r="C75" s="3422"/>
      <c r="D75" s="3422"/>
      <c r="E75" s="3422"/>
      <c r="F75" s="3511"/>
      <c r="G75" s="3512"/>
      <c r="H75" s="3449"/>
      <c r="I75" s="3424"/>
      <c r="J75" s="3424"/>
      <c r="K75" s="3424"/>
      <c r="L75" s="3424"/>
      <c r="M75" s="3424"/>
      <c r="N75" s="3424"/>
      <c r="O75" s="3424"/>
      <c r="P75" s="3424"/>
      <c r="Q75" s="3424"/>
      <c r="R75" s="3424"/>
      <c r="S75" s="3424"/>
    </row>
    <row r="76" spans="1:19" s="2" customFormat="1">
      <c r="A76" s="2421"/>
      <c r="B76" s="2404"/>
      <c r="C76" s="2405"/>
      <c r="D76" s="2405"/>
      <c r="E76" s="2405"/>
      <c r="F76" s="2446"/>
      <c r="G76" s="2552"/>
      <c r="H76" s="2474"/>
      <c r="I76" s="2382"/>
      <c r="J76" s="2382"/>
      <c r="K76" s="2382"/>
      <c r="L76" s="2382"/>
      <c r="M76" s="2382"/>
      <c r="N76" s="2382"/>
      <c r="O76" s="2382"/>
      <c r="P76" s="2382"/>
      <c r="Q76" s="2382"/>
      <c r="R76" s="2382"/>
      <c r="S76" s="2382"/>
    </row>
    <row r="77" spans="1:19" s="2" customFormat="1" ht="15.75" thickBot="1">
      <c r="A77" s="2383"/>
      <c r="B77" s="2384"/>
      <c r="C77" s="2405"/>
      <c r="D77" s="2405"/>
      <c r="E77" s="2405"/>
      <c r="F77" s="2446"/>
      <c r="G77" s="2552"/>
      <c r="H77" s="2475"/>
      <c r="I77" s="2385"/>
      <c r="J77" s="2385"/>
      <c r="K77" s="2385"/>
      <c r="L77" s="2385"/>
      <c r="M77" s="2385"/>
      <c r="N77" s="2385"/>
      <c r="O77" s="2385"/>
      <c r="P77" s="2385"/>
      <c r="Q77" s="2385"/>
      <c r="R77" s="2385"/>
      <c r="S77" s="2385"/>
    </row>
    <row r="78" spans="1:19" s="2" customFormat="1" ht="16.5" thickTop="1" thickBot="1">
      <c r="A78" s="726" t="s">
        <v>576</v>
      </c>
      <c r="B78" s="727"/>
      <c r="C78" s="12"/>
      <c r="D78" s="12"/>
      <c r="E78" s="12"/>
      <c r="F78" s="192"/>
      <c r="G78" s="54"/>
      <c r="H78" s="52"/>
      <c r="I78" s="21"/>
      <c r="J78" s="21"/>
      <c r="K78" s="21"/>
      <c r="L78" s="21"/>
      <c r="M78" s="21"/>
      <c r="N78" s="21"/>
      <c r="O78" s="21"/>
      <c r="P78" s="21"/>
      <c r="Q78" s="21"/>
      <c r="R78" s="21"/>
      <c r="S78" s="21"/>
    </row>
    <row r="79" spans="1:19" ht="15.75" thickTop="1">
      <c r="A79" s="3425"/>
      <c r="B79" s="3426"/>
      <c r="C79" s="3422"/>
      <c r="D79" s="3422"/>
      <c r="E79" s="3422"/>
      <c r="F79" s="3511"/>
      <c r="G79" s="3512"/>
      <c r="H79" s="3449"/>
      <c r="I79" s="3424"/>
      <c r="J79" s="3424"/>
      <c r="K79" s="3424"/>
      <c r="L79" s="3424"/>
      <c r="M79" s="3424"/>
      <c r="N79" s="3424"/>
      <c r="O79" s="3424"/>
      <c r="P79" s="3424"/>
      <c r="Q79" s="3424"/>
      <c r="R79" s="3424"/>
      <c r="S79" s="3424"/>
    </row>
    <row r="80" spans="1:19">
      <c r="A80" s="2383"/>
      <c r="B80" s="2384"/>
      <c r="C80" s="2405"/>
      <c r="D80" s="2405"/>
      <c r="E80" s="2405"/>
      <c r="F80" s="2446"/>
      <c r="G80" s="2552"/>
      <c r="H80" s="2478"/>
      <c r="I80" s="2388"/>
      <c r="J80" s="2388"/>
      <c r="K80" s="2388"/>
      <c r="L80" s="2388"/>
      <c r="M80" s="2388"/>
      <c r="N80" s="2388"/>
      <c r="O80" s="2388"/>
      <c r="P80" s="2388"/>
      <c r="Q80" s="2388"/>
      <c r="R80" s="2388"/>
      <c r="S80" s="2388"/>
    </row>
    <row r="81" spans="1:19" ht="15.75" thickBot="1">
      <c r="A81" s="2383"/>
      <c r="B81" s="2384"/>
      <c r="C81" s="2405"/>
      <c r="D81" s="2405"/>
      <c r="E81" s="2405"/>
      <c r="F81" s="2446"/>
      <c r="G81" s="2552"/>
      <c r="H81" s="2478"/>
      <c r="I81" s="2388"/>
      <c r="J81" s="2388"/>
      <c r="K81" s="2388"/>
      <c r="L81" s="2388"/>
      <c r="M81" s="2388"/>
      <c r="N81" s="2388"/>
      <c r="O81" s="2388"/>
      <c r="P81" s="2388"/>
      <c r="Q81" s="2388"/>
      <c r="R81" s="2388"/>
      <c r="S81" s="2388"/>
    </row>
    <row r="82" spans="1:19" ht="16.5" thickTop="1" thickBot="1">
      <c r="A82" s="726" t="s">
        <v>577</v>
      </c>
      <c r="B82" s="727"/>
      <c r="C82" s="12"/>
      <c r="D82" s="12"/>
      <c r="E82" s="12"/>
      <c r="F82" s="192"/>
      <c r="G82" s="54"/>
      <c r="H82" s="52"/>
      <c r="I82" s="21"/>
      <c r="J82" s="21"/>
      <c r="K82" s="21"/>
      <c r="L82" s="21"/>
      <c r="M82" s="21"/>
      <c r="N82" s="21"/>
      <c r="O82" s="21"/>
      <c r="P82" s="21"/>
      <c r="Q82" s="21"/>
      <c r="R82" s="21"/>
      <c r="S82" s="21"/>
    </row>
    <row r="83" spans="1:19" ht="15.75" thickTop="1">
      <c r="A83" s="2421"/>
      <c r="B83" s="2404" t="s">
        <v>578</v>
      </c>
      <c r="C83" s="2405"/>
      <c r="D83" s="2405"/>
      <c r="E83" s="2405"/>
      <c r="F83" s="2446"/>
      <c r="G83" s="2552"/>
      <c r="H83" s="2478"/>
      <c r="I83" s="2388"/>
      <c r="J83" s="2388"/>
      <c r="K83" s="2388"/>
      <c r="L83" s="2388"/>
      <c r="M83" s="2388"/>
      <c r="N83" s="2388"/>
      <c r="O83" s="2388"/>
      <c r="P83" s="2388"/>
      <c r="Q83" s="2388"/>
      <c r="R83" s="2388"/>
      <c r="S83" s="2388"/>
    </row>
    <row r="84" spans="1:19">
      <c r="A84" s="2421"/>
      <c r="B84" s="2404" t="s">
        <v>579</v>
      </c>
      <c r="C84" s="2405"/>
      <c r="D84" s="2405"/>
      <c r="E84" s="2405"/>
      <c r="F84" s="2446"/>
      <c r="G84" s="2552"/>
      <c r="H84" s="2478"/>
      <c r="I84" s="2388"/>
      <c r="J84" s="2388"/>
      <c r="K84" s="2388"/>
      <c r="L84" s="2388"/>
      <c r="M84" s="2388"/>
      <c r="N84" s="2388"/>
      <c r="O84" s="2388"/>
      <c r="P84" s="2388"/>
      <c r="Q84" s="2388"/>
      <c r="R84" s="2388"/>
      <c r="S84" s="2388"/>
    </row>
    <row r="85" spans="1:19">
      <c r="A85" s="2421"/>
      <c r="B85" s="2404" t="s">
        <v>580</v>
      </c>
      <c r="C85" s="2405"/>
      <c r="D85" s="2405"/>
      <c r="E85" s="2405"/>
      <c r="F85" s="2446"/>
      <c r="G85" s="2552"/>
      <c r="H85" s="2478"/>
      <c r="I85" s="2388"/>
      <c r="J85" s="2388"/>
      <c r="K85" s="2388"/>
      <c r="L85" s="2388"/>
      <c r="M85" s="2388"/>
      <c r="N85" s="2388"/>
      <c r="O85" s="2388"/>
      <c r="P85" s="2388"/>
      <c r="Q85" s="2388"/>
      <c r="R85" s="2388"/>
      <c r="S85" s="2388"/>
    </row>
    <row r="86" spans="1:19">
      <c r="A86" s="2421"/>
      <c r="B86" s="2404" t="s">
        <v>581</v>
      </c>
      <c r="C86" s="2405"/>
      <c r="D86" s="2405"/>
      <c r="E86" s="2405"/>
      <c r="F86" s="2446"/>
      <c r="G86" s="2552"/>
      <c r="H86" s="2478"/>
      <c r="I86" s="2388"/>
      <c r="J86" s="2388"/>
      <c r="K86" s="2388"/>
      <c r="L86" s="2388"/>
      <c r="M86" s="2388"/>
      <c r="N86" s="2388"/>
      <c r="O86" s="2388"/>
      <c r="P86" s="2388"/>
      <c r="Q86" s="2388"/>
      <c r="R86" s="2388"/>
      <c r="S86" s="2388"/>
    </row>
    <row r="87" spans="1:19" ht="15.75" thickBot="1">
      <c r="A87" s="416"/>
      <c r="B87" s="295"/>
      <c r="C87" s="184"/>
      <c r="D87" s="184"/>
      <c r="E87" s="184"/>
      <c r="F87" s="307"/>
      <c r="G87" s="417"/>
      <c r="H87" s="53"/>
      <c r="I87" s="418"/>
      <c r="J87" s="418"/>
      <c r="K87" s="418"/>
      <c r="L87" s="418"/>
      <c r="M87" s="418"/>
      <c r="N87" s="418"/>
      <c r="O87" s="418"/>
      <c r="P87" s="418"/>
      <c r="Q87" s="418"/>
      <c r="R87" s="418"/>
      <c r="S87" s="418"/>
    </row>
    <row r="88" spans="1:19" ht="16.5" thickTop="1" thickBot="1">
      <c r="A88" s="7" t="s">
        <v>582</v>
      </c>
      <c r="B88" s="8"/>
      <c r="C88" s="12"/>
      <c r="D88" s="12"/>
      <c r="E88" s="12"/>
      <c r="F88" s="192"/>
      <c r="G88" s="54"/>
      <c r="H88" s="52"/>
      <c r="I88" s="21"/>
      <c r="J88" s="21"/>
      <c r="K88" s="21"/>
      <c r="L88" s="21"/>
      <c r="M88" s="21"/>
      <c r="N88" s="21"/>
      <c r="O88" s="21"/>
      <c r="P88" s="21"/>
      <c r="Q88" s="21"/>
      <c r="R88" s="21"/>
      <c r="S88" s="21"/>
    </row>
    <row r="89" spans="1:19" ht="15.75" thickTop="1">
      <c r="A89" s="3421"/>
      <c r="B89" s="3427" t="s">
        <v>583</v>
      </c>
      <c r="C89" s="3422"/>
      <c r="D89" s="3422"/>
      <c r="E89" s="3422"/>
      <c r="F89" s="3511"/>
      <c r="G89" s="3512"/>
      <c r="H89" s="3411"/>
      <c r="I89" s="3428"/>
      <c r="J89" s="3428"/>
      <c r="K89" s="3428"/>
      <c r="L89" s="3428"/>
      <c r="M89" s="3428"/>
      <c r="N89" s="3428"/>
      <c r="O89" s="3428"/>
      <c r="P89" s="3428"/>
      <c r="Q89" s="3428"/>
      <c r="R89" s="3428"/>
      <c r="S89" s="3428"/>
    </row>
    <row r="90" spans="1:19">
      <c r="A90" s="2421"/>
      <c r="B90" s="2404" t="s">
        <v>584</v>
      </c>
      <c r="C90" s="2405"/>
      <c r="D90" s="2405"/>
      <c r="E90" s="2405"/>
      <c r="F90" s="2446"/>
      <c r="G90" s="2552"/>
      <c r="H90" s="2481"/>
      <c r="I90" s="2390"/>
      <c r="J90" s="2390"/>
      <c r="K90" s="2390"/>
      <c r="L90" s="2390"/>
      <c r="M90" s="2390"/>
      <c r="N90" s="2390"/>
      <c r="O90" s="2390"/>
      <c r="P90" s="2390"/>
      <c r="Q90" s="2390"/>
      <c r="R90" s="2390"/>
      <c r="S90" s="2390"/>
    </row>
    <row r="91" spans="1:19" ht="15.75" thickBot="1">
      <c r="A91" s="2391"/>
      <c r="B91" s="2392" t="s">
        <v>585</v>
      </c>
      <c r="C91" s="2393"/>
      <c r="D91" s="2393"/>
      <c r="E91" s="2393"/>
      <c r="F91" s="3513"/>
      <c r="G91" s="2555"/>
      <c r="H91" s="2482"/>
      <c r="I91" s="2395"/>
      <c r="J91" s="2395"/>
      <c r="K91" s="2395"/>
      <c r="L91" s="2395"/>
      <c r="M91" s="2395"/>
      <c r="N91" s="2395"/>
      <c r="O91" s="2395"/>
      <c r="P91" s="2395"/>
      <c r="Q91" s="2395"/>
      <c r="R91" s="2395"/>
      <c r="S91" s="2395"/>
    </row>
    <row r="92" spans="1:19" ht="16.5" thickTop="1" thickBot="1"/>
    <row r="93" spans="1:19" ht="16.5" thickTop="1" thickBot="1">
      <c r="A93" s="92" t="s">
        <v>586</v>
      </c>
      <c r="B93" s="94"/>
    </row>
    <row r="94" spans="1:19" ht="15.75" thickTop="1">
      <c r="A94" s="93" t="s">
        <v>487</v>
      </c>
      <c r="B94" s="2396"/>
    </row>
    <row r="95" spans="1:19">
      <c r="A95" s="2397" t="s">
        <v>491</v>
      </c>
      <c r="B95" s="2396"/>
    </row>
    <row r="96" spans="1:19">
      <c r="A96" s="2398" t="s">
        <v>494</v>
      </c>
      <c r="B96" s="2399"/>
    </row>
    <row r="97" spans="1:2">
      <c r="A97" s="2398" t="s">
        <v>497</v>
      </c>
      <c r="B97" s="2400"/>
    </row>
    <row r="98" spans="1:2" ht="15.75" thickBot="1">
      <c r="A98" s="2401" t="s">
        <v>587</v>
      </c>
      <c r="B98" s="2402">
        <f>H8</f>
        <v>282021</v>
      </c>
    </row>
    <row r="99" spans="1:2" ht="15.75" thickTop="1"/>
    <row r="100" spans="1:2">
      <c r="A100" s="95"/>
      <c r="B100" s="1" t="s">
        <v>588</v>
      </c>
    </row>
    <row r="101" spans="1:2">
      <c r="A101" s="96"/>
      <c r="B101"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6:B66"/>
    <mergeCell ref="A70:B70"/>
    <mergeCell ref="A74:B74"/>
    <mergeCell ref="A78:B78"/>
    <mergeCell ref="A82:B82"/>
  </mergeCells>
  <conditionalFormatting sqref="H21:H31 H33:H57 J33:J57 L33:L57 N33:N57 P33:P57 R33:R57">
    <cfRule type="cellIs" dxfId="95" priority="25" operator="equal">
      <formula>"X"</formula>
    </cfRule>
    <cfRule type="cellIs" dxfId="94" priority="26" operator="equal">
      <formula>"I"</formula>
    </cfRule>
  </conditionalFormatting>
  <conditionalFormatting sqref="J21:J31">
    <cfRule type="cellIs" dxfId="93" priority="21" operator="equal">
      <formula>"X"</formula>
    </cfRule>
    <cfRule type="cellIs" dxfId="92" priority="22" operator="equal">
      <formula>"I"</formula>
    </cfRule>
  </conditionalFormatting>
  <conditionalFormatting sqref="L21:L31">
    <cfRule type="cellIs" dxfId="91" priority="15" operator="equal">
      <formula>"X"</formula>
    </cfRule>
    <cfRule type="cellIs" dxfId="90" priority="16" operator="equal">
      <formula>"I"</formula>
    </cfRule>
  </conditionalFormatting>
  <conditionalFormatting sqref="N21:N31">
    <cfRule type="cellIs" dxfId="89" priority="13" operator="equal">
      <formula>"X"</formula>
    </cfRule>
    <cfRule type="cellIs" dxfId="88" priority="14" operator="equal">
      <formula>"I"</formula>
    </cfRule>
  </conditionalFormatting>
  <conditionalFormatting sqref="P21:P31">
    <cfRule type="cellIs" dxfId="87" priority="7" operator="equal">
      <formula>"X"</formula>
    </cfRule>
    <cfRule type="cellIs" dxfId="86" priority="8" operator="equal">
      <formula>"I"</formula>
    </cfRule>
  </conditionalFormatting>
  <conditionalFormatting sqref="R21:R31">
    <cfRule type="cellIs" dxfId="85" priority="5" operator="equal">
      <formula>"X"</formula>
    </cfRule>
    <cfRule type="cellIs" dxfId="84" priority="6" operator="equal">
      <formula>"I"</formula>
    </cfRule>
  </conditionalFormatting>
  <hyperlinks>
    <hyperlink ref="B3" location="'Cost Summary'!A1" display="BACK TO SUMMARY SHEET" xr:uid="{CA0F4310-E47F-4464-876B-DE7B88433921}"/>
  </hyperlinks>
  <pageMargins left="0.7" right="0.7" top="0.75" bottom="0.75" header="0.3" footer="0.3"/>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85D-4C37-43E8-8DB1-6376546362F8}">
  <sheetPr>
    <tabColor rgb="FF92D050"/>
  </sheetPr>
  <dimension ref="A1:U86"/>
  <sheetViews>
    <sheetView zoomScale="98" zoomScaleNormal="98" workbookViewId="0">
      <pane xSplit="2" ySplit="9" topLeftCell="C20" activePane="bottomRight" state="frozen"/>
      <selection pane="bottomRight" activeCell="B38" sqref="B38"/>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403" t="s">
        <v>489</v>
      </c>
      <c r="B5" s="2404" t="s">
        <v>643</v>
      </c>
      <c r="C5" s="2405"/>
      <c r="D5" s="2405"/>
      <c r="E5" s="2405"/>
      <c r="F5" s="2405"/>
      <c r="G5" s="2406" t="s">
        <v>491</v>
      </c>
      <c r="H5" s="2407"/>
      <c r="I5" s="2408"/>
      <c r="J5" s="2407"/>
      <c r="K5" s="2408"/>
      <c r="L5" s="2407"/>
      <c r="M5" s="2408"/>
      <c r="N5" s="2407"/>
      <c r="O5" s="2408"/>
      <c r="P5" s="2407"/>
      <c r="Q5" s="2408"/>
      <c r="R5" s="2407"/>
      <c r="S5" s="2408"/>
    </row>
    <row r="6" spans="1:19">
      <c r="A6" s="2403" t="s">
        <v>493</v>
      </c>
      <c r="B6" s="2410" t="s">
        <v>642</v>
      </c>
      <c r="C6" s="2405"/>
      <c r="D6" s="2405"/>
      <c r="E6" s="2405"/>
      <c r="F6" s="2405"/>
      <c r="G6" s="2406" t="s">
        <v>494</v>
      </c>
      <c r="H6" s="2411"/>
      <c r="I6" s="2412"/>
      <c r="J6" s="2411"/>
      <c r="K6" s="2412"/>
      <c r="L6" s="2411"/>
      <c r="M6" s="2412"/>
      <c r="N6" s="2411"/>
      <c r="O6" s="2412"/>
      <c r="P6" s="2411"/>
      <c r="Q6" s="2412"/>
      <c r="R6" s="2411"/>
      <c r="S6" s="2412"/>
    </row>
    <row r="7" spans="1:19">
      <c r="A7" s="2403" t="s">
        <v>496</v>
      </c>
      <c r="B7" s="2414"/>
      <c r="C7" s="2405"/>
      <c r="D7" s="2405"/>
      <c r="E7" s="2405"/>
      <c r="F7" s="2405"/>
      <c r="G7" s="2406" t="s">
        <v>497</v>
      </c>
      <c r="H7" s="3377"/>
      <c r="I7" s="3378"/>
      <c r="J7" s="3377"/>
      <c r="K7" s="3378"/>
      <c r="L7" s="3377"/>
      <c r="M7" s="3378"/>
      <c r="N7" s="3377"/>
      <c r="O7" s="3378"/>
      <c r="P7" s="3377"/>
      <c r="Q7" s="3378"/>
      <c r="R7" s="3377"/>
      <c r="S7" s="3378"/>
    </row>
    <row r="8" spans="1:19" ht="15.75" thickBot="1">
      <c r="A8" s="414" t="s">
        <v>499</v>
      </c>
      <c r="B8" s="295"/>
      <c r="C8" s="184"/>
      <c r="D8" s="184"/>
      <c r="E8" s="184"/>
      <c r="F8" s="184"/>
      <c r="G8" s="419" t="s">
        <v>499</v>
      </c>
      <c r="H8" s="2970">
        <f>I47</f>
        <v>0</v>
      </c>
      <c r="I8" s="2971"/>
      <c r="J8" s="2970">
        <f>K47</f>
        <v>0</v>
      </c>
      <c r="K8" s="2971"/>
      <c r="L8" s="2970">
        <f>M47</f>
        <v>0</v>
      </c>
      <c r="M8" s="2971"/>
      <c r="N8" s="2970">
        <f>O47</f>
        <v>0</v>
      </c>
      <c r="O8" s="2971"/>
      <c r="P8" s="2970">
        <f>Q47</f>
        <v>0</v>
      </c>
      <c r="Q8" s="2971"/>
      <c r="R8" s="2970">
        <f>S47</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429"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21"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21"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21" hidden="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21" ht="15.75" thickTop="1">
      <c r="A20" s="2421"/>
      <c r="B20" s="2404"/>
      <c r="C20" s="2426"/>
      <c r="D20" s="2405"/>
      <c r="E20" s="2405"/>
      <c r="F20" s="2405"/>
      <c r="G20" s="2423"/>
      <c r="H20" s="2427"/>
      <c r="I20" s="2424"/>
      <c r="J20" s="2427"/>
      <c r="K20" s="2424"/>
      <c r="L20" s="2427"/>
      <c r="M20" s="2424"/>
      <c r="N20" s="2427"/>
      <c r="O20" s="2424"/>
      <c r="P20" s="2427"/>
      <c r="Q20" s="2424"/>
      <c r="R20" s="2427"/>
      <c r="S20" s="2424"/>
    </row>
    <row r="21" spans="1:21" ht="15.75" thickBot="1">
      <c r="A21" s="3433"/>
      <c r="B21" s="2428" t="s">
        <v>643</v>
      </c>
      <c r="C21" s="56"/>
      <c r="D21" s="57"/>
      <c r="E21" s="57"/>
      <c r="F21" s="57"/>
      <c r="G21" s="63"/>
      <c r="H21" s="2427"/>
      <c r="I21" s="2424"/>
      <c r="J21" s="2427"/>
      <c r="K21" s="2424"/>
      <c r="L21" s="2427"/>
      <c r="M21" s="2424"/>
      <c r="N21" s="2427"/>
      <c r="O21" s="2424"/>
      <c r="P21" s="2427"/>
      <c r="Q21" s="2424"/>
      <c r="R21" s="2427"/>
      <c r="S21" s="2424"/>
    </row>
    <row r="22" spans="1:21">
      <c r="A22" s="3433"/>
      <c r="B22" s="2318" t="s">
        <v>512</v>
      </c>
      <c r="C22" s="2426"/>
      <c r="D22" s="2405"/>
      <c r="E22" s="2405"/>
      <c r="F22" s="2405"/>
      <c r="G22" s="2423"/>
      <c r="H22" s="2427"/>
      <c r="I22" s="3381"/>
      <c r="J22" s="2427"/>
      <c r="K22" s="3382"/>
      <c r="L22" s="2427"/>
      <c r="M22" s="2481"/>
      <c r="N22" s="2427"/>
      <c r="O22" s="2481"/>
      <c r="P22" s="2427"/>
      <c r="Q22" s="2481"/>
      <c r="R22" s="2427"/>
      <c r="S22" s="2481"/>
    </row>
    <row r="23" spans="1:21">
      <c r="A23" s="3433"/>
      <c r="B23" s="3514" t="s">
        <v>513</v>
      </c>
      <c r="C23" s="2426"/>
      <c r="D23" s="2405"/>
      <c r="E23" s="2405"/>
      <c r="F23" s="2405"/>
      <c r="G23" s="2423"/>
      <c r="H23" s="2427"/>
      <c r="I23" s="3515"/>
      <c r="J23" s="2427"/>
      <c r="K23" s="3516"/>
      <c r="L23" s="2427"/>
      <c r="M23" s="3517"/>
      <c r="N23" s="2427"/>
      <c r="O23" s="3517"/>
      <c r="P23" s="2427"/>
      <c r="Q23" s="3517"/>
      <c r="R23" s="2427"/>
      <c r="S23" s="3517"/>
    </row>
    <row r="24" spans="1:21">
      <c r="A24" s="3433"/>
      <c r="B24" s="3514" t="s">
        <v>514</v>
      </c>
      <c r="C24" s="2426"/>
      <c r="D24" s="2405"/>
      <c r="E24" s="2405"/>
      <c r="F24" s="2405"/>
      <c r="G24" s="2423"/>
      <c r="H24" s="2427"/>
      <c r="I24" s="3516"/>
      <c r="J24" s="2427"/>
      <c r="K24" s="3516"/>
      <c r="L24" s="2427"/>
      <c r="M24" s="3517"/>
      <c r="N24" s="2427"/>
      <c r="O24" s="3517"/>
      <c r="P24" s="2427"/>
      <c r="Q24" s="3517"/>
      <c r="R24" s="2427"/>
      <c r="S24" s="3517"/>
    </row>
    <row r="25" spans="1:21">
      <c r="A25" s="3433"/>
      <c r="B25" s="3518" t="s">
        <v>515</v>
      </c>
      <c r="C25" s="2426"/>
      <c r="D25" s="2405"/>
      <c r="E25" s="2405"/>
      <c r="F25" s="2405"/>
      <c r="G25" s="2423"/>
      <c r="H25" s="2427"/>
      <c r="I25" s="3516"/>
      <c r="J25" s="2427"/>
      <c r="K25" s="3516"/>
      <c r="L25" s="2427"/>
      <c r="M25" s="3517"/>
      <c r="N25" s="2427"/>
      <c r="O25" s="3516"/>
      <c r="P25" s="2427"/>
      <c r="Q25" s="3517"/>
      <c r="R25" s="2427"/>
      <c r="S25" s="3517"/>
    </row>
    <row r="26" spans="1:21">
      <c r="A26" s="3433"/>
      <c r="B26" s="3518" t="s">
        <v>516</v>
      </c>
      <c r="C26" s="2426"/>
      <c r="D26" s="2405"/>
      <c r="E26" s="2405"/>
      <c r="F26" s="2405"/>
      <c r="G26" s="2423"/>
      <c r="H26" s="2427"/>
      <c r="I26" s="3516"/>
      <c r="J26" s="2427"/>
      <c r="K26" s="3516"/>
      <c r="L26" s="2427"/>
      <c r="M26" s="3517"/>
      <c r="N26" s="2427"/>
      <c r="O26" s="3516"/>
      <c r="P26" s="2427"/>
      <c r="Q26" s="3517"/>
      <c r="R26" s="2427"/>
      <c r="S26" s="3517"/>
    </row>
    <row r="27" spans="1:21">
      <c r="A27" s="3433"/>
      <c r="B27" s="3518" t="s">
        <v>517</v>
      </c>
      <c r="C27" s="2426"/>
      <c r="D27" s="2405"/>
      <c r="E27" s="2405"/>
      <c r="F27" s="2405"/>
      <c r="G27" s="2423"/>
      <c r="H27" s="2427"/>
      <c r="I27" s="3516"/>
      <c r="J27" s="2427"/>
      <c r="K27" s="3516"/>
      <c r="L27" s="2427"/>
      <c r="M27" s="3517"/>
      <c r="N27" s="2427"/>
      <c r="O27" s="3516"/>
      <c r="P27" s="2427"/>
      <c r="Q27" s="3517"/>
      <c r="R27" s="2427"/>
      <c r="S27" s="3517"/>
    </row>
    <row r="28" spans="1:21">
      <c r="A28" s="3433"/>
      <c r="B28" s="3518" t="s">
        <v>518</v>
      </c>
      <c r="C28" s="2426"/>
      <c r="D28" s="2405"/>
      <c r="E28" s="2405"/>
      <c r="F28" s="2405"/>
      <c r="G28" s="2423"/>
      <c r="H28" s="2427"/>
      <c r="I28" s="3516"/>
      <c r="J28" s="2427"/>
      <c r="K28" s="3516"/>
      <c r="L28" s="2427"/>
      <c r="M28" s="3517"/>
      <c r="N28" s="2427"/>
      <c r="O28" s="3516"/>
      <c r="P28" s="2427"/>
      <c r="Q28" s="3517"/>
      <c r="R28" s="2427"/>
      <c r="S28" s="3517"/>
    </row>
    <row r="29" spans="1:21">
      <c r="A29" s="3433"/>
      <c r="B29" s="3518" t="s">
        <v>693</v>
      </c>
      <c r="C29" s="2426"/>
      <c r="D29" s="2405"/>
      <c r="E29" s="2405"/>
      <c r="F29" s="2405"/>
      <c r="G29" s="2423"/>
      <c r="H29" s="2427"/>
      <c r="I29" s="3516"/>
      <c r="J29" s="2427"/>
      <c r="K29" s="3516"/>
      <c r="L29" s="2427"/>
      <c r="M29" s="3517"/>
      <c r="N29" s="2427"/>
      <c r="O29" s="3516"/>
      <c r="P29" s="2427"/>
      <c r="Q29" s="3517"/>
      <c r="R29" s="2427"/>
      <c r="S29" s="3517"/>
    </row>
    <row r="30" spans="1:21">
      <c r="A30" s="3433"/>
      <c r="B30" s="3519" t="s">
        <v>519</v>
      </c>
      <c r="C30" s="2426"/>
      <c r="D30" s="2405"/>
      <c r="E30" s="2405"/>
      <c r="F30" s="2405"/>
      <c r="G30" s="2423"/>
      <c r="H30" s="2427"/>
      <c r="I30" s="3515"/>
      <c r="J30" s="2427"/>
      <c r="K30" s="3516"/>
      <c r="L30" s="2427"/>
      <c r="M30" s="3517"/>
      <c r="N30" s="2427"/>
      <c r="O30" s="3516"/>
      <c r="P30" s="2427"/>
      <c r="Q30" s="3517"/>
      <c r="R30" s="2427"/>
      <c r="S30" s="3517"/>
    </row>
    <row r="31" spans="1:21">
      <c r="A31" s="3433"/>
      <c r="B31" s="3520" t="s">
        <v>520</v>
      </c>
      <c r="C31" s="3521"/>
      <c r="D31" s="2980"/>
      <c r="E31" s="2980"/>
      <c r="F31" s="2980"/>
      <c r="G31" s="3079"/>
      <c r="H31" s="3522"/>
      <c r="I31" s="3523"/>
      <c r="J31" s="3523"/>
      <c r="K31" s="3523"/>
      <c r="L31" s="3524"/>
      <c r="M31" s="3525"/>
      <c r="N31" s="3523"/>
      <c r="O31" s="3523"/>
      <c r="P31" s="3523"/>
      <c r="Q31" s="3523"/>
      <c r="R31" s="2439"/>
      <c r="S31" s="3525"/>
      <c r="T31" s="3524"/>
      <c r="U31" s="3525"/>
    </row>
    <row r="32" spans="1:21">
      <c r="A32" s="3433"/>
      <c r="B32" s="3395"/>
      <c r="C32" s="2426"/>
      <c r="D32" s="2405"/>
      <c r="E32" s="2405"/>
      <c r="F32" s="2405"/>
      <c r="G32" s="2423"/>
      <c r="H32" s="2427"/>
      <c r="I32" s="3515"/>
      <c r="J32" s="2427"/>
      <c r="K32" s="3516"/>
      <c r="L32" s="2427"/>
      <c r="M32" s="3517"/>
      <c r="N32" s="2427"/>
      <c r="O32" s="3516"/>
      <c r="P32" s="2427"/>
      <c r="Q32" s="3517"/>
      <c r="R32" s="2427"/>
      <c r="S32" s="3517"/>
    </row>
    <row r="33" spans="1:19">
      <c r="A33" s="3433"/>
      <c r="B33" s="3395"/>
      <c r="C33" s="2426"/>
      <c r="D33" s="2405"/>
      <c r="E33" s="2405"/>
      <c r="F33" s="2405"/>
      <c r="G33" s="2423"/>
      <c r="H33" s="2427"/>
      <c r="I33" s="3515"/>
      <c r="J33" s="2427"/>
      <c r="K33" s="3516"/>
      <c r="L33" s="2427"/>
      <c r="M33" s="3517"/>
      <c r="N33" s="2427"/>
      <c r="O33" s="3516"/>
      <c r="P33" s="2427"/>
      <c r="Q33" s="3517"/>
      <c r="R33" s="2427"/>
      <c r="S33" s="3517"/>
    </row>
    <row r="34" spans="1:19">
      <c r="A34" s="3433"/>
      <c r="B34" s="3395"/>
      <c r="C34" s="2426"/>
      <c r="D34" s="2405"/>
      <c r="E34" s="2405"/>
      <c r="F34" s="2405"/>
      <c r="G34" s="2423"/>
      <c r="H34" s="2427"/>
      <c r="I34" s="3515"/>
      <c r="J34" s="2427"/>
      <c r="K34" s="3516"/>
      <c r="L34" s="2427"/>
      <c r="M34" s="3517"/>
      <c r="N34" s="2427"/>
      <c r="O34" s="3516"/>
      <c r="P34" s="2427"/>
      <c r="Q34" s="3517"/>
      <c r="R34" s="2427"/>
      <c r="S34" s="3517"/>
    </row>
    <row r="35" spans="1:19">
      <c r="A35" s="3433"/>
      <c r="B35" s="3395"/>
      <c r="C35" s="2426"/>
      <c r="D35" s="2405"/>
      <c r="E35" s="2405"/>
      <c r="F35" s="2405"/>
      <c r="G35" s="2423"/>
      <c r="H35" s="2427"/>
      <c r="I35" s="3515"/>
      <c r="J35" s="2427"/>
      <c r="K35" s="3516"/>
      <c r="L35" s="2427"/>
      <c r="M35" s="3517"/>
      <c r="N35" s="2427"/>
      <c r="O35" s="3516"/>
      <c r="P35" s="2427"/>
      <c r="Q35" s="3517"/>
      <c r="R35" s="2427"/>
      <c r="S35" s="3517"/>
    </row>
    <row r="36" spans="1:19">
      <c r="A36" s="3433"/>
      <c r="B36" s="3395"/>
      <c r="C36" s="2426"/>
      <c r="D36" s="2405"/>
      <c r="E36" s="2405"/>
      <c r="F36" s="2405"/>
      <c r="G36" s="2423"/>
      <c r="H36" s="2427"/>
      <c r="I36" s="3515"/>
      <c r="J36" s="2427"/>
      <c r="K36" s="3516"/>
      <c r="L36" s="2427"/>
      <c r="M36" s="3517"/>
      <c r="N36" s="2427"/>
      <c r="O36" s="3516"/>
      <c r="P36" s="2427"/>
      <c r="Q36" s="3517"/>
      <c r="R36" s="2427"/>
      <c r="S36" s="3517"/>
    </row>
    <row r="37" spans="1:19">
      <c r="A37" s="3433"/>
      <c r="B37" s="3395"/>
      <c r="C37" s="2426"/>
      <c r="D37" s="2405"/>
      <c r="E37" s="2405"/>
      <c r="F37" s="2405"/>
      <c r="G37" s="2423"/>
      <c r="H37" s="2427"/>
      <c r="I37" s="3515"/>
      <c r="J37" s="2427"/>
      <c r="K37" s="3516"/>
      <c r="L37" s="2427"/>
      <c r="M37" s="3517"/>
      <c r="N37" s="2427"/>
      <c r="O37" s="3516"/>
      <c r="P37" s="2427"/>
      <c r="Q37" s="3517"/>
      <c r="R37" s="2427"/>
      <c r="S37" s="3517"/>
    </row>
    <row r="38" spans="1:19">
      <c r="A38" s="3433"/>
      <c r="B38" s="3395"/>
      <c r="C38" s="2426"/>
      <c r="D38" s="2405"/>
      <c r="E38" s="2405"/>
      <c r="F38" s="2405"/>
      <c r="G38" s="2423"/>
      <c r="H38" s="2427"/>
      <c r="I38" s="3515"/>
      <c r="J38" s="2427"/>
      <c r="K38" s="3516"/>
      <c r="L38" s="2427"/>
      <c r="M38" s="3517"/>
      <c r="N38" s="2427"/>
      <c r="O38" s="3516"/>
      <c r="P38" s="2427"/>
      <c r="Q38" s="3517"/>
      <c r="R38" s="2427"/>
      <c r="S38" s="3517"/>
    </row>
    <row r="39" spans="1:19">
      <c r="A39" s="3433"/>
      <c r="B39" s="3395"/>
      <c r="C39" s="2426"/>
      <c r="D39" s="2405"/>
      <c r="E39" s="2405"/>
      <c r="F39" s="2405"/>
      <c r="G39" s="2423"/>
      <c r="H39" s="2427"/>
      <c r="I39" s="3515"/>
      <c r="J39" s="2427"/>
      <c r="K39" s="3516"/>
      <c r="L39" s="2427"/>
      <c r="M39" s="3517"/>
      <c r="N39" s="2427"/>
      <c r="O39" s="3516"/>
      <c r="P39" s="2427"/>
      <c r="Q39" s="3517"/>
      <c r="R39" s="2427"/>
      <c r="S39" s="3517"/>
    </row>
    <row r="40" spans="1:19">
      <c r="A40" s="3433"/>
      <c r="B40" s="3395"/>
      <c r="C40" s="2426"/>
      <c r="D40" s="2405"/>
      <c r="E40" s="2405"/>
      <c r="F40" s="2405"/>
      <c r="G40" s="2423"/>
      <c r="H40" s="2427"/>
      <c r="I40" s="3515"/>
      <c r="J40" s="2427"/>
      <c r="K40" s="3516"/>
      <c r="L40" s="2427"/>
      <c r="M40" s="3517"/>
      <c r="N40" s="2427"/>
      <c r="O40" s="3516"/>
      <c r="P40" s="2427"/>
      <c r="Q40" s="3517"/>
      <c r="R40" s="2427"/>
      <c r="S40" s="3517"/>
    </row>
    <row r="41" spans="1:19">
      <c r="A41" s="3433"/>
      <c r="B41" s="3526"/>
      <c r="C41" s="2426"/>
      <c r="D41" s="2405"/>
      <c r="E41" s="2405"/>
      <c r="F41" s="2405"/>
      <c r="G41" s="2423"/>
      <c r="H41" s="2427"/>
      <c r="I41" s="3515"/>
      <c r="J41" s="2427"/>
      <c r="K41" s="3516"/>
      <c r="L41" s="2427"/>
      <c r="M41" s="3517"/>
      <c r="N41" s="2427"/>
      <c r="O41" s="3516"/>
      <c r="P41" s="2427"/>
      <c r="Q41" s="3516"/>
      <c r="R41" s="2427"/>
      <c r="S41" s="3517"/>
    </row>
    <row r="42" spans="1:19" ht="15.75" thickBot="1">
      <c r="A42" s="3433"/>
      <c r="B42" s="3526"/>
      <c r="C42" s="2426"/>
      <c r="D42" s="2405"/>
      <c r="E42" s="2405"/>
      <c r="F42" s="2405"/>
      <c r="G42" s="2423"/>
      <c r="H42" s="2427"/>
      <c r="I42" s="3515"/>
      <c r="J42" s="2427"/>
      <c r="K42" s="3517"/>
      <c r="L42" s="2427"/>
      <c r="M42" s="3517"/>
      <c r="N42" s="2427"/>
      <c r="O42" s="3516"/>
      <c r="P42" s="2427"/>
      <c r="Q42" s="3516"/>
      <c r="R42" s="2427"/>
      <c r="S42" s="3517"/>
    </row>
    <row r="43" spans="1:19" ht="15.75" thickTop="1">
      <c r="A43" s="14"/>
      <c r="B43" s="15"/>
      <c r="C43" s="16"/>
      <c r="D43" s="16"/>
      <c r="E43" s="17"/>
      <c r="F43" s="18" t="s">
        <v>567</v>
      </c>
      <c r="G43" s="19" t="s">
        <v>587</v>
      </c>
      <c r="H43" s="20"/>
      <c r="I43" s="61">
        <f>SUM(I23:I42)</f>
        <v>0</v>
      </c>
      <c r="J43" s="20"/>
      <c r="K43" s="61">
        <f>SUM(K23:K42)</f>
        <v>0</v>
      </c>
      <c r="L43" s="20"/>
      <c r="M43" s="61">
        <f>SUM(M23:M42)</f>
        <v>0</v>
      </c>
      <c r="N43" s="20"/>
      <c r="O43" s="61">
        <f>SUM(O23:O42)</f>
        <v>0</v>
      </c>
      <c r="P43" s="20"/>
      <c r="Q43" s="61">
        <f>SUM(Q23:Q42)</f>
        <v>0</v>
      </c>
      <c r="R43" s="20"/>
      <c r="S43" s="61">
        <f>SUM(S23:S42)</f>
        <v>0</v>
      </c>
    </row>
    <row r="44" spans="1:19">
      <c r="A44" s="2358"/>
      <c r="B44" s="2359"/>
      <c r="C44" s="2360"/>
      <c r="D44" s="2360"/>
      <c r="E44" s="2361"/>
      <c r="F44" s="2362" t="s">
        <v>568</v>
      </c>
      <c r="G44" s="2363"/>
      <c r="H44" s="2364">
        <v>0</v>
      </c>
      <c r="I44" s="415"/>
      <c r="J44" s="2364">
        <v>0</v>
      </c>
      <c r="K44" s="415"/>
      <c r="L44" s="2364">
        <v>0</v>
      </c>
      <c r="M44" s="415"/>
      <c r="N44" s="2364">
        <v>0</v>
      </c>
      <c r="O44" s="415"/>
      <c r="P44" s="2364">
        <v>0</v>
      </c>
      <c r="Q44" s="415"/>
      <c r="R44" s="2364">
        <v>0</v>
      </c>
      <c r="S44" s="415"/>
    </row>
    <row r="45" spans="1:19">
      <c r="A45" s="2358"/>
      <c r="B45" s="2359"/>
      <c r="C45" s="2360"/>
      <c r="D45" s="2360"/>
      <c r="E45" s="2361"/>
      <c r="F45" s="2362" t="s">
        <v>569</v>
      </c>
      <c r="G45" s="2363"/>
      <c r="H45" s="2366"/>
      <c r="I45" s="2465">
        <f>I43*H44</f>
        <v>0</v>
      </c>
      <c r="J45" s="2366"/>
      <c r="K45" s="2465">
        <f>K43*J44</f>
        <v>0</v>
      </c>
      <c r="L45" s="2366"/>
      <c r="M45" s="2465">
        <f>M43*L44</f>
        <v>0</v>
      </c>
      <c r="N45" s="2366"/>
      <c r="O45" s="2465">
        <f>O43*N44</f>
        <v>0</v>
      </c>
      <c r="P45" s="2366"/>
      <c r="Q45" s="2465">
        <f>Q43*P44</f>
        <v>0</v>
      </c>
      <c r="R45" s="2366"/>
      <c r="S45" s="2465">
        <f>S43*R44</f>
        <v>0</v>
      </c>
    </row>
    <row r="46" spans="1:19">
      <c r="A46" s="2358"/>
      <c r="B46" s="2359"/>
      <c r="C46" s="2360"/>
      <c r="D46" s="2360"/>
      <c r="E46" s="2361"/>
      <c r="F46" s="2362"/>
      <c r="G46" s="2363"/>
      <c r="H46" s="2366"/>
      <c r="I46" s="2464"/>
      <c r="J46" s="2366"/>
      <c r="K46" s="2464"/>
      <c r="L46" s="2366"/>
      <c r="M46" s="2464"/>
      <c r="N46" s="2366"/>
      <c r="O46" s="2464"/>
      <c r="P46" s="2366"/>
      <c r="Q46" s="2464"/>
      <c r="R46" s="2366"/>
      <c r="S46" s="2464"/>
    </row>
    <row r="47" spans="1:19">
      <c r="A47" s="2358"/>
      <c r="B47" s="2359"/>
      <c r="C47" s="2360"/>
      <c r="D47" s="2360"/>
      <c r="E47" s="2361"/>
      <c r="F47" s="2362" t="s">
        <v>570</v>
      </c>
      <c r="G47" s="2363"/>
      <c r="H47" s="2368"/>
      <c r="I47" s="2465">
        <f>SUM(I43:I45)</f>
        <v>0</v>
      </c>
      <c r="J47" s="2368"/>
      <c r="K47" s="2465">
        <f>SUM(K43:K45)</f>
        <v>0</v>
      </c>
      <c r="L47" s="2368"/>
      <c r="M47" s="2465">
        <f>SUM(M43:M45)</f>
        <v>0</v>
      </c>
      <c r="N47" s="2368"/>
      <c r="O47" s="2465">
        <f>SUM(O43:O45)</f>
        <v>0</v>
      </c>
      <c r="P47" s="2368"/>
      <c r="Q47" s="2465">
        <f>SUM(Q43:Q45)</f>
        <v>0</v>
      </c>
      <c r="R47" s="2368"/>
      <c r="S47" s="2465">
        <f>SUM(S43:S45)</f>
        <v>0</v>
      </c>
    </row>
    <row r="48" spans="1:19">
      <c r="A48" s="2358"/>
      <c r="B48" s="2359"/>
      <c r="C48" s="2360"/>
      <c r="D48" s="2360"/>
      <c r="E48" s="2361"/>
      <c r="F48" s="2370" t="s">
        <v>571</v>
      </c>
      <c r="G48" s="2371"/>
      <c r="H48" s="2372"/>
      <c r="I48" s="2373" t="e">
        <f>I47/'Area Calculations'!$J$4</f>
        <v>#DIV/0!</v>
      </c>
      <c r="J48" s="2372"/>
      <c r="K48" s="2373" t="e">
        <f>K47/'Area Calculations'!$J$4</f>
        <v>#DIV/0!</v>
      </c>
      <c r="L48" s="2372"/>
      <c r="M48" s="2373" t="e">
        <f>M47/'Area Calculations'!$J$4</f>
        <v>#DIV/0!</v>
      </c>
      <c r="N48" s="2372"/>
      <c r="O48" s="2373" t="e">
        <f>O47/'Area Calculations'!$J$4</f>
        <v>#DIV/0!</v>
      </c>
      <c r="P48" s="2372"/>
      <c r="Q48" s="2373" t="e">
        <f>Q47/'Area Calculations'!$J$4</f>
        <v>#DIV/0!</v>
      </c>
      <c r="R48" s="2372"/>
      <c r="S48" s="2373" t="e">
        <f>S47/'Area Calculations'!$J$4</f>
        <v>#DIV/0!</v>
      </c>
    </row>
    <row r="49" spans="1:19">
      <c r="A49" s="2358"/>
      <c r="B49" s="2359"/>
      <c r="C49" s="2360"/>
      <c r="D49" s="2360"/>
      <c r="E49" s="2361"/>
      <c r="F49" s="2370" t="s">
        <v>572</v>
      </c>
      <c r="G49" s="2374"/>
      <c r="H49" s="2372"/>
      <c r="I49" s="2373" t="e">
        <f>I47/'Area Calculations'!#REF!</f>
        <v>#REF!</v>
      </c>
      <c r="J49" s="2372"/>
      <c r="K49" s="2373" t="e">
        <f>K47/'Area Calculations'!#REF!</f>
        <v>#REF!</v>
      </c>
      <c r="L49" s="2372"/>
      <c r="M49" s="2373" t="e">
        <f>M47/'Area Calculations'!#REF!</f>
        <v>#REF!</v>
      </c>
      <c r="N49" s="2372"/>
      <c r="O49" s="2373" t="e">
        <f>O47/'Area Calculations'!#REF!</f>
        <v>#REF!</v>
      </c>
      <c r="P49" s="2372"/>
      <c r="Q49" s="2373" t="e">
        <f>Q47/'Area Calculations'!#REF!</f>
        <v>#REF!</v>
      </c>
      <c r="R49" s="2372"/>
      <c r="S49" s="2373" t="e">
        <f>S47/'Area Calculations'!#REF!</f>
        <v>#REF!</v>
      </c>
    </row>
    <row r="50" spans="1:19" ht="15.75" thickBot="1">
      <c r="A50" s="2358"/>
      <c r="B50" s="2359"/>
      <c r="C50" s="2360"/>
      <c r="D50" s="2360"/>
      <c r="E50" s="2361"/>
      <c r="F50" s="2362"/>
      <c r="G50" s="2375"/>
      <c r="H50" s="2376"/>
      <c r="I50" s="2377"/>
      <c r="J50" s="2376"/>
      <c r="K50" s="2377"/>
      <c r="L50" s="2376"/>
      <c r="M50" s="2377"/>
      <c r="N50" s="2376"/>
      <c r="O50" s="2377"/>
      <c r="P50" s="2376"/>
      <c r="Q50" s="2377"/>
      <c r="R50" s="2376"/>
      <c r="S50" s="2377"/>
    </row>
    <row r="51" spans="1:19" ht="16.5" thickTop="1" thickBot="1">
      <c r="A51" s="726" t="s">
        <v>573</v>
      </c>
      <c r="B51" s="727"/>
      <c r="C51" s="12"/>
      <c r="D51" s="12"/>
      <c r="E51" s="12"/>
      <c r="F51" s="12"/>
      <c r="G51" s="13"/>
      <c r="H51" s="21"/>
      <c r="I51" s="21"/>
      <c r="J51" s="21"/>
      <c r="K51" s="21"/>
      <c r="L51" s="21"/>
      <c r="M51" s="21"/>
      <c r="N51" s="21"/>
      <c r="O51" s="21"/>
      <c r="P51" s="21"/>
      <c r="Q51" s="21"/>
      <c r="R51" s="21"/>
      <c r="S51" s="21"/>
    </row>
    <row r="52" spans="1:19" ht="15.75" thickTop="1">
      <c r="A52" s="3527"/>
      <c r="B52" s="2404"/>
      <c r="C52" s="3528"/>
      <c r="D52" s="3528"/>
      <c r="E52" s="3528"/>
      <c r="F52" s="3528"/>
      <c r="G52" s="3529"/>
      <c r="H52" s="3530"/>
      <c r="I52" s="3530"/>
      <c r="J52" s="3530"/>
      <c r="K52" s="3530"/>
      <c r="L52" s="3530"/>
      <c r="M52" s="3530"/>
      <c r="N52" s="3530"/>
      <c r="O52" s="3530"/>
      <c r="P52" s="3530"/>
      <c r="Q52" s="3530"/>
      <c r="R52" s="3530"/>
      <c r="S52" s="3530"/>
    </row>
    <row r="53" spans="1:19">
      <c r="A53" s="3527"/>
      <c r="B53" s="2404"/>
      <c r="C53" s="3528"/>
      <c r="D53" s="3528"/>
      <c r="E53" s="3528"/>
      <c r="F53" s="3528"/>
      <c r="G53" s="3529"/>
      <c r="H53" s="3530"/>
      <c r="I53" s="3530"/>
      <c r="J53" s="3530"/>
      <c r="K53" s="3530"/>
      <c r="L53" s="3530"/>
      <c r="M53" s="3530"/>
      <c r="N53" s="3530"/>
      <c r="O53" s="3530"/>
      <c r="P53" s="3530"/>
      <c r="Q53" s="3530"/>
      <c r="R53" s="3530"/>
      <c r="S53" s="3530"/>
    </row>
    <row r="54" spans="1:19" ht="15.75" thickBot="1">
      <c r="A54" s="3527"/>
      <c r="B54" s="2404"/>
      <c r="C54" s="3528"/>
      <c r="D54" s="3528"/>
      <c r="E54" s="3528"/>
      <c r="F54" s="3528"/>
      <c r="G54" s="3529"/>
      <c r="H54" s="3530"/>
      <c r="I54" s="3530"/>
      <c r="J54" s="3530"/>
      <c r="K54" s="3530"/>
      <c r="L54" s="3530"/>
      <c r="M54" s="3530"/>
      <c r="N54" s="3530"/>
      <c r="O54" s="3530"/>
      <c r="P54" s="3530"/>
      <c r="Q54" s="3530"/>
      <c r="R54" s="3530"/>
      <c r="S54" s="3530"/>
    </row>
    <row r="55" spans="1:19" s="2" customFormat="1" ht="16.5" thickTop="1" thickBot="1">
      <c r="A55" s="726" t="s">
        <v>574</v>
      </c>
      <c r="B55" s="727"/>
      <c r="C55" s="12"/>
      <c r="D55" s="12"/>
      <c r="E55" s="12"/>
      <c r="F55" s="12"/>
      <c r="G55" s="13"/>
      <c r="H55" s="21"/>
      <c r="I55" s="21"/>
      <c r="J55" s="21"/>
      <c r="K55" s="21"/>
      <c r="L55" s="21"/>
      <c r="M55" s="21"/>
      <c r="N55" s="21"/>
      <c r="O55" s="21"/>
      <c r="P55" s="21"/>
      <c r="Q55" s="21"/>
      <c r="R55" s="21"/>
      <c r="S55" s="21"/>
    </row>
    <row r="56" spans="1:19" s="2" customFormat="1" ht="15.75" thickTop="1">
      <c r="A56" s="3527"/>
      <c r="B56" s="2404"/>
      <c r="C56" s="3528"/>
      <c r="D56" s="3528"/>
      <c r="E56" s="3528"/>
      <c r="F56" s="3528"/>
      <c r="G56" s="3529"/>
      <c r="H56" s="3530"/>
      <c r="I56" s="3530"/>
      <c r="J56" s="3530"/>
      <c r="K56" s="3530"/>
      <c r="L56" s="3530"/>
      <c r="M56" s="3530"/>
      <c r="N56" s="3530"/>
      <c r="O56" s="3530"/>
      <c r="P56" s="3530"/>
      <c r="Q56" s="3530"/>
      <c r="R56" s="3530"/>
      <c r="S56" s="3530"/>
    </row>
    <row r="57" spans="1:19" s="2" customFormat="1">
      <c r="A57" s="3527"/>
      <c r="B57" s="2404"/>
      <c r="C57" s="3528"/>
      <c r="D57" s="3528"/>
      <c r="E57" s="3528"/>
      <c r="F57" s="3528"/>
      <c r="G57" s="3529"/>
      <c r="H57" s="3530"/>
      <c r="I57" s="3530"/>
      <c r="J57" s="3530"/>
      <c r="K57" s="3530"/>
      <c r="L57" s="3530"/>
      <c r="M57" s="3530"/>
      <c r="N57" s="3530"/>
      <c r="O57" s="3530"/>
      <c r="P57" s="3530"/>
      <c r="Q57" s="3530"/>
      <c r="R57" s="3530"/>
      <c r="S57" s="3530"/>
    </row>
    <row r="58" spans="1:19" ht="15.75" thickBot="1">
      <c r="A58" s="3527"/>
      <c r="B58" s="2404"/>
      <c r="C58" s="3528"/>
      <c r="D58" s="3528"/>
      <c r="E58" s="3528"/>
      <c r="F58" s="3528"/>
      <c r="G58" s="3529"/>
      <c r="H58" s="3530"/>
      <c r="I58" s="3530"/>
      <c r="J58" s="3530"/>
      <c r="K58" s="3530"/>
      <c r="L58" s="3530"/>
      <c r="M58" s="3530"/>
      <c r="N58" s="3530"/>
      <c r="O58" s="3530"/>
      <c r="P58" s="3530"/>
      <c r="Q58" s="3530"/>
      <c r="R58" s="3530"/>
      <c r="S58" s="3530"/>
    </row>
    <row r="59" spans="1:19" s="2" customFormat="1" ht="16.5" thickTop="1" thickBot="1">
      <c r="A59" s="726" t="s">
        <v>575</v>
      </c>
      <c r="B59" s="727"/>
      <c r="C59" s="12"/>
      <c r="D59" s="12"/>
      <c r="E59" s="12"/>
      <c r="F59" s="12"/>
      <c r="G59" s="13"/>
      <c r="H59" s="21"/>
      <c r="I59" s="21"/>
      <c r="J59" s="21"/>
      <c r="K59" s="21"/>
      <c r="L59" s="21"/>
      <c r="M59" s="21"/>
      <c r="N59" s="21"/>
      <c r="O59" s="21"/>
      <c r="P59" s="21"/>
      <c r="Q59" s="21"/>
      <c r="R59" s="21"/>
      <c r="S59" s="21"/>
    </row>
    <row r="60" spans="1:19" s="2" customFormat="1" ht="15.75" thickTop="1">
      <c r="A60" s="3527"/>
      <c r="B60" s="2404"/>
      <c r="C60" s="3528"/>
      <c r="D60" s="3528"/>
      <c r="E60" s="3528"/>
      <c r="F60" s="3528"/>
      <c r="G60" s="3529"/>
      <c r="H60" s="3530"/>
      <c r="I60" s="3530"/>
      <c r="J60" s="3530"/>
      <c r="K60" s="3530"/>
      <c r="L60" s="3530"/>
      <c r="M60" s="3530"/>
      <c r="N60" s="3530"/>
      <c r="O60" s="3530"/>
      <c r="P60" s="3530"/>
      <c r="Q60" s="3530"/>
      <c r="R60" s="3530"/>
      <c r="S60" s="3530"/>
    </row>
    <row r="61" spans="1:19" s="2" customFormat="1">
      <c r="A61" s="2421"/>
      <c r="B61" s="2404"/>
      <c r="C61" s="2405"/>
      <c r="D61" s="2405"/>
      <c r="E61" s="2405"/>
      <c r="F61" s="2405"/>
      <c r="G61" s="2423"/>
      <c r="H61" s="2382"/>
      <c r="I61" s="2382"/>
      <c r="J61" s="2382"/>
      <c r="K61" s="2382"/>
      <c r="L61" s="2382"/>
      <c r="M61" s="2382"/>
      <c r="N61" s="2382"/>
      <c r="O61" s="2382"/>
      <c r="P61" s="2382"/>
      <c r="Q61" s="2382"/>
      <c r="R61" s="2382"/>
      <c r="S61" s="2382"/>
    </row>
    <row r="62" spans="1:19" s="2" customFormat="1" ht="15.75" thickBot="1">
      <c r="A62" s="2383"/>
      <c r="B62" s="2384"/>
      <c r="C62" s="2405"/>
      <c r="D62" s="2405"/>
      <c r="E62" s="2405"/>
      <c r="F62" s="2405"/>
      <c r="G62" s="2423"/>
      <c r="H62" s="2385"/>
      <c r="I62" s="2385"/>
      <c r="J62" s="2385"/>
      <c r="K62" s="2385"/>
      <c r="L62" s="2385"/>
      <c r="M62" s="2385"/>
      <c r="N62" s="2385"/>
      <c r="O62" s="2385"/>
      <c r="P62" s="2385"/>
      <c r="Q62" s="2385"/>
      <c r="R62" s="2385"/>
      <c r="S62" s="2385"/>
    </row>
    <row r="63" spans="1:19" s="2" customFormat="1" ht="16.5" thickTop="1" thickBot="1">
      <c r="A63" s="726" t="s">
        <v>576</v>
      </c>
      <c r="B63" s="727"/>
      <c r="C63" s="12"/>
      <c r="D63" s="12"/>
      <c r="E63" s="12"/>
      <c r="F63" s="12"/>
      <c r="G63" s="13"/>
      <c r="H63" s="21"/>
      <c r="I63" s="21"/>
      <c r="J63" s="21"/>
      <c r="K63" s="21"/>
      <c r="L63" s="21"/>
      <c r="M63" s="21"/>
      <c r="N63" s="21"/>
      <c r="O63" s="21"/>
      <c r="P63" s="21"/>
      <c r="Q63" s="21"/>
      <c r="R63" s="21"/>
      <c r="S63" s="21"/>
    </row>
    <row r="64" spans="1:19" ht="15.75" thickTop="1">
      <c r="A64" s="3531"/>
      <c r="B64" s="3532"/>
      <c r="C64" s="3528"/>
      <c r="D64" s="3528"/>
      <c r="E64" s="3528"/>
      <c r="F64" s="3528"/>
      <c r="G64" s="3529"/>
      <c r="H64" s="3530"/>
      <c r="I64" s="3530"/>
      <c r="J64" s="3530"/>
      <c r="K64" s="3530"/>
      <c r="L64" s="3530"/>
      <c r="M64" s="3530"/>
      <c r="N64" s="3530"/>
      <c r="O64" s="3530"/>
      <c r="P64" s="3530"/>
      <c r="Q64" s="3530"/>
      <c r="R64" s="3530"/>
      <c r="S64" s="3530"/>
    </row>
    <row r="65" spans="1:19">
      <c r="A65" s="2383"/>
      <c r="B65" s="2384"/>
      <c r="C65" s="2405"/>
      <c r="D65" s="2405"/>
      <c r="E65" s="2405"/>
      <c r="F65" s="2405"/>
      <c r="G65" s="2423"/>
      <c r="H65" s="2388"/>
      <c r="I65" s="2388"/>
      <c r="J65" s="2388"/>
      <c r="K65" s="2388"/>
      <c r="L65" s="2388"/>
      <c r="M65" s="2388"/>
      <c r="N65" s="2388"/>
      <c r="O65" s="2388"/>
      <c r="P65" s="2388"/>
      <c r="Q65" s="2388"/>
      <c r="R65" s="2388"/>
      <c r="S65" s="2388"/>
    </row>
    <row r="66" spans="1:19" ht="15.75" thickBot="1">
      <c r="A66" s="2383"/>
      <c r="B66" s="2384"/>
      <c r="C66" s="2405"/>
      <c r="D66" s="2405"/>
      <c r="E66" s="2405"/>
      <c r="F66" s="2405"/>
      <c r="G66" s="2423"/>
      <c r="H66" s="2388"/>
      <c r="I66" s="2388"/>
      <c r="J66" s="2388"/>
      <c r="K66" s="2388"/>
      <c r="L66" s="2388"/>
      <c r="M66" s="2388"/>
      <c r="N66" s="2388"/>
      <c r="O66" s="2388"/>
      <c r="P66" s="2388"/>
      <c r="Q66" s="2388"/>
      <c r="R66" s="2388"/>
      <c r="S66" s="2388"/>
    </row>
    <row r="67" spans="1:19" ht="16.5" thickTop="1" thickBot="1">
      <c r="A67" s="726" t="s">
        <v>577</v>
      </c>
      <c r="B67" s="727"/>
      <c r="C67" s="12"/>
      <c r="D67" s="12"/>
      <c r="E67" s="12"/>
      <c r="F67" s="12"/>
      <c r="G67" s="13"/>
      <c r="H67" s="21"/>
      <c r="I67" s="21"/>
      <c r="J67" s="21"/>
      <c r="K67" s="21"/>
      <c r="L67" s="21"/>
      <c r="M67" s="21"/>
      <c r="N67" s="21"/>
      <c r="O67" s="21"/>
      <c r="P67" s="21"/>
      <c r="Q67" s="21"/>
      <c r="R67" s="21"/>
      <c r="S67" s="21"/>
    </row>
    <row r="68" spans="1:19" ht="15.75" thickTop="1">
      <c r="A68" s="2421"/>
      <c r="B68" s="2404" t="s">
        <v>578</v>
      </c>
      <c r="C68" s="2405"/>
      <c r="D68" s="2405"/>
      <c r="E68" s="2405"/>
      <c r="F68" s="2405"/>
      <c r="G68" s="2423"/>
      <c r="H68" s="2388"/>
      <c r="I68" s="2388"/>
      <c r="J68" s="2388"/>
      <c r="K68" s="2388"/>
      <c r="L68" s="2388"/>
      <c r="M68" s="2388"/>
      <c r="N68" s="2388"/>
      <c r="O68" s="2388"/>
      <c r="P68" s="2388"/>
      <c r="Q68" s="2388"/>
      <c r="R68" s="2388"/>
      <c r="S68" s="2388"/>
    </row>
    <row r="69" spans="1:19">
      <c r="A69" s="2421"/>
      <c r="B69" s="2404" t="s">
        <v>579</v>
      </c>
      <c r="C69" s="2405"/>
      <c r="D69" s="2405"/>
      <c r="E69" s="2405"/>
      <c r="F69" s="2405"/>
      <c r="G69" s="2423"/>
      <c r="H69" s="2388"/>
      <c r="I69" s="2388"/>
      <c r="J69" s="2388"/>
      <c r="K69" s="2388"/>
      <c r="L69" s="2388"/>
      <c r="M69" s="2388"/>
      <c r="N69" s="2388"/>
      <c r="O69" s="2388"/>
      <c r="P69" s="2388"/>
      <c r="Q69" s="2388"/>
      <c r="R69" s="2388"/>
      <c r="S69" s="2388"/>
    </row>
    <row r="70" spans="1:19">
      <c r="A70" s="2421"/>
      <c r="B70" s="2404" t="s">
        <v>580</v>
      </c>
      <c r="C70" s="2405"/>
      <c r="D70" s="2405"/>
      <c r="E70" s="2405"/>
      <c r="F70" s="2405"/>
      <c r="G70" s="2423"/>
      <c r="H70" s="2388"/>
      <c r="I70" s="2388"/>
      <c r="J70" s="2388"/>
      <c r="K70" s="2388"/>
      <c r="L70" s="2388"/>
      <c r="M70" s="2388"/>
      <c r="N70" s="2388"/>
      <c r="O70" s="2388"/>
      <c r="P70" s="2388"/>
      <c r="Q70" s="2388"/>
      <c r="R70" s="2388"/>
      <c r="S70" s="2388"/>
    </row>
    <row r="71" spans="1:19">
      <c r="A71" s="2421"/>
      <c r="B71" s="2404" t="s">
        <v>581</v>
      </c>
      <c r="C71" s="2405"/>
      <c r="D71" s="2405"/>
      <c r="E71" s="2405"/>
      <c r="F71" s="2405"/>
      <c r="G71" s="2423"/>
      <c r="H71" s="2388"/>
      <c r="I71" s="2388"/>
      <c r="J71" s="2388"/>
      <c r="K71" s="2388"/>
      <c r="L71" s="2388"/>
      <c r="M71" s="2388"/>
      <c r="N71" s="2388"/>
      <c r="O71" s="2388"/>
      <c r="P71" s="2388"/>
      <c r="Q71" s="2388"/>
      <c r="R71" s="2388"/>
      <c r="S71" s="2388"/>
    </row>
    <row r="72" spans="1:19" ht="15.75" thickBot="1">
      <c r="A72" s="416"/>
      <c r="B72" s="295"/>
      <c r="C72" s="184"/>
      <c r="D72" s="184"/>
      <c r="E72" s="184"/>
      <c r="F72" s="184"/>
      <c r="G72" s="296"/>
      <c r="H72" s="418"/>
      <c r="I72" s="418"/>
      <c r="J72" s="418"/>
      <c r="K72" s="418"/>
      <c r="L72" s="418"/>
      <c r="M72" s="418"/>
      <c r="N72" s="418"/>
      <c r="O72" s="418"/>
      <c r="P72" s="418"/>
      <c r="Q72" s="418"/>
      <c r="R72" s="418"/>
      <c r="S72" s="418"/>
    </row>
    <row r="73" spans="1:19" ht="16.5" thickTop="1" thickBot="1">
      <c r="A73" s="7" t="s">
        <v>582</v>
      </c>
      <c r="B73" s="8"/>
      <c r="C73" s="12"/>
      <c r="D73" s="12"/>
      <c r="E73" s="12"/>
      <c r="F73" s="12"/>
      <c r="G73" s="13"/>
      <c r="H73" s="21"/>
      <c r="I73" s="21"/>
      <c r="J73" s="21"/>
      <c r="K73" s="21"/>
      <c r="L73" s="21"/>
      <c r="M73" s="21"/>
      <c r="N73" s="21"/>
      <c r="O73" s="21"/>
      <c r="P73" s="21"/>
      <c r="Q73" s="21"/>
      <c r="R73" s="21"/>
      <c r="S73" s="21"/>
    </row>
    <row r="74" spans="1:19" ht="15.75" thickTop="1">
      <c r="A74" s="3527"/>
      <c r="B74" s="3533" t="s">
        <v>583</v>
      </c>
      <c r="C74" s="3528"/>
      <c r="D74" s="3528"/>
      <c r="E74" s="3528"/>
      <c r="F74" s="3528"/>
      <c r="G74" s="3529"/>
      <c r="H74" s="3534"/>
      <c r="I74" s="3534"/>
      <c r="J74" s="3534"/>
      <c r="K74" s="3534"/>
      <c r="L74" s="3534"/>
      <c r="M74" s="3534"/>
      <c r="N74" s="3534"/>
      <c r="O74" s="3534"/>
      <c r="P74" s="3534"/>
      <c r="Q74" s="3534"/>
      <c r="R74" s="3534"/>
      <c r="S74" s="3534"/>
    </row>
    <row r="75" spans="1:19">
      <c r="A75" s="2421"/>
      <c r="B75" s="2404" t="s">
        <v>584</v>
      </c>
      <c r="C75" s="2405"/>
      <c r="D75" s="2405"/>
      <c r="E75" s="2405"/>
      <c r="F75" s="2405"/>
      <c r="G75" s="2423"/>
      <c r="H75" s="2390"/>
      <c r="I75" s="2390"/>
      <c r="J75" s="2390"/>
      <c r="K75" s="2390"/>
      <c r="L75" s="2390"/>
      <c r="M75" s="2390"/>
      <c r="N75" s="2390"/>
      <c r="O75" s="2390"/>
      <c r="P75" s="2390"/>
      <c r="Q75" s="2390"/>
      <c r="R75" s="2390"/>
      <c r="S75" s="2390"/>
    </row>
    <row r="76" spans="1:19" ht="15.75" thickBot="1">
      <c r="A76" s="2391"/>
      <c r="B76" s="2392" t="s">
        <v>585</v>
      </c>
      <c r="C76" s="2393"/>
      <c r="D76" s="2393"/>
      <c r="E76" s="2393"/>
      <c r="F76" s="2393"/>
      <c r="G76" s="2394"/>
      <c r="H76" s="2395"/>
      <c r="I76" s="2395"/>
      <c r="J76" s="2395"/>
      <c r="K76" s="2395"/>
      <c r="L76" s="2395"/>
      <c r="M76" s="2395"/>
      <c r="N76" s="2395"/>
      <c r="O76" s="2395"/>
      <c r="P76" s="2395"/>
      <c r="Q76" s="2395"/>
      <c r="R76" s="2395"/>
      <c r="S76" s="2395"/>
    </row>
    <row r="77" spans="1:19" ht="16.5" thickTop="1" thickBot="1"/>
    <row r="78" spans="1:19" ht="16.5" thickTop="1" thickBot="1">
      <c r="A78" s="92" t="s">
        <v>586</v>
      </c>
      <c r="B78" s="94"/>
    </row>
    <row r="79" spans="1:19" ht="15.75" thickTop="1">
      <c r="A79" s="93" t="s">
        <v>487</v>
      </c>
      <c r="B79" s="2396"/>
    </row>
    <row r="80" spans="1:19">
      <c r="A80" s="2397" t="s">
        <v>491</v>
      </c>
      <c r="B80" s="2396"/>
    </row>
    <row r="81" spans="1:2">
      <c r="A81" s="2398" t="s">
        <v>494</v>
      </c>
      <c r="B81" s="2399"/>
    </row>
    <row r="82" spans="1:2">
      <c r="A82" s="2398" t="s">
        <v>497</v>
      </c>
      <c r="B82" s="2400"/>
    </row>
    <row r="83" spans="1:2" ht="15.75" thickBot="1">
      <c r="A83" s="2401" t="s">
        <v>587</v>
      </c>
      <c r="B83" s="2402"/>
    </row>
    <row r="84" spans="1:2" ht="15.75" thickTop="1"/>
    <row r="85" spans="1:2">
      <c r="A85" s="95"/>
      <c r="B85" s="1" t="s">
        <v>588</v>
      </c>
    </row>
    <row r="86" spans="1:2">
      <c r="A86" s="96"/>
      <c r="B86"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51:B51"/>
    <mergeCell ref="A55:B55"/>
    <mergeCell ref="A59:B59"/>
    <mergeCell ref="A63:B63"/>
    <mergeCell ref="A67:B67"/>
  </mergeCells>
  <conditionalFormatting sqref="H20:H30">
    <cfRule type="cellIs" dxfId="83" priority="1" operator="equal">
      <formula>"X"</formula>
    </cfRule>
    <cfRule type="cellIs" dxfId="82" priority="2" operator="equal">
      <formula>"I"</formula>
    </cfRule>
  </conditionalFormatting>
  <conditionalFormatting sqref="H32:H42">
    <cfRule type="cellIs" dxfId="81" priority="23" operator="equal">
      <formula>"X"</formula>
    </cfRule>
    <cfRule type="cellIs" dxfId="80" priority="24" operator="equal">
      <formula>"I"</formula>
    </cfRule>
  </conditionalFormatting>
  <conditionalFormatting sqref="J20:J30">
    <cfRule type="cellIs" dxfId="79" priority="19" operator="equal">
      <formula>"X"</formula>
    </cfRule>
    <cfRule type="cellIs" dxfId="78" priority="20" operator="equal">
      <formula>"I"</formula>
    </cfRule>
  </conditionalFormatting>
  <conditionalFormatting sqref="J32:J42">
    <cfRule type="cellIs" dxfId="77" priority="21" operator="equal">
      <formula>"X"</formula>
    </cfRule>
    <cfRule type="cellIs" dxfId="76" priority="22" operator="equal">
      <formula>"I"</formula>
    </cfRule>
  </conditionalFormatting>
  <conditionalFormatting sqref="L20:L30">
    <cfRule type="cellIs" dxfId="75" priority="17" operator="equal">
      <formula>"X"</formula>
    </cfRule>
    <cfRule type="cellIs" dxfId="74" priority="18" operator="equal">
      <formula>"I"</formula>
    </cfRule>
  </conditionalFormatting>
  <conditionalFormatting sqref="L32:L42">
    <cfRule type="cellIs" dxfId="73" priority="15" operator="equal">
      <formula>"X"</formula>
    </cfRule>
    <cfRule type="cellIs" dxfId="72" priority="16" operator="equal">
      <formula>"I"</formula>
    </cfRule>
  </conditionalFormatting>
  <conditionalFormatting sqref="N20:N30">
    <cfRule type="cellIs" dxfId="71" priority="11" operator="equal">
      <formula>"X"</formula>
    </cfRule>
    <cfRule type="cellIs" dxfId="70" priority="12" operator="equal">
      <formula>"I"</formula>
    </cfRule>
  </conditionalFormatting>
  <conditionalFormatting sqref="N32:N42">
    <cfRule type="cellIs" dxfId="69" priority="13" operator="equal">
      <formula>"X"</formula>
    </cfRule>
    <cfRule type="cellIs" dxfId="68" priority="14" operator="equal">
      <formula>"I"</formula>
    </cfRule>
  </conditionalFormatting>
  <conditionalFormatting sqref="P20:P30">
    <cfRule type="cellIs" dxfId="67" priority="9" operator="equal">
      <formula>"X"</formula>
    </cfRule>
    <cfRule type="cellIs" dxfId="66" priority="10" operator="equal">
      <formula>"I"</formula>
    </cfRule>
  </conditionalFormatting>
  <conditionalFormatting sqref="P32:P42">
    <cfRule type="cellIs" dxfId="65" priority="7" operator="equal">
      <formula>"X"</formula>
    </cfRule>
    <cfRule type="cellIs" dxfId="64" priority="8" operator="equal">
      <formula>"I"</formula>
    </cfRule>
  </conditionalFormatting>
  <conditionalFormatting sqref="R20:R30">
    <cfRule type="cellIs" dxfId="63" priority="3" operator="equal">
      <formula>"X"</formula>
    </cfRule>
    <cfRule type="cellIs" dxfId="62" priority="4" operator="equal">
      <formula>"I"</formula>
    </cfRule>
  </conditionalFormatting>
  <conditionalFormatting sqref="R32:R42">
    <cfRule type="cellIs" dxfId="61" priority="5" operator="equal">
      <formula>"X"</formula>
    </cfRule>
    <cfRule type="cellIs" dxfId="60" priority="6" operator="equal">
      <formula>"I"</formula>
    </cfRule>
  </conditionalFormatting>
  <hyperlinks>
    <hyperlink ref="B3" location="'Cost Summary'!A1" display="BACK TO SUMMARY SHEET" xr:uid="{BA3B83A2-A955-4126-8DA1-DF720C4981A1}"/>
  </hyperlinks>
  <pageMargins left="0.7" right="0.7" top="0.75" bottom="0.75" header="0.3" footer="0.3"/>
  <pageSetup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34A8-C1D6-4783-AD7F-A9271A44FFDE}">
  <sheetPr>
    <tabColor rgb="FF92D050"/>
  </sheetPr>
  <dimension ref="A1:S101"/>
  <sheetViews>
    <sheetView workbookViewId="0">
      <pane xSplit="2" ySplit="9" topLeftCell="C30" activePane="bottomRight" state="frozen"/>
      <selection pane="bottomRight" activeCell="F38" sqref="F38"/>
      <selection pane="bottomLeft" sqref="A1:B1"/>
      <selection pane="topRight" sqref="A1:B1"/>
    </sheetView>
  </sheetViews>
  <sheetFormatPr defaultRowHeight="15"/>
  <cols>
    <col min="1" max="1" width="11" customWidth="1"/>
    <col min="2" max="2" width="70.7109375" style="1" customWidth="1"/>
    <col min="3" max="3" width="10.85546875" style="2" bestFit="1" customWidth="1"/>
    <col min="4" max="5" width="7.5703125" style="2" customWidth="1"/>
    <col min="6" max="6" width="11.28515625" style="2" customWidth="1"/>
    <col min="7" max="7" width="12.28515625" style="2" customWidth="1"/>
    <col min="8" max="8" width="7.42578125" style="2" bestFit="1" customWidth="1"/>
    <col min="9" max="9" width="14.85546875" style="6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50"/>
      <c r="I2" s="750"/>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727</v>
      </c>
      <c r="Q3" s="731"/>
      <c r="R3" s="730" t="s">
        <v>728</v>
      </c>
      <c r="S3" s="731"/>
    </row>
    <row r="4" spans="1:19" ht="15.75" thickTop="1">
      <c r="A4" s="3" t="s">
        <v>486</v>
      </c>
      <c r="B4" s="4" t="str">
        <f>'Area Calculations'!B4</f>
        <v>The Club at Ibis Conceptual Estimate</v>
      </c>
      <c r="C4" s="5"/>
      <c r="D4" s="5"/>
      <c r="E4" s="5"/>
      <c r="F4" s="5"/>
      <c r="G4" s="6" t="s">
        <v>487</v>
      </c>
      <c r="H4" s="728"/>
      <c r="I4" s="729"/>
      <c r="J4" s="779"/>
      <c r="K4" s="779"/>
      <c r="L4" s="779"/>
      <c r="M4" s="779"/>
      <c r="N4" s="779"/>
      <c r="O4" s="779"/>
      <c r="P4" s="779"/>
      <c r="Q4" s="779"/>
      <c r="R4" s="760"/>
      <c r="S4" s="729"/>
    </row>
    <row r="5" spans="1:19">
      <c r="A5" s="2403" t="s">
        <v>489</v>
      </c>
      <c r="B5" s="2404" t="s">
        <v>645</v>
      </c>
      <c r="C5" s="2405"/>
      <c r="D5" s="2405"/>
      <c r="E5" s="2405"/>
      <c r="F5" s="2405"/>
      <c r="G5" s="2406" t="s">
        <v>491</v>
      </c>
      <c r="H5" s="2407"/>
      <c r="I5" s="2408"/>
      <c r="J5" s="2518"/>
      <c r="K5" s="2518"/>
      <c r="L5" s="2518"/>
      <c r="M5" s="2518"/>
      <c r="N5" s="2518"/>
      <c r="O5" s="2518"/>
      <c r="P5" s="2518"/>
      <c r="Q5" s="2518"/>
      <c r="R5" s="2409"/>
      <c r="S5" s="2408"/>
    </row>
    <row r="6" spans="1:19">
      <c r="A6" s="2403" t="s">
        <v>493</v>
      </c>
      <c r="B6" s="2410" t="s">
        <v>644</v>
      </c>
      <c r="C6" s="2405"/>
      <c r="D6" s="2405"/>
      <c r="E6" s="2405"/>
      <c r="F6" s="2405"/>
      <c r="G6" s="2406" t="s">
        <v>494</v>
      </c>
      <c r="H6" s="2411"/>
      <c r="I6" s="2412"/>
      <c r="J6" s="3535"/>
      <c r="K6" s="2519"/>
      <c r="L6" s="2519"/>
      <c r="M6" s="2519"/>
      <c r="N6" s="2519"/>
      <c r="O6" s="2519"/>
      <c r="P6" s="2519"/>
      <c r="Q6" s="2519"/>
      <c r="R6" s="2413"/>
      <c r="S6" s="2412"/>
    </row>
    <row r="7" spans="1:19">
      <c r="A7" s="2403" t="s">
        <v>496</v>
      </c>
      <c r="B7" s="2414"/>
      <c r="C7" s="2405"/>
      <c r="D7" s="2405"/>
      <c r="E7" s="2405"/>
      <c r="F7" s="2405"/>
      <c r="G7" s="2406" t="s">
        <v>497</v>
      </c>
      <c r="H7" s="2415"/>
      <c r="I7" s="2416"/>
      <c r="J7" s="3536"/>
      <c r="K7" s="3536"/>
      <c r="L7" s="2520"/>
      <c r="M7" s="2520"/>
      <c r="N7" s="2520"/>
      <c r="O7" s="2520"/>
      <c r="P7" s="2520"/>
      <c r="Q7" s="2520"/>
      <c r="R7" s="2417"/>
      <c r="S7" s="2416"/>
    </row>
    <row r="8" spans="1:19" ht="15.75" thickBot="1">
      <c r="A8" s="414" t="s">
        <v>499</v>
      </c>
      <c r="B8" s="295"/>
      <c r="C8" s="184"/>
      <c r="D8" s="184"/>
      <c r="E8" s="184"/>
      <c r="F8" s="184"/>
      <c r="G8" s="419" t="s">
        <v>499</v>
      </c>
      <c r="H8" s="2970">
        <f>I62</f>
        <v>489500</v>
      </c>
      <c r="I8" s="2971"/>
      <c r="J8" s="3065">
        <f>K62</f>
        <v>0</v>
      </c>
      <c r="K8" s="2971"/>
      <c r="L8" s="2970">
        <f>M62</f>
        <v>0</v>
      </c>
      <c r="M8" s="2971"/>
      <c r="N8" s="2970">
        <f>O62</f>
        <v>0</v>
      </c>
      <c r="O8" s="2971"/>
      <c r="P8" s="2970">
        <f>Q62</f>
        <v>0</v>
      </c>
      <c r="Q8" s="2971"/>
      <c r="R8" s="2970">
        <f>S62</f>
        <v>0</v>
      </c>
      <c r="S8" s="2971"/>
    </row>
    <row r="9" spans="1:19" ht="31.5" thickTop="1" thickBot="1">
      <c r="A9" s="7" t="s">
        <v>500</v>
      </c>
      <c r="B9" s="8"/>
      <c r="C9" s="9" t="s">
        <v>501</v>
      </c>
      <c r="D9" s="9" t="s">
        <v>502</v>
      </c>
      <c r="E9" s="9" t="s">
        <v>503</v>
      </c>
      <c r="F9" s="9" t="s">
        <v>504</v>
      </c>
      <c r="G9" s="10" t="s">
        <v>505</v>
      </c>
      <c r="H9" s="11" t="s">
        <v>506</v>
      </c>
      <c r="I9" s="60" t="s">
        <v>507</v>
      </c>
      <c r="J9" s="50" t="s">
        <v>506</v>
      </c>
      <c r="K9" s="11" t="s">
        <v>507</v>
      </c>
      <c r="L9" s="11" t="s">
        <v>506</v>
      </c>
      <c r="M9" s="11" t="s">
        <v>507</v>
      </c>
      <c r="N9" s="11" t="s">
        <v>506</v>
      </c>
      <c r="O9" s="11" t="s">
        <v>507</v>
      </c>
      <c r="P9" s="11" t="s">
        <v>506</v>
      </c>
      <c r="Q9" s="11" t="s">
        <v>507</v>
      </c>
      <c r="R9" s="11" t="s">
        <v>506</v>
      </c>
      <c r="S9" s="11" t="s">
        <v>507</v>
      </c>
    </row>
    <row r="10" spans="1:19" ht="15.75" hidden="1" thickTop="1">
      <c r="A10" s="2421"/>
      <c r="B10" s="3537" t="s">
        <v>508</v>
      </c>
      <c r="C10" s="2405"/>
      <c r="D10" s="2405"/>
      <c r="E10" s="2405"/>
      <c r="F10" s="2405"/>
      <c r="G10" s="2423"/>
      <c r="H10" s="2424"/>
      <c r="I10" s="3430"/>
      <c r="J10" s="2425"/>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3430"/>
      <c r="J11" s="2425"/>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3430"/>
      <c r="J12" s="2425"/>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3430"/>
      <c r="J13" s="2425"/>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3430"/>
      <c r="J14" s="2425"/>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3430"/>
      <c r="J15" s="2425"/>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3430"/>
      <c r="J16" s="2425"/>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3430"/>
      <c r="J17" s="2425"/>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3430"/>
      <c r="J18" s="2425"/>
      <c r="K18" s="2424"/>
      <c r="L18" s="2424"/>
      <c r="M18" s="2424"/>
      <c r="N18" s="2424"/>
      <c r="O18" s="2424"/>
      <c r="P18" s="2424"/>
      <c r="Q18" s="2424"/>
      <c r="R18" s="2424"/>
      <c r="S18" s="2424"/>
    </row>
    <row r="19" spans="1:19" ht="14.45" hidden="1" customHeight="1">
      <c r="A19" s="2421"/>
      <c r="B19" s="2404" t="str">
        <f>'Area Calculations'!M70</f>
        <v>Specifications</v>
      </c>
      <c r="C19" s="2426" t="s">
        <v>509</v>
      </c>
      <c r="D19" s="2405"/>
      <c r="E19" s="2405"/>
      <c r="F19" s="2405"/>
      <c r="G19" s="2423"/>
      <c r="H19" s="2424"/>
      <c r="I19" s="3430"/>
      <c r="J19" s="2425"/>
      <c r="K19" s="2424"/>
      <c r="L19" s="2424"/>
      <c r="M19" s="2424"/>
      <c r="N19" s="2424"/>
      <c r="O19" s="2424"/>
      <c r="P19" s="2424"/>
      <c r="Q19" s="2424"/>
      <c r="R19" s="2424"/>
      <c r="S19" s="2424"/>
    </row>
    <row r="20" spans="1:19" ht="15.75" thickTop="1">
      <c r="A20" s="2421"/>
      <c r="B20" s="2404"/>
      <c r="C20" s="2426"/>
      <c r="D20" s="2405"/>
      <c r="E20" s="2405"/>
      <c r="F20" s="2405"/>
      <c r="G20" s="2423"/>
      <c r="H20" s="2424"/>
      <c r="I20" s="3516"/>
      <c r="J20" s="2425"/>
      <c r="K20" s="3538"/>
      <c r="L20" s="2427"/>
      <c r="M20" s="3538"/>
      <c r="N20" s="2427"/>
      <c r="O20" s="3538"/>
      <c r="P20" s="2427"/>
      <c r="Q20" s="3538"/>
      <c r="R20" s="2427"/>
      <c r="S20" s="3407"/>
    </row>
    <row r="21" spans="1:19" ht="15.75" thickBot="1">
      <c r="A21" s="59"/>
      <c r="B21" s="2428" t="s">
        <v>645</v>
      </c>
      <c r="C21" s="56"/>
      <c r="D21" s="57"/>
      <c r="E21" s="57"/>
      <c r="F21" s="57"/>
      <c r="G21" s="63"/>
      <c r="H21" s="2427"/>
      <c r="I21" s="3516"/>
      <c r="J21" s="2427"/>
      <c r="K21" s="3538"/>
      <c r="L21" s="2427"/>
      <c r="M21" s="3538"/>
      <c r="N21" s="2427"/>
      <c r="O21" s="3538"/>
      <c r="P21" s="2427"/>
      <c r="Q21" s="3538"/>
      <c r="R21" s="2427"/>
      <c r="S21" s="3539"/>
    </row>
    <row r="22" spans="1:19">
      <c r="A22" s="3540"/>
      <c r="B22" s="2318" t="s">
        <v>512</v>
      </c>
      <c r="C22" s="2426"/>
      <c r="D22" s="2405"/>
      <c r="E22" s="2405"/>
      <c r="F22" s="2405"/>
      <c r="G22" s="2423"/>
      <c r="H22" s="2427"/>
      <c r="I22" s="3516"/>
      <c r="J22" s="2427"/>
      <c r="K22" s="3538"/>
      <c r="L22" s="2427"/>
      <c r="M22" s="3538"/>
      <c r="N22" s="2427"/>
      <c r="O22" s="3538"/>
      <c r="P22" s="2427"/>
      <c r="Q22" s="3538"/>
      <c r="R22" s="2427"/>
      <c r="S22" s="3539"/>
    </row>
    <row r="23" spans="1:19">
      <c r="A23" s="3541"/>
      <c r="B23" s="3542" t="s">
        <v>513</v>
      </c>
      <c r="C23" s="3435"/>
      <c r="D23" s="3436"/>
      <c r="E23" s="3436"/>
      <c r="F23" s="2405"/>
      <c r="G23" s="2423"/>
      <c r="H23" s="2427"/>
      <c r="I23" s="3516"/>
      <c r="J23" s="2427"/>
      <c r="K23" s="3538"/>
      <c r="L23" s="2427"/>
      <c r="M23" s="3538"/>
      <c r="N23" s="2427"/>
      <c r="O23" s="3538"/>
      <c r="P23" s="2427"/>
      <c r="Q23" s="3538"/>
      <c r="R23" s="2427"/>
      <c r="S23" s="3539"/>
    </row>
    <row r="24" spans="1:19">
      <c r="A24" s="3541"/>
      <c r="B24" s="3542" t="s">
        <v>514</v>
      </c>
      <c r="C24" s="3543"/>
      <c r="D24" s="3436"/>
      <c r="E24" s="3436"/>
      <c r="F24" s="2405"/>
      <c r="G24" s="2423"/>
      <c r="H24" s="2427"/>
      <c r="I24" s="3516"/>
      <c r="J24" s="2427"/>
      <c r="K24" s="3538"/>
      <c r="L24" s="2427"/>
      <c r="M24" s="3538"/>
      <c r="N24" s="2427"/>
      <c r="O24" s="3538"/>
      <c r="P24" s="2427"/>
      <c r="Q24" s="3538"/>
      <c r="R24" s="2427"/>
      <c r="S24" s="3539"/>
    </row>
    <row r="25" spans="1:19">
      <c r="A25" s="3541"/>
      <c r="B25" s="3544" t="s">
        <v>515</v>
      </c>
      <c r="C25" s="3543"/>
      <c r="D25" s="3436"/>
      <c r="E25" s="3436"/>
      <c r="F25" s="2405"/>
      <c r="G25" s="2423"/>
      <c r="H25" s="2427"/>
      <c r="I25" s="3516"/>
      <c r="J25" s="2427"/>
      <c r="K25" s="3538"/>
      <c r="L25" s="2427"/>
      <c r="M25" s="3538"/>
      <c r="N25" s="2427"/>
      <c r="O25" s="3538"/>
      <c r="P25" s="2427"/>
      <c r="Q25" s="3538"/>
      <c r="R25" s="2427"/>
      <c r="S25" s="3539"/>
    </row>
    <row r="26" spans="1:19">
      <c r="A26" s="3541"/>
      <c r="B26" s="3544" t="s">
        <v>516</v>
      </c>
      <c r="C26" s="3543"/>
      <c r="D26" s="3436"/>
      <c r="E26" s="3436"/>
      <c r="F26" s="2405"/>
      <c r="G26" s="2423"/>
      <c r="H26" s="2427"/>
      <c r="I26" s="3516"/>
      <c r="J26" s="2427"/>
      <c r="K26" s="3538"/>
      <c r="L26" s="2427"/>
      <c r="M26" s="3538"/>
      <c r="N26" s="2427"/>
      <c r="O26" s="3538"/>
      <c r="P26" s="2427"/>
      <c r="Q26" s="3538"/>
      <c r="R26" s="2427"/>
      <c r="S26" s="3539"/>
    </row>
    <row r="27" spans="1:19">
      <c r="A27" s="3541"/>
      <c r="B27" s="3544" t="s">
        <v>1309</v>
      </c>
      <c r="C27" s="3543"/>
      <c r="D27" s="3436"/>
      <c r="E27" s="3436"/>
      <c r="F27" s="2405"/>
      <c r="G27" s="2423"/>
      <c r="H27" s="2427"/>
      <c r="I27" s="3516"/>
      <c r="J27" s="2427"/>
      <c r="K27" s="3538"/>
      <c r="L27" s="2427"/>
      <c r="M27" s="3538"/>
      <c r="N27" s="2427"/>
      <c r="O27" s="3538"/>
      <c r="P27" s="2427"/>
      <c r="Q27" s="3538"/>
      <c r="R27" s="2427"/>
      <c r="S27" s="3539"/>
    </row>
    <row r="28" spans="1:19">
      <c r="A28" s="3541"/>
      <c r="B28" s="3544" t="s">
        <v>517</v>
      </c>
      <c r="C28" s="3543"/>
      <c r="D28" s="3436"/>
      <c r="E28" s="3436"/>
      <c r="F28" s="2405"/>
      <c r="G28" s="2423"/>
      <c r="H28" s="2427"/>
      <c r="I28" s="3516"/>
      <c r="J28" s="2427"/>
      <c r="K28" s="3538"/>
      <c r="L28" s="2427"/>
      <c r="M28" s="3538"/>
      <c r="N28" s="2427"/>
      <c r="O28" s="3538"/>
      <c r="P28" s="2427"/>
      <c r="Q28" s="3538"/>
      <c r="R28" s="2427"/>
      <c r="S28" s="3539"/>
    </row>
    <row r="29" spans="1:19">
      <c r="A29" s="3541"/>
      <c r="B29" s="3545" t="s">
        <v>518</v>
      </c>
      <c r="C29" s="3543"/>
      <c r="D29" s="3436"/>
      <c r="E29" s="3436"/>
      <c r="F29" s="2405"/>
      <c r="G29" s="2423"/>
      <c r="H29" s="2427"/>
      <c r="I29" s="3516"/>
      <c r="J29" s="2427"/>
      <c r="K29" s="3538"/>
      <c r="L29" s="2427"/>
      <c r="M29" s="3538"/>
      <c r="N29" s="2427"/>
      <c r="O29" s="3538"/>
      <c r="P29" s="2427"/>
      <c r="Q29" s="3538"/>
      <c r="R29" s="2427"/>
      <c r="S29" s="3539"/>
    </row>
    <row r="30" spans="1:19">
      <c r="A30" s="3541"/>
      <c r="B30" s="3545" t="s">
        <v>693</v>
      </c>
      <c r="C30" s="3543"/>
      <c r="D30" s="3436"/>
      <c r="E30" s="3436"/>
      <c r="F30" s="2405"/>
      <c r="G30" s="2423"/>
      <c r="H30" s="2427"/>
      <c r="I30" s="3546"/>
      <c r="J30" s="2427"/>
      <c r="K30" s="3538"/>
      <c r="L30" s="2427"/>
      <c r="M30" s="3538"/>
      <c r="N30" s="2427"/>
      <c r="O30" s="3538"/>
      <c r="P30" s="2427"/>
      <c r="Q30" s="3538"/>
      <c r="R30" s="2427"/>
      <c r="S30" s="3547"/>
    </row>
    <row r="31" spans="1:19">
      <c r="A31" s="3541"/>
      <c r="B31" s="3495" t="s">
        <v>519</v>
      </c>
      <c r="C31" s="3543"/>
      <c r="D31" s="3436"/>
      <c r="E31" s="3436"/>
      <c r="F31" s="2405"/>
      <c r="G31" s="2423"/>
      <c r="H31" s="2427"/>
      <c r="I31" s="3516"/>
      <c r="J31" s="2427"/>
      <c r="K31" s="3538"/>
      <c r="L31" s="2427"/>
      <c r="M31" s="3538"/>
      <c r="N31" s="2427"/>
      <c r="O31" s="3538"/>
      <c r="P31" s="2427"/>
      <c r="Q31" s="3538"/>
      <c r="R31" s="2427"/>
      <c r="S31" s="3539"/>
    </row>
    <row r="32" spans="1:19">
      <c r="A32" s="3541"/>
      <c r="B32" s="3548" t="s">
        <v>520</v>
      </c>
      <c r="C32" s="3549"/>
      <c r="D32" s="2980"/>
      <c r="E32" s="2980"/>
      <c r="F32" s="2980"/>
      <c r="G32" s="3079"/>
      <c r="H32" s="3550"/>
      <c r="I32" s="3551"/>
      <c r="J32" s="3551"/>
      <c r="K32" s="3551"/>
      <c r="L32" s="3552"/>
      <c r="M32" s="3553"/>
      <c r="N32" s="3551"/>
      <c r="O32" s="3551"/>
      <c r="P32" s="3551"/>
      <c r="Q32" s="3551"/>
      <c r="R32" s="2439"/>
      <c r="S32" s="3553"/>
    </row>
    <row r="33" spans="1:19" ht="15.75">
      <c r="A33" s="3541"/>
      <c r="B33" s="3554"/>
      <c r="C33" s="3543"/>
      <c r="D33" s="3436"/>
      <c r="E33" s="3436"/>
      <c r="F33" s="2405"/>
      <c r="G33" s="2423"/>
      <c r="H33" s="2537"/>
      <c r="I33" s="3516"/>
      <c r="J33" s="2427"/>
      <c r="K33" s="3538"/>
      <c r="L33" s="2427"/>
      <c r="M33" s="3538"/>
      <c r="N33" s="2427"/>
      <c r="O33" s="3538"/>
      <c r="P33" s="2427"/>
      <c r="Q33" s="3538"/>
      <c r="R33" s="2427"/>
      <c r="S33" s="2424"/>
    </row>
    <row r="34" spans="1:19" ht="15.75">
      <c r="A34" s="3555"/>
      <c r="B34" s="3556" t="s">
        <v>694</v>
      </c>
      <c r="C34" s="3557"/>
      <c r="D34" s="3558"/>
      <c r="E34" s="3558"/>
      <c r="F34" s="2450"/>
      <c r="G34" s="2531"/>
      <c r="H34" s="2765"/>
      <c r="I34" s="3559"/>
      <c r="J34" s="2453"/>
      <c r="K34" s="3560"/>
      <c r="L34" s="2453"/>
      <c r="M34" s="3560"/>
      <c r="N34" s="2453"/>
      <c r="O34" s="3560"/>
      <c r="P34" s="2453"/>
      <c r="Q34" s="3560"/>
      <c r="R34" s="2453"/>
      <c r="S34" s="3561"/>
    </row>
    <row r="35" spans="1:19" ht="15.75">
      <c r="A35" s="3555"/>
      <c r="B35" s="3554"/>
      <c r="C35" s="3543"/>
      <c r="D35" s="3436"/>
      <c r="E35" s="3436"/>
      <c r="F35" s="2405"/>
      <c r="G35" s="2423"/>
      <c r="H35" s="2537"/>
      <c r="I35" s="3562"/>
      <c r="J35" s="2427"/>
      <c r="K35" s="3563"/>
      <c r="L35" s="2427"/>
      <c r="M35" s="3563"/>
      <c r="N35" s="2427"/>
      <c r="O35" s="3563"/>
      <c r="P35" s="2427"/>
      <c r="Q35" s="3563"/>
      <c r="R35" s="2427"/>
      <c r="S35" s="2424"/>
    </row>
    <row r="36" spans="1:19" ht="15.75">
      <c r="A36" s="3555"/>
      <c r="B36" s="3564" t="s">
        <v>695</v>
      </c>
      <c r="C36" s="3565"/>
      <c r="D36" s="3566"/>
      <c r="E36" s="3566"/>
      <c r="F36" s="2456"/>
      <c r="G36" s="2532"/>
      <c r="H36" s="2769"/>
      <c r="I36" s="3567"/>
      <c r="J36" s="2459"/>
      <c r="K36" s="3568"/>
      <c r="L36" s="2459"/>
      <c r="M36" s="3568"/>
      <c r="N36" s="2459"/>
      <c r="O36" s="3568"/>
      <c r="P36" s="2459"/>
      <c r="Q36" s="3568"/>
      <c r="R36" s="2459"/>
      <c r="S36" s="3569"/>
    </row>
    <row r="37" spans="1:19" ht="15.75">
      <c r="A37" s="3555"/>
      <c r="B37" s="3554" t="s">
        <v>645</v>
      </c>
      <c r="C37" s="3570" t="s">
        <v>731</v>
      </c>
      <c r="D37" s="3571">
        <f>'Cost Summary'!$J$9</f>
        <v>3.49</v>
      </c>
      <c r="E37" s="3436" t="s">
        <v>699</v>
      </c>
      <c r="F37" s="2405">
        <v>50000</v>
      </c>
      <c r="G37" s="2423">
        <f>D37*F37</f>
        <v>174500</v>
      </c>
      <c r="H37" s="2537"/>
      <c r="I37" s="3562">
        <f>G37</f>
        <v>174500</v>
      </c>
      <c r="J37" s="2427"/>
      <c r="K37" s="3563"/>
      <c r="L37" s="2427"/>
      <c r="M37" s="3563"/>
      <c r="N37" s="2427"/>
      <c r="O37" s="3563"/>
      <c r="P37" s="2427"/>
      <c r="Q37" s="3563"/>
      <c r="R37" s="2427"/>
      <c r="S37" s="2424"/>
    </row>
    <row r="38" spans="1:19" ht="15.75">
      <c r="A38" s="3555"/>
      <c r="B38" s="3554" t="s">
        <v>1477</v>
      </c>
      <c r="C38" s="3572"/>
      <c r="D38" s="3571">
        <v>1</v>
      </c>
      <c r="E38" s="3436" t="s">
        <v>698</v>
      </c>
      <c r="F38" s="3573">
        <v>10000</v>
      </c>
      <c r="G38" s="2423">
        <f>D38*F38</f>
        <v>10000</v>
      </c>
      <c r="H38" s="2537"/>
      <c r="I38" s="3562">
        <f>G38</f>
        <v>10000</v>
      </c>
      <c r="J38" s="2427"/>
      <c r="K38" s="3563"/>
      <c r="L38" s="2427"/>
      <c r="M38" s="3563"/>
      <c r="N38" s="2427"/>
      <c r="O38" s="3563"/>
      <c r="P38" s="2427"/>
      <c r="Q38" s="3563"/>
      <c r="R38" s="2427"/>
      <c r="S38" s="2424"/>
    </row>
    <row r="39" spans="1:19" ht="15.75">
      <c r="A39" s="3555"/>
      <c r="B39" s="3554"/>
      <c r="C39" s="3543"/>
      <c r="D39" s="3436"/>
      <c r="E39" s="3436"/>
      <c r="F39" s="2405"/>
      <c r="G39" s="2423"/>
      <c r="H39" s="2537"/>
      <c r="I39" s="3562"/>
      <c r="J39" s="2427"/>
      <c r="K39" s="3563"/>
      <c r="L39" s="2427"/>
      <c r="M39" s="3563"/>
      <c r="N39" s="2427"/>
      <c r="O39" s="3563"/>
      <c r="P39" s="2427"/>
      <c r="Q39" s="3563"/>
      <c r="R39" s="2427"/>
      <c r="S39" s="2424"/>
    </row>
    <row r="40" spans="1:19" ht="15.75">
      <c r="A40" s="3555"/>
      <c r="B40" s="3556" t="s">
        <v>649</v>
      </c>
      <c r="C40" s="3557"/>
      <c r="D40" s="3558"/>
      <c r="E40" s="3558"/>
      <c r="F40" s="2450"/>
      <c r="G40" s="2531"/>
      <c r="H40" s="2765"/>
      <c r="I40" s="3559"/>
      <c r="J40" s="2453"/>
      <c r="K40" s="3560"/>
      <c r="L40" s="2453"/>
      <c r="M40" s="3560"/>
      <c r="N40" s="2453"/>
      <c r="O40" s="3560"/>
      <c r="P40" s="2453"/>
      <c r="Q40" s="3560"/>
      <c r="R40" s="2453"/>
      <c r="S40" s="3561"/>
    </row>
    <row r="41" spans="1:19" ht="15.75">
      <c r="A41" s="3555"/>
      <c r="B41" s="3554"/>
      <c r="C41" s="3543"/>
      <c r="D41" s="3436"/>
      <c r="E41" s="3436"/>
      <c r="F41" s="2405"/>
      <c r="G41" s="2423"/>
      <c r="H41" s="2537"/>
      <c r="I41" s="3562"/>
      <c r="J41" s="2427"/>
      <c r="K41" s="3563"/>
      <c r="L41" s="2427"/>
      <c r="M41" s="3563"/>
      <c r="N41" s="2427"/>
      <c r="O41" s="3563"/>
      <c r="P41" s="2427"/>
      <c r="Q41" s="3563"/>
      <c r="R41" s="2427"/>
      <c r="S41" s="2424"/>
    </row>
    <row r="42" spans="1:19" ht="15.75">
      <c r="A42" s="3555"/>
      <c r="B42" s="3564" t="s">
        <v>700</v>
      </c>
      <c r="C42" s="3565"/>
      <c r="D42" s="3566"/>
      <c r="E42" s="3566"/>
      <c r="F42" s="2456"/>
      <c r="G42" s="2532"/>
      <c r="H42" s="2769"/>
      <c r="I42" s="3567"/>
      <c r="J42" s="2459"/>
      <c r="K42" s="3568"/>
      <c r="L42" s="2459"/>
      <c r="M42" s="3568"/>
      <c r="N42" s="2459"/>
      <c r="O42" s="3568"/>
      <c r="P42" s="2459"/>
      <c r="Q42" s="3568"/>
      <c r="R42" s="2459"/>
      <c r="S42" s="3569"/>
    </row>
    <row r="43" spans="1:19" ht="15.75">
      <c r="A43" s="3555"/>
      <c r="B43" s="3554" t="s">
        <v>645</v>
      </c>
      <c r="C43" s="3570" t="s">
        <v>1353</v>
      </c>
      <c r="D43" s="3571">
        <f>'Cost Summary'!$N$9</f>
        <v>2.14</v>
      </c>
      <c r="E43" s="3436" t="s">
        <v>699</v>
      </c>
      <c r="F43" s="2405">
        <v>75000</v>
      </c>
      <c r="G43" s="2423">
        <f>D43*F43</f>
        <v>160500</v>
      </c>
      <c r="H43" s="2537"/>
      <c r="I43" s="3562">
        <f>G43</f>
        <v>160500</v>
      </c>
      <c r="J43" s="2427"/>
      <c r="K43" s="3563"/>
      <c r="L43" s="2427"/>
      <c r="M43" s="3563"/>
      <c r="N43" s="2427"/>
      <c r="O43" s="3563"/>
      <c r="P43" s="2427"/>
      <c r="Q43" s="3563"/>
      <c r="R43" s="2427"/>
      <c r="S43" s="2424"/>
    </row>
    <row r="44" spans="1:19" ht="15.75">
      <c r="A44" s="3555"/>
      <c r="B44" s="3554"/>
      <c r="C44" s="3543"/>
      <c r="D44" s="3436"/>
      <c r="E44" s="3436"/>
      <c r="F44" s="2405"/>
      <c r="G44" s="2423"/>
      <c r="H44" s="2537"/>
      <c r="I44" s="3562"/>
      <c r="J44" s="2427"/>
      <c r="K44" s="3563"/>
      <c r="L44" s="2427"/>
      <c r="M44" s="3563"/>
      <c r="N44" s="2427"/>
      <c r="O44" s="3563"/>
      <c r="P44" s="2427"/>
      <c r="Q44" s="3563"/>
      <c r="R44" s="2427"/>
      <c r="S44" s="2424"/>
    </row>
    <row r="45" spans="1:19" ht="15.75">
      <c r="A45" s="3555"/>
      <c r="B45" s="3556" t="s">
        <v>703</v>
      </c>
      <c r="C45" s="3557"/>
      <c r="D45" s="3558"/>
      <c r="E45" s="3558"/>
      <c r="F45" s="2450"/>
      <c r="G45" s="2531"/>
      <c r="H45" s="2765"/>
      <c r="I45" s="3559"/>
      <c r="J45" s="2453"/>
      <c r="K45" s="3560"/>
      <c r="L45" s="2453"/>
      <c r="M45" s="3560"/>
      <c r="N45" s="2453"/>
      <c r="O45" s="3560"/>
      <c r="P45" s="2453"/>
      <c r="Q45" s="3560"/>
      <c r="R45" s="2453"/>
      <c r="S45" s="3561"/>
    </row>
    <row r="46" spans="1:19" ht="15.75">
      <c r="A46" s="3555"/>
      <c r="B46" s="3554"/>
      <c r="C46" s="3543"/>
      <c r="D46" s="3436"/>
      <c r="E46" s="3436"/>
      <c r="F46" s="2405"/>
      <c r="G46" s="2423"/>
      <c r="H46" s="2537"/>
      <c r="I46" s="3562"/>
      <c r="J46" s="2427"/>
      <c r="K46" s="3563"/>
      <c r="L46" s="2427"/>
      <c r="M46" s="3563"/>
      <c r="N46" s="2427"/>
      <c r="O46" s="3563"/>
      <c r="P46" s="2427"/>
      <c r="Q46" s="3563"/>
      <c r="R46" s="2427"/>
      <c r="S46" s="2424"/>
    </row>
    <row r="47" spans="1:19" ht="15.75">
      <c r="A47" s="3555"/>
      <c r="B47" s="3564" t="s">
        <v>704</v>
      </c>
      <c r="C47" s="3565"/>
      <c r="D47" s="3566"/>
      <c r="E47" s="3566"/>
      <c r="F47" s="2456"/>
      <c r="G47" s="2532"/>
      <c r="H47" s="2769"/>
      <c r="I47" s="3567"/>
      <c r="J47" s="2459"/>
      <c r="K47" s="3568"/>
      <c r="L47" s="2459"/>
      <c r="M47" s="3568"/>
      <c r="N47" s="2459"/>
      <c r="O47" s="3568"/>
      <c r="P47" s="2459"/>
      <c r="Q47" s="3568"/>
      <c r="R47" s="2459"/>
      <c r="S47" s="3569"/>
    </row>
    <row r="48" spans="1:19" ht="15.75">
      <c r="A48" s="3555"/>
      <c r="B48" s="3554" t="s">
        <v>645</v>
      </c>
      <c r="C48" s="3570" t="s">
        <v>1353</v>
      </c>
      <c r="D48" s="3571">
        <f>'Cost Summary'!$R$9</f>
        <v>0.96</v>
      </c>
      <c r="E48" s="3436" t="s">
        <v>699</v>
      </c>
      <c r="F48" s="2405">
        <v>100000</v>
      </c>
      <c r="G48" s="2423">
        <f>D48*F48</f>
        <v>96000</v>
      </c>
      <c r="H48" s="2537"/>
      <c r="I48" s="3562">
        <f>G48</f>
        <v>96000</v>
      </c>
      <c r="J48" s="2427"/>
      <c r="K48" s="3563"/>
      <c r="L48" s="2427"/>
      <c r="M48" s="3563"/>
      <c r="N48" s="2427"/>
      <c r="O48" s="3563"/>
      <c r="P48" s="2427"/>
      <c r="Q48" s="3563"/>
      <c r="R48" s="2427"/>
      <c r="S48" s="2424"/>
    </row>
    <row r="49" spans="1:19" ht="15.75">
      <c r="A49" s="3555"/>
      <c r="B49" s="3554" t="s">
        <v>1478</v>
      </c>
      <c r="C49" s="3572" t="s">
        <v>702</v>
      </c>
      <c r="D49" s="3571">
        <v>1425</v>
      </c>
      <c r="E49" s="3436" t="s">
        <v>723</v>
      </c>
      <c r="F49" s="2405">
        <v>20</v>
      </c>
      <c r="G49" s="2423">
        <f>D49*F49</f>
        <v>28500</v>
      </c>
      <c r="H49" s="2537"/>
      <c r="I49" s="3562">
        <f>G49</f>
        <v>28500</v>
      </c>
      <c r="J49" s="2427"/>
      <c r="K49" s="3563"/>
      <c r="L49" s="2427"/>
      <c r="M49" s="3563"/>
      <c r="N49" s="2427"/>
      <c r="O49" s="3563"/>
      <c r="P49" s="2427"/>
      <c r="Q49" s="3563"/>
      <c r="R49" s="2427"/>
      <c r="S49" s="2424"/>
    </row>
    <row r="50" spans="1:19" ht="15.75">
      <c r="A50" s="3555"/>
      <c r="B50" s="3554" t="s">
        <v>1477</v>
      </c>
      <c r="C50" s="3572"/>
      <c r="D50" s="3571">
        <v>1</v>
      </c>
      <c r="E50" s="3436" t="s">
        <v>698</v>
      </c>
      <c r="F50" s="3573">
        <v>20000</v>
      </c>
      <c r="G50" s="2423">
        <f>D50*F50</f>
        <v>20000</v>
      </c>
      <c r="H50" s="2537"/>
      <c r="I50" s="3562">
        <f>G50</f>
        <v>20000</v>
      </c>
      <c r="J50" s="2427"/>
      <c r="K50" s="3563"/>
      <c r="L50" s="2427"/>
      <c r="M50" s="3563"/>
      <c r="N50" s="2427"/>
      <c r="O50" s="3563"/>
      <c r="P50" s="2427"/>
      <c r="Q50" s="3563"/>
      <c r="R50" s="2427"/>
      <c r="S50" s="2424"/>
    </row>
    <row r="51" spans="1:19" ht="15.75">
      <c r="A51" s="3555"/>
      <c r="B51" s="3554"/>
      <c r="C51" s="3543"/>
      <c r="D51" s="3436"/>
      <c r="E51" s="3436"/>
      <c r="F51" s="2405"/>
      <c r="G51" s="2423"/>
      <c r="H51" s="2537"/>
      <c r="I51" s="3562"/>
      <c r="J51" s="2427"/>
      <c r="K51" s="3563"/>
      <c r="L51" s="2427"/>
      <c r="M51" s="3563"/>
      <c r="N51" s="2427"/>
      <c r="O51" s="3563"/>
      <c r="P51" s="2427"/>
      <c r="Q51" s="3563"/>
      <c r="R51" s="2427"/>
      <c r="S51" s="2424"/>
    </row>
    <row r="52" spans="1:19" ht="15.75">
      <c r="A52" s="3555"/>
      <c r="B52" s="3556" t="s">
        <v>705</v>
      </c>
      <c r="C52" s="3557"/>
      <c r="D52" s="3558"/>
      <c r="E52" s="3558"/>
      <c r="F52" s="2450"/>
      <c r="G52" s="2531"/>
      <c r="H52" s="2765"/>
      <c r="I52" s="3559"/>
      <c r="J52" s="2453"/>
      <c r="K52" s="3560"/>
      <c r="L52" s="2453"/>
      <c r="M52" s="3560"/>
      <c r="N52" s="2453"/>
      <c r="O52" s="3560"/>
      <c r="P52" s="2453"/>
      <c r="Q52" s="3560"/>
      <c r="R52" s="2453"/>
      <c r="S52" s="3561"/>
    </row>
    <row r="53" spans="1:19" ht="15.75">
      <c r="A53" s="3555"/>
      <c r="B53" s="3554"/>
      <c r="C53" s="3543"/>
      <c r="D53" s="3436"/>
      <c r="E53" s="3436"/>
      <c r="F53" s="2405"/>
      <c r="G53" s="2423"/>
      <c r="H53" s="2537"/>
      <c r="I53" s="3562"/>
      <c r="J53" s="2427"/>
      <c r="K53" s="3563"/>
      <c r="L53" s="2427"/>
      <c r="M53" s="3563"/>
      <c r="N53" s="2427"/>
      <c r="O53" s="3563"/>
      <c r="P53" s="2427"/>
      <c r="Q53" s="3563"/>
      <c r="R53" s="2427"/>
      <c r="S53" s="2424"/>
    </row>
    <row r="54" spans="1:19" ht="15.75">
      <c r="A54" s="3555"/>
      <c r="B54" s="3564" t="s">
        <v>602</v>
      </c>
      <c r="C54" s="3565"/>
      <c r="D54" s="3566"/>
      <c r="E54" s="3566"/>
      <c r="F54" s="2456"/>
      <c r="G54" s="2532"/>
      <c r="H54" s="2769"/>
      <c r="I54" s="3567"/>
      <c r="J54" s="2459"/>
      <c r="K54" s="3568"/>
      <c r="L54" s="2459"/>
      <c r="M54" s="3568"/>
      <c r="N54" s="2459"/>
      <c r="O54" s="3568"/>
      <c r="P54" s="2459"/>
      <c r="Q54" s="3568"/>
      <c r="R54" s="2459"/>
      <c r="S54" s="3569"/>
    </row>
    <row r="55" spans="1:19" ht="15.75">
      <c r="A55" s="3555"/>
      <c r="B55" s="3554"/>
      <c r="C55" s="3543"/>
      <c r="D55" s="3436"/>
      <c r="E55" s="3436"/>
      <c r="F55" s="2405"/>
      <c r="G55" s="2423"/>
      <c r="H55" s="2537"/>
      <c r="I55" s="3562"/>
      <c r="J55" s="2427"/>
      <c r="K55" s="3563"/>
      <c r="L55" s="2427"/>
      <c r="M55" s="3563"/>
      <c r="N55" s="2427"/>
      <c r="O55" s="3563"/>
      <c r="P55" s="2427"/>
      <c r="Q55" s="3563"/>
      <c r="R55" s="2427"/>
      <c r="S55" s="2424"/>
    </row>
    <row r="56" spans="1:19" ht="15.75">
      <c r="A56" s="3555"/>
      <c r="B56" s="3554"/>
      <c r="C56" s="3543"/>
      <c r="D56" s="3436"/>
      <c r="E56" s="3436"/>
      <c r="F56" s="2405"/>
      <c r="G56" s="2423"/>
      <c r="H56" s="2537"/>
      <c r="I56" s="3562"/>
      <c r="J56" s="2427"/>
      <c r="K56" s="3563"/>
      <c r="L56" s="2427"/>
      <c r="M56" s="3563"/>
      <c r="N56" s="2427"/>
      <c r="O56" s="3563"/>
      <c r="P56" s="2427"/>
      <c r="Q56" s="3563"/>
      <c r="R56" s="2427"/>
      <c r="S56" s="2424"/>
    </row>
    <row r="57" spans="1:19">
      <c r="A57" s="3541"/>
      <c r="B57" s="3574"/>
      <c r="C57" s="3435"/>
      <c r="D57" s="3436"/>
      <c r="E57" s="3436"/>
      <c r="F57" s="2405"/>
      <c r="G57" s="2423"/>
      <c r="H57" s="2427"/>
      <c r="I57" s="3575"/>
      <c r="J57" s="2427"/>
      <c r="K57" s="3538"/>
      <c r="L57" s="2427"/>
      <c r="M57" s="3576"/>
      <c r="N57" s="2427"/>
      <c r="O57" s="3576"/>
      <c r="P57" s="2427"/>
      <c r="Q57" s="3576"/>
      <c r="R57" s="2537"/>
      <c r="S57" s="3576"/>
    </row>
    <row r="58" spans="1:19" ht="15.75" thickTop="1">
      <c r="A58" s="14"/>
      <c r="B58" s="15"/>
      <c r="C58" s="16"/>
      <c r="D58" s="16"/>
      <c r="E58" s="17"/>
      <c r="F58" s="18" t="s">
        <v>567</v>
      </c>
      <c r="G58" s="19"/>
      <c r="H58" s="20"/>
      <c r="I58" s="61">
        <f>SUM(I23:I57)</f>
        <v>489500</v>
      </c>
      <c r="J58" s="51"/>
      <c r="K58" s="61">
        <f>SUM(K23:K57)</f>
        <v>0</v>
      </c>
      <c r="L58" s="20"/>
      <c r="M58" s="61">
        <f>SUM(M23:M57)</f>
        <v>0</v>
      </c>
      <c r="N58" s="20"/>
      <c r="O58" s="61">
        <f>SUM(O23:O57)</f>
        <v>0</v>
      </c>
      <c r="P58" s="20"/>
      <c r="Q58" s="61">
        <f>SUM(Q23:Q57)</f>
        <v>0</v>
      </c>
      <c r="R58" s="20"/>
      <c r="S58" s="61">
        <f>SUM(S23:S57)</f>
        <v>0</v>
      </c>
    </row>
    <row r="59" spans="1:19">
      <c r="A59" s="2358"/>
      <c r="B59" s="2359"/>
      <c r="C59" s="2360"/>
      <c r="D59" s="2360"/>
      <c r="E59" s="2361"/>
      <c r="F59" s="2362" t="s">
        <v>568</v>
      </c>
      <c r="G59" s="2363"/>
      <c r="H59" s="2364">
        <v>0</v>
      </c>
      <c r="I59" s="2460"/>
      <c r="J59" s="2461">
        <v>0</v>
      </c>
      <c r="K59" s="2460"/>
      <c r="L59" s="2364">
        <v>0</v>
      </c>
      <c r="M59" s="2460"/>
      <c r="N59" s="2364">
        <v>0</v>
      </c>
      <c r="O59" s="2460"/>
      <c r="P59" s="2364">
        <v>0</v>
      </c>
      <c r="Q59" s="2460"/>
      <c r="R59" s="2364">
        <v>0</v>
      </c>
      <c r="S59" s="2460"/>
    </row>
    <row r="60" spans="1:19">
      <c r="A60" s="2358"/>
      <c r="B60" s="2359"/>
      <c r="C60" s="2360"/>
      <c r="D60" s="2360"/>
      <c r="E60" s="2361"/>
      <c r="F60" s="2362" t="s">
        <v>569</v>
      </c>
      <c r="G60" s="2363"/>
      <c r="H60" s="2366"/>
      <c r="I60" s="2462">
        <f>I58*H59</f>
        <v>0</v>
      </c>
      <c r="J60" s="2463"/>
      <c r="K60" s="2462">
        <f>K58*J59</f>
        <v>0</v>
      </c>
      <c r="L60" s="2366"/>
      <c r="M60" s="2462">
        <f>M58*L59</f>
        <v>0</v>
      </c>
      <c r="N60" s="2366"/>
      <c r="O60" s="2462">
        <f>O58*N59</f>
        <v>0</v>
      </c>
      <c r="P60" s="2366"/>
      <c r="Q60" s="2462">
        <f>Q58*P59</f>
        <v>0</v>
      </c>
      <c r="R60" s="2366"/>
      <c r="S60" s="2462">
        <f>S58*R59</f>
        <v>0</v>
      </c>
    </row>
    <row r="61" spans="1:19">
      <c r="A61" s="2358"/>
      <c r="B61" s="2359"/>
      <c r="C61" s="2360"/>
      <c r="D61" s="2360"/>
      <c r="E61" s="2361"/>
      <c r="F61" s="2362"/>
      <c r="G61" s="2363"/>
      <c r="H61" s="2366"/>
      <c r="I61" s="2464"/>
      <c r="J61" s="2463"/>
      <c r="K61" s="2464"/>
      <c r="L61" s="2366"/>
      <c r="M61" s="2464"/>
      <c r="N61" s="2366"/>
      <c r="O61" s="2464"/>
      <c r="P61" s="2366"/>
      <c r="Q61" s="2464"/>
      <c r="R61" s="2366"/>
      <c r="S61" s="2464"/>
    </row>
    <row r="62" spans="1:19">
      <c r="A62" s="2358"/>
      <c r="B62" s="2359"/>
      <c r="C62" s="2360"/>
      <c r="D62" s="2360"/>
      <c r="E62" s="2361"/>
      <c r="F62" s="2362" t="s">
        <v>570</v>
      </c>
      <c r="G62" s="2363"/>
      <c r="H62" s="2368"/>
      <c r="I62" s="2465">
        <f>SUM(I58:I60)</f>
        <v>489500</v>
      </c>
      <c r="J62" s="2466"/>
      <c r="K62" s="2465">
        <f>SUM(K58:K60)</f>
        <v>0</v>
      </c>
      <c r="L62" s="2368"/>
      <c r="M62" s="2465">
        <f>SUM(M58:M60)</f>
        <v>0</v>
      </c>
      <c r="N62" s="2368"/>
      <c r="O62" s="2465">
        <f>SUM(O58:O60)</f>
        <v>0</v>
      </c>
      <c r="P62" s="2368"/>
      <c r="Q62" s="2465">
        <f>SUM(Q58:Q60)</f>
        <v>0</v>
      </c>
      <c r="R62" s="2368"/>
      <c r="S62" s="2465">
        <f>SUM(S58:S60)</f>
        <v>0</v>
      </c>
    </row>
    <row r="63" spans="1:19">
      <c r="A63" s="2358"/>
      <c r="B63" s="2359"/>
      <c r="C63" s="2360"/>
      <c r="D63" s="2360"/>
      <c r="E63" s="2361"/>
      <c r="F63" s="2370" t="s">
        <v>571</v>
      </c>
      <c r="G63" s="2371"/>
      <c r="H63" s="2372"/>
      <c r="I63" s="2373" t="e">
        <f>I62/'Area Calculations'!$J$4</f>
        <v>#DIV/0!</v>
      </c>
      <c r="J63" s="2467"/>
      <c r="K63" s="2373" t="e">
        <f>K62/'Area Calculations'!$J$4</f>
        <v>#DIV/0!</v>
      </c>
      <c r="L63" s="2372"/>
      <c r="M63" s="2373" t="e">
        <f>M62/'Area Calculations'!$J$4</f>
        <v>#DIV/0!</v>
      </c>
      <c r="N63" s="2372"/>
      <c r="O63" s="2373" t="e">
        <f>O62/'Area Calculations'!$J$4</f>
        <v>#DIV/0!</v>
      </c>
      <c r="P63" s="2372"/>
      <c r="Q63" s="2373" t="e">
        <f>Q62/'Area Calculations'!$J$4</f>
        <v>#DIV/0!</v>
      </c>
      <c r="R63" s="2372"/>
      <c r="S63" s="2373" t="e">
        <f>S62/'Area Calculations'!$J$4</f>
        <v>#DIV/0!</v>
      </c>
    </row>
    <row r="64" spans="1:19">
      <c r="A64" s="2358"/>
      <c r="B64" s="2359"/>
      <c r="C64" s="2360"/>
      <c r="D64" s="2360"/>
      <c r="E64" s="2361"/>
      <c r="F64" s="2370" t="s">
        <v>572</v>
      </c>
      <c r="G64" s="2374"/>
      <c r="H64" s="2372"/>
      <c r="I64" s="2373" t="e">
        <f>I62/'Area Calculations'!#REF!</f>
        <v>#REF!</v>
      </c>
      <c r="J64" s="2467"/>
      <c r="K64" s="2373" t="e">
        <f>K62/'Area Calculations'!#REF!</f>
        <v>#REF!</v>
      </c>
      <c r="L64" s="2372"/>
      <c r="M64" s="2373" t="e">
        <f>M62/'Area Calculations'!#REF!</f>
        <v>#REF!</v>
      </c>
      <c r="N64" s="2372"/>
      <c r="O64" s="2373" t="e">
        <f>O62/'Area Calculations'!#REF!</f>
        <v>#REF!</v>
      </c>
      <c r="P64" s="2372"/>
      <c r="Q64" s="2373" t="e">
        <f>Q62/'Area Calculations'!#REF!</f>
        <v>#REF!</v>
      </c>
      <c r="R64" s="2372"/>
      <c r="S64" s="2373" t="e">
        <f>S62/'Area Calculations'!#REF!</f>
        <v>#REF!</v>
      </c>
    </row>
    <row r="65" spans="1:19" ht="15.75" thickBot="1">
      <c r="A65" s="2358"/>
      <c r="B65" s="2359"/>
      <c r="C65" s="2360"/>
      <c r="D65" s="2360"/>
      <c r="E65" s="2361"/>
      <c r="F65" s="2362"/>
      <c r="G65" s="2363"/>
      <c r="H65" s="2378"/>
      <c r="I65" s="3439"/>
      <c r="J65" s="3490"/>
      <c r="K65" s="2378"/>
      <c r="L65" s="2378"/>
      <c r="M65" s="2378"/>
      <c r="N65" s="2378"/>
      <c r="O65" s="2378"/>
      <c r="P65" s="2378"/>
      <c r="Q65" s="2378"/>
      <c r="R65" s="2378"/>
      <c r="S65" s="2378"/>
    </row>
    <row r="66" spans="1:19" ht="16.5" thickTop="1" thickBot="1">
      <c r="A66" s="726" t="s">
        <v>573</v>
      </c>
      <c r="B66" s="727"/>
      <c r="C66" s="12"/>
      <c r="D66" s="12"/>
      <c r="E66" s="12"/>
      <c r="F66" s="12"/>
      <c r="G66" s="13"/>
      <c r="H66" s="21"/>
      <c r="I66" s="21"/>
      <c r="J66" s="52"/>
      <c r="K66" s="21"/>
      <c r="L66" s="21"/>
      <c r="M66" s="21"/>
      <c r="N66" s="21"/>
      <c r="O66" s="21"/>
      <c r="P66" s="21"/>
      <c r="Q66" s="21"/>
      <c r="R66" s="21"/>
      <c r="S66" s="21"/>
    </row>
    <row r="67" spans="1:19" ht="15.75" thickTop="1">
      <c r="A67" s="3577"/>
      <c r="B67" s="2404"/>
      <c r="C67" s="3578"/>
      <c r="D67" s="3578"/>
      <c r="E67" s="3578"/>
      <c r="F67" s="3578"/>
      <c r="G67" s="3579"/>
      <c r="H67" s="3580"/>
      <c r="I67" s="3580"/>
      <c r="J67" s="3581"/>
      <c r="K67" s="3580"/>
      <c r="L67" s="3580"/>
      <c r="M67" s="3580"/>
      <c r="N67" s="3580"/>
      <c r="O67" s="3580"/>
      <c r="P67" s="3580"/>
      <c r="Q67" s="3580"/>
      <c r="R67" s="3580"/>
      <c r="S67" s="3580"/>
    </row>
    <row r="68" spans="1:19" s="2" customFormat="1">
      <c r="A68" s="3577"/>
      <c r="B68" s="2404"/>
      <c r="C68" s="3578"/>
      <c r="D68" s="3578"/>
      <c r="E68" s="3578"/>
      <c r="F68" s="3578"/>
      <c r="G68" s="3579"/>
      <c r="H68" s="3580"/>
      <c r="I68" s="3580"/>
      <c r="J68" s="3581"/>
      <c r="K68" s="3580"/>
      <c r="L68" s="3580"/>
      <c r="M68" s="3580"/>
      <c r="N68" s="3580"/>
      <c r="O68" s="3580"/>
      <c r="P68" s="3580"/>
      <c r="Q68" s="3580"/>
      <c r="R68" s="3580"/>
      <c r="S68" s="3580"/>
    </row>
    <row r="69" spans="1:19" s="2" customFormat="1" ht="15.75" thickBot="1">
      <c r="A69" s="3577"/>
      <c r="B69" s="2404"/>
      <c r="C69" s="3578"/>
      <c r="D69" s="3578"/>
      <c r="E69" s="3578"/>
      <c r="F69" s="3578"/>
      <c r="G69" s="3579"/>
      <c r="H69" s="3580"/>
      <c r="I69" s="3580"/>
      <c r="J69" s="3581"/>
      <c r="K69" s="3580"/>
      <c r="L69" s="3580"/>
      <c r="M69" s="3580"/>
      <c r="N69" s="3580"/>
      <c r="O69" s="3580"/>
      <c r="P69" s="3580"/>
      <c r="Q69" s="3580"/>
      <c r="R69" s="3580"/>
      <c r="S69" s="3580"/>
    </row>
    <row r="70" spans="1:19" s="2" customFormat="1" ht="16.5" thickTop="1" thickBot="1">
      <c r="A70" s="726" t="s">
        <v>574</v>
      </c>
      <c r="B70" s="727"/>
      <c r="C70" s="12"/>
      <c r="D70" s="12"/>
      <c r="E70" s="12"/>
      <c r="F70" s="12"/>
      <c r="G70" s="13"/>
      <c r="H70" s="21"/>
      <c r="I70" s="21"/>
      <c r="J70" s="52"/>
      <c r="K70" s="21"/>
      <c r="L70" s="21"/>
      <c r="M70" s="21"/>
      <c r="N70" s="21"/>
      <c r="O70" s="21"/>
      <c r="P70" s="21"/>
      <c r="Q70" s="21"/>
      <c r="R70" s="21"/>
      <c r="S70" s="21"/>
    </row>
    <row r="71" spans="1:19" s="2" customFormat="1" ht="15.75" thickTop="1">
      <c r="A71" s="3577"/>
      <c r="B71" s="2404"/>
      <c r="C71" s="3578"/>
      <c r="D71" s="3578"/>
      <c r="E71" s="3578"/>
      <c r="F71" s="3578"/>
      <c r="G71" s="3579"/>
      <c r="H71" s="3580"/>
      <c r="I71" s="3580"/>
      <c r="J71" s="3581"/>
      <c r="K71" s="3580"/>
      <c r="L71" s="3580"/>
      <c r="M71" s="3580"/>
      <c r="N71" s="3580"/>
      <c r="O71" s="3580"/>
      <c r="P71" s="3580"/>
      <c r="Q71" s="3580"/>
      <c r="R71" s="3580"/>
      <c r="S71" s="3580"/>
    </row>
    <row r="72" spans="1:19" s="2" customFormat="1">
      <c r="A72" s="3577"/>
      <c r="B72" s="2404"/>
      <c r="C72" s="3578"/>
      <c r="D72" s="3578"/>
      <c r="E72" s="3578"/>
      <c r="F72" s="3578"/>
      <c r="G72" s="3579"/>
      <c r="H72" s="3580"/>
      <c r="I72" s="3580"/>
      <c r="J72" s="3581"/>
      <c r="K72" s="3580"/>
      <c r="L72" s="3580"/>
      <c r="M72" s="3580"/>
      <c r="N72" s="3580"/>
      <c r="O72" s="3580"/>
      <c r="P72" s="3580"/>
      <c r="Q72" s="3580"/>
      <c r="R72" s="3580"/>
      <c r="S72" s="3580"/>
    </row>
    <row r="73" spans="1:19" s="2" customFormat="1" ht="15.75" thickBot="1">
      <c r="A73" s="3577"/>
      <c r="B73" s="2404"/>
      <c r="C73" s="3578"/>
      <c r="D73" s="3578"/>
      <c r="E73" s="3578"/>
      <c r="F73" s="3578"/>
      <c r="G73" s="3579"/>
      <c r="H73" s="3580"/>
      <c r="I73" s="3580"/>
      <c r="J73" s="3581"/>
      <c r="K73" s="3580"/>
      <c r="L73" s="3580"/>
      <c r="M73" s="3580"/>
      <c r="N73" s="3580"/>
      <c r="O73" s="3580"/>
      <c r="P73" s="3580"/>
      <c r="Q73" s="3580"/>
      <c r="R73" s="3580"/>
      <c r="S73" s="3580"/>
    </row>
    <row r="74" spans="1:19" s="2" customFormat="1" ht="16.5" thickTop="1" thickBot="1">
      <c r="A74" s="726" t="s">
        <v>575</v>
      </c>
      <c r="B74" s="727"/>
      <c r="C74" s="12"/>
      <c r="D74" s="12"/>
      <c r="E74" s="12"/>
      <c r="F74" s="12"/>
      <c r="G74" s="13"/>
      <c r="H74" s="21"/>
      <c r="I74" s="21"/>
      <c r="J74" s="52"/>
      <c r="K74" s="21"/>
      <c r="L74" s="21"/>
      <c r="M74" s="21"/>
      <c r="N74" s="21"/>
      <c r="O74" s="21"/>
      <c r="P74" s="21"/>
      <c r="Q74" s="21"/>
      <c r="R74" s="21"/>
      <c r="S74" s="21"/>
    </row>
    <row r="75" spans="1:19" ht="15.75" thickTop="1">
      <c r="A75" s="3577"/>
      <c r="B75" s="2404"/>
      <c r="C75" s="3578"/>
      <c r="D75" s="3578"/>
      <c r="E75" s="3578"/>
      <c r="F75" s="3578"/>
      <c r="G75" s="3579"/>
      <c r="H75" s="3580"/>
      <c r="I75" s="3580"/>
      <c r="J75" s="3581"/>
      <c r="K75" s="3580"/>
      <c r="L75" s="3580"/>
      <c r="M75" s="3580"/>
      <c r="N75" s="3580"/>
      <c r="O75" s="3580"/>
      <c r="P75" s="3580"/>
      <c r="Q75" s="3580"/>
      <c r="R75" s="3580"/>
      <c r="S75" s="3580"/>
    </row>
    <row r="76" spans="1:19" s="2" customFormat="1">
      <c r="A76" s="2421"/>
      <c r="B76" s="2404"/>
      <c r="C76" s="2405"/>
      <c r="D76" s="2405"/>
      <c r="E76" s="2405"/>
      <c r="F76" s="2405"/>
      <c r="G76" s="2423"/>
      <c r="H76" s="2382"/>
      <c r="I76" s="2382"/>
      <c r="J76" s="2474"/>
      <c r="K76" s="2382"/>
      <c r="L76" s="2382"/>
      <c r="M76" s="2382"/>
      <c r="N76" s="2382"/>
      <c r="O76" s="2382"/>
      <c r="P76" s="2382"/>
      <c r="Q76" s="2382"/>
      <c r="R76" s="2382"/>
      <c r="S76" s="2382"/>
    </row>
    <row r="77" spans="1:19" s="2" customFormat="1" ht="15.75" thickBot="1">
      <c r="A77" s="2383"/>
      <c r="B77" s="2384"/>
      <c r="C77" s="2405"/>
      <c r="D77" s="2405"/>
      <c r="E77" s="2405"/>
      <c r="F77" s="2405"/>
      <c r="G77" s="2423"/>
      <c r="H77" s="2385"/>
      <c r="I77" s="2385"/>
      <c r="J77" s="2475"/>
      <c r="K77" s="2385"/>
      <c r="L77" s="2385"/>
      <c r="M77" s="2385"/>
      <c r="N77" s="2385"/>
      <c r="O77" s="2385"/>
      <c r="P77" s="2385"/>
      <c r="Q77" s="2385"/>
      <c r="R77" s="2385"/>
      <c r="S77" s="2385"/>
    </row>
    <row r="78" spans="1:19" s="2" customFormat="1" ht="16.5" thickTop="1" thickBot="1">
      <c r="A78" s="726" t="s">
        <v>576</v>
      </c>
      <c r="B78" s="727"/>
      <c r="C78" s="12"/>
      <c r="D78" s="12"/>
      <c r="E78" s="12"/>
      <c r="F78" s="12"/>
      <c r="G78" s="13"/>
      <c r="H78" s="21"/>
      <c r="I78" s="21"/>
      <c r="J78" s="52"/>
      <c r="K78" s="21"/>
      <c r="L78" s="21"/>
      <c r="M78" s="21"/>
      <c r="N78" s="21"/>
      <c r="O78" s="21"/>
      <c r="P78" s="21"/>
      <c r="Q78" s="21"/>
      <c r="R78" s="21"/>
      <c r="S78" s="21"/>
    </row>
    <row r="79" spans="1:19" ht="15.75" thickTop="1">
      <c r="A79" s="3582"/>
      <c r="B79" s="3583"/>
      <c r="C79" s="3578"/>
      <c r="D79" s="3578"/>
      <c r="E79" s="3578"/>
      <c r="F79" s="3578"/>
      <c r="G79" s="3579"/>
      <c r="H79" s="3580"/>
      <c r="I79" s="3580"/>
      <c r="J79" s="3581"/>
      <c r="K79" s="3580"/>
      <c r="L79" s="3580"/>
      <c r="M79" s="3580"/>
      <c r="N79" s="3580"/>
      <c r="O79" s="3580"/>
      <c r="P79" s="3580"/>
      <c r="Q79" s="3580"/>
      <c r="R79" s="3580"/>
      <c r="S79" s="3580"/>
    </row>
    <row r="80" spans="1:19">
      <c r="A80" s="2383"/>
      <c r="B80" s="2384"/>
      <c r="C80" s="2405"/>
      <c r="D80" s="2405"/>
      <c r="E80" s="2405"/>
      <c r="F80" s="2405"/>
      <c r="G80" s="2423"/>
      <c r="H80" s="2388"/>
      <c r="I80" s="2388"/>
      <c r="J80" s="2478"/>
      <c r="K80" s="2388"/>
      <c r="L80" s="2388"/>
      <c r="M80" s="2388"/>
      <c r="N80" s="2388"/>
      <c r="O80" s="2388"/>
      <c r="P80" s="2388"/>
      <c r="Q80" s="2388"/>
      <c r="R80" s="2388"/>
      <c r="S80" s="2388"/>
    </row>
    <row r="81" spans="1:19" ht="15.75" thickBot="1">
      <c r="A81" s="2383"/>
      <c r="B81" s="2384"/>
      <c r="C81" s="2405"/>
      <c r="D81" s="2405"/>
      <c r="E81" s="2405"/>
      <c r="F81" s="2405"/>
      <c r="G81" s="2423"/>
      <c r="H81" s="2388"/>
      <c r="I81" s="2388"/>
      <c r="J81" s="2478"/>
      <c r="K81" s="2388"/>
      <c r="L81" s="2388"/>
      <c r="M81" s="2388"/>
      <c r="N81" s="2388"/>
      <c r="O81" s="2388"/>
      <c r="P81" s="2388"/>
      <c r="Q81" s="2388"/>
      <c r="R81" s="2388"/>
      <c r="S81" s="2388"/>
    </row>
    <row r="82" spans="1:19" ht="16.5" thickTop="1" thickBot="1">
      <c r="A82" s="726" t="s">
        <v>577</v>
      </c>
      <c r="B82" s="727"/>
      <c r="C82" s="12"/>
      <c r="D82" s="12"/>
      <c r="E82" s="12"/>
      <c r="F82" s="12"/>
      <c r="G82" s="13"/>
      <c r="H82" s="21"/>
      <c r="I82" s="21"/>
      <c r="J82" s="52"/>
      <c r="K82" s="21"/>
      <c r="L82" s="21"/>
      <c r="M82" s="21"/>
      <c r="N82" s="21"/>
      <c r="O82" s="21"/>
      <c r="P82" s="21"/>
      <c r="Q82" s="21"/>
      <c r="R82" s="21"/>
      <c r="S82" s="21"/>
    </row>
    <row r="83" spans="1:19" ht="15.75" thickTop="1">
      <c r="A83" s="2421"/>
      <c r="B83" s="2404" t="s">
        <v>578</v>
      </c>
      <c r="C83" s="2405"/>
      <c r="D83" s="2405"/>
      <c r="E83" s="2405"/>
      <c r="F83" s="2405"/>
      <c r="G83" s="2423"/>
      <c r="H83" s="2388"/>
      <c r="I83" s="2388"/>
      <c r="J83" s="2478"/>
      <c r="K83" s="2388"/>
      <c r="L83" s="2388"/>
      <c r="M83" s="2388"/>
      <c r="N83" s="2388"/>
      <c r="O83" s="2388"/>
      <c r="P83" s="2388"/>
      <c r="Q83" s="2388"/>
      <c r="R83" s="2388"/>
      <c r="S83" s="2388"/>
    </row>
    <row r="84" spans="1:19">
      <c r="A84" s="2421"/>
      <c r="B84" s="2404" t="s">
        <v>579</v>
      </c>
      <c r="C84" s="2405"/>
      <c r="D84" s="2405"/>
      <c r="E84" s="2405"/>
      <c r="F84" s="2405"/>
      <c r="G84" s="2423"/>
      <c r="H84" s="2388"/>
      <c r="I84" s="2388"/>
      <c r="J84" s="2478"/>
      <c r="K84" s="2388"/>
      <c r="L84" s="2388"/>
      <c r="M84" s="2388"/>
      <c r="N84" s="2388"/>
      <c r="O84" s="2388"/>
      <c r="P84" s="2388"/>
      <c r="Q84" s="2388"/>
      <c r="R84" s="2388"/>
      <c r="S84" s="2388"/>
    </row>
    <row r="85" spans="1:19">
      <c r="A85" s="2421"/>
      <c r="B85" s="2404" t="s">
        <v>580</v>
      </c>
      <c r="C85" s="2405"/>
      <c r="D85" s="2405"/>
      <c r="E85" s="2405"/>
      <c r="F85" s="2405"/>
      <c r="G85" s="2423"/>
      <c r="H85" s="2388"/>
      <c r="I85" s="2388"/>
      <c r="J85" s="2478"/>
      <c r="K85" s="2388"/>
      <c r="L85" s="2388"/>
      <c r="M85" s="2388"/>
      <c r="N85" s="2388"/>
      <c r="O85" s="2388"/>
      <c r="P85" s="2388"/>
      <c r="Q85" s="2388"/>
      <c r="R85" s="2388"/>
      <c r="S85" s="2388"/>
    </row>
    <row r="86" spans="1:19">
      <c r="A86" s="2421"/>
      <c r="B86" s="2404" t="s">
        <v>581</v>
      </c>
      <c r="C86" s="2405"/>
      <c r="D86" s="2405"/>
      <c r="E86" s="2405"/>
      <c r="F86" s="2405"/>
      <c r="G86" s="2423"/>
      <c r="H86" s="2388"/>
      <c r="I86" s="2388"/>
      <c r="J86" s="2478"/>
      <c r="K86" s="2388"/>
      <c r="L86" s="2388"/>
      <c r="M86" s="2388"/>
      <c r="N86" s="2388"/>
      <c r="O86" s="2388"/>
      <c r="P86" s="2388"/>
      <c r="Q86" s="2388"/>
      <c r="R86" s="2388"/>
      <c r="S86" s="2388"/>
    </row>
    <row r="87" spans="1:19" ht="15.75" thickBot="1">
      <c r="A87" s="416"/>
      <c r="B87" s="295"/>
      <c r="C87" s="184"/>
      <c r="D87" s="184"/>
      <c r="E87" s="184"/>
      <c r="F87" s="184"/>
      <c r="G87" s="296"/>
      <c r="H87" s="418"/>
      <c r="I87" s="418"/>
      <c r="J87" s="53"/>
      <c r="K87" s="418"/>
      <c r="L87" s="418"/>
      <c r="M87" s="418"/>
      <c r="N87" s="418"/>
      <c r="O87" s="418"/>
      <c r="P87" s="418"/>
      <c r="Q87" s="418"/>
      <c r="R87" s="418"/>
      <c r="S87" s="418"/>
    </row>
    <row r="88" spans="1:19" ht="16.5" thickTop="1" thickBot="1">
      <c r="A88" s="7" t="s">
        <v>582</v>
      </c>
      <c r="B88" s="8"/>
      <c r="C88" s="12"/>
      <c r="D88" s="12"/>
      <c r="E88" s="12"/>
      <c r="F88" s="12"/>
      <c r="G88" s="13"/>
      <c r="H88" s="21"/>
      <c r="I88" s="21"/>
      <c r="J88" s="52"/>
      <c r="K88" s="21"/>
      <c r="L88" s="21"/>
      <c r="M88" s="21"/>
      <c r="N88" s="21"/>
      <c r="O88" s="21"/>
      <c r="P88" s="21"/>
      <c r="Q88" s="21"/>
      <c r="R88" s="21"/>
      <c r="S88" s="21"/>
    </row>
    <row r="89" spans="1:19" ht="15.75" thickTop="1">
      <c r="A89" s="3577"/>
      <c r="B89" s="3584" t="s">
        <v>583</v>
      </c>
      <c r="C89" s="3578"/>
      <c r="D89" s="3578"/>
      <c r="E89" s="3578"/>
      <c r="F89" s="3578"/>
      <c r="G89" s="3579"/>
      <c r="H89" s="3585"/>
      <c r="I89" s="3585"/>
      <c r="J89" s="3576"/>
      <c r="K89" s="3585"/>
      <c r="L89" s="3585"/>
      <c r="M89" s="3585"/>
      <c r="N89" s="3585"/>
      <c r="O89" s="3585"/>
      <c r="P89" s="3585"/>
      <c r="Q89" s="3585"/>
      <c r="R89" s="3585"/>
      <c r="S89" s="3585"/>
    </row>
    <row r="90" spans="1:19">
      <c r="A90" s="2421"/>
      <c r="B90" s="2404" t="s">
        <v>584</v>
      </c>
      <c r="C90" s="2405"/>
      <c r="D90" s="2405"/>
      <c r="E90" s="2405"/>
      <c r="F90" s="2405"/>
      <c r="G90" s="2423"/>
      <c r="H90" s="2390"/>
      <c r="I90" s="2390"/>
      <c r="J90" s="2481"/>
      <c r="K90" s="2390"/>
      <c r="L90" s="2390"/>
      <c r="M90" s="2390"/>
      <c r="N90" s="2390"/>
      <c r="O90" s="2390"/>
      <c r="P90" s="2390"/>
      <c r="Q90" s="2390"/>
      <c r="R90" s="2390"/>
      <c r="S90" s="2390"/>
    </row>
    <row r="91" spans="1:19" ht="15.75" thickBot="1">
      <c r="A91" s="2391"/>
      <c r="B91" s="2392" t="s">
        <v>585</v>
      </c>
      <c r="C91" s="2393"/>
      <c r="D91" s="2393"/>
      <c r="E91" s="2393"/>
      <c r="F91" s="2393"/>
      <c r="G91" s="2394"/>
      <c r="H91" s="2395"/>
      <c r="I91" s="2395"/>
      <c r="J91" s="2482"/>
      <c r="K91" s="2395"/>
      <c r="L91" s="2395"/>
      <c r="M91" s="2395"/>
      <c r="N91" s="2395"/>
      <c r="O91" s="2395"/>
      <c r="P91" s="2395"/>
      <c r="Q91" s="2395"/>
      <c r="R91" s="2395"/>
      <c r="S91" s="2395"/>
    </row>
    <row r="92" spans="1:19" ht="16.5" thickTop="1" thickBot="1">
      <c r="I92" s="2"/>
    </row>
    <row r="93" spans="1:19" ht="16.5" thickTop="1" thickBot="1">
      <c r="A93" s="92" t="s">
        <v>586</v>
      </c>
      <c r="B93" s="94"/>
      <c r="I93" s="2"/>
    </row>
    <row r="94" spans="1:19" ht="15.75" thickTop="1">
      <c r="A94" s="93" t="s">
        <v>487</v>
      </c>
      <c r="B94" s="2396"/>
      <c r="I94" s="2"/>
    </row>
    <row r="95" spans="1:19">
      <c r="A95" s="2397" t="s">
        <v>491</v>
      </c>
      <c r="B95" s="2396"/>
      <c r="I95" s="2"/>
    </row>
    <row r="96" spans="1:19">
      <c r="A96" s="2398" t="s">
        <v>494</v>
      </c>
      <c r="B96" s="2399"/>
      <c r="I96" s="2"/>
    </row>
    <row r="97" spans="1:9">
      <c r="A97" s="2398" t="s">
        <v>497</v>
      </c>
      <c r="B97" s="2400"/>
      <c r="I97" s="2"/>
    </row>
    <row r="98" spans="1:9" ht="15.75" thickBot="1">
      <c r="A98" s="2401" t="s">
        <v>587</v>
      </c>
      <c r="B98" s="2402">
        <f>H8</f>
        <v>489500</v>
      </c>
      <c r="I98" s="2"/>
    </row>
    <row r="99" spans="1:9" ht="15.75" thickTop="1">
      <c r="I99" s="2"/>
    </row>
    <row r="100" spans="1:9">
      <c r="A100" s="95"/>
      <c r="B100" s="1" t="s">
        <v>588</v>
      </c>
      <c r="I100" s="2"/>
    </row>
    <row r="101" spans="1:9">
      <c r="A101" s="96"/>
      <c r="B101" s="1" t="s">
        <v>589</v>
      </c>
      <c r="I101" s="2"/>
    </row>
  </sheetData>
  <mergeCells count="47">
    <mergeCell ref="R4:S4"/>
    <mergeCell ref="R5:S5"/>
    <mergeCell ref="R6:S6"/>
    <mergeCell ref="R7:S7"/>
    <mergeCell ref="R8:S8"/>
    <mergeCell ref="H2:I2"/>
    <mergeCell ref="J2:K2"/>
    <mergeCell ref="L2:M2"/>
    <mergeCell ref="H3:I3"/>
    <mergeCell ref="J3:K3"/>
    <mergeCell ref="L3:M3"/>
    <mergeCell ref="R2:S2"/>
    <mergeCell ref="R3:S3"/>
    <mergeCell ref="H5:I5"/>
    <mergeCell ref="J5:K5"/>
    <mergeCell ref="N4:O4"/>
    <mergeCell ref="N5:O5"/>
    <mergeCell ref="P4:Q4"/>
    <mergeCell ref="P5:Q5"/>
    <mergeCell ref="L4:M4"/>
    <mergeCell ref="L5:M5"/>
    <mergeCell ref="N2:O2"/>
    <mergeCell ref="N3:O3"/>
    <mergeCell ref="P2:Q2"/>
    <mergeCell ref="P3:Q3"/>
    <mergeCell ref="H4:I4"/>
    <mergeCell ref="J4:K4"/>
    <mergeCell ref="H8:I8"/>
    <mergeCell ref="J8:K8"/>
    <mergeCell ref="H6:I6"/>
    <mergeCell ref="J6:K6"/>
    <mergeCell ref="H7:I7"/>
    <mergeCell ref="J7:K7"/>
    <mergeCell ref="L6:M6"/>
    <mergeCell ref="N6:O6"/>
    <mergeCell ref="N7:O7"/>
    <mergeCell ref="N8:O8"/>
    <mergeCell ref="P6:Q6"/>
    <mergeCell ref="P7:Q7"/>
    <mergeCell ref="P8:Q8"/>
    <mergeCell ref="L7:M7"/>
    <mergeCell ref="L8:M8"/>
    <mergeCell ref="A66:B66"/>
    <mergeCell ref="A70:B70"/>
    <mergeCell ref="A74:B74"/>
    <mergeCell ref="A78:B78"/>
    <mergeCell ref="A82:B82"/>
  </mergeCells>
  <phoneticPr fontId="32" type="noConversion"/>
  <conditionalFormatting sqref="H21:H31 J33:J57 L33:L57 N33:N57 P33:P57 H57">
    <cfRule type="cellIs" dxfId="59" priority="23" operator="equal">
      <formula>"X"</formula>
    </cfRule>
    <cfRule type="cellIs" dxfId="58" priority="24" operator="equal">
      <formula>"I"</formula>
    </cfRule>
  </conditionalFormatting>
  <conditionalFormatting sqref="J21:J31">
    <cfRule type="cellIs" dxfId="57" priority="19" operator="equal">
      <formula>"X"</formula>
    </cfRule>
    <cfRule type="cellIs" dxfId="56" priority="20" operator="equal">
      <formula>"I"</formula>
    </cfRule>
  </conditionalFormatting>
  <conditionalFormatting sqref="L20:L31">
    <cfRule type="cellIs" dxfId="55" priority="15" operator="equal">
      <formula>"X"</formula>
    </cfRule>
    <cfRule type="cellIs" dxfId="54" priority="16" operator="equal">
      <formula>"I"</formula>
    </cfRule>
  </conditionalFormatting>
  <conditionalFormatting sqref="N20:N31">
    <cfRule type="cellIs" dxfId="53" priority="11" operator="equal">
      <formula>"X"</formula>
    </cfRule>
    <cfRule type="cellIs" dxfId="52" priority="12" operator="equal">
      <formula>"I"</formula>
    </cfRule>
  </conditionalFormatting>
  <conditionalFormatting sqref="P20:P31">
    <cfRule type="cellIs" dxfId="51" priority="7" operator="equal">
      <formula>"X"</formula>
    </cfRule>
    <cfRule type="cellIs" dxfId="50" priority="8" operator="equal">
      <formula>"I"</formula>
    </cfRule>
  </conditionalFormatting>
  <conditionalFormatting sqref="R20:R31">
    <cfRule type="cellIs" dxfId="49" priority="3" operator="equal">
      <formula>"X"</formula>
    </cfRule>
    <cfRule type="cellIs" dxfId="48" priority="4" operator="equal">
      <formula>"I"</formula>
    </cfRule>
  </conditionalFormatting>
  <conditionalFormatting sqref="R33:R56">
    <cfRule type="cellIs" dxfId="47" priority="1" operator="equal">
      <formula>"X"</formula>
    </cfRule>
    <cfRule type="cellIs" dxfId="46" priority="2" operator="equal">
      <formula>"I"</formula>
    </cfRule>
  </conditionalFormatting>
  <hyperlinks>
    <hyperlink ref="B3" location="'Cost Summary'!A1" display="BACK TO SUMMARY SHEET" xr:uid="{35498684-39AB-400C-B141-294CC3AD8B85}"/>
  </hyperlinks>
  <pageMargins left="0.7" right="0.7" top="0.75" bottom="0.75" header="0.3" footer="0.3"/>
  <pageSetup orientation="portrait" horizontalDpi="300" verticalDpi="30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1AC5-571A-47F1-82B5-2261CEAB7FFE}">
  <sheetPr>
    <tabColor rgb="FF92D050"/>
  </sheetPr>
  <dimension ref="A1:S99"/>
  <sheetViews>
    <sheetView zoomScale="93" zoomScaleNormal="93" workbookViewId="0">
      <pane xSplit="2" ySplit="19" topLeftCell="C29" activePane="bottomRight" state="frozen"/>
      <selection pane="bottomRight" activeCell="B3" sqref="B3"/>
      <selection pane="bottomLeft" sqref="A1:B1"/>
      <selection pane="topRight" sqref="A1:B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5"/>
      <c r="F1" s="149"/>
      <c r="G1" s="147" t="s">
        <v>474</v>
      </c>
    </row>
    <row r="2" spans="1:19" ht="15.75" thickBot="1">
      <c r="E2" s="175"/>
      <c r="F2" s="146" t="s">
        <v>475</v>
      </c>
      <c r="G2" s="147" t="s">
        <v>476</v>
      </c>
      <c r="H2" s="732"/>
      <c r="I2" s="732"/>
      <c r="J2" s="732"/>
      <c r="K2" s="732"/>
      <c r="L2" s="732"/>
      <c r="M2" s="732"/>
      <c r="N2" s="732"/>
      <c r="O2" s="732"/>
      <c r="P2" s="732"/>
      <c r="Q2" s="732"/>
      <c r="R2" s="732"/>
      <c r="S2" s="732"/>
    </row>
    <row r="3" spans="1:19" ht="21" thickBot="1">
      <c r="B3" s="161" t="s">
        <v>477</v>
      </c>
      <c r="E3" s="175"/>
      <c r="F3" s="148" t="s">
        <v>478</v>
      </c>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403" t="s">
        <v>489</v>
      </c>
      <c r="B5" s="2404" t="s">
        <v>647</v>
      </c>
      <c r="C5" s="2405"/>
      <c r="D5" s="2405"/>
      <c r="E5" s="2405"/>
      <c r="F5" s="2405"/>
      <c r="G5" s="2406" t="s">
        <v>491</v>
      </c>
      <c r="H5" s="2407"/>
      <c r="I5" s="2408"/>
      <c r="J5" s="2407"/>
      <c r="K5" s="2408"/>
      <c r="L5" s="2407"/>
      <c r="M5" s="2408"/>
      <c r="N5" s="2407"/>
      <c r="O5" s="2408"/>
      <c r="P5" s="2407"/>
      <c r="Q5" s="2408"/>
      <c r="R5" s="2407"/>
      <c r="S5" s="2408"/>
    </row>
    <row r="6" spans="1:19">
      <c r="A6" s="2403" t="s">
        <v>493</v>
      </c>
      <c r="B6" s="2410" t="s">
        <v>646</v>
      </c>
      <c r="C6" s="2405"/>
      <c r="D6" s="2405"/>
      <c r="E6" s="2405"/>
      <c r="F6" s="2405"/>
      <c r="G6" s="2406" t="s">
        <v>494</v>
      </c>
      <c r="H6" s="2411"/>
      <c r="I6" s="2412"/>
      <c r="J6" s="2411"/>
      <c r="K6" s="2412"/>
      <c r="L6" s="2411"/>
      <c r="M6" s="2412"/>
      <c r="N6" s="2411"/>
      <c r="O6" s="2412"/>
      <c r="P6" s="2411"/>
      <c r="Q6" s="2412"/>
      <c r="R6" s="2411"/>
      <c r="S6" s="2412"/>
    </row>
    <row r="7" spans="1:19">
      <c r="A7" s="2403" t="s">
        <v>496</v>
      </c>
      <c r="B7" s="2414"/>
      <c r="C7" s="2405"/>
      <c r="D7" s="2405"/>
      <c r="E7" s="2405"/>
      <c r="F7" s="2405"/>
      <c r="G7" s="2406" t="s">
        <v>497</v>
      </c>
      <c r="H7" s="3377"/>
      <c r="I7" s="3378"/>
      <c r="J7" s="3377"/>
      <c r="K7" s="3378"/>
      <c r="L7" s="3377"/>
      <c r="M7" s="3378"/>
      <c r="N7" s="3377"/>
      <c r="O7" s="3378"/>
      <c r="P7" s="3377"/>
      <c r="Q7" s="3378"/>
      <c r="R7" s="3377"/>
      <c r="S7" s="3378"/>
    </row>
    <row r="8" spans="1:19" ht="15.75" thickBot="1">
      <c r="A8" s="414" t="s">
        <v>499</v>
      </c>
      <c r="B8" s="295"/>
      <c r="C8" s="184"/>
      <c r="D8" s="184"/>
      <c r="E8" s="184"/>
      <c r="F8" s="184"/>
      <c r="G8" s="419" t="s">
        <v>499</v>
      </c>
      <c r="H8" s="2970">
        <f>I60</f>
        <v>72075</v>
      </c>
      <c r="I8" s="2971"/>
      <c r="J8" s="2970">
        <f>K60</f>
        <v>0</v>
      </c>
      <c r="K8" s="2971"/>
      <c r="L8" s="2970">
        <f>M60</f>
        <v>0</v>
      </c>
      <c r="M8" s="2971"/>
      <c r="N8" s="2970">
        <f>O60</f>
        <v>0</v>
      </c>
      <c r="O8" s="2971"/>
      <c r="P8" s="2970">
        <f>Q60</f>
        <v>0</v>
      </c>
      <c r="Q8" s="2971"/>
      <c r="R8" s="2970">
        <f>S60</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586" t="s">
        <v>508</v>
      </c>
      <c r="C10" s="2405"/>
      <c r="D10" s="2405"/>
      <c r="E10" s="2405"/>
      <c r="F10" s="2405"/>
      <c r="G10" s="2423"/>
      <c r="H10" s="2424"/>
      <c r="I10" s="2424"/>
      <c r="J10" s="2424"/>
      <c r="K10" s="2424"/>
      <c r="L10" s="2424"/>
      <c r="M10" s="2424"/>
      <c r="N10" s="2424"/>
      <c r="O10" s="2424"/>
      <c r="P10" s="2424"/>
      <c r="Q10" s="2424"/>
      <c r="R10" s="2424"/>
      <c r="S10" s="2424"/>
    </row>
    <row r="11" spans="1:19" hidden="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idden="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idden="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idden="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idden="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idden="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idden="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idden="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t="14.25" hidden="1" customHeight="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4.25" hidden="1" customHeight="1">
      <c r="A20" s="2421"/>
      <c r="B20" s="2404"/>
      <c r="C20" s="2426"/>
      <c r="D20" s="2405"/>
      <c r="E20" s="2405"/>
      <c r="F20" s="2405"/>
      <c r="G20" s="2423"/>
      <c r="H20" s="2424"/>
      <c r="I20" s="2424"/>
      <c r="J20" s="2424"/>
      <c r="K20" s="2424"/>
      <c r="L20" s="2424"/>
      <c r="M20" s="2424"/>
      <c r="N20" s="2424"/>
      <c r="O20" s="2424"/>
      <c r="P20" s="2424"/>
      <c r="Q20" s="2424"/>
      <c r="R20" s="2424"/>
      <c r="S20" s="2424"/>
    </row>
    <row r="21" spans="1:19" hidden="1">
      <c r="A21" s="2421"/>
      <c r="B21" s="2404"/>
      <c r="C21" s="2426"/>
      <c r="D21" s="2405"/>
      <c r="E21" s="2405"/>
      <c r="F21" s="2405"/>
      <c r="G21" s="2423"/>
      <c r="H21" s="2427"/>
      <c r="I21" s="2424"/>
      <c r="J21" s="2427"/>
      <c r="K21" s="2424"/>
      <c r="L21" s="2427"/>
      <c r="M21" s="2424"/>
      <c r="N21" s="2427"/>
      <c r="O21" s="2424"/>
      <c r="P21" s="2427"/>
      <c r="Q21" s="2424"/>
      <c r="R21" s="2427"/>
      <c r="S21" s="2424"/>
    </row>
    <row r="22" spans="1:19" ht="16.5" thickTop="1" thickBot="1">
      <c r="A22" s="2421"/>
      <c r="B22" s="2428" t="s">
        <v>647</v>
      </c>
      <c r="C22" s="2426"/>
      <c r="D22" s="2405"/>
      <c r="E22" s="2405"/>
      <c r="F22" s="2405"/>
      <c r="G22" s="2423"/>
      <c r="H22" s="2427"/>
      <c r="I22" s="2424"/>
      <c r="J22" s="2427"/>
      <c r="K22" s="2424"/>
      <c r="L22" s="2427"/>
      <c r="M22" s="2424"/>
      <c r="N22" s="2427"/>
      <c r="O22" s="2424"/>
      <c r="P22" s="2427"/>
      <c r="Q22" s="2424"/>
      <c r="R22" s="2427"/>
      <c r="S22" s="2424"/>
    </row>
    <row r="23" spans="1:19">
      <c r="A23" s="3587"/>
      <c r="B23" s="2318" t="s">
        <v>512</v>
      </c>
      <c r="C23" s="2426"/>
      <c r="D23" s="2405"/>
      <c r="E23" s="2405"/>
      <c r="F23" s="2405"/>
      <c r="G23" s="2423"/>
      <c r="H23" s="2427"/>
      <c r="I23" s="3588"/>
      <c r="J23" s="2427"/>
      <c r="K23" s="3562"/>
      <c r="L23" s="2427"/>
      <c r="M23" s="3576"/>
      <c r="N23" s="2427"/>
      <c r="O23" s="3576"/>
      <c r="P23" s="2427"/>
      <c r="Q23" s="3576"/>
      <c r="R23" s="2427"/>
      <c r="S23" s="3576"/>
    </row>
    <row r="24" spans="1:19">
      <c r="A24" s="3587"/>
      <c r="B24" s="3589" t="s">
        <v>513</v>
      </c>
      <c r="C24" s="2426"/>
      <c r="D24" s="2405"/>
      <c r="E24" s="2405"/>
      <c r="F24" s="2405"/>
      <c r="G24" s="2423"/>
      <c r="H24" s="2427"/>
      <c r="I24" s="3588"/>
      <c r="J24" s="2427"/>
      <c r="K24" s="3562"/>
      <c r="L24" s="2427"/>
      <c r="M24" s="3576"/>
      <c r="N24" s="2427"/>
      <c r="O24" s="3576"/>
      <c r="P24" s="2427"/>
      <c r="Q24" s="3576"/>
      <c r="R24" s="2427"/>
      <c r="S24" s="3576"/>
    </row>
    <row r="25" spans="1:19">
      <c r="A25" s="3587"/>
      <c r="B25" s="3589" t="s">
        <v>514</v>
      </c>
      <c r="C25" s="2426"/>
      <c r="D25" s="2405"/>
      <c r="E25" s="2405"/>
      <c r="F25" s="2405"/>
      <c r="G25" s="2423"/>
      <c r="H25" s="2427"/>
      <c r="I25" s="3562"/>
      <c r="J25" s="2427"/>
      <c r="K25" s="3562"/>
      <c r="L25" s="2427"/>
      <c r="M25" s="3576"/>
      <c r="N25" s="2427"/>
      <c r="O25" s="3576"/>
      <c r="P25" s="2427"/>
      <c r="Q25" s="3576"/>
      <c r="R25" s="2427"/>
      <c r="S25" s="3576"/>
    </row>
    <row r="26" spans="1:19">
      <c r="A26" s="3587"/>
      <c r="B26" s="3590" t="s">
        <v>515</v>
      </c>
      <c r="C26" s="2426"/>
      <c r="D26" s="2405"/>
      <c r="E26" s="2405"/>
      <c r="F26" s="2405"/>
      <c r="G26" s="2423"/>
      <c r="H26" s="2427"/>
      <c r="I26" s="3562"/>
      <c r="J26" s="2427"/>
      <c r="K26" s="3562"/>
      <c r="L26" s="2427"/>
      <c r="M26" s="3576"/>
      <c r="N26" s="2427"/>
      <c r="O26" s="3562"/>
      <c r="P26" s="2427"/>
      <c r="Q26" s="3576"/>
      <c r="R26" s="2427"/>
      <c r="S26" s="3576"/>
    </row>
    <row r="27" spans="1:19">
      <c r="A27" s="3587"/>
      <c r="B27" s="3590" t="s">
        <v>516</v>
      </c>
      <c r="C27" s="2426"/>
      <c r="D27" s="2405"/>
      <c r="E27" s="2405"/>
      <c r="F27" s="2405"/>
      <c r="G27" s="2423"/>
      <c r="H27" s="2427"/>
      <c r="I27" s="3562"/>
      <c r="J27" s="2427"/>
      <c r="K27" s="3562"/>
      <c r="L27" s="2427"/>
      <c r="M27" s="3576"/>
      <c r="N27" s="2427"/>
      <c r="O27" s="3562"/>
      <c r="P27" s="2427"/>
      <c r="Q27" s="3576"/>
      <c r="R27" s="2427"/>
      <c r="S27" s="3576"/>
    </row>
    <row r="28" spans="1:19">
      <c r="A28" s="3587"/>
      <c r="B28" s="3590" t="s">
        <v>517</v>
      </c>
      <c r="C28" s="2426"/>
      <c r="D28" s="2405"/>
      <c r="E28" s="2405"/>
      <c r="F28" s="2405"/>
      <c r="G28" s="2423"/>
      <c r="H28" s="2427"/>
      <c r="I28" s="3562"/>
      <c r="J28" s="2427"/>
      <c r="K28" s="3562"/>
      <c r="L28" s="2427"/>
      <c r="M28" s="3576"/>
      <c r="N28" s="2427"/>
      <c r="O28" s="3562"/>
      <c r="P28" s="2427"/>
      <c r="Q28" s="3576"/>
      <c r="R28" s="2427"/>
      <c r="S28" s="3576"/>
    </row>
    <row r="29" spans="1:19">
      <c r="A29" s="3587"/>
      <c r="B29" s="3590" t="s">
        <v>518</v>
      </c>
      <c r="C29" s="2426"/>
      <c r="D29" s="2405"/>
      <c r="E29" s="2405"/>
      <c r="F29" s="2405"/>
      <c r="G29" s="2423"/>
      <c r="H29" s="2427"/>
      <c r="I29" s="3562"/>
      <c r="J29" s="2427"/>
      <c r="K29" s="3562"/>
      <c r="L29" s="2427"/>
      <c r="M29" s="3576"/>
      <c r="N29" s="2427"/>
      <c r="O29" s="3562"/>
      <c r="P29" s="2427"/>
      <c r="Q29" s="3576"/>
      <c r="R29" s="2427"/>
      <c r="S29" s="3576"/>
    </row>
    <row r="30" spans="1:19">
      <c r="A30" s="3587"/>
      <c r="B30" s="3590" t="s">
        <v>693</v>
      </c>
      <c r="C30" s="2426"/>
      <c r="D30" s="2405"/>
      <c r="E30" s="2405"/>
      <c r="F30" s="2405"/>
      <c r="G30" s="2423"/>
      <c r="H30" s="2427"/>
      <c r="I30" s="3562"/>
      <c r="J30" s="2427"/>
      <c r="K30" s="3562"/>
      <c r="L30" s="2427"/>
      <c r="M30" s="3576"/>
      <c r="N30" s="2427"/>
      <c r="O30" s="3562"/>
      <c r="P30" s="2427"/>
      <c r="Q30" s="3576"/>
      <c r="R30" s="2427"/>
      <c r="S30" s="3576"/>
    </row>
    <row r="31" spans="1:19">
      <c r="A31" s="3587"/>
      <c r="B31" s="3591" t="s">
        <v>519</v>
      </c>
      <c r="C31" s="2426"/>
      <c r="D31" s="2405"/>
      <c r="E31" s="2405"/>
      <c r="F31" s="2405"/>
      <c r="G31" s="2423"/>
      <c r="H31" s="2427"/>
      <c r="I31" s="3588"/>
      <c r="J31" s="2427"/>
      <c r="K31" s="3562"/>
      <c r="L31" s="2427"/>
      <c r="M31" s="3576"/>
      <c r="N31" s="2427"/>
      <c r="O31" s="3562"/>
      <c r="P31" s="2427"/>
      <c r="Q31" s="3576"/>
      <c r="R31" s="2427"/>
      <c r="S31" s="3576"/>
    </row>
    <row r="32" spans="1:19">
      <c r="A32" s="3587"/>
      <c r="B32" s="3548" t="s">
        <v>520</v>
      </c>
      <c r="C32" s="3549"/>
      <c r="D32" s="2980"/>
      <c r="E32" s="2980"/>
      <c r="F32" s="2980"/>
      <c r="G32" s="3079"/>
      <c r="H32" s="3550"/>
      <c r="I32" s="3551"/>
      <c r="J32" s="3551"/>
      <c r="K32" s="3551"/>
      <c r="L32" s="3552"/>
      <c r="M32" s="3553"/>
      <c r="N32" s="3551"/>
      <c r="O32" s="3551"/>
      <c r="P32" s="3551"/>
      <c r="Q32" s="3551"/>
      <c r="R32" s="2439"/>
      <c r="S32" s="3553"/>
    </row>
    <row r="33" spans="1:19">
      <c r="A33" s="3587"/>
      <c r="B33" s="3395"/>
      <c r="C33" s="2426"/>
      <c r="D33" s="2405"/>
      <c r="E33" s="2405"/>
      <c r="F33" s="2405"/>
      <c r="G33" s="2423"/>
      <c r="H33" s="2427"/>
      <c r="I33" s="3588"/>
      <c r="J33" s="2427"/>
      <c r="K33" s="3562"/>
      <c r="L33" s="2427"/>
      <c r="M33" s="3576"/>
      <c r="N33" s="2427"/>
      <c r="O33" s="3562"/>
      <c r="P33" s="2427"/>
      <c r="Q33" s="3576"/>
      <c r="R33" s="2427"/>
      <c r="S33" s="3576"/>
    </row>
    <row r="34" spans="1:19">
      <c r="A34" s="3587"/>
      <c r="B34" s="3592" t="s">
        <v>694</v>
      </c>
      <c r="C34" s="2990"/>
      <c r="D34" s="2450"/>
      <c r="E34" s="2450"/>
      <c r="F34" s="2450"/>
      <c r="G34" s="2531"/>
      <c r="H34" s="2453"/>
      <c r="I34" s="3593"/>
      <c r="J34" s="2453"/>
      <c r="K34" s="3559"/>
      <c r="L34" s="2453"/>
      <c r="M34" s="3594"/>
      <c r="N34" s="2453"/>
      <c r="O34" s="3559"/>
      <c r="P34" s="2453"/>
      <c r="Q34" s="3594"/>
      <c r="R34" s="2453"/>
      <c r="S34" s="3594"/>
    </row>
    <row r="35" spans="1:19">
      <c r="A35" s="3587"/>
      <c r="B35" s="3395"/>
      <c r="C35" s="2426"/>
      <c r="D35" s="2405"/>
      <c r="E35" s="2405"/>
      <c r="F35" s="2405"/>
      <c r="G35" s="2423"/>
      <c r="H35" s="2427"/>
      <c r="I35" s="3588"/>
      <c r="J35" s="2427"/>
      <c r="K35" s="3562"/>
      <c r="L35" s="2427"/>
      <c r="M35" s="3576"/>
      <c r="N35" s="2427"/>
      <c r="O35" s="3562"/>
      <c r="P35" s="2427"/>
      <c r="Q35" s="3576"/>
      <c r="R35" s="2427"/>
      <c r="S35" s="3576"/>
    </row>
    <row r="36" spans="1:19">
      <c r="A36" s="3587"/>
      <c r="B36" s="3595" t="s">
        <v>695</v>
      </c>
      <c r="C36" s="2999"/>
      <c r="D36" s="2456"/>
      <c r="E36" s="2456"/>
      <c r="F36" s="2456"/>
      <c r="G36" s="2532"/>
      <c r="H36" s="2459"/>
      <c r="I36" s="3596"/>
      <c r="J36" s="2459"/>
      <c r="K36" s="3567"/>
      <c r="L36" s="2459"/>
      <c r="M36" s="3597"/>
      <c r="N36" s="2459"/>
      <c r="O36" s="3567"/>
      <c r="P36" s="2459"/>
      <c r="Q36" s="3597"/>
      <c r="R36" s="2459"/>
      <c r="S36" s="3597"/>
    </row>
    <row r="37" spans="1:19">
      <c r="A37" s="3587"/>
      <c r="B37" s="3395" t="s">
        <v>1479</v>
      </c>
      <c r="C37" s="3570" t="s">
        <v>731</v>
      </c>
      <c r="D37" s="2405">
        <v>1879</v>
      </c>
      <c r="E37" s="2405" t="s">
        <v>116</v>
      </c>
      <c r="F37" s="2405">
        <v>25</v>
      </c>
      <c r="G37" s="2423">
        <f>D37*F37</f>
        <v>46975</v>
      </c>
      <c r="H37" s="2427"/>
      <c r="I37" s="3588">
        <f>G37</f>
        <v>46975</v>
      </c>
      <c r="J37" s="2427"/>
      <c r="K37" s="3562"/>
      <c r="L37" s="2427"/>
      <c r="M37" s="3576"/>
      <c r="N37" s="2427"/>
      <c r="O37" s="3562"/>
      <c r="P37" s="2427"/>
      <c r="Q37" s="3576"/>
      <c r="R37" s="2427"/>
      <c r="S37" s="3576"/>
    </row>
    <row r="38" spans="1:19">
      <c r="A38" s="3587"/>
      <c r="B38" s="3395" t="s">
        <v>1350</v>
      </c>
      <c r="C38" s="3570" t="s">
        <v>731</v>
      </c>
      <c r="D38" s="2405">
        <v>924</v>
      </c>
      <c r="E38" s="2405" t="s">
        <v>116</v>
      </c>
      <c r="F38" s="2405">
        <f>F37</f>
        <v>25</v>
      </c>
      <c r="G38" s="2423">
        <f>D38*F38</f>
        <v>23100</v>
      </c>
      <c r="H38" s="2427"/>
      <c r="I38" s="3588">
        <f>G38</f>
        <v>23100</v>
      </c>
      <c r="J38" s="2427"/>
      <c r="K38" s="3562"/>
      <c r="L38" s="2427"/>
      <c r="M38" s="3576"/>
      <c r="N38" s="2427"/>
      <c r="O38" s="3562"/>
      <c r="P38" s="2427"/>
      <c r="Q38" s="3576"/>
      <c r="R38" s="2427"/>
      <c r="S38" s="3576"/>
    </row>
    <row r="39" spans="1:19">
      <c r="A39" s="3587"/>
      <c r="B39" s="3395" t="s">
        <v>1480</v>
      </c>
      <c r="C39" s="3570"/>
      <c r="D39" s="2405">
        <v>1</v>
      </c>
      <c r="E39" s="2405" t="s">
        <v>698</v>
      </c>
      <c r="F39" s="3573">
        <v>2000</v>
      </c>
      <c r="G39" s="2423">
        <f>D39*F39</f>
        <v>2000</v>
      </c>
      <c r="H39" s="2427"/>
      <c r="I39" s="3588">
        <f>G39</f>
        <v>2000</v>
      </c>
      <c r="J39" s="2427"/>
      <c r="K39" s="3562"/>
      <c r="L39" s="2427"/>
      <c r="M39" s="3576"/>
      <c r="N39" s="2427"/>
      <c r="O39" s="3562"/>
      <c r="P39" s="2427"/>
      <c r="Q39" s="3576"/>
      <c r="R39" s="2427"/>
      <c r="S39" s="3576"/>
    </row>
    <row r="40" spans="1:19">
      <c r="A40" s="3587"/>
      <c r="B40" s="3395"/>
      <c r="C40" s="2426"/>
      <c r="D40" s="2405"/>
      <c r="E40" s="2405"/>
      <c r="F40" s="2405"/>
      <c r="G40" s="2423"/>
      <c r="H40" s="2427"/>
      <c r="I40" s="3588"/>
      <c r="J40" s="2427"/>
      <c r="K40" s="3562"/>
      <c r="L40" s="2427"/>
      <c r="M40" s="3576"/>
      <c r="N40" s="2427"/>
      <c r="O40" s="3562"/>
      <c r="P40" s="2427"/>
      <c r="Q40" s="3576"/>
      <c r="R40" s="2427"/>
      <c r="S40" s="3576"/>
    </row>
    <row r="41" spans="1:19">
      <c r="A41" s="3587"/>
      <c r="B41" s="3592" t="s">
        <v>649</v>
      </c>
      <c r="C41" s="2990"/>
      <c r="D41" s="2450"/>
      <c r="E41" s="2450"/>
      <c r="F41" s="2450"/>
      <c r="G41" s="2531"/>
      <c r="H41" s="2453"/>
      <c r="I41" s="3593"/>
      <c r="J41" s="2453"/>
      <c r="K41" s="3559"/>
      <c r="L41" s="2453"/>
      <c r="M41" s="3594"/>
      <c r="N41" s="2453"/>
      <c r="O41" s="3559"/>
      <c r="P41" s="2453"/>
      <c r="Q41" s="3594"/>
      <c r="R41" s="2453"/>
      <c r="S41" s="3594"/>
    </row>
    <row r="42" spans="1:19">
      <c r="A42" s="3587"/>
      <c r="B42" s="3395"/>
      <c r="C42" s="2426"/>
      <c r="D42" s="2405"/>
      <c r="E42" s="2405"/>
      <c r="F42" s="2405"/>
      <c r="G42" s="2423"/>
      <c r="H42" s="2427"/>
      <c r="I42" s="3588"/>
      <c r="J42" s="2427"/>
      <c r="K42" s="3562"/>
      <c r="L42" s="2427"/>
      <c r="M42" s="3576"/>
      <c r="N42" s="2427"/>
      <c r="O42" s="3562"/>
      <c r="P42" s="2427"/>
      <c r="Q42" s="3576"/>
      <c r="R42" s="2427"/>
      <c r="S42" s="3576"/>
    </row>
    <row r="43" spans="1:19">
      <c r="A43" s="3587"/>
      <c r="B43" s="3595" t="s">
        <v>700</v>
      </c>
      <c r="C43" s="2999"/>
      <c r="D43" s="2456"/>
      <c r="E43" s="2456"/>
      <c r="F43" s="2456"/>
      <c r="G43" s="2532"/>
      <c r="H43" s="2459"/>
      <c r="I43" s="3596"/>
      <c r="J43" s="2459"/>
      <c r="K43" s="3567"/>
      <c r="L43" s="2459"/>
      <c r="M43" s="3597"/>
      <c r="N43" s="2459"/>
      <c r="O43" s="3567"/>
      <c r="P43" s="2459"/>
      <c r="Q43" s="3597"/>
      <c r="R43" s="2459"/>
      <c r="S43" s="3597"/>
    </row>
    <row r="44" spans="1:19">
      <c r="A44" s="3587"/>
      <c r="B44" s="3395"/>
      <c r="C44" s="2426"/>
      <c r="D44" s="2405"/>
      <c r="E44" s="2405"/>
      <c r="F44" s="2405"/>
      <c r="G44" s="2423"/>
      <c r="H44" s="2427"/>
      <c r="I44" s="3588"/>
      <c r="J44" s="2427"/>
      <c r="K44" s="3562"/>
      <c r="L44" s="2427"/>
      <c r="M44" s="3576"/>
      <c r="N44" s="2427"/>
      <c r="O44" s="3562"/>
      <c r="P44" s="2427"/>
      <c r="Q44" s="3576"/>
      <c r="R44" s="2427"/>
      <c r="S44" s="3576"/>
    </row>
    <row r="45" spans="1:19">
      <c r="A45" s="3587"/>
      <c r="B45" s="3592" t="s">
        <v>703</v>
      </c>
      <c r="C45" s="2990"/>
      <c r="D45" s="2450"/>
      <c r="E45" s="2450"/>
      <c r="F45" s="2450"/>
      <c r="G45" s="2531"/>
      <c r="H45" s="2453"/>
      <c r="I45" s="3593"/>
      <c r="J45" s="2453"/>
      <c r="K45" s="3559"/>
      <c r="L45" s="2453"/>
      <c r="M45" s="3594"/>
      <c r="N45" s="2453"/>
      <c r="O45" s="3559"/>
      <c r="P45" s="2453"/>
      <c r="Q45" s="3594"/>
      <c r="R45" s="2453"/>
      <c r="S45" s="3594"/>
    </row>
    <row r="46" spans="1:19">
      <c r="A46" s="3587"/>
      <c r="B46" s="3395"/>
      <c r="C46" s="2426"/>
      <c r="D46" s="2405"/>
      <c r="E46" s="2405"/>
      <c r="F46" s="2405"/>
      <c r="G46" s="2423"/>
      <c r="H46" s="2427"/>
      <c r="I46" s="3588"/>
      <c r="J46" s="2427"/>
      <c r="K46" s="3562"/>
      <c r="L46" s="2427"/>
      <c r="M46" s="3576"/>
      <c r="N46" s="2427"/>
      <c r="O46" s="3562"/>
      <c r="P46" s="2427"/>
      <c r="Q46" s="3576"/>
      <c r="R46" s="2427"/>
      <c r="S46" s="3576"/>
    </row>
    <row r="47" spans="1:19">
      <c r="A47" s="3587"/>
      <c r="B47" s="3595" t="s">
        <v>704</v>
      </c>
      <c r="C47" s="2999"/>
      <c r="D47" s="2456"/>
      <c r="E47" s="2456"/>
      <c r="F47" s="2456"/>
      <c r="G47" s="2532"/>
      <c r="H47" s="2459"/>
      <c r="I47" s="3596"/>
      <c r="J47" s="2459"/>
      <c r="K47" s="3567"/>
      <c r="L47" s="2459"/>
      <c r="M47" s="3597"/>
      <c r="N47" s="2459"/>
      <c r="O47" s="3567"/>
      <c r="P47" s="2459"/>
      <c r="Q47" s="3597"/>
      <c r="R47" s="2459"/>
      <c r="S47" s="3597"/>
    </row>
    <row r="48" spans="1:19">
      <c r="A48" s="3587"/>
      <c r="B48" s="3395"/>
      <c r="C48" s="2426"/>
      <c r="D48" s="2405"/>
      <c r="E48" s="2405"/>
      <c r="F48" s="2405"/>
      <c r="G48" s="2423"/>
      <c r="H48" s="2427"/>
      <c r="I48" s="3588"/>
      <c r="J48" s="2427"/>
      <c r="K48" s="3562"/>
      <c r="L48" s="2427"/>
      <c r="M48" s="3576"/>
      <c r="N48" s="2427"/>
      <c r="O48" s="3562"/>
      <c r="P48" s="2427"/>
      <c r="Q48" s="3576"/>
      <c r="R48" s="2427"/>
      <c r="S48" s="3576"/>
    </row>
    <row r="49" spans="1:19">
      <c r="A49" s="3587"/>
      <c r="B49" s="3592" t="s">
        <v>705</v>
      </c>
      <c r="C49" s="2990"/>
      <c r="D49" s="2450"/>
      <c r="E49" s="2450"/>
      <c r="F49" s="2450"/>
      <c r="G49" s="2531"/>
      <c r="H49" s="2453"/>
      <c r="I49" s="3593"/>
      <c r="J49" s="2453"/>
      <c r="K49" s="3559"/>
      <c r="L49" s="2453"/>
      <c r="M49" s="3594"/>
      <c r="N49" s="2453"/>
      <c r="O49" s="3559"/>
      <c r="P49" s="2453"/>
      <c r="Q49" s="3594"/>
      <c r="R49" s="2453"/>
      <c r="S49" s="3594"/>
    </row>
    <row r="50" spans="1:19">
      <c r="A50" s="3587"/>
      <c r="B50" s="3395"/>
      <c r="C50" s="2426"/>
      <c r="D50" s="2405"/>
      <c r="E50" s="2405"/>
      <c r="F50" s="2405"/>
      <c r="G50" s="2423"/>
      <c r="H50" s="2427"/>
      <c r="I50" s="3588"/>
      <c r="J50" s="2427"/>
      <c r="K50" s="3562"/>
      <c r="L50" s="2427"/>
      <c r="M50" s="3576"/>
      <c r="N50" s="2427"/>
      <c r="O50" s="3562"/>
      <c r="P50" s="2427"/>
      <c r="Q50" s="3576"/>
      <c r="R50" s="2427"/>
      <c r="S50" s="3576"/>
    </row>
    <row r="51" spans="1:19">
      <c r="A51" s="3587"/>
      <c r="B51" s="3595" t="s">
        <v>602</v>
      </c>
      <c r="C51" s="2999"/>
      <c r="D51" s="2456"/>
      <c r="E51" s="2456"/>
      <c r="F51" s="2456"/>
      <c r="G51" s="2532"/>
      <c r="H51" s="2459"/>
      <c r="I51" s="3596"/>
      <c r="J51" s="2459"/>
      <c r="K51" s="3567"/>
      <c r="L51" s="2459"/>
      <c r="M51" s="3597"/>
      <c r="N51" s="2459"/>
      <c r="O51" s="3567"/>
      <c r="P51" s="2459"/>
      <c r="Q51" s="3597"/>
      <c r="R51" s="2459"/>
      <c r="S51" s="3597"/>
    </row>
    <row r="52" spans="1:19">
      <c r="A52" s="3587"/>
      <c r="B52" s="3395"/>
      <c r="C52" s="2426"/>
      <c r="D52" s="2405"/>
      <c r="E52" s="2405"/>
      <c r="F52" s="2405"/>
      <c r="G52" s="2423"/>
      <c r="H52" s="2427"/>
      <c r="I52" s="3588"/>
      <c r="J52" s="2427"/>
      <c r="K52" s="3562"/>
      <c r="L52" s="2427"/>
      <c r="M52" s="3576"/>
      <c r="N52" s="2427"/>
      <c r="O52" s="3562"/>
      <c r="P52" s="2427"/>
      <c r="Q52" s="3576"/>
      <c r="R52" s="2427"/>
      <c r="S52" s="3576"/>
    </row>
    <row r="53" spans="1:19">
      <c r="A53" s="3587"/>
      <c r="B53" s="3395"/>
      <c r="C53" s="2426"/>
      <c r="D53" s="2405"/>
      <c r="E53" s="2405"/>
      <c r="F53" s="2405"/>
      <c r="G53" s="2423"/>
      <c r="H53" s="2427"/>
      <c r="I53" s="3588"/>
      <c r="J53" s="2427"/>
      <c r="K53" s="3562"/>
      <c r="L53" s="2427"/>
      <c r="M53" s="3576"/>
      <c r="N53" s="2427"/>
      <c r="O53" s="3562"/>
      <c r="P53" s="2427"/>
      <c r="Q53" s="3576"/>
      <c r="R53" s="2427"/>
      <c r="S53" s="3576"/>
    </row>
    <row r="54" spans="1:19" ht="18.600000000000001" customHeight="1">
      <c r="A54" s="3587"/>
      <c r="B54" s="3364"/>
      <c r="C54" s="2426"/>
      <c r="D54" s="2405"/>
      <c r="E54" s="2405"/>
      <c r="F54" s="2405"/>
      <c r="G54" s="2423"/>
      <c r="H54" s="2427"/>
      <c r="I54" s="3588"/>
      <c r="J54" s="2427"/>
      <c r="K54" s="3576"/>
      <c r="L54" s="2427"/>
      <c r="M54" s="3576"/>
      <c r="N54" s="2427"/>
      <c r="O54" s="3576"/>
      <c r="P54" s="2427"/>
      <c r="Q54" s="3562"/>
      <c r="R54" s="2427"/>
      <c r="S54" s="3562"/>
    </row>
    <row r="55" spans="1:19" ht="15.75" thickBot="1">
      <c r="A55" s="2685"/>
      <c r="B55" s="2686"/>
      <c r="C55" s="2426"/>
      <c r="D55" s="2405"/>
      <c r="E55" s="2405"/>
      <c r="F55" s="2405"/>
      <c r="G55" s="2423"/>
      <c r="H55" s="2427"/>
      <c r="I55" s="3576"/>
      <c r="J55" s="2427"/>
      <c r="K55" s="3576"/>
      <c r="L55" s="2427"/>
      <c r="M55" s="3576"/>
      <c r="N55" s="2427"/>
      <c r="O55" s="3576"/>
      <c r="P55" s="2427"/>
      <c r="Q55" s="3576"/>
      <c r="R55" s="2427"/>
      <c r="S55" s="3576"/>
    </row>
    <row r="56" spans="1:19" ht="15.75" thickTop="1">
      <c r="A56" s="14"/>
      <c r="B56" s="15"/>
      <c r="C56" s="16"/>
      <c r="D56" s="16"/>
      <c r="E56" s="17"/>
      <c r="F56" s="18" t="s">
        <v>567</v>
      </c>
      <c r="G56" s="19"/>
      <c r="H56" s="20"/>
      <c r="I56" s="61">
        <f>SUM(I24:I55)</f>
        <v>72075</v>
      </c>
      <c r="J56" s="20"/>
      <c r="K56" s="61">
        <f>SUM(K24:K55)</f>
        <v>0</v>
      </c>
      <c r="L56" s="20"/>
      <c r="M56" s="61">
        <f>SUM(M24:M55)</f>
        <v>0</v>
      </c>
      <c r="N56" s="20"/>
      <c r="O56" s="61">
        <f>SUM(O24:O55)</f>
        <v>0</v>
      </c>
      <c r="P56" s="20"/>
      <c r="Q56" s="61">
        <f>SUM(Q24:Q55)</f>
        <v>0</v>
      </c>
      <c r="R56" s="20"/>
      <c r="S56" s="61">
        <f>SUM(S24:S55)</f>
        <v>0</v>
      </c>
    </row>
    <row r="57" spans="1:19">
      <c r="A57" s="2358"/>
      <c r="B57" s="2359"/>
      <c r="C57" s="2360"/>
      <c r="D57" s="2360"/>
      <c r="E57" s="2361"/>
      <c r="F57" s="2362" t="s">
        <v>568</v>
      </c>
      <c r="G57" s="2363"/>
      <c r="H57" s="2364">
        <v>0</v>
      </c>
      <c r="I57" s="415"/>
      <c r="J57" s="2364">
        <v>0</v>
      </c>
      <c r="K57" s="415"/>
      <c r="L57" s="2364">
        <v>0</v>
      </c>
      <c r="M57" s="415"/>
      <c r="N57" s="2364">
        <v>0</v>
      </c>
      <c r="O57" s="415"/>
      <c r="P57" s="2364">
        <v>0</v>
      </c>
      <c r="Q57" s="415"/>
      <c r="R57" s="2364">
        <v>0</v>
      </c>
      <c r="S57" s="415"/>
    </row>
    <row r="58" spans="1:19">
      <c r="A58" s="2358"/>
      <c r="B58" s="2359"/>
      <c r="C58" s="2360"/>
      <c r="D58" s="2360"/>
      <c r="E58" s="2361"/>
      <c r="F58" s="2362" t="s">
        <v>569</v>
      </c>
      <c r="G58" s="2363"/>
      <c r="H58" s="2366"/>
      <c r="I58" s="2465">
        <f>I56*H57</f>
        <v>0</v>
      </c>
      <c r="J58" s="2366"/>
      <c r="K58" s="2465">
        <f>K56*J57</f>
        <v>0</v>
      </c>
      <c r="L58" s="2366"/>
      <c r="M58" s="2465">
        <f>M56*L57</f>
        <v>0</v>
      </c>
      <c r="N58" s="2366"/>
      <c r="O58" s="2465">
        <f>O56*N57</f>
        <v>0</v>
      </c>
      <c r="P58" s="2366"/>
      <c r="Q58" s="2465">
        <f>Q56*P57</f>
        <v>0</v>
      </c>
      <c r="R58" s="2366"/>
      <c r="S58" s="2465">
        <f>S56*R57</f>
        <v>0</v>
      </c>
    </row>
    <row r="59" spans="1:19">
      <c r="A59" s="2358"/>
      <c r="B59" s="2359"/>
      <c r="C59" s="2360"/>
      <c r="D59" s="2360"/>
      <c r="E59" s="2361"/>
      <c r="F59" s="2362"/>
      <c r="G59" s="2363"/>
      <c r="H59" s="2366"/>
      <c r="I59" s="2464"/>
      <c r="J59" s="2366"/>
      <c r="K59" s="2464"/>
      <c r="L59" s="2366"/>
      <c r="M59" s="2464"/>
      <c r="N59" s="2366"/>
      <c r="O59" s="2464"/>
      <c r="P59" s="2366"/>
      <c r="Q59" s="2464"/>
      <c r="R59" s="2366"/>
      <c r="S59" s="2464"/>
    </row>
    <row r="60" spans="1:19">
      <c r="A60" s="2358"/>
      <c r="B60" s="2359"/>
      <c r="C60" s="2360"/>
      <c r="D60" s="2360"/>
      <c r="E60" s="2361"/>
      <c r="F60" s="2362" t="s">
        <v>570</v>
      </c>
      <c r="G60" s="2363"/>
      <c r="H60" s="2368"/>
      <c r="I60" s="2465">
        <f>SUM(I56:I58)</f>
        <v>72075</v>
      </c>
      <c r="J60" s="2368"/>
      <c r="K60" s="2465">
        <f>SUM(K56:K58)</f>
        <v>0</v>
      </c>
      <c r="L60" s="2368"/>
      <c r="M60" s="2465">
        <f>SUM(M56:M58)</f>
        <v>0</v>
      </c>
      <c r="N60" s="2368"/>
      <c r="O60" s="2465">
        <f>SUM(O56:O58)</f>
        <v>0</v>
      </c>
      <c r="P60" s="2368"/>
      <c r="Q60" s="2465">
        <f>SUM(Q56:Q58)</f>
        <v>0</v>
      </c>
      <c r="R60" s="2368"/>
      <c r="S60" s="2465">
        <f>SUM(S56:S58)</f>
        <v>0</v>
      </c>
    </row>
    <row r="61" spans="1:19">
      <c r="A61" s="2358"/>
      <c r="B61" s="2359"/>
      <c r="C61" s="2360"/>
      <c r="D61" s="2360"/>
      <c r="E61" s="2361"/>
      <c r="F61" s="2370" t="s">
        <v>571</v>
      </c>
      <c r="G61" s="2371"/>
      <c r="H61" s="2372"/>
      <c r="I61" s="2373" t="e">
        <f>I60/'Area Calculations'!$J$4</f>
        <v>#DIV/0!</v>
      </c>
      <c r="J61" s="2372"/>
      <c r="K61" s="2373" t="e">
        <f>K60/'Area Calculations'!$J$4</f>
        <v>#DIV/0!</v>
      </c>
      <c r="L61" s="2372"/>
      <c r="M61" s="2373" t="e">
        <f>M60/'Area Calculations'!$J$4</f>
        <v>#DIV/0!</v>
      </c>
      <c r="N61" s="2372"/>
      <c r="O61" s="2373" t="e">
        <f>O60/'Area Calculations'!$J$4</f>
        <v>#DIV/0!</v>
      </c>
      <c r="P61" s="2372"/>
      <c r="Q61" s="2373" t="e">
        <f>Q60/'Area Calculations'!$J$4</f>
        <v>#DIV/0!</v>
      </c>
      <c r="R61" s="2372"/>
      <c r="S61" s="2373" t="e">
        <f>S60/'Area Calculations'!$J$4</f>
        <v>#DIV/0!</v>
      </c>
    </row>
    <row r="62" spans="1:19">
      <c r="A62" s="2358"/>
      <c r="B62" s="2359"/>
      <c r="C62" s="2360"/>
      <c r="D62" s="2360"/>
      <c r="E62" s="2361"/>
      <c r="F62" s="2370" t="s">
        <v>572</v>
      </c>
      <c r="G62" s="2374"/>
      <c r="H62" s="2372"/>
      <c r="I62" s="2373" t="e">
        <f>I60/'Area Calculations'!#REF!</f>
        <v>#REF!</v>
      </c>
      <c r="J62" s="2372"/>
      <c r="K62" s="2373" t="e">
        <f>K60/'Area Calculations'!#REF!</f>
        <v>#REF!</v>
      </c>
      <c r="L62" s="2372"/>
      <c r="M62" s="2373" t="e">
        <f>M60/'Area Calculations'!#REF!</f>
        <v>#REF!</v>
      </c>
      <c r="N62" s="2372"/>
      <c r="O62" s="2373" t="e">
        <f>O60/'Area Calculations'!#REF!</f>
        <v>#REF!</v>
      </c>
      <c r="P62" s="2372"/>
      <c r="Q62" s="2373" t="e">
        <f>Q60/'Area Calculations'!#REF!</f>
        <v>#REF!</v>
      </c>
      <c r="R62" s="2372"/>
      <c r="S62" s="2373" t="e">
        <f>S60/'Area Calculations'!#REF!</f>
        <v>#REF!</v>
      </c>
    </row>
    <row r="63" spans="1:19" ht="15.75" thickBot="1">
      <c r="A63" s="2358"/>
      <c r="B63" s="2359"/>
      <c r="C63" s="2360"/>
      <c r="D63" s="2360"/>
      <c r="E63" s="2361"/>
      <c r="F63" s="2362"/>
      <c r="G63" s="2375"/>
      <c r="H63" s="2376"/>
      <c r="I63" s="2377"/>
      <c r="J63" s="2376"/>
      <c r="K63" s="2377"/>
      <c r="L63" s="2376"/>
      <c r="M63" s="2377"/>
      <c r="N63" s="2376"/>
      <c r="O63" s="2377"/>
      <c r="P63" s="2376"/>
      <c r="Q63" s="2377"/>
      <c r="R63" s="2376"/>
      <c r="S63" s="2377"/>
    </row>
    <row r="64" spans="1:19" ht="16.5" thickTop="1" thickBot="1">
      <c r="A64" s="726" t="s">
        <v>573</v>
      </c>
      <c r="B64" s="727"/>
      <c r="C64" s="12"/>
      <c r="D64" s="12"/>
      <c r="E64" s="12"/>
      <c r="F64" s="12"/>
      <c r="G64" s="13"/>
      <c r="H64" s="21"/>
      <c r="I64" s="21"/>
      <c r="J64" s="21"/>
      <c r="K64" s="21"/>
      <c r="L64" s="21"/>
      <c r="M64" s="21"/>
      <c r="N64" s="21"/>
      <c r="O64" s="21"/>
      <c r="P64" s="21"/>
      <c r="Q64" s="21"/>
      <c r="R64" s="21"/>
      <c r="S64" s="21"/>
    </row>
    <row r="65" spans="1:19" ht="15.75" thickTop="1">
      <c r="A65" s="3577"/>
      <c r="B65" s="2404"/>
      <c r="C65" s="3578"/>
      <c r="D65" s="3578"/>
      <c r="E65" s="3578"/>
      <c r="F65" s="3578"/>
      <c r="G65" s="3579"/>
      <c r="H65" s="3580"/>
      <c r="I65" s="3580"/>
      <c r="J65" s="3580"/>
      <c r="K65" s="3580"/>
      <c r="L65" s="3580"/>
      <c r="M65" s="3580"/>
      <c r="N65" s="3580"/>
      <c r="O65" s="3580"/>
      <c r="P65" s="3580"/>
      <c r="Q65" s="3580"/>
      <c r="R65" s="3580"/>
      <c r="S65" s="3580"/>
    </row>
    <row r="66" spans="1:19">
      <c r="A66" s="3577"/>
      <c r="B66" s="2404"/>
      <c r="C66" s="3578"/>
      <c r="D66" s="3578"/>
      <c r="E66" s="3578"/>
      <c r="F66" s="3578"/>
      <c r="G66" s="3579"/>
      <c r="H66" s="3580"/>
      <c r="I66" s="3580"/>
      <c r="J66" s="3580"/>
      <c r="K66" s="3580"/>
      <c r="L66" s="3580"/>
      <c r="M66" s="3580"/>
      <c r="N66" s="3580"/>
      <c r="O66" s="3580"/>
      <c r="P66" s="3580"/>
      <c r="Q66" s="3580"/>
      <c r="R66" s="3580"/>
      <c r="S66" s="3580"/>
    </row>
    <row r="67" spans="1:19" ht="15.75" thickBot="1">
      <c r="A67" s="3577"/>
      <c r="B67" s="2404"/>
      <c r="C67" s="3578"/>
      <c r="D67" s="3578"/>
      <c r="E67" s="3578"/>
      <c r="F67" s="3578"/>
      <c r="G67" s="3579"/>
      <c r="H67" s="3580"/>
      <c r="I67" s="3580"/>
      <c r="J67" s="3580"/>
      <c r="K67" s="3580"/>
      <c r="L67" s="3580"/>
      <c r="M67" s="3580"/>
      <c r="N67" s="3580"/>
      <c r="O67" s="3580"/>
      <c r="P67" s="3580"/>
      <c r="Q67" s="3580"/>
      <c r="R67" s="3580"/>
      <c r="S67" s="3580"/>
    </row>
    <row r="68" spans="1:19" s="2" customFormat="1" ht="16.5" thickTop="1" thickBot="1">
      <c r="A68" s="726" t="s">
        <v>574</v>
      </c>
      <c r="B68" s="727"/>
      <c r="C68" s="12"/>
      <c r="D68" s="12"/>
      <c r="E68" s="12"/>
      <c r="F68" s="12"/>
      <c r="G68" s="13"/>
      <c r="H68" s="21"/>
      <c r="I68" s="21"/>
      <c r="J68" s="21"/>
      <c r="K68" s="21"/>
      <c r="L68" s="21"/>
      <c r="M68" s="21"/>
      <c r="N68" s="21"/>
      <c r="O68" s="21"/>
      <c r="P68" s="21"/>
      <c r="Q68" s="21"/>
      <c r="R68" s="21"/>
      <c r="S68" s="21"/>
    </row>
    <row r="69" spans="1:19" s="2" customFormat="1" ht="15.75" thickTop="1">
      <c r="A69" s="3577"/>
      <c r="B69" s="2404"/>
      <c r="C69" s="3578"/>
      <c r="D69" s="3578"/>
      <c r="E69" s="3578"/>
      <c r="F69" s="3578"/>
      <c r="G69" s="3579"/>
      <c r="H69" s="3580"/>
      <c r="I69" s="3580"/>
      <c r="J69" s="3580"/>
      <c r="K69" s="3580"/>
      <c r="L69" s="3580"/>
      <c r="M69" s="3580"/>
      <c r="N69" s="3580"/>
      <c r="O69" s="3580"/>
      <c r="P69" s="3580"/>
      <c r="Q69" s="3580"/>
      <c r="R69" s="3580"/>
      <c r="S69" s="3580"/>
    </row>
    <row r="70" spans="1:19" s="2" customFormat="1">
      <c r="A70" s="3577"/>
      <c r="B70" s="2404"/>
      <c r="C70" s="3578"/>
      <c r="D70" s="3578"/>
      <c r="E70" s="3578"/>
      <c r="F70" s="3578"/>
      <c r="G70" s="3579"/>
      <c r="H70" s="3580"/>
      <c r="I70" s="3580"/>
      <c r="J70" s="3580"/>
      <c r="K70" s="3580"/>
      <c r="L70" s="3580"/>
      <c r="M70" s="3580"/>
      <c r="N70" s="3580"/>
      <c r="O70" s="3580"/>
      <c r="P70" s="3580"/>
      <c r="Q70" s="3580"/>
      <c r="R70" s="3580"/>
      <c r="S70" s="3580"/>
    </row>
    <row r="71" spans="1:19" ht="15.75" thickBot="1">
      <c r="A71" s="3577"/>
      <c r="B71" s="2404"/>
      <c r="C71" s="3578"/>
      <c r="D71" s="3578"/>
      <c r="E71" s="3578"/>
      <c r="F71" s="3578"/>
      <c r="G71" s="3579"/>
      <c r="H71" s="3580"/>
      <c r="I71" s="3580"/>
      <c r="J71" s="3580"/>
      <c r="K71" s="3580"/>
      <c r="L71" s="3580"/>
      <c r="M71" s="3580"/>
      <c r="N71" s="3580"/>
      <c r="O71" s="3580"/>
      <c r="P71" s="3580"/>
      <c r="Q71" s="3580"/>
      <c r="R71" s="3580"/>
      <c r="S71" s="3580"/>
    </row>
    <row r="72" spans="1:19" s="2" customFormat="1" ht="16.5" thickTop="1" thickBot="1">
      <c r="A72" s="726" t="s">
        <v>575</v>
      </c>
      <c r="B72" s="727"/>
      <c r="C72" s="12"/>
      <c r="D72" s="12"/>
      <c r="E72" s="12"/>
      <c r="F72" s="12"/>
      <c r="G72" s="13"/>
      <c r="H72" s="21"/>
      <c r="I72" s="21"/>
      <c r="J72" s="21"/>
      <c r="K72" s="21"/>
      <c r="L72" s="21"/>
      <c r="M72" s="21"/>
      <c r="N72" s="21"/>
      <c r="O72" s="21"/>
      <c r="P72" s="21"/>
      <c r="Q72" s="21"/>
      <c r="R72" s="21"/>
      <c r="S72" s="21"/>
    </row>
    <row r="73" spans="1:19" s="2" customFormat="1" ht="15.75" thickTop="1">
      <c r="A73" s="3577"/>
      <c r="B73" s="2404"/>
      <c r="C73" s="3578"/>
      <c r="D73" s="3578"/>
      <c r="E73" s="3578"/>
      <c r="F73" s="3578"/>
      <c r="G73" s="3579"/>
      <c r="H73" s="3580"/>
      <c r="I73" s="3580"/>
      <c r="J73" s="3580"/>
      <c r="K73" s="3580"/>
      <c r="L73" s="3580"/>
      <c r="M73" s="3580"/>
      <c r="N73" s="3580"/>
      <c r="O73" s="3580"/>
      <c r="P73" s="3580"/>
      <c r="Q73" s="3580"/>
      <c r="R73" s="3580"/>
      <c r="S73" s="3580"/>
    </row>
    <row r="74" spans="1:19" s="2" customFormat="1">
      <c r="A74" s="2421"/>
      <c r="B74" s="2404"/>
      <c r="C74" s="2405"/>
      <c r="D74" s="2405"/>
      <c r="E74" s="2405"/>
      <c r="F74" s="2405"/>
      <c r="G74" s="2423"/>
      <c r="H74" s="2382"/>
      <c r="I74" s="2382"/>
      <c r="J74" s="2382"/>
      <c r="K74" s="2382"/>
      <c r="L74" s="2382"/>
      <c r="M74" s="2382"/>
      <c r="N74" s="2382"/>
      <c r="O74" s="2382"/>
      <c r="P74" s="2382"/>
      <c r="Q74" s="2382"/>
      <c r="R74" s="2382"/>
      <c r="S74" s="2382"/>
    </row>
    <row r="75" spans="1:19" s="2" customFormat="1" ht="15.75" thickBot="1">
      <c r="A75" s="2383"/>
      <c r="B75" s="2384"/>
      <c r="C75" s="2405"/>
      <c r="D75" s="2405"/>
      <c r="E75" s="2405"/>
      <c r="F75" s="2405"/>
      <c r="G75" s="2423"/>
      <c r="H75" s="2385"/>
      <c r="I75" s="2385"/>
      <c r="J75" s="2385"/>
      <c r="K75" s="2385"/>
      <c r="L75" s="2385"/>
      <c r="M75" s="2385"/>
      <c r="N75" s="2385"/>
      <c r="O75" s="2385"/>
      <c r="P75" s="2385"/>
      <c r="Q75" s="2385"/>
      <c r="R75" s="2385"/>
      <c r="S75" s="2385"/>
    </row>
    <row r="76" spans="1:19" s="2" customFormat="1" ht="16.5" thickTop="1" thickBot="1">
      <c r="A76" s="726" t="s">
        <v>576</v>
      </c>
      <c r="B76" s="727"/>
      <c r="C76" s="12"/>
      <c r="D76" s="12"/>
      <c r="E76" s="12"/>
      <c r="F76" s="12"/>
      <c r="G76" s="13"/>
      <c r="H76" s="21"/>
      <c r="I76" s="21"/>
      <c r="J76" s="21"/>
      <c r="K76" s="21"/>
      <c r="L76" s="21"/>
      <c r="M76" s="21"/>
      <c r="N76" s="21"/>
      <c r="O76" s="21"/>
      <c r="P76" s="21"/>
      <c r="Q76" s="21"/>
      <c r="R76" s="21"/>
      <c r="S76" s="21"/>
    </row>
    <row r="77" spans="1:19" ht="15.75" thickTop="1">
      <c r="A77" s="3582"/>
      <c r="B77" s="3583"/>
      <c r="C77" s="3578"/>
      <c r="D77" s="3578"/>
      <c r="E77" s="3578"/>
      <c r="F77" s="3578"/>
      <c r="G77" s="3579"/>
      <c r="H77" s="3580"/>
      <c r="I77" s="3580"/>
      <c r="J77" s="3580"/>
      <c r="K77" s="3580"/>
      <c r="L77" s="3580"/>
      <c r="M77" s="3580"/>
      <c r="N77" s="3580"/>
      <c r="O77" s="3580"/>
      <c r="P77" s="3580"/>
      <c r="Q77" s="3580"/>
      <c r="R77" s="3580"/>
      <c r="S77" s="3580"/>
    </row>
    <row r="78" spans="1:19">
      <c r="A78" s="2383"/>
      <c r="B78" s="2384"/>
      <c r="C78" s="2405"/>
      <c r="D78" s="2405"/>
      <c r="E78" s="2405"/>
      <c r="F78" s="2405"/>
      <c r="G78" s="2423"/>
      <c r="H78" s="2388"/>
      <c r="I78" s="2388"/>
      <c r="J78" s="2388"/>
      <c r="K78" s="2388"/>
      <c r="L78" s="2388"/>
      <c r="M78" s="2388"/>
      <c r="N78" s="2388"/>
      <c r="O78" s="2388"/>
      <c r="P78" s="2388"/>
      <c r="Q78" s="2388"/>
      <c r="R78" s="2388"/>
      <c r="S78" s="2388"/>
    </row>
    <row r="79" spans="1:19" ht="15.75" thickBot="1">
      <c r="A79" s="2383"/>
      <c r="B79" s="2384"/>
      <c r="C79" s="2405"/>
      <c r="D79" s="2405"/>
      <c r="E79" s="2405"/>
      <c r="F79" s="2405"/>
      <c r="G79" s="2423"/>
      <c r="H79" s="2388"/>
      <c r="I79" s="2388"/>
      <c r="J79" s="2388"/>
      <c r="K79" s="2388"/>
      <c r="L79" s="2388"/>
      <c r="M79" s="2388"/>
      <c r="N79" s="2388"/>
      <c r="O79" s="2388"/>
      <c r="P79" s="2388"/>
      <c r="Q79" s="2388"/>
      <c r="R79" s="2388"/>
      <c r="S79" s="2388"/>
    </row>
    <row r="80" spans="1:19" ht="16.5" thickTop="1" thickBot="1">
      <c r="A80" s="726" t="s">
        <v>577</v>
      </c>
      <c r="B80" s="727"/>
      <c r="C80" s="12"/>
      <c r="D80" s="12"/>
      <c r="E80" s="12"/>
      <c r="F80" s="12"/>
      <c r="G80" s="13"/>
      <c r="H80" s="21"/>
      <c r="I80" s="21"/>
      <c r="J80" s="21"/>
      <c r="K80" s="21"/>
      <c r="L80" s="21"/>
      <c r="M80" s="21"/>
      <c r="N80" s="21"/>
      <c r="O80" s="21"/>
      <c r="P80" s="21"/>
      <c r="Q80" s="21"/>
      <c r="R80" s="21"/>
      <c r="S80" s="21"/>
    </row>
    <row r="81" spans="1:19" ht="15.75" thickTop="1">
      <c r="A81" s="2421"/>
      <c r="B81" s="2404" t="s">
        <v>578</v>
      </c>
      <c r="C81" s="2405"/>
      <c r="D81" s="2405"/>
      <c r="E81" s="2405"/>
      <c r="F81" s="2405"/>
      <c r="G81" s="2423"/>
      <c r="H81" s="2388"/>
      <c r="I81" s="2388"/>
      <c r="J81" s="2388"/>
      <c r="K81" s="2388"/>
      <c r="L81" s="2388"/>
      <c r="M81" s="2388"/>
      <c r="N81" s="2388"/>
      <c r="O81" s="2388"/>
      <c r="P81" s="2388"/>
      <c r="Q81" s="2388"/>
      <c r="R81" s="2388"/>
      <c r="S81" s="2388"/>
    </row>
    <row r="82" spans="1:19">
      <c r="A82" s="2421"/>
      <c r="B82" s="2404" t="s">
        <v>579</v>
      </c>
      <c r="C82" s="2405"/>
      <c r="D82" s="2405"/>
      <c r="E82" s="2405"/>
      <c r="F82" s="2405"/>
      <c r="G82" s="2423"/>
      <c r="H82" s="2388"/>
      <c r="I82" s="2388"/>
      <c r="J82" s="2388"/>
      <c r="K82" s="2388"/>
      <c r="L82" s="2388"/>
      <c r="M82" s="2388"/>
      <c r="N82" s="2388"/>
      <c r="O82" s="2388"/>
      <c r="P82" s="2388"/>
      <c r="Q82" s="2388"/>
      <c r="R82" s="2388"/>
      <c r="S82" s="2388"/>
    </row>
    <row r="83" spans="1:19">
      <c r="A83" s="2421"/>
      <c r="B83" s="2404" t="s">
        <v>580</v>
      </c>
      <c r="C83" s="2405"/>
      <c r="D83" s="2405"/>
      <c r="E83" s="2405"/>
      <c r="F83" s="2405"/>
      <c r="G83" s="2423"/>
      <c r="H83" s="2388"/>
      <c r="I83" s="2388"/>
      <c r="J83" s="2388"/>
      <c r="K83" s="2388"/>
      <c r="L83" s="2388"/>
      <c r="M83" s="2388"/>
      <c r="N83" s="2388"/>
      <c r="O83" s="2388"/>
      <c r="P83" s="2388"/>
      <c r="Q83" s="2388"/>
      <c r="R83" s="2388"/>
      <c r="S83" s="2388"/>
    </row>
    <row r="84" spans="1:19">
      <c r="A84" s="2421"/>
      <c r="B84" s="2404" t="s">
        <v>581</v>
      </c>
      <c r="C84" s="2405"/>
      <c r="D84" s="2405"/>
      <c r="E84" s="2405"/>
      <c r="F84" s="2405"/>
      <c r="G84" s="2423"/>
      <c r="H84" s="2388"/>
      <c r="I84" s="2388"/>
      <c r="J84" s="2388"/>
      <c r="K84" s="2388"/>
      <c r="L84" s="2388"/>
      <c r="M84" s="2388"/>
      <c r="N84" s="2388"/>
      <c r="O84" s="2388"/>
      <c r="P84" s="2388"/>
      <c r="Q84" s="2388"/>
      <c r="R84" s="2388"/>
      <c r="S84" s="2388"/>
    </row>
    <row r="85" spans="1:19" ht="15.75" thickBot="1">
      <c r="A85" s="416"/>
      <c r="B85" s="295"/>
      <c r="C85" s="184"/>
      <c r="D85" s="184"/>
      <c r="E85" s="184"/>
      <c r="F85" s="184"/>
      <c r="G85" s="296"/>
      <c r="H85" s="418"/>
      <c r="I85" s="418"/>
      <c r="J85" s="418"/>
      <c r="K85" s="418"/>
      <c r="L85" s="418"/>
      <c r="M85" s="418"/>
      <c r="N85" s="418"/>
      <c r="O85" s="418"/>
      <c r="P85" s="418"/>
      <c r="Q85" s="418"/>
      <c r="R85" s="418"/>
      <c r="S85" s="418"/>
    </row>
    <row r="86" spans="1:19" ht="16.5" thickTop="1" thickBot="1">
      <c r="A86" s="7" t="s">
        <v>582</v>
      </c>
      <c r="B86" s="8"/>
      <c r="C86" s="12"/>
      <c r="D86" s="12"/>
      <c r="E86" s="12"/>
      <c r="F86" s="12"/>
      <c r="G86" s="13"/>
      <c r="H86" s="21"/>
      <c r="I86" s="21"/>
      <c r="J86" s="21"/>
      <c r="K86" s="21"/>
      <c r="L86" s="21"/>
      <c r="M86" s="21"/>
      <c r="N86" s="21"/>
      <c r="O86" s="21"/>
      <c r="P86" s="21"/>
      <c r="Q86" s="21"/>
      <c r="R86" s="21"/>
      <c r="S86" s="21"/>
    </row>
    <row r="87" spans="1:19" ht="15.75" thickTop="1">
      <c r="A87" s="3577"/>
      <c r="B87" s="3584" t="s">
        <v>583</v>
      </c>
      <c r="C87" s="3578"/>
      <c r="D87" s="3578"/>
      <c r="E87" s="3578"/>
      <c r="F87" s="3578"/>
      <c r="G87" s="3579"/>
      <c r="H87" s="3585"/>
      <c r="I87" s="3585"/>
      <c r="J87" s="3585"/>
      <c r="K87" s="3585"/>
      <c r="L87" s="3585"/>
      <c r="M87" s="3585"/>
      <c r="N87" s="3585"/>
      <c r="O87" s="3585"/>
      <c r="P87" s="3585"/>
      <c r="Q87" s="3585"/>
      <c r="R87" s="3585"/>
      <c r="S87" s="3585"/>
    </row>
    <row r="88" spans="1:19">
      <c r="A88" s="2421"/>
      <c r="B88" s="2404" t="s">
        <v>584</v>
      </c>
      <c r="C88" s="2405"/>
      <c r="D88" s="2405"/>
      <c r="E88" s="2405"/>
      <c r="F88" s="2405"/>
      <c r="G88" s="2423"/>
      <c r="H88" s="2390"/>
      <c r="I88" s="2390"/>
      <c r="J88" s="2390"/>
      <c r="K88" s="2390"/>
      <c r="L88" s="2390"/>
      <c r="M88" s="2390"/>
      <c r="N88" s="2390"/>
      <c r="O88" s="2390"/>
      <c r="P88" s="2390"/>
      <c r="Q88" s="2390"/>
      <c r="R88" s="2390"/>
      <c r="S88" s="2390"/>
    </row>
    <row r="89" spans="1:19" ht="15.75" thickBot="1">
      <c r="A89" s="2391"/>
      <c r="B89" s="2392" t="s">
        <v>585</v>
      </c>
      <c r="C89" s="2393"/>
      <c r="D89" s="2393"/>
      <c r="E89" s="2393"/>
      <c r="F89" s="2393"/>
      <c r="G89" s="2394"/>
      <c r="H89" s="2395"/>
      <c r="I89" s="2395"/>
      <c r="J89" s="2395"/>
      <c r="K89" s="2395"/>
      <c r="L89" s="2395"/>
      <c r="M89" s="2395"/>
      <c r="N89" s="2395"/>
      <c r="O89" s="2395"/>
      <c r="P89" s="2395"/>
      <c r="Q89" s="2395"/>
      <c r="R89" s="2395"/>
      <c r="S89" s="2395"/>
    </row>
    <row r="90" spans="1:19" ht="16.5" thickTop="1" thickBot="1"/>
    <row r="91" spans="1:19" ht="16.5" thickTop="1" thickBot="1">
      <c r="A91" s="92" t="s">
        <v>586</v>
      </c>
      <c r="B91" s="94"/>
    </row>
    <row r="92" spans="1:19" ht="15.75" thickTop="1">
      <c r="A92" s="93" t="s">
        <v>487</v>
      </c>
      <c r="B92" s="2396"/>
    </row>
    <row r="93" spans="1:19">
      <c r="A93" s="2397" t="s">
        <v>491</v>
      </c>
      <c r="B93" s="2396"/>
    </row>
    <row r="94" spans="1:19">
      <c r="A94" s="2398" t="s">
        <v>494</v>
      </c>
      <c r="B94" s="2399"/>
    </row>
    <row r="95" spans="1:19">
      <c r="A95" s="2398" t="s">
        <v>497</v>
      </c>
      <c r="B95" s="2400"/>
    </row>
    <row r="96" spans="1:19" ht="15.75" thickBot="1">
      <c r="A96" s="2401" t="s">
        <v>587</v>
      </c>
      <c r="B96" s="2402">
        <f>H8</f>
        <v>72075</v>
      </c>
    </row>
    <row r="97" spans="1:2" ht="15.75" thickTop="1"/>
    <row r="98" spans="1:2">
      <c r="A98" s="95"/>
      <c r="B98" s="1" t="s">
        <v>588</v>
      </c>
    </row>
    <row r="99" spans="1:2">
      <c r="A99" s="96"/>
      <c r="B99" s="1" t="s">
        <v>589</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64:B64"/>
    <mergeCell ref="A68:B68"/>
    <mergeCell ref="A72:B72"/>
    <mergeCell ref="A76:B76"/>
    <mergeCell ref="A80:B80"/>
  </mergeCells>
  <conditionalFormatting sqref="H21:H31 H33:H55 J33:J55 L33:L55 N33:N55 P33:P55 R33:R55">
    <cfRule type="cellIs" dxfId="45" priority="23" operator="equal">
      <formula>"X"</formula>
    </cfRule>
    <cfRule type="cellIs" dxfId="44" priority="24" operator="equal">
      <formula>"I"</formula>
    </cfRule>
  </conditionalFormatting>
  <conditionalFormatting sqref="J21:J31">
    <cfRule type="cellIs" dxfId="43" priority="19" operator="equal">
      <formula>"X"</formula>
    </cfRule>
    <cfRule type="cellIs" dxfId="42" priority="20" operator="equal">
      <formula>"I"</formula>
    </cfRule>
  </conditionalFormatting>
  <conditionalFormatting sqref="L21:L31">
    <cfRule type="cellIs" dxfId="41" priority="15" operator="equal">
      <formula>"X"</formula>
    </cfRule>
    <cfRule type="cellIs" dxfId="40" priority="16" operator="equal">
      <formula>"I"</formula>
    </cfRule>
  </conditionalFormatting>
  <conditionalFormatting sqref="N21:N31">
    <cfRule type="cellIs" dxfId="39" priority="11" operator="equal">
      <formula>"X"</formula>
    </cfRule>
    <cfRule type="cellIs" dxfId="38" priority="12" operator="equal">
      <formula>"I"</formula>
    </cfRule>
  </conditionalFormatting>
  <conditionalFormatting sqref="P21:P31">
    <cfRule type="cellIs" dxfId="37" priority="5" operator="equal">
      <formula>"X"</formula>
    </cfRule>
    <cfRule type="cellIs" dxfId="36" priority="6" operator="equal">
      <formula>"I"</formula>
    </cfRule>
  </conditionalFormatting>
  <conditionalFormatting sqref="R21:R31">
    <cfRule type="cellIs" dxfId="35" priority="3" operator="equal">
      <formula>"X"</formula>
    </cfRule>
    <cfRule type="cellIs" dxfId="34" priority="4" operator="equal">
      <formula>"I"</formula>
    </cfRule>
  </conditionalFormatting>
  <hyperlinks>
    <hyperlink ref="B3" location="'Cost Summary'!A1" display="BACK TO SUMMARY SHEET" xr:uid="{CD165E9D-98BE-4397-AA40-8DB53C814F8F}"/>
  </hyperlinks>
  <pageMargins left="0.7" right="0.7" top="0.75" bottom="0.75" header="0.3" footer="0.3"/>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1AC8-543A-4A4D-959B-2CF6902A07FD}">
  <sheetPr>
    <tabColor rgb="FF92D050"/>
  </sheetPr>
  <dimension ref="A1:S98"/>
  <sheetViews>
    <sheetView zoomScale="115" zoomScaleNormal="115" workbookViewId="0">
      <pane xSplit="2" ySplit="9" topLeftCell="C33" activePane="bottomRight" state="frozen"/>
      <selection pane="bottomRight" activeCell="B3" sqref="B3"/>
      <selection pane="bottomLeft" sqref="A1:B1"/>
      <selection pane="topRight" sqref="A1:B1"/>
    </sheetView>
  </sheetViews>
  <sheetFormatPr defaultColWidth="8.85546875" defaultRowHeight="15"/>
  <cols>
    <col min="1" max="1" width="11" style="65" customWidth="1"/>
    <col min="2" max="2" width="70.7109375" style="66" customWidth="1"/>
    <col min="3" max="3" width="10.85546875" style="67" bestFit="1" customWidth="1"/>
    <col min="4" max="5" width="7.5703125" style="67" customWidth="1"/>
    <col min="6" max="6" width="7.7109375" style="67" customWidth="1"/>
    <col min="7" max="7" width="12.28515625" style="67" customWidth="1"/>
    <col min="8" max="8" width="7.42578125" style="67" bestFit="1" customWidth="1"/>
    <col min="9" max="9" width="14.85546875" style="67" customWidth="1"/>
    <col min="10" max="10" width="7.42578125" style="67" bestFit="1" customWidth="1"/>
    <col min="11" max="11" width="14.85546875" style="67" customWidth="1"/>
    <col min="12" max="12" width="7.42578125" style="67" bestFit="1" customWidth="1"/>
    <col min="13" max="13" width="14.85546875" style="67" customWidth="1"/>
    <col min="14" max="14" width="7.42578125" style="67" bestFit="1" customWidth="1"/>
    <col min="15" max="15" width="14.85546875" style="67" customWidth="1"/>
    <col min="16" max="16" width="7.42578125" style="67" bestFit="1" customWidth="1"/>
    <col min="17" max="17" width="14.85546875" style="67" customWidth="1"/>
    <col min="18" max="18" width="7.42578125" style="67" bestFit="1" customWidth="1"/>
    <col min="19" max="19" width="14.85546875" style="67" customWidth="1"/>
    <col min="20" max="16384" width="8.85546875" style="65"/>
  </cols>
  <sheetData>
    <row r="1" spans="1:19">
      <c r="E1" s="175"/>
      <c r="F1" s="149"/>
      <c r="G1" s="147" t="s">
        <v>474</v>
      </c>
    </row>
    <row r="2" spans="1:19" ht="15.75" thickBot="1">
      <c r="E2" s="175"/>
      <c r="F2" s="146" t="s">
        <v>475</v>
      </c>
      <c r="G2" s="147" t="s">
        <v>476</v>
      </c>
      <c r="H2" s="755"/>
      <c r="I2" s="755"/>
      <c r="J2" s="755"/>
      <c r="K2" s="755"/>
      <c r="L2" s="755"/>
      <c r="M2" s="755"/>
      <c r="N2" s="755"/>
      <c r="O2" s="755"/>
      <c r="P2" s="755"/>
      <c r="Q2" s="755"/>
      <c r="R2" s="755"/>
      <c r="S2" s="755"/>
    </row>
    <row r="3" spans="1:19" ht="19.5" thickBot="1">
      <c r="B3" s="150" t="s">
        <v>477</v>
      </c>
      <c r="E3" s="175"/>
      <c r="F3" s="148" t="s">
        <v>478</v>
      </c>
      <c r="G3" s="147" t="s">
        <v>479</v>
      </c>
      <c r="H3" s="756" t="s">
        <v>480</v>
      </c>
      <c r="I3" s="757"/>
      <c r="J3" s="756" t="s">
        <v>481</v>
      </c>
      <c r="K3" s="757"/>
      <c r="L3" s="756" t="s">
        <v>482</v>
      </c>
      <c r="M3" s="757"/>
      <c r="N3" s="756" t="s">
        <v>483</v>
      </c>
      <c r="O3" s="757"/>
      <c r="P3" s="756" t="s">
        <v>727</v>
      </c>
      <c r="Q3" s="757"/>
      <c r="R3" s="756" t="s">
        <v>728</v>
      </c>
      <c r="S3" s="757"/>
    </row>
    <row r="4" spans="1:19" ht="15.75" thickTop="1">
      <c r="A4" s="68" t="s">
        <v>486</v>
      </c>
      <c r="B4" s="4" t="str">
        <f>'Area Calculations'!B4</f>
        <v>The Club at Ibis Conceptual Estimate</v>
      </c>
      <c r="C4" s="69"/>
      <c r="D4" s="69"/>
      <c r="E4" s="69"/>
      <c r="F4" s="69"/>
      <c r="G4" s="88" t="s">
        <v>487</v>
      </c>
      <c r="H4" s="728"/>
      <c r="I4" s="729"/>
      <c r="J4" s="728"/>
      <c r="K4" s="729"/>
      <c r="L4" s="728"/>
      <c r="M4" s="729"/>
      <c r="N4" s="728"/>
      <c r="O4" s="729"/>
      <c r="P4" s="728"/>
      <c r="Q4" s="729"/>
      <c r="R4" s="728"/>
      <c r="S4" s="729"/>
    </row>
    <row r="5" spans="1:19">
      <c r="A5" s="3598" t="s">
        <v>489</v>
      </c>
      <c r="B5" s="3599" t="s">
        <v>230</v>
      </c>
      <c r="C5" s="3436"/>
      <c r="D5" s="3436"/>
      <c r="E5" s="3436"/>
      <c r="F5" s="3436"/>
      <c r="G5" s="3600" t="s">
        <v>491</v>
      </c>
      <c r="H5" s="2407"/>
      <c r="I5" s="2408"/>
      <c r="J5" s="2407"/>
      <c r="K5" s="2408"/>
      <c r="L5" s="2407"/>
      <c r="M5" s="2408"/>
      <c r="N5" s="2407"/>
      <c r="O5" s="2408"/>
      <c r="P5" s="2407"/>
      <c r="Q5" s="2408"/>
      <c r="R5" s="2407"/>
      <c r="S5" s="2408"/>
    </row>
    <row r="6" spans="1:19">
      <c r="A6" s="3598" t="s">
        <v>493</v>
      </c>
      <c r="B6" s="3601" t="s">
        <v>229</v>
      </c>
      <c r="C6" s="3436"/>
      <c r="D6" s="3436"/>
      <c r="E6" s="3436"/>
      <c r="F6" s="3436"/>
      <c r="G6" s="3600" t="s">
        <v>494</v>
      </c>
      <c r="H6" s="2411"/>
      <c r="I6" s="2412"/>
      <c r="J6" s="2411"/>
      <c r="K6" s="2412"/>
      <c r="L6" s="2411"/>
      <c r="M6" s="2412"/>
      <c r="N6" s="2411"/>
      <c r="O6" s="2412"/>
      <c r="P6" s="2411"/>
      <c r="Q6" s="2412"/>
      <c r="R6" s="2411"/>
      <c r="S6" s="2412"/>
    </row>
    <row r="7" spans="1:19">
      <c r="A7" s="3598" t="s">
        <v>496</v>
      </c>
      <c r="B7" s="3602"/>
      <c r="C7" s="3436"/>
      <c r="D7" s="3436"/>
      <c r="E7" s="3436"/>
      <c r="F7" s="3436"/>
      <c r="G7" s="3600" t="s">
        <v>497</v>
      </c>
      <c r="H7" s="2415"/>
      <c r="I7" s="2416"/>
      <c r="J7" s="2415"/>
      <c r="K7" s="2416"/>
      <c r="L7" s="2415"/>
      <c r="M7" s="2416"/>
      <c r="N7" s="2415"/>
      <c r="O7" s="2416"/>
      <c r="P7" s="2415"/>
      <c r="Q7" s="2416"/>
      <c r="R7" s="2415"/>
      <c r="S7" s="2416"/>
    </row>
    <row r="8" spans="1:19" ht="15.75" thickBot="1">
      <c r="A8" s="414" t="s">
        <v>499</v>
      </c>
      <c r="B8" s="251"/>
      <c r="C8" s="253"/>
      <c r="D8" s="253"/>
      <c r="E8" s="253"/>
      <c r="F8" s="253"/>
      <c r="G8" s="419" t="s">
        <v>499</v>
      </c>
      <c r="H8" s="2970">
        <f>I59</f>
        <v>2950000</v>
      </c>
      <c r="I8" s="2971"/>
      <c r="J8" s="2970">
        <f>K59</f>
        <v>0</v>
      </c>
      <c r="K8" s="2971"/>
      <c r="L8" s="2970">
        <f>M59</f>
        <v>0</v>
      </c>
      <c r="M8" s="2971"/>
      <c r="N8" s="2970">
        <f>O59</f>
        <v>0</v>
      </c>
      <c r="O8" s="2971"/>
      <c r="P8" s="2970">
        <f>Q59</f>
        <v>0</v>
      </c>
      <c r="Q8" s="2971"/>
      <c r="R8" s="2970">
        <f>S59</f>
        <v>0</v>
      </c>
      <c r="S8" s="2971"/>
    </row>
    <row r="9" spans="1:19" ht="31.5" thickTop="1" thickBot="1">
      <c r="A9" s="70" t="s">
        <v>500</v>
      </c>
      <c r="B9" s="71"/>
      <c r="C9" s="72" t="s">
        <v>501</v>
      </c>
      <c r="D9" s="72" t="s">
        <v>502</v>
      </c>
      <c r="E9" s="72" t="s">
        <v>503</v>
      </c>
      <c r="F9" s="72" t="s">
        <v>504</v>
      </c>
      <c r="G9" s="89" t="s">
        <v>505</v>
      </c>
      <c r="H9" s="74" t="s">
        <v>506</v>
      </c>
      <c r="I9" s="74" t="s">
        <v>507</v>
      </c>
      <c r="J9" s="74" t="s">
        <v>506</v>
      </c>
      <c r="K9" s="74" t="s">
        <v>507</v>
      </c>
      <c r="L9" s="74" t="s">
        <v>506</v>
      </c>
      <c r="M9" s="74" t="s">
        <v>507</v>
      </c>
      <c r="N9" s="74" t="s">
        <v>506</v>
      </c>
      <c r="O9" s="74" t="s">
        <v>507</v>
      </c>
      <c r="P9" s="74" t="s">
        <v>506</v>
      </c>
      <c r="Q9" s="74" t="s">
        <v>507</v>
      </c>
      <c r="R9" s="74" t="s">
        <v>506</v>
      </c>
      <c r="S9" s="74" t="s">
        <v>507</v>
      </c>
    </row>
    <row r="10" spans="1:19" ht="15.75" hidden="1" customHeight="1">
      <c r="A10" s="3603"/>
      <c r="B10" s="3586" t="s">
        <v>508</v>
      </c>
      <c r="C10" s="3436"/>
      <c r="D10" s="3436"/>
      <c r="E10" s="3436"/>
      <c r="F10" s="3436"/>
      <c r="G10" s="3604"/>
      <c r="H10" s="3605"/>
      <c r="I10" s="3605"/>
      <c r="J10" s="3605"/>
      <c r="K10" s="3605"/>
      <c r="L10" s="3605"/>
      <c r="M10" s="3605"/>
      <c r="N10" s="3605"/>
      <c r="O10" s="3605"/>
      <c r="P10" s="3605"/>
      <c r="Q10" s="3605"/>
      <c r="R10" s="3605"/>
      <c r="S10" s="3605"/>
    </row>
    <row r="11" spans="1:19" ht="15.75" hidden="1" customHeight="1" thickBot="1">
      <c r="A11" s="3603"/>
      <c r="B11" s="2404" t="str">
        <f>'Area Calculations'!M62</f>
        <v>Architectural Drawings  by</v>
      </c>
      <c r="C11" s="3435" t="s">
        <v>509</v>
      </c>
      <c r="D11" s="3436"/>
      <c r="E11" s="3436"/>
      <c r="F11" s="3436"/>
      <c r="G11" s="3604"/>
      <c r="H11" s="3605"/>
      <c r="I11" s="3605"/>
      <c r="J11" s="3605"/>
      <c r="K11" s="3605"/>
      <c r="L11" s="3605"/>
      <c r="M11" s="3605"/>
      <c r="N11" s="3605"/>
      <c r="O11" s="3605"/>
      <c r="P11" s="3605"/>
      <c r="Q11" s="3605"/>
      <c r="R11" s="3605"/>
      <c r="S11" s="3605"/>
    </row>
    <row r="12" spans="1:19" ht="15.75" hidden="1" customHeight="1" thickTop="1">
      <c r="A12" s="3603"/>
      <c r="B12" s="2404" t="str">
        <f>'Area Calculations'!M63</f>
        <v>Structural Drawings by</v>
      </c>
      <c r="C12" s="3435" t="s">
        <v>509</v>
      </c>
      <c r="D12" s="3436"/>
      <c r="E12" s="3436"/>
      <c r="F12" s="3436"/>
      <c r="G12" s="3604"/>
      <c r="H12" s="3605"/>
      <c r="I12" s="3605"/>
      <c r="J12" s="3605"/>
      <c r="K12" s="3605"/>
      <c r="L12" s="3605"/>
      <c r="M12" s="3605"/>
      <c r="N12" s="3605"/>
      <c r="O12" s="3605"/>
      <c r="P12" s="3605"/>
      <c r="Q12" s="3605"/>
      <c r="R12" s="3605"/>
      <c r="S12" s="3605"/>
    </row>
    <row r="13" spans="1:19" ht="15.75" hidden="1" customHeight="1" thickTop="1">
      <c r="A13" s="3603"/>
      <c r="B13" s="2404" t="str">
        <f>'Area Calculations'!M64</f>
        <v>MEP FA FP Drawings by</v>
      </c>
      <c r="C13" s="3435" t="s">
        <v>509</v>
      </c>
      <c r="D13" s="3436"/>
      <c r="E13" s="3436"/>
      <c r="F13" s="3436"/>
      <c r="G13" s="3604"/>
      <c r="H13" s="3605"/>
      <c r="I13" s="3605"/>
      <c r="J13" s="3605"/>
      <c r="K13" s="3605"/>
      <c r="L13" s="3605"/>
      <c r="M13" s="3605"/>
      <c r="N13" s="3605"/>
      <c r="O13" s="3605"/>
      <c r="P13" s="3605"/>
      <c r="Q13" s="3605"/>
      <c r="R13" s="3605"/>
      <c r="S13" s="3605"/>
    </row>
    <row r="14" spans="1:19" ht="15.75" hidden="1" customHeight="1" thickTop="1">
      <c r="A14" s="3603"/>
      <c r="B14" s="2404" t="str">
        <f>'Area Calculations'!M65</f>
        <v xml:space="preserve">Civil Drawings by </v>
      </c>
      <c r="C14" s="3435" t="s">
        <v>509</v>
      </c>
      <c r="D14" s="3436"/>
      <c r="E14" s="3436"/>
      <c r="F14" s="3436"/>
      <c r="G14" s="3604"/>
      <c r="H14" s="3605"/>
      <c r="I14" s="3605"/>
      <c r="J14" s="3605"/>
      <c r="K14" s="3605"/>
      <c r="L14" s="3605"/>
      <c r="M14" s="3605"/>
      <c r="N14" s="3605"/>
      <c r="O14" s="3605"/>
      <c r="P14" s="3605"/>
      <c r="Q14" s="3605"/>
      <c r="R14" s="3605"/>
      <c r="S14" s="3605"/>
    </row>
    <row r="15" spans="1:19" ht="15.75" hidden="1" customHeight="1" thickTop="1">
      <c r="A15" s="3603"/>
      <c r="B15" s="2404" t="str">
        <f>'Area Calculations'!M66</f>
        <v>Land scape Drawings by</v>
      </c>
      <c r="C15" s="3435" t="s">
        <v>509</v>
      </c>
      <c r="D15" s="3436"/>
      <c r="E15" s="3436"/>
      <c r="F15" s="3436"/>
      <c r="G15" s="3604"/>
      <c r="H15" s="3605"/>
      <c r="I15" s="3605"/>
      <c r="J15" s="3605"/>
      <c r="K15" s="3605"/>
      <c r="L15" s="3605"/>
      <c r="M15" s="3605"/>
      <c r="N15" s="3605"/>
      <c r="O15" s="3605"/>
      <c r="P15" s="3605"/>
      <c r="Q15" s="3605"/>
      <c r="R15" s="3605"/>
      <c r="S15" s="3605"/>
    </row>
    <row r="16" spans="1:19" ht="15.75" hidden="1" customHeight="1" thickTop="1">
      <c r="A16" s="3603"/>
      <c r="B16" s="2404" t="str">
        <f>'Area Calculations'!M67</f>
        <v>Kitchen Drawings by</v>
      </c>
      <c r="C16" s="3435" t="s">
        <v>509</v>
      </c>
      <c r="D16" s="3436"/>
      <c r="E16" s="3436"/>
      <c r="F16" s="3436"/>
      <c r="G16" s="3604"/>
      <c r="H16" s="3605"/>
      <c r="I16" s="3605"/>
      <c r="J16" s="3605"/>
      <c r="K16" s="3605"/>
      <c r="L16" s="3605"/>
      <c r="M16" s="3605"/>
      <c r="N16" s="3605"/>
      <c r="O16" s="3605"/>
      <c r="P16" s="3605"/>
      <c r="Q16" s="3605"/>
      <c r="R16" s="3605"/>
      <c r="S16" s="3605"/>
    </row>
    <row r="17" spans="1:19" ht="15.75" hidden="1" customHeight="1" thickTop="1">
      <c r="A17" s="3603"/>
      <c r="B17" s="2404" t="str">
        <f>'Area Calculations'!M68</f>
        <v>Storefront Designer by</v>
      </c>
      <c r="C17" s="3435" t="s">
        <v>509</v>
      </c>
      <c r="D17" s="3436"/>
      <c r="E17" s="3436"/>
      <c r="F17" s="3436"/>
      <c r="G17" s="3604"/>
      <c r="H17" s="3605"/>
      <c r="I17" s="3605"/>
      <c r="J17" s="3605"/>
      <c r="K17" s="3605"/>
      <c r="L17" s="3605"/>
      <c r="M17" s="3605"/>
      <c r="N17" s="3605"/>
      <c r="O17" s="3605"/>
      <c r="P17" s="3605"/>
      <c r="Q17" s="3605"/>
      <c r="R17" s="3605"/>
      <c r="S17" s="3605"/>
    </row>
    <row r="18" spans="1:19" ht="15.75" hidden="1" customHeight="1" thickTop="1">
      <c r="A18" s="3603"/>
      <c r="B18" s="2404" t="str">
        <f>'Area Calculations'!M69</f>
        <v>Geotech report by</v>
      </c>
      <c r="C18" s="3435" t="s">
        <v>509</v>
      </c>
      <c r="D18" s="3436"/>
      <c r="E18" s="3436"/>
      <c r="F18" s="3436"/>
      <c r="G18" s="3604"/>
      <c r="H18" s="3605"/>
      <c r="I18" s="3605"/>
      <c r="J18" s="3605"/>
      <c r="K18" s="3605"/>
      <c r="L18" s="3605"/>
      <c r="M18" s="3605"/>
      <c r="N18" s="3605"/>
      <c r="O18" s="3605"/>
      <c r="P18" s="3605"/>
      <c r="Q18" s="3605"/>
      <c r="R18" s="3605"/>
      <c r="S18" s="3605"/>
    </row>
    <row r="19" spans="1:19" ht="15.75" hidden="1" customHeight="1" thickTop="1">
      <c r="A19" s="3603"/>
      <c r="B19" s="2404" t="str">
        <f>'Area Calculations'!M70</f>
        <v>Specifications</v>
      </c>
      <c r="C19" s="3435" t="s">
        <v>509</v>
      </c>
      <c r="D19" s="3436"/>
      <c r="E19" s="3436"/>
      <c r="F19" s="3436"/>
      <c r="G19" s="3604"/>
      <c r="H19" s="3605"/>
      <c r="I19" s="3605"/>
      <c r="J19" s="3605"/>
      <c r="K19" s="3605"/>
      <c r="L19" s="3605"/>
      <c r="M19" s="3605"/>
      <c r="N19" s="3605"/>
      <c r="O19" s="3605"/>
      <c r="P19" s="3605"/>
      <c r="Q19" s="3605"/>
      <c r="R19" s="3605"/>
      <c r="S19" s="3605"/>
    </row>
    <row r="20" spans="1:19" ht="15.75" hidden="1" thickTop="1">
      <c r="A20" s="3603"/>
      <c r="B20" s="2404"/>
      <c r="C20" s="3435"/>
      <c r="D20" s="3436"/>
      <c r="E20" s="3436"/>
      <c r="F20" s="3436"/>
      <c r="G20" s="3604"/>
      <c r="H20" s="2427"/>
      <c r="I20" s="3605"/>
      <c r="J20" s="2427"/>
      <c r="K20" s="3605"/>
      <c r="L20" s="3605"/>
      <c r="M20" s="3605"/>
      <c r="N20" s="3605"/>
      <c r="O20" s="3605"/>
      <c r="P20" s="2427"/>
      <c r="Q20" s="3605"/>
      <c r="R20" s="2427"/>
      <c r="S20" s="3605"/>
    </row>
    <row r="21" spans="1:19" hidden="1">
      <c r="A21" s="3606"/>
      <c r="B21" s="2404"/>
      <c r="C21" s="3435"/>
      <c r="D21" s="3436"/>
      <c r="E21" s="3436"/>
      <c r="F21" s="3436"/>
      <c r="G21" s="3604"/>
      <c r="H21" s="2427"/>
      <c r="I21" s="3607"/>
      <c r="J21" s="2427"/>
      <c r="K21" s="3607"/>
      <c r="L21" s="3607"/>
      <c r="M21" s="3607"/>
      <c r="N21" s="3605"/>
      <c r="O21" s="3607"/>
      <c r="P21" s="2427"/>
      <c r="Q21" s="3607"/>
      <c r="R21" s="2427"/>
      <c r="S21" s="3607"/>
    </row>
    <row r="22" spans="1:19" ht="16.5" thickTop="1" thickBot="1">
      <c r="A22" s="3555"/>
      <c r="B22" s="3608" t="s">
        <v>230</v>
      </c>
      <c r="C22" s="3435"/>
      <c r="D22" s="3436"/>
      <c r="E22" s="3436"/>
      <c r="F22" s="3436"/>
      <c r="G22" s="3604"/>
      <c r="H22" s="2427"/>
      <c r="I22" s="3609"/>
      <c r="J22" s="2427"/>
      <c r="K22" s="3609"/>
      <c r="L22" s="3609"/>
      <c r="M22" s="3610"/>
      <c r="N22" s="2427"/>
      <c r="O22" s="3609"/>
      <c r="P22" s="2427"/>
      <c r="Q22" s="3609"/>
      <c r="R22" s="2427"/>
      <c r="S22" s="3609"/>
    </row>
    <row r="23" spans="1:19" customFormat="1">
      <c r="A23" s="3587"/>
      <c r="B23" s="2318" t="s">
        <v>512</v>
      </c>
      <c r="C23" s="2426"/>
      <c r="D23" s="2405"/>
      <c r="E23" s="2405"/>
      <c r="F23" s="2405"/>
      <c r="G23" s="2423"/>
      <c r="H23" s="2427"/>
      <c r="I23" s="3562"/>
      <c r="J23" s="2427"/>
      <c r="K23" s="3576"/>
      <c r="L23" s="2427"/>
      <c r="M23" s="3576"/>
      <c r="N23" s="2427"/>
      <c r="O23" s="3576"/>
      <c r="P23" s="2427"/>
      <c r="Q23" s="3576"/>
      <c r="R23" s="2427"/>
      <c r="S23" s="3576"/>
    </row>
    <row r="24" spans="1:19" customFormat="1">
      <c r="A24" s="3587"/>
      <c r="B24" s="3589" t="s">
        <v>513</v>
      </c>
      <c r="C24" s="2426"/>
      <c r="D24" s="2405"/>
      <c r="E24" s="2405"/>
      <c r="F24" s="2405"/>
      <c r="G24" s="2423"/>
      <c r="H24" s="2427"/>
      <c r="I24" s="3562"/>
      <c r="J24" s="2427"/>
      <c r="K24" s="3576"/>
      <c r="L24" s="2427"/>
      <c r="M24" s="3576"/>
      <c r="N24" s="2427"/>
      <c r="O24" s="3576"/>
      <c r="P24" s="2427"/>
      <c r="Q24" s="3576"/>
      <c r="R24" s="2427"/>
      <c r="S24" s="3576"/>
    </row>
    <row r="25" spans="1:19" customFormat="1">
      <c r="A25" s="3587"/>
      <c r="B25" s="3589" t="s">
        <v>514</v>
      </c>
      <c r="C25" s="2426"/>
      <c r="D25" s="2405"/>
      <c r="E25" s="2405"/>
      <c r="F25" s="2405"/>
      <c r="G25" s="2423"/>
      <c r="H25" s="2427"/>
      <c r="I25" s="3562"/>
      <c r="J25" s="2427"/>
      <c r="K25" s="3576"/>
      <c r="L25" s="2427"/>
      <c r="M25" s="3576"/>
      <c r="N25" s="2427"/>
      <c r="O25" s="3576"/>
      <c r="P25" s="2427"/>
      <c r="Q25" s="3576"/>
      <c r="R25" s="2427"/>
      <c r="S25" s="3576"/>
    </row>
    <row r="26" spans="1:19" customFormat="1">
      <c r="A26" s="3587"/>
      <c r="B26" s="3611" t="s">
        <v>515</v>
      </c>
      <c r="C26" s="2426"/>
      <c r="D26" s="2405"/>
      <c r="E26" s="2405"/>
      <c r="F26" s="2405"/>
      <c r="G26" s="2423"/>
      <c r="H26" s="2427"/>
      <c r="I26" s="3562"/>
      <c r="J26" s="2427"/>
      <c r="K26" s="3576"/>
      <c r="L26" s="2427"/>
      <c r="M26" s="3576"/>
      <c r="N26" s="2427"/>
      <c r="O26" s="3576"/>
      <c r="P26" s="2427"/>
      <c r="Q26" s="3576"/>
      <c r="R26" s="2427"/>
      <c r="S26" s="3576"/>
    </row>
    <row r="27" spans="1:19" customFormat="1">
      <c r="A27" s="3587"/>
      <c r="B27" s="3611" t="s">
        <v>516</v>
      </c>
      <c r="C27" s="2426"/>
      <c r="D27" s="2405"/>
      <c r="E27" s="2405"/>
      <c r="F27" s="2405"/>
      <c r="G27" s="2423"/>
      <c r="H27" s="2427"/>
      <c r="I27" s="3562"/>
      <c r="J27" s="2427"/>
      <c r="K27" s="3576"/>
      <c r="L27" s="2427"/>
      <c r="M27" s="3576"/>
      <c r="N27" s="2427"/>
      <c r="O27" s="3576"/>
      <c r="P27" s="2427"/>
      <c r="Q27" s="3576"/>
      <c r="R27" s="2427"/>
      <c r="S27" s="3576"/>
    </row>
    <row r="28" spans="1:19" customFormat="1">
      <c r="A28" s="3587"/>
      <c r="B28" s="3611" t="s">
        <v>517</v>
      </c>
      <c r="C28" s="2426"/>
      <c r="D28" s="2405"/>
      <c r="E28" s="2405"/>
      <c r="F28" s="2405"/>
      <c r="G28" s="2423"/>
      <c r="H28" s="2427"/>
      <c r="I28" s="3562"/>
      <c r="J28" s="2427"/>
      <c r="K28" s="3576"/>
      <c r="L28" s="2427"/>
      <c r="M28" s="3576"/>
      <c r="N28" s="2427"/>
      <c r="O28" s="3576"/>
      <c r="P28" s="2427"/>
      <c r="Q28" s="3576"/>
      <c r="R28" s="2427"/>
      <c r="S28" s="3576"/>
    </row>
    <row r="29" spans="1:19" customFormat="1">
      <c r="A29" s="3587"/>
      <c r="B29" s="3611" t="s">
        <v>518</v>
      </c>
      <c r="C29" s="2426"/>
      <c r="D29" s="2405"/>
      <c r="E29" s="2405"/>
      <c r="F29" s="2405"/>
      <c r="G29" s="2423"/>
      <c r="H29" s="2427"/>
      <c r="I29" s="3562"/>
      <c r="J29" s="2427"/>
      <c r="K29" s="3576"/>
      <c r="L29" s="2427"/>
      <c r="M29" s="3576"/>
      <c r="N29" s="2427"/>
      <c r="O29" s="3576"/>
      <c r="P29" s="2427"/>
      <c r="Q29" s="3576"/>
      <c r="R29" s="2427"/>
      <c r="S29" s="3576"/>
    </row>
    <row r="30" spans="1:19" customFormat="1" ht="15.75" thickBot="1">
      <c r="A30" s="3587"/>
      <c r="B30" s="3611" t="s">
        <v>693</v>
      </c>
      <c r="C30" s="2426"/>
      <c r="D30" s="2405"/>
      <c r="E30" s="2405"/>
      <c r="F30" s="2405"/>
      <c r="G30" s="2423"/>
      <c r="H30" s="2427"/>
      <c r="I30" s="3562"/>
      <c r="J30" s="2427"/>
      <c r="K30" s="3576"/>
      <c r="L30" s="2427"/>
      <c r="M30" s="3576"/>
      <c r="N30" s="2427"/>
      <c r="O30" s="3576"/>
      <c r="P30" s="2427"/>
      <c r="Q30" s="3576"/>
      <c r="R30" s="2427"/>
      <c r="S30" s="3576"/>
    </row>
    <row r="31" spans="1:19">
      <c r="A31" s="3587"/>
      <c r="B31" s="3612" t="s">
        <v>519</v>
      </c>
      <c r="C31" s="3435"/>
      <c r="D31" s="3436"/>
      <c r="E31" s="3436"/>
      <c r="F31" s="3436"/>
      <c r="G31" s="2423"/>
      <c r="H31" s="2427"/>
      <c r="I31" s="3562"/>
      <c r="J31" s="2427"/>
      <c r="K31" s="3576"/>
      <c r="L31" s="2427"/>
      <c r="M31" s="3562"/>
      <c r="N31" s="2427"/>
      <c r="O31" s="3576"/>
      <c r="P31" s="2427"/>
      <c r="Q31" s="3576"/>
      <c r="R31" s="2427"/>
      <c r="S31" s="3576"/>
    </row>
    <row r="32" spans="1:19">
      <c r="A32" s="3587"/>
      <c r="B32" s="3548" t="s">
        <v>520</v>
      </c>
      <c r="C32" s="3549"/>
      <c r="D32" s="2980"/>
      <c r="E32" s="2980"/>
      <c r="F32" s="2980"/>
      <c r="G32" s="3079"/>
      <c r="H32" s="3550"/>
      <c r="I32" s="3551"/>
      <c r="J32" s="3613"/>
      <c r="K32" s="3551"/>
      <c r="L32" s="3552"/>
      <c r="M32" s="3553"/>
      <c r="N32" s="3551"/>
      <c r="O32" s="3551"/>
      <c r="P32" s="3551"/>
      <c r="Q32" s="3551"/>
      <c r="R32" s="2439"/>
      <c r="S32" s="3553"/>
    </row>
    <row r="33" spans="1:19">
      <c r="A33" s="3587"/>
      <c r="B33" s="3611"/>
      <c r="C33" s="2426"/>
      <c r="D33" s="2405"/>
      <c r="E33" s="2405"/>
      <c r="F33" s="2405"/>
      <c r="G33" s="2423"/>
      <c r="H33" s="2427"/>
      <c r="I33" s="3562"/>
      <c r="J33" s="2427"/>
      <c r="K33" s="3576"/>
      <c r="L33" s="2427"/>
      <c r="M33" s="3576"/>
      <c r="N33" s="2427"/>
      <c r="O33" s="3576"/>
      <c r="P33" s="2427"/>
      <c r="Q33" s="3576"/>
      <c r="R33" s="2427"/>
      <c r="S33" s="3576"/>
    </row>
    <row r="34" spans="1:19">
      <c r="A34" s="3587"/>
      <c r="B34" s="3614" t="s">
        <v>694</v>
      </c>
      <c r="C34" s="2990"/>
      <c r="D34" s="2450"/>
      <c r="E34" s="2450"/>
      <c r="F34" s="2450"/>
      <c r="G34" s="2531"/>
      <c r="H34" s="2453"/>
      <c r="I34" s="3559"/>
      <c r="J34" s="2453"/>
      <c r="K34" s="3594"/>
      <c r="L34" s="2453"/>
      <c r="M34" s="3594"/>
      <c r="N34" s="2453"/>
      <c r="O34" s="3594"/>
      <c r="P34" s="2453"/>
      <c r="Q34" s="3594"/>
      <c r="R34" s="2453"/>
      <c r="S34" s="3594"/>
    </row>
    <row r="35" spans="1:19">
      <c r="A35" s="3587"/>
      <c r="B35" s="3611"/>
      <c r="C35" s="2426"/>
      <c r="D35" s="2405"/>
      <c r="E35" s="2405"/>
      <c r="F35" s="2405"/>
      <c r="G35" s="2423"/>
      <c r="H35" s="2427"/>
      <c r="I35" s="3562"/>
      <c r="J35" s="2427"/>
      <c r="K35" s="3576"/>
      <c r="L35" s="2427"/>
      <c r="M35" s="3576"/>
      <c r="N35" s="2427"/>
      <c r="O35" s="3576"/>
      <c r="P35" s="2427"/>
      <c r="Q35" s="3576"/>
      <c r="R35" s="2427"/>
      <c r="S35" s="3576"/>
    </row>
    <row r="36" spans="1:19">
      <c r="A36" s="3587"/>
      <c r="B36" s="3615" t="s">
        <v>695</v>
      </c>
      <c r="C36" s="2999"/>
      <c r="D36" s="2456"/>
      <c r="E36" s="2456"/>
      <c r="F36" s="2456"/>
      <c r="G36" s="2532"/>
      <c r="H36" s="2459"/>
      <c r="I36" s="3567"/>
      <c r="J36" s="2459"/>
      <c r="K36" s="3597"/>
      <c r="L36" s="2459"/>
      <c r="M36" s="3597"/>
      <c r="N36" s="2459"/>
      <c r="O36" s="3597"/>
      <c r="P36" s="2459"/>
      <c r="Q36" s="3597"/>
      <c r="R36" s="2459"/>
      <c r="S36" s="3597"/>
    </row>
    <row r="37" spans="1:19">
      <c r="A37" s="3587"/>
      <c r="B37" s="3611" t="s">
        <v>1481</v>
      </c>
      <c r="C37" s="3570" t="s">
        <v>731</v>
      </c>
      <c r="D37" s="2405">
        <v>12</v>
      </c>
      <c r="E37" s="2405" t="s">
        <v>714</v>
      </c>
      <c r="F37" s="2405">
        <v>150000</v>
      </c>
      <c r="G37" s="2423">
        <f>D37*F37</f>
        <v>1800000</v>
      </c>
      <c r="H37" s="2427"/>
      <c r="I37" s="3562">
        <f>G37</f>
        <v>1800000</v>
      </c>
      <c r="J37" s="2427"/>
      <c r="K37" s="3576"/>
      <c r="L37" s="2427"/>
      <c r="M37" s="3576"/>
      <c r="N37" s="2427"/>
      <c r="O37" s="3576"/>
      <c r="P37" s="2427"/>
      <c r="Q37" s="3576"/>
      <c r="R37" s="2427"/>
      <c r="S37" s="3576"/>
    </row>
    <row r="38" spans="1:19">
      <c r="A38" s="3587"/>
      <c r="B38" s="3616" t="s">
        <v>1482</v>
      </c>
      <c r="C38" s="3570" t="s">
        <v>731</v>
      </c>
      <c r="D38" s="2405">
        <v>3</v>
      </c>
      <c r="E38" s="2405" t="s">
        <v>714</v>
      </c>
      <c r="F38" s="2405">
        <v>250000</v>
      </c>
      <c r="G38" s="2423">
        <f t="shared" ref="G38:G39" si="0">D38*F38</f>
        <v>750000</v>
      </c>
      <c r="H38" s="2427"/>
      <c r="I38" s="3562">
        <f t="shared" ref="I38:I39" si="1">G38</f>
        <v>750000</v>
      </c>
      <c r="J38" s="2427"/>
      <c r="K38" s="3617"/>
      <c r="L38" s="2427"/>
      <c r="M38" s="3617"/>
      <c r="N38" s="2427"/>
      <c r="O38" s="3617"/>
      <c r="P38" s="2427"/>
      <c r="Q38" s="3617"/>
      <c r="R38" s="2427"/>
      <c r="S38" s="3617"/>
    </row>
    <row r="39" spans="1:19">
      <c r="A39" s="3618"/>
      <c r="B39" s="3619" t="s">
        <v>1483</v>
      </c>
      <c r="C39" s="3570" t="s">
        <v>731</v>
      </c>
      <c r="D39" s="2405">
        <v>2</v>
      </c>
      <c r="E39" s="2405" t="s">
        <v>714</v>
      </c>
      <c r="F39" s="2405">
        <v>200000</v>
      </c>
      <c r="G39" s="2423">
        <f t="shared" si="0"/>
        <v>400000</v>
      </c>
      <c r="H39" s="2427"/>
      <c r="I39" s="3562">
        <f t="shared" si="1"/>
        <v>400000</v>
      </c>
      <c r="J39" s="2427"/>
      <c r="K39" s="3620"/>
      <c r="L39" s="2427"/>
      <c r="M39" s="3620"/>
      <c r="N39" s="2427"/>
      <c r="O39" s="3620"/>
      <c r="P39" s="2427"/>
      <c r="Q39" s="3620"/>
      <c r="R39" s="2427"/>
      <c r="S39" s="3620"/>
    </row>
    <row r="40" spans="1:19">
      <c r="A40" s="3621"/>
      <c r="B40" s="3622"/>
      <c r="C40" s="2426"/>
      <c r="D40" s="2405"/>
      <c r="E40" s="2405"/>
      <c r="F40" s="2405"/>
      <c r="G40" s="2423"/>
      <c r="H40" s="2427"/>
      <c r="I40" s="3623"/>
      <c r="J40" s="2427"/>
      <c r="K40" s="3624"/>
      <c r="L40" s="2427"/>
      <c r="M40" s="3624"/>
      <c r="N40" s="2427"/>
      <c r="O40" s="3624"/>
      <c r="P40" s="2427"/>
      <c r="Q40" s="3624"/>
      <c r="R40" s="2427"/>
      <c r="S40" s="3624"/>
    </row>
    <row r="41" spans="1:19">
      <c r="A41" s="3587"/>
      <c r="B41" s="3625" t="s">
        <v>649</v>
      </c>
      <c r="C41" s="2990"/>
      <c r="D41" s="2450"/>
      <c r="E41" s="2450"/>
      <c r="F41" s="2450"/>
      <c r="G41" s="2531"/>
      <c r="H41" s="2453"/>
      <c r="I41" s="3626"/>
      <c r="J41" s="2453"/>
      <c r="K41" s="3627"/>
      <c r="L41" s="2453"/>
      <c r="M41" s="3627"/>
      <c r="N41" s="2453"/>
      <c r="O41" s="3627"/>
      <c r="P41" s="2453"/>
      <c r="Q41" s="3627"/>
      <c r="R41" s="2453"/>
      <c r="S41" s="3627"/>
    </row>
    <row r="42" spans="1:19">
      <c r="A42" s="3628"/>
      <c r="B42" s="3629"/>
      <c r="C42" s="2426"/>
      <c r="D42" s="2405"/>
      <c r="E42" s="2405"/>
      <c r="F42" s="2405"/>
      <c r="G42" s="2423"/>
      <c r="H42" s="2427"/>
      <c r="I42" s="3630"/>
      <c r="J42" s="2427"/>
      <c r="K42" s="3631"/>
      <c r="L42" s="2427"/>
      <c r="M42" s="3631"/>
      <c r="N42" s="2427"/>
      <c r="O42" s="3631"/>
      <c r="P42" s="2427"/>
      <c r="Q42" s="3631"/>
      <c r="R42" s="2427"/>
      <c r="S42" s="3631"/>
    </row>
    <row r="43" spans="1:19">
      <c r="A43" s="3632"/>
      <c r="B43" s="3633" t="s">
        <v>700</v>
      </c>
      <c r="C43" s="2999"/>
      <c r="D43" s="2456"/>
      <c r="E43" s="2456"/>
      <c r="F43" s="2456"/>
      <c r="G43" s="2532"/>
      <c r="H43" s="2459"/>
      <c r="I43" s="3634"/>
      <c r="J43" s="2459"/>
      <c r="K43" s="3635"/>
      <c r="L43" s="2459"/>
      <c r="M43" s="3635"/>
      <c r="N43" s="2459"/>
      <c r="O43" s="3635"/>
      <c r="P43" s="2459"/>
      <c r="Q43" s="3635"/>
      <c r="R43" s="2459"/>
      <c r="S43" s="3635"/>
    </row>
    <row r="44" spans="1:19">
      <c r="A44" s="3636"/>
      <c r="B44" s="3637"/>
      <c r="C44" s="2426"/>
      <c r="D44" s="2405"/>
      <c r="E44" s="2405"/>
      <c r="F44" s="2405"/>
      <c r="G44" s="2423"/>
      <c r="H44" s="2427"/>
      <c r="I44" s="3638"/>
      <c r="J44" s="2427"/>
      <c r="K44" s="3639"/>
      <c r="L44" s="2427"/>
      <c r="M44" s="3639"/>
      <c r="N44" s="2427"/>
      <c r="O44" s="3639"/>
      <c r="P44" s="2427"/>
      <c r="Q44" s="3639"/>
      <c r="R44" s="2427"/>
      <c r="S44" s="3639"/>
    </row>
    <row r="45" spans="1:19">
      <c r="A45" s="3640"/>
      <c r="B45" s="3641" t="s">
        <v>703</v>
      </c>
      <c r="C45" s="2990"/>
      <c r="D45" s="2450"/>
      <c r="E45" s="2450"/>
      <c r="F45" s="2450"/>
      <c r="G45" s="2531"/>
      <c r="H45" s="2453"/>
      <c r="I45" s="3642"/>
      <c r="J45" s="2453"/>
      <c r="K45" s="3643"/>
      <c r="L45" s="2453"/>
      <c r="M45" s="3643"/>
      <c r="N45" s="2453"/>
      <c r="O45" s="3643"/>
      <c r="P45" s="2453"/>
      <c r="Q45" s="3643"/>
      <c r="R45" s="2453"/>
      <c r="S45" s="3643"/>
    </row>
    <row r="46" spans="1:19">
      <c r="A46" s="3644"/>
      <c r="B46" s="3645"/>
      <c r="C46" s="2426"/>
      <c r="D46" s="2405"/>
      <c r="E46" s="2405"/>
      <c r="F46" s="2405"/>
      <c r="G46" s="2423"/>
      <c r="H46" s="2427"/>
      <c r="I46" s="3646"/>
      <c r="J46" s="2427"/>
      <c r="K46" s="3647"/>
      <c r="L46" s="2427"/>
      <c r="M46" s="3647"/>
      <c r="N46" s="2427"/>
      <c r="O46" s="3647"/>
      <c r="P46" s="2427"/>
      <c r="Q46" s="3647"/>
      <c r="R46" s="2427"/>
      <c r="S46" s="3647"/>
    </row>
    <row r="47" spans="1:19">
      <c r="A47" s="3648"/>
      <c r="B47" s="3649" t="s">
        <v>704</v>
      </c>
      <c r="C47" s="2999"/>
      <c r="D47" s="2456"/>
      <c r="E47" s="2456"/>
      <c r="F47" s="2456"/>
      <c r="G47" s="2532"/>
      <c r="H47" s="2459"/>
      <c r="I47" s="3650"/>
      <c r="J47" s="2459"/>
      <c r="K47" s="3651"/>
      <c r="L47" s="2459"/>
      <c r="M47" s="3651"/>
      <c r="N47" s="2459"/>
      <c r="O47" s="3651"/>
      <c r="P47" s="2459"/>
      <c r="Q47" s="3651"/>
      <c r="R47" s="2459"/>
      <c r="S47" s="3651"/>
    </row>
    <row r="48" spans="1:19">
      <c r="A48" s="3652"/>
      <c r="B48" s="3653"/>
      <c r="C48" s="2426"/>
      <c r="D48" s="2405"/>
      <c r="E48" s="2405"/>
      <c r="F48" s="2405"/>
      <c r="G48" s="2423"/>
      <c r="H48" s="2427"/>
      <c r="I48" s="3654"/>
      <c r="J48" s="2427"/>
      <c r="K48" s="3655"/>
      <c r="L48" s="2427"/>
      <c r="M48" s="3655"/>
      <c r="N48" s="2427"/>
      <c r="O48" s="3655"/>
      <c r="P48" s="2427"/>
      <c r="Q48" s="3655"/>
      <c r="R48" s="2427"/>
      <c r="S48" s="3655"/>
    </row>
    <row r="49" spans="1:19">
      <c r="A49" s="3656"/>
      <c r="B49" s="3657" t="s">
        <v>705</v>
      </c>
      <c r="C49" s="2990"/>
      <c r="D49" s="2450"/>
      <c r="E49" s="2450"/>
      <c r="F49" s="2450"/>
      <c r="G49" s="2531"/>
      <c r="H49" s="2453"/>
      <c r="I49" s="3658"/>
      <c r="J49" s="2453"/>
      <c r="K49" s="3659"/>
      <c r="L49" s="2453"/>
      <c r="M49" s="3659"/>
      <c r="N49" s="2453"/>
      <c r="O49" s="3659"/>
      <c r="P49" s="2453"/>
      <c r="Q49" s="3659"/>
      <c r="R49" s="2453"/>
      <c r="S49" s="3659"/>
    </row>
    <row r="50" spans="1:19">
      <c r="A50" s="3660"/>
      <c r="B50" s="3661"/>
      <c r="C50" s="2426"/>
      <c r="D50" s="2405"/>
      <c r="E50" s="2405"/>
      <c r="F50" s="2405"/>
      <c r="G50" s="2423"/>
      <c r="H50" s="2427"/>
      <c r="I50" s="3662"/>
      <c r="J50" s="2427"/>
      <c r="K50" s="3663"/>
      <c r="L50" s="2427"/>
      <c r="M50" s="3663"/>
      <c r="N50" s="2427"/>
      <c r="O50" s="3663"/>
      <c r="P50" s="2427"/>
      <c r="Q50" s="3663"/>
      <c r="R50" s="2427"/>
      <c r="S50" s="3663"/>
    </row>
    <row r="51" spans="1:19">
      <c r="A51" s="3664"/>
      <c r="B51" s="3665" t="s">
        <v>602</v>
      </c>
      <c r="C51" s="2999"/>
      <c r="D51" s="2456"/>
      <c r="E51" s="2456"/>
      <c r="F51" s="2456"/>
      <c r="G51" s="2532"/>
      <c r="H51" s="2459"/>
      <c r="I51" s="3666"/>
      <c r="J51" s="2459"/>
      <c r="K51" s="3667"/>
      <c r="L51" s="2459"/>
      <c r="M51" s="3667"/>
      <c r="N51" s="2459"/>
      <c r="O51" s="3667"/>
      <c r="P51" s="2459"/>
      <c r="Q51" s="3667"/>
      <c r="R51" s="2459"/>
      <c r="S51" s="3667"/>
    </row>
    <row r="52" spans="1:19">
      <c r="A52" s="3668"/>
      <c r="B52" s="3669"/>
      <c r="C52" s="2426"/>
      <c r="D52" s="2405"/>
      <c r="E52" s="2405"/>
      <c r="F52" s="2405"/>
      <c r="G52" s="2423"/>
      <c r="H52" s="2427"/>
      <c r="I52" s="3670"/>
      <c r="J52" s="2427"/>
      <c r="K52" s="3671"/>
      <c r="L52" s="2427"/>
      <c r="M52" s="3671"/>
      <c r="N52" s="2427"/>
      <c r="O52" s="3671"/>
      <c r="P52" s="2427"/>
      <c r="Q52" s="3671"/>
      <c r="R52" s="2427"/>
      <c r="S52" s="3671"/>
    </row>
    <row r="53" spans="1:19">
      <c r="A53" s="3672"/>
      <c r="B53" s="3611"/>
      <c r="C53" s="2426"/>
      <c r="D53" s="2405"/>
      <c r="E53" s="2405"/>
      <c r="F53" s="2405"/>
      <c r="G53" s="2423"/>
      <c r="H53" s="2427"/>
      <c r="I53" s="3670"/>
      <c r="J53" s="2427"/>
      <c r="K53" s="3671"/>
      <c r="L53" s="2427"/>
      <c r="M53" s="3671"/>
      <c r="N53" s="2427"/>
      <c r="O53" s="3671"/>
      <c r="P53" s="2427"/>
      <c r="Q53" s="3671"/>
      <c r="R53" s="2427"/>
      <c r="S53" s="3671"/>
    </row>
    <row r="54" spans="1:19" ht="15.75" thickBot="1">
      <c r="A54" s="3672"/>
      <c r="B54" s="3611"/>
      <c r="C54" s="2426"/>
      <c r="D54" s="2405"/>
      <c r="E54" s="2405"/>
      <c r="F54" s="2405"/>
      <c r="G54" s="2423"/>
      <c r="H54" s="2427"/>
      <c r="I54" s="3670"/>
      <c r="J54" s="2427"/>
      <c r="K54" s="3576"/>
      <c r="L54" s="2427"/>
      <c r="M54" s="3576"/>
      <c r="N54" s="2427"/>
      <c r="O54" s="3576"/>
      <c r="P54" s="2427"/>
      <c r="Q54" s="3576"/>
      <c r="R54" s="2427"/>
      <c r="S54" s="3576"/>
    </row>
    <row r="55" spans="1:19" ht="15.75" thickTop="1">
      <c r="A55" s="76"/>
      <c r="B55" s="77"/>
      <c r="C55" s="78"/>
      <c r="D55" s="78"/>
      <c r="E55" s="79"/>
      <c r="F55" s="80" t="s">
        <v>567</v>
      </c>
      <c r="G55" s="90"/>
      <c r="H55" s="83"/>
      <c r="I55" s="82">
        <f>SUM(I23:I54)</f>
        <v>2950000</v>
      </c>
      <c r="J55" s="81"/>
      <c r="K55" s="82">
        <f>SUM(K54:K54)</f>
        <v>0</v>
      </c>
      <c r="L55" s="81"/>
      <c r="M55" s="82">
        <f>SUM(M54:M54)</f>
        <v>0</v>
      </c>
      <c r="N55" s="81"/>
      <c r="O55" s="82">
        <f>SUM(O54:O54)</f>
        <v>0</v>
      </c>
      <c r="P55" s="81"/>
      <c r="Q55" s="82">
        <f>SUM(Q54:Q54)</f>
        <v>0</v>
      </c>
      <c r="R55" s="81"/>
      <c r="S55" s="82">
        <f>SUM(S54:S54)</f>
        <v>0</v>
      </c>
    </row>
    <row r="56" spans="1:19">
      <c r="A56" s="3673"/>
      <c r="B56" s="3674"/>
      <c r="C56" s="3675"/>
      <c r="D56" s="3675"/>
      <c r="E56" s="3676"/>
      <c r="F56" s="3677" t="s">
        <v>568</v>
      </c>
      <c r="G56" s="3678"/>
      <c r="H56" s="3679">
        <v>0</v>
      </c>
      <c r="I56" s="3680"/>
      <c r="J56" s="3681">
        <v>0</v>
      </c>
      <c r="K56" s="3680"/>
      <c r="L56" s="3681">
        <v>0</v>
      </c>
      <c r="M56" s="3680"/>
      <c r="N56" s="3681">
        <v>0</v>
      </c>
      <c r="O56" s="3680"/>
      <c r="P56" s="3681">
        <v>0</v>
      </c>
      <c r="Q56" s="3680"/>
      <c r="R56" s="3681">
        <v>0</v>
      </c>
      <c r="S56" s="3680"/>
    </row>
    <row r="57" spans="1:19">
      <c r="A57" s="3673"/>
      <c r="B57" s="3674"/>
      <c r="C57" s="3675"/>
      <c r="D57" s="3675"/>
      <c r="E57" s="3676"/>
      <c r="F57" s="3677" t="s">
        <v>569</v>
      </c>
      <c r="G57" s="3678"/>
      <c r="H57" s="3682"/>
      <c r="I57" s="3683">
        <f>I55*H56</f>
        <v>0</v>
      </c>
      <c r="J57" s="3684"/>
      <c r="K57" s="3683">
        <f>K55*J56</f>
        <v>0</v>
      </c>
      <c r="L57" s="3684"/>
      <c r="M57" s="3683">
        <f>M55*L56</f>
        <v>0</v>
      </c>
      <c r="N57" s="3684"/>
      <c r="O57" s="3683">
        <f>O55*N56</f>
        <v>0</v>
      </c>
      <c r="P57" s="3684"/>
      <c r="Q57" s="3683">
        <f>Q55*P56</f>
        <v>0</v>
      </c>
      <c r="R57" s="3684"/>
      <c r="S57" s="3683">
        <f>S55*R56</f>
        <v>0</v>
      </c>
    </row>
    <row r="58" spans="1:19">
      <c r="A58" s="3673"/>
      <c r="B58" s="3674"/>
      <c r="C58" s="3675"/>
      <c r="D58" s="3675"/>
      <c r="E58" s="3676"/>
      <c r="F58" s="3677"/>
      <c r="G58" s="3678"/>
      <c r="H58" s="3682"/>
      <c r="I58" s="3685"/>
      <c r="J58" s="3684"/>
      <c r="K58" s="3685"/>
      <c r="L58" s="3684"/>
      <c r="M58" s="3685"/>
      <c r="N58" s="3684"/>
      <c r="O58" s="3685"/>
      <c r="P58" s="3684"/>
      <c r="Q58" s="3685"/>
      <c r="R58" s="3684"/>
      <c r="S58" s="3685"/>
    </row>
    <row r="59" spans="1:19">
      <c r="A59" s="3673"/>
      <c r="B59" s="3674"/>
      <c r="C59" s="3675"/>
      <c r="D59" s="3675"/>
      <c r="E59" s="3676"/>
      <c r="F59" s="3677" t="s">
        <v>570</v>
      </c>
      <c r="G59" s="3678"/>
      <c r="H59" s="3686"/>
      <c r="I59" s="3687">
        <f>SUM(I55:I57)</f>
        <v>2950000</v>
      </c>
      <c r="J59" s="3688"/>
      <c r="K59" s="3687">
        <f>SUM(K55:K57)</f>
        <v>0</v>
      </c>
      <c r="L59" s="3688"/>
      <c r="M59" s="3687">
        <f>SUM(M55:M57)</f>
        <v>0</v>
      </c>
      <c r="N59" s="3688"/>
      <c r="O59" s="3687">
        <f>SUM(O55:O57)</f>
        <v>0</v>
      </c>
      <c r="P59" s="3688"/>
      <c r="Q59" s="3687">
        <f>SUM(Q55:Q57)</f>
        <v>0</v>
      </c>
      <c r="R59" s="3688"/>
      <c r="S59" s="3687">
        <f>SUM(S55:S57)</f>
        <v>0</v>
      </c>
    </row>
    <row r="60" spans="1:19">
      <c r="A60" s="3673"/>
      <c r="B60" s="3674"/>
      <c r="C60" s="3675"/>
      <c r="D60" s="3675"/>
      <c r="E60" s="3676"/>
      <c r="F60" s="3677" t="s">
        <v>571</v>
      </c>
      <c r="G60" s="3689"/>
      <c r="H60" s="3690"/>
      <c r="I60" s="2373" t="e">
        <f>I59/'Area Calculations'!$J$4</f>
        <v>#DIV/0!</v>
      </c>
      <c r="J60" s="3691"/>
      <c r="K60" s="2373" t="e">
        <f>K59/'Area Calculations'!$J$4</f>
        <v>#DIV/0!</v>
      </c>
      <c r="L60" s="3691"/>
      <c r="M60" s="2373" t="e">
        <f>M59/'Area Calculations'!$J$4</f>
        <v>#DIV/0!</v>
      </c>
      <c r="N60" s="3691"/>
      <c r="O60" s="2373" t="e">
        <f>O59/'Area Calculations'!$J$4</f>
        <v>#DIV/0!</v>
      </c>
      <c r="P60" s="3691"/>
      <c r="Q60" s="2373" t="e">
        <f>Q59/'Area Calculations'!$J$4</f>
        <v>#DIV/0!</v>
      </c>
      <c r="R60" s="3691"/>
      <c r="S60" s="2373" t="e">
        <f>S59/'Area Calculations'!$J$4</f>
        <v>#DIV/0!</v>
      </c>
    </row>
    <row r="61" spans="1:19">
      <c r="A61" s="3673"/>
      <c r="B61" s="3674"/>
      <c r="C61" s="3675"/>
      <c r="D61" s="3675"/>
      <c r="E61" s="3676"/>
      <c r="F61" s="3677" t="s">
        <v>572</v>
      </c>
      <c r="G61" s="3678"/>
      <c r="H61" s="3690"/>
      <c r="I61" s="2373" t="e">
        <f>I59/'Area Calculations'!#REF!</f>
        <v>#REF!</v>
      </c>
      <c r="J61" s="3691"/>
      <c r="K61" s="2373" t="e">
        <f>K59/'Area Calculations'!#REF!</f>
        <v>#REF!</v>
      </c>
      <c r="L61" s="3691"/>
      <c r="M61" s="2373" t="e">
        <f>M59/'Area Calculations'!#REF!</f>
        <v>#REF!</v>
      </c>
      <c r="N61" s="3691"/>
      <c r="O61" s="2373" t="e">
        <f>O59/'Area Calculations'!#REF!</f>
        <v>#REF!</v>
      </c>
      <c r="P61" s="3691"/>
      <c r="Q61" s="2373" t="e">
        <f>Q59/'Area Calculations'!#REF!</f>
        <v>#REF!</v>
      </c>
      <c r="R61" s="3691"/>
      <c r="S61" s="2373" t="e">
        <f>S59/'Area Calculations'!#REF!</f>
        <v>#REF!</v>
      </c>
    </row>
    <row r="62" spans="1:19" ht="15.75" thickBot="1">
      <c r="A62" s="3673"/>
      <c r="B62" s="3674"/>
      <c r="C62" s="3675"/>
      <c r="D62" s="3675"/>
      <c r="E62" s="3676"/>
      <c r="F62" s="3677"/>
      <c r="G62" s="3678"/>
      <c r="H62" s="3692"/>
      <c r="I62" s="3692"/>
      <c r="J62" s="3692"/>
      <c r="K62" s="3692"/>
      <c r="L62" s="3692"/>
      <c r="M62" s="3692"/>
      <c r="N62" s="3692"/>
      <c r="O62" s="3692"/>
      <c r="P62" s="3692"/>
      <c r="Q62" s="3692"/>
      <c r="R62" s="3692"/>
      <c r="S62" s="3692"/>
    </row>
    <row r="63" spans="1:19" ht="16.5" thickTop="1" thickBot="1">
      <c r="A63" s="726" t="s">
        <v>573</v>
      </c>
      <c r="B63" s="727"/>
      <c r="C63" s="12"/>
      <c r="D63" s="12"/>
      <c r="E63" s="12"/>
      <c r="F63" s="12"/>
      <c r="G63" s="13"/>
      <c r="H63" s="21"/>
      <c r="I63" s="21"/>
      <c r="J63" s="21"/>
      <c r="K63" s="21"/>
      <c r="L63" s="21"/>
      <c r="M63" s="21"/>
      <c r="N63" s="21"/>
      <c r="O63" s="21"/>
      <c r="P63" s="21"/>
      <c r="Q63" s="21"/>
      <c r="R63" s="21"/>
      <c r="S63" s="21"/>
    </row>
    <row r="64" spans="1:19" ht="15.75" thickTop="1">
      <c r="A64" s="3693"/>
      <c r="B64" s="2404"/>
      <c r="C64" s="3694"/>
      <c r="D64" s="3694"/>
      <c r="E64" s="3694"/>
      <c r="F64" s="3694"/>
      <c r="G64" s="3695"/>
      <c r="H64" s="3696"/>
      <c r="I64" s="3696"/>
      <c r="J64" s="3696"/>
      <c r="K64" s="3696"/>
      <c r="L64" s="3696"/>
      <c r="M64" s="3696"/>
      <c r="N64" s="3696"/>
      <c r="O64" s="3696"/>
      <c r="P64" s="3696"/>
      <c r="Q64" s="3696"/>
      <c r="R64" s="3696"/>
      <c r="S64" s="3696"/>
    </row>
    <row r="65" spans="1:19">
      <c r="A65" s="3693"/>
      <c r="B65" s="2404"/>
      <c r="C65" s="3694"/>
      <c r="D65" s="3694"/>
      <c r="E65" s="3694"/>
      <c r="F65" s="3694"/>
      <c r="G65" s="3695"/>
      <c r="H65" s="3696"/>
      <c r="I65" s="3696"/>
      <c r="J65" s="3696"/>
      <c r="K65" s="3696"/>
      <c r="L65" s="3696"/>
      <c r="M65" s="3696"/>
      <c r="N65" s="3696"/>
      <c r="O65" s="3696"/>
      <c r="P65" s="3696"/>
      <c r="Q65" s="3696"/>
      <c r="R65" s="3696"/>
      <c r="S65" s="3696"/>
    </row>
    <row r="66" spans="1:19" ht="15.75" thickBot="1">
      <c r="A66" s="3693"/>
      <c r="B66" s="2404"/>
      <c r="C66" s="3694"/>
      <c r="D66" s="3694"/>
      <c r="E66" s="3694"/>
      <c r="F66" s="3694"/>
      <c r="G66" s="3695"/>
      <c r="H66" s="3696"/>
      <c r="I66" s="3696"/>
      <c r="J66" s="3696"/>
      <c r="K66" s="3696"/>
      <c r="L66" s="3696"/>
      <c r="M66" s="3696"/>
      <c r="N66" s="3696"/>
      <c r="O66" s="3696"/>
      <c r="P66" s="3696"/>
      <c r="Q66" s="3696"/>
      <c r="R66" s="3696"/>
      <c r="S66" s="3696"/>
    </row>
    <row r="67" spans="1:19" s="67" customFormat="1" ht="16.5" thickTop="1" thickBot="1">
      <c r="A67" s="726" t="s">
        <v>574</v>
      </c>
      <c r="B67" s="727"/>
      <c r="C67" s="12"/>
      <c r="D67" s="12"/>
      <c r="E67" s="12"/>
      <c r="F67" s="12"/>
      <c r="G67" s="13"/>
      <c r="H67" s="21"/>
      <c r="I67" s="21"/>
      <c r="J67" s="21"/>
      <c r="K67" s="21"/>
      <c r="L67" s="21"/>
      <c r="M67" s="21"/>
      <c r="N67" s="21"/>
      <c r="O67" s="21"/>
      <c r="P67" s="21"/>
      <c r="Q67" s="21"/>
      <c r="R67" s="21"/>
      <c r="S67" s="21"/>
    </row>
    <row r="68" spans="1:19" s="67" customFormat="1" ht="15.75" thickTop="1">
      <c r="A68" s="3693"/>
      <c r="B68" s="2404"/>
      <c r="C68" s="3694"/>
      <c r="D68" s="3694"/>
      <c r="E68" s="3694"/>
      <c r="F68" s="3694"/>
      <c r="G68" s="3695"/>
      <c r="H68" s="3696"/>
      <c r="I68" s="3696"/>
      <c r="J68" s="3696"/>
      <c r="K68" s="3696"/>
      <c r="L68" s="3696"/>
      <c r="M68" s="3696"/>
      <c r="N68" s="3696"/>
      <c r="O68" s="3696"/>
      <c r="P68" s="3696"/>
      <c r="Q68" s="3696"/>
      <c r="R68" s="3696"/>
      <c r="S68" s="3696"/>
    </row>
    <row r="69" spans="1:19" s="67" customFormat="1">
      <c r="A69" s="3693"/>
      <c r="B69" s="2404"/>
      <c r="C69" s="3694"/>
      <c r="D69" s="3694"/>
      <c r="E69" s="3694"/>
      <c r="F69" s="3694"/>
      <c r="G69" s="3695"/>
      <c r="H69" s="3696"/>
      <c r="I69" s="3696"/>
      <c r="J69" s="3696"/>
      <c r="K69" s="3696"/>
      <c r="L69" s="3696"/>
      <c r="M69" s="3696"/>
      <c r="N69" s="3696"/>
      <c r="O69" s="3696"/>
      <c r="P69" s="3696"/>
      <c r="Q69" s="3696"/>
      <c r="R69" s="3696"/>
      <c r="S69" s="3696"/>
    </row>
    <row r="70" spans="1:19" ht="15.75" thickBot="1">
      <c r="A70" s="3693"/>
      <c r="B70" s="2404"/>
      <c r="C70" s="3694"/>
      <c r="D70" s="3694"/>
      <c r="E70" s="3694"/>
      <c r="F70" s="3694"/>
      <c r="G70" s="3695"/>
      <c r="H70" s="3696"/>
      <c r="I70" s="3696"/>
      <c r="J70" s="3696"/>
      <c r="K70" s="3696"/>
      <c r="L70" s="3696"/>
      <c r="M70" s="3696"/>
      <c r="N70" s="3696"/>
      <c r="O70" s="3696"/>
      <c r="P70" s="3696"/>
      <c r="Q70" s="3696"/>
      <c r="R70" s="3696"/>
      <c r="S70" s="3696"/>
    </row>
    <row r="71" spans="1:19" s="67" customFormat="1" ht="16.5" thickTop="1" thickBot="1">
      <c r="A71" s="726" t="s">
        <v>575</v>
      </c>
      <c r="B71" s="727"/>
      <c r="C71" s="12"/>
      <c r="D71" s="12"/>
      <c r="E71" s="12"/>
      <c r="F71" s="12"/>
      <c r="G71" s="13"/>
      <c r="H71" s="21"/>
      <c r="I71" s="21"/>
      <c r="J71" s="21"/>
      <c r="K71" s="21"/>
      <c r="L71" s="21"/>
      <c r="M71" s="21"/>
      <c r="N71" s="21"/>
      <c r="O71" s="21"/>
      <c r="P71" s="21"/>
      <c r="Q71" s="21"/>
      <c r="R71" s="21"/>
      <c r="S71" s="21"/>
    </row>
    <row r="72" spans="1:19" s="67" customFormat="1" ht="15.75" thickTop="1">
      <c r="A72" s="3693"/>
      <c r="B72" s="2404"/>
      <c r="C72" s="3694"/>
      <c r="D72" s="3694"/>
      <c r="E72" s="3694"/>
      <c r="F72" s="3694"/>
      <c r="G72" s="3695"/>
      <c r="H72" s="3696"/>
      <c r="I72" s="3696"/>
      <c r="J72" s="3696"/>
      <c r="K72" s="3696"/>
      <c r="L72" s="3696"/>
      <c r="M72" s="3696"/>
      <c r="N72" s="3696"/>
      <c r="O72" s="3696"/>
      <c r="P72" s="3696"/>
      <c r="Q72" s="3696"/>
      <c r="R72" s="3696"/>
      <c r="S72" s="3696"/>
    </row>
    <row r="73" spans="1:19" s="67" customFormat="1">
      <c r="A73" s="2421"/>
      <c r="B73" s="2404"/>
      <c r="C73" s="2405"/>
      <c r="D73" s="2405"/>
      <c r="E73" s="2405"/>
      <c r="F73" s="2405"/>
      <c r="G73" s="2423"/>
      <c r="H73" s="2382"/>
      <c r="I73" s="2382"/>
      <c r="J73" s="2382"/>
      <c r="K73" s="2382"/>
      <c r="L73" s="2382"/>
      <c r="M73" s="2382"/>
      <c r="N73" s="2382"/>
      <c r="O73" s="2382"/>
      <c r="P73" s="2382"/>
      <c r="Q73" s="2382"/>
      <c r="R73" s="2382"/>
      <c r="S73" s="2382"/>
    </row>
    <row r="74" spans="1:19" s="67" customFormat="1" ht="15.75" thickBot="1">
      <c r="A74" s="2383"/>
      <c r="B74" s="2384"/>
      <c r="C74" s="2405"/>
      <c r="D74" s="2405"/>
      <c r="E74" s="2405"/>
      <c r="F74" s="2405"/>
      <c r="G74" s="2423"/>
      <c r="H74" s="2385"/>
      <c r="I74" s="2385"/>
      <c r="J74" s="2385"/>
      <c r="K74" s="2385"/>
      <c r="L74" s="2385"/>
      <c r="M74" s="2385"/>
      <c r="N74" s="2385"/>
      <c r="O74" s="2385"/>
      <c r="P74" s="2385"/>
      <c r="Q74" s="2385"/>
      <c r="R74" s="2385"/>
      <c r="S74" s="2385"/>
    </row>
    <row r="75" spans="1:19" s="67" customFormat="1" ht="16.5" thickTop="1" thickBot="1">
      <c r="A75" s="726" t="s">
        <v>576</v>
      </c>
      <c r="B75" s="727"/>
      <c r="C75" s="12"/>
      <c r="D75" s="12"/>
      <c r="E75" s="12"/>
      <c r="F75" s="12"/>
      <c r="G75" s="13"/>
      <c r="H75" s="21"/>
      <c r="I75" s="21"/>
      <c r="J75" s="21"/>
      <c r="K75" s="21"/>
      <c r="L75" s="21"/>
      <c r="M75" s="21"/>
      <c r="N75" s="21"/>
      <c r="O75" s="21"/>
      <c r="P75" s="21"/>
      <c r="Q75" s="21"/>
      <c r="R75" s="21"/>
      <c r="S75" s="21"/>
    </row>
    <row r="76" spans="1:19" ht="15.75" thickTop="1">
      <c r="A76" s="3697"/>
      <c r="B76" s="3698"/>
      <c r="C76" s="3694"/>
      <c r="D76" s="3694"/>
      <c r="E76" s="3694"/>
      <c r="F76" s="3694"/>
      <c r="G76" s="3695"/>
      <c r="H76" s="3696"/>
      <c r="I76" s="3696"/>
      <c r="J76" s="3696"/>
      <c r="K76" s="3696"/>
      <c r="L76" s="3696"/>
      <c r="M76" s="3696"/>
      <c r="N76" s="3696"/>
      <c r="O76" s="3696"/>
      <c r="P76" s="3696"/>
      <c r="Q76" s="3696"/>
      <c r="R76" s="3696"/>
      <c r="S76" s="3696"/>
    </row>
    <row r="77" spans="1:19">
      <c r="A77" s="2383"/>
      <c r="B77" s="2384"/>
      <c r="C77" s="2405"/>
      <c r="D77" s="2405"/>
      <c r="E77" s="2405"/>
      <c r="F77" s="2405"/>
      <c r="G77" s="2423"/>
      <c r="H77" s="2388"/>
      <c r="I77" s="2388"/>
      <c r="J77" s="2388"/>
      <c r="K77" s="2388"/>
      <c r="L77" s="2388"/>
      <c r="M77" s="2388"/>
      <c r="N77" s="2388"/>
      <c r="O77" s="2388"/>
      <c r="P77" s="2388"/>
      <c r="Q77" s="2388"/>
      <c r="R77" s="2388"/>
      <c r="S77" s="2388"/>
    </row>
    <row r="78" spans="1:19" ht="15.75" thickBot="1">
      <c r="A78" s="2383"/>
      <c r="B78" s="2384"/>
      <c r="C78" s="2405"/>
      <c r="D78" s="2405"/>
      <c r="E78" s="2405"/>
      <c r="F78" s="2405"/>
      <c r="G78" s="2423"/>
      <c r="H78" s="2388"/>
      <c r="I78" s="2388"/>
      <c r="J78" s="2388"/>
      <c r="K78" s="2388"/>
      <c r="L78" s="2388"/>
      <c r="M78" s="2388"/>
      <c r="N78" s="2388"/>
      <c r="O78" s="2388"/>
      <c r="P78" s="2388"/>
      <c r="Q78" s="2388"/>
      <c r="R78" s="2388"/>
      <c r="S78" s="2388"/>
    </row>
    <row r="79" spans="1:19" ht="16.5" thickTop="1" thickBot="1">
      <c r="A79" s="726" t="s">
        <v>577</v>
      </c>
      <c r="B79" s="727"/>
      <c r="C79" s="12"/>
      <c r="D79" s="12"/>
      <c r="E79" s="12"/>
      <c r="F79" s="12"/>
      <c r="G79" s="13"/>
      <c r="H79" s="21"/>
      <c r="I79" s="21"/>
      <c r="J79" s="21"/>
      <c r="K79" s="21"/>
      <c r="L79" s="21"/>
      <c r="M79" s="21"/>
      <c r="N79" s="21"/>
      <c r="O79" s="21"/>
      <c r="P79" s="21"/>
      <c r="Q79" s="21"/>
      <c r="R79" s="21"/>
      <c r="S79" s="21"/>
    </row>
    <row r="80" spans="1:19" ht="15.75" thickTop="1">
      <c r="A80" s="2421"/>
      <c r="B80" s="2404" t="s">
        <v>578</v>
      </c>
      <c r="C80" s="2405"/>
      <c r="D80" s="2405"/>
      <c r="E80" s="2405"/>
      <c r="F80" s="2405"/>
      <c r="G80" s="2423"/>
      <c r="H80" s="2388"/>
      <c r="I80" s="2388"/>
      <c r="J80" s="2388"/>
      <c r="K80" s="2388"/>
      <c r="L80" s="2388"/>
      <c r="M80" s="2388"/>
      <c r="N80" s="2388"/>
      <c r="O80" s="2388"/>
      <c r="P80" s="2388"/>
      <c r="Q80" s="2388"/>
      <c r="R80" s="2388"/>
      <c r="S80" s="2388"/>
    </row>
    <row r="81" spans="1:19">
      <c r="A81" s="2421"/>
      <c r="B81" s="2404" t="s">
        <v>579</v>
      </c>
      <c r="C81" s="2405"/>
      <c r="D81" s="2405"/>
      <c r="E81" s="2405"/>
      <c r="F81" s="2405"/>
      <c r="G81" s="2423"/>
      <c r="H81" s="2388"/>
      <c r="I81" s="2388"/>
      <c r="J81" s="2388"/>
      <c r="K81" s="2388"/>
      <c r="L81" s="2388"/>
      <c r="M81" s="2388"/>
      <c r="N81" s="2388"/>
      <c r="O81" s="2388"/>
      <c r="P81" s="2388"/>
      <c r="Q81" s="2388"/>
      <c r="R81" s="2388"/>
      <c r="S81" s="2388"/>
    </row>
    <row r="82" spans="1:19">
      <c r="A82" s="2421"/>
      <c r="B82" s="2404" t="s">
        <v>580</v>
      </c>
      <c r="C82" s="2405"/>
      <c r="D82" s="2405"/>
      <c r="E82" s="2405"/>
      <c r="F82" s="2405"/>
      <c r="G82" s="2423"/>
      <c r="H82" s="2388"/>
      <c r="I82" s="2388"/>
      <c r="J82" s="2388"/>
      <c r="K82" s="2388"/>
      <c r="L82" s="2388"/>
      <c r="M82" s="2388"/>
      <c r="N82" s="2388"/>
      <c r="O82" s="2388"/>
      <c r="P82" s="2388"/>
      <c r="Q82" s="2388"/>
      <c r="R82" s="2388"/>
      <c r="S82" s="2388"/>
    </row>
    <row r="83" spans="1:19">
      <c r="A83" s="2421"/>
      <c r="B83" s="2404" t="s">
        <v>581</v>
      </c>
      <c r="C83" s="2405"/>
      <c r="D83" s="2405"/>
      <c r="E83" s="2405"/>
      <c r="F83" s="2405"/>
      <c r="G83" s="2423"/>
      <c r="H83" s="2388"/>
      <c r="I83" s="2388"/>
      <c r="J83" s="2388"/>
      <c r="K83" s="2388"/>
      <c r="L83" s="2388"/>
      <c r="M83" s="2388"/>
      <c r="N83" s="2388"/>
      <c r="O83" s="2388"/>
      <c r="P83" s="2388"/>
      <c r="Q83" s="2388"/>
      <c r="R83" s="2388"/>
      <c r="S83" s="2388"/>
    </row>
    <row r="84" spans="1:19" ht="15.75" thickBot="1">
      <c r="A84" s="416"/>
      <c r="B84" s="295"/>
      <c r="C84" s="184"/>
      <c r="D84" s="184"/>
      <c r="E84" s="184"/>
      <c r="F84" s="184"/>
      <c r="G84" s="296"/>
      <c r="H84" s="418"/>
      <c r="I84" s="418"/>
      <c r="J84" s="418"/>
      <c r="K84" s="418"/>
      <c r="L84" s="418"/>
      <c r="M84" s="418"/>
      <c r="N84" s="418"/>
      <c r="O84" s="418"/>
      <c r="P84" s="418"/>
      <c r="Q84" s="418"/>
      <c r="R84" s="418"/>
      <c r="S84" s="418"/>
    </row>
    <row r="85" spans="1:19" ht="16.5" thickTop="1" thickBot="1">
      <c r="A85" s="7" t="s">
        <v>582</v>
      </c>
      <c r="B85" s="8"/>
      <c r="C85" s="12"/>
      <c r="D85" s="12"/>
      <c r="E85" s="12"/>
      <c r="F85" s="12"/>
      <c r="G85" s="13"/>
      <c r="H85" s="21"/>
      <c r="I85" s="21"/>
      <c r="J85" s="21"/>
      <c r="K85" s="21"/>
      <c r="L85" s="21"/>
      <c r="M85" s="21"/>
      <c r="N85" s="21"/>
      <c r="O85" s="21"/>
      <c r="P85" s="21"/>
      <c r="Q85" s="21"/>
      <c r="R85" s="21"/>
      <c r="S85" s="21"/>
    </row>
    <row r="86" spans="1:19" ht="15.75" thickTop="1">
      <c r="A86" s="3693"/>
      <c r="B86" s="3699" t="s">
        <v>583</v>
      </c>
      <c r="C86" s="3694"/>
      <c r="D86" s="3694"/>
      <c r="E86" s="3694"/>
      <c r="F86" s="3694"/>
      <c r="G86" s="3695"/>
      <c r="H86" s="3700"/>
      <c r="I86" s="3700"/>
      <c r="J86" s="3700"/>
      <c r="K86" s="3700"/>
      <c r="L86" s="3700"/>
      <c r="M86" s="3700"/>
      <c r="N86" s="3700"/>
      <c r="O86" s="3700"/>
      <c r="P86" s="3700"/>
      <c r="Q86" s="3700"/>
      <c r="R86" s="3700"/>
      <c r="S86" s="3700"/>
    </row>
    <row r="87" spans="1:19">
      <c r="A87" s="2421"/>
      <c r="B87" s="2404" t="s">
        <v>584</v>
      </c>
      <c r="C87" s="2405"/>
      <c r="D87" s="2405"/>
      <c r="E87" s="2405"/>
      <c r="F87" s="2405"/>
      <c r="G87" s="2423"/>
      <c r="H87" s="2390"/>
      <c r="I87" s="2390"/>
      <c r="J87" s="2390"/>
      <c r="K87" s="2390"/>
      <c r="L87" s="2390"/>
      <c r="M87" s="2390"/>
      <c r="N87" s="2390"/>
      <c r="O87" s="2390"/>
      <c r="P87" s="2390"/>
      <c r="Q87" s="2390"/>
      <c r="R87" s="2390"/>
      <c r="S87" s="2390"/>
    </row>
    <row r="88" spans="1:19" ht="15.75" thickBot="1">
      <c r="A88" s="2391"/>
      <c r="B88" s="2392" t="s">
        <v>585</v>
      </c>
      <c r="C88" s="2393"/>
      <c r="D88" s="2393"/>
      <c r="E88" s="2393"/>
      <c r="F88" s="2393"/>
      <c r="G88" s="2394"/>
      <c r="H88" s="2395"/>
      <c r="I88" s="2395"/>
      <c r="J88" s="2395"/>
      <c r="K88" s="2395"/>
      <c r="L88" s="2395"/>
      <c r="M88" s="2395"/>
      <c r="N88" s="2395"/>
      <c r="O88" s="2395"/>
      <c r="P88" s="2395"/>
      <c r="Q88" s="2395"/>
      <c r="R88" s="2395"/>
      <c r="S88" s="2395"/>
    </row>
    <row r="89" spans="1:19" ht="16.5" thickTop="1" thickBot="1">
      <c r="A89"/>
      <c r="B89" s="1"/>
      <c r="C89" s="2"/>
      <c r="D89" s="2"/>
      <c r="E89" s="2"/>
      <c r="F89" s="2"/>
      <c r="G89" s="2"/>
      <c r="H89" s="2"/>
      <c r="I89" s="2"/>
      <c r="J89" s="2"/>
      <c r="K89" s="2"/>
      <c r="L89" s="2"/>
      <c r="M89" s="2"/>
      <c r="N89" s="2"/>
      <c r="O89" s="2"/>
      <c r="P89" s="2"/>
      <c r="Q89" s="2"/>
      <c r="R89" s="2"/>
      <c r="S89" s="2"/>
    </row>
    <row r="90" spans="1:19" ht="16.5" thickTop="1" thickBot="1">
      <c r="A90" s="92" t="s">
        <v>586</v>
      </c>
      <c r="B90" s="94"/>
      <c r="C90" s="2"/>
      <c r="D90" s="2"/>
      <c r="E90" s="2"/>
      <c r="F90" s="2"/>
      <c r="G90" s="2"/>
      <c r="H90" s="2"/>
      <c r="I90" s="2"/>
      <c r="J90" s="2"/>
      <c r="K90" s="2"/>
      <c r="L90" s="2"/>
      <c r="M90" s="2"/>
      <c r="N90" s="2"/>
      <c r="O90" s="2"/>
      <c r="P90" s="2"/>
      <c r="Q90" s="2"/>
      <c r="R90" s="2"/>
      <c r="S90" s="2"/>
    </row>
    <row r="91" spans="1:19" ht="16.5" thickTop="1" thickBot="1">
      <c r="A91" s="93" t="s">
        <v>487</v>
      </c>
      <c r="B91" s="94"/>
      <c r="C91" s="2"/>
      <c r="D91" s="2"/>
      <c r="E91" s="2"/>
      <c r="F91" s="2"/>
      <c r="G91" s="2"/>
      <c r="H91" s="2"/>
      <c r="I91" s="2"/>
      <c r="J91" s="2"/>
      <c r="K91" s="2"/>
      <c r="L91" s="2"/>
      <c r="M91" s="2"/>
      <c r="N91" s="2"/>
      <c r="O91" s="2"/>
      <c r="P91" s="2"/>
      <c r="Q91" s="2"/>
      <c r="R91" s="2"/>
      <c r="S91" s="2"/>
    </row>
    <row r="92" spans="1:19" ht="15.75" thickTop="1">
      <c r="A92" s="2397" t="s">
        <v>491</v>
      </c>
      <c r="B92" s="2396"/>
      <c r="C92" s="2"/>
      <c r="D92" s="2"/>
      <c r="E92" s="2"/>
      <c r="F92" s="2"/>
      <c r="G92" s="2"/>
      <c r="H92" s="2"/>
      <c r="I92" s="2"/>
      <c r="J92" s="2"/>
      <c r="K92" s="2"/>
      <c r="L92" s="2"/>
      <c r="M92" s="2"/>
      <c r="N92" s="2"/>
      <c r="O92" s="2"/>
      <c r="P92" s="2"/>
      <c r="Q92" s="2"/>
      <c r="R92" s="2"/>
      <c r="S92" s="2"/>
    </row>
    <row r="93" spans="1:19">
      <c r="A93" s="2398" t="s">
        <v>494</v>
      </c>
      <c r="B93" s="2399"/>
      <c r="C93" s="2"/>
      <c r="D93" s="2"/>
      <c r="E93" s="2"/>
      <c r="F93" s="2"/>
      <c r="G93" s="2"/>
      <c r="H93" s="2"/>
      <c r="I93" s="2"/>
      <c r="J93" s="2"/>
      <c r="K93" s="2"/>
      <c r="L93" s="2"/>
      <c r="M93" s="2"/>
      <c r="N93" s="2"/>
      <c r="O93" s="2"/>
      <c r="P93" s="2"/>
      <c r="Q93" s="2"/>
      <c r="R93" s="2"/>
      <c r="S93" s="2"/>
    </row>
    <row r="94" spans="1:19">
      <c r="A94" s="2398" t="s">
        <v>497</v>
      </c>
      <c r="B94" s="2400"/>
      <c r="C94" s="2"/>
      <c r="D94" s="2"/>
      <c r="E94" s="2"/>
      <c r="F94" s="2"/>
      <c r="G94" s="2"/>
      <c r="H94" s="2"/>
      <c r="I94" s="2"/>
      <c r="J94" s="2"/>
      <c r="K94" s="2"/>
      <c r="L94" s="2"/>
      <c r="M94" s="2"/>
      <c r="N94" s="2"/>
      <c r="O94" s="2"/>
      <c r="P94" s="2"/>
      <c r="Q94" s="2"/>
      <c r="R94" s="2"/>
      <c r="S94" s="2"/>
    </row>
    <row r="95" spans="1:19" ht="15.75" thickBot="1">
      <c r="A95" s="2401" t="s">
        <v>587</v>
      </c>
      <c r="B95" s="2402">
        <f>H8</f>
        <v>2950000</v>
      </c>
      <c r="C95" s="2"/>
      <c r="D95" s="2"/>
      <c r="E95" s="2"/>
      <c r="F95" s="2"/>
      <c r="G95" s="2"/>
      <c r="H95" s="2"/>
      <c r="I95" s="2"/>
      <c r="J95" s="2"/>
      <c r="K95" s="2"/>
      <c r="L95" s="2"/>
      <c r="M95" s="2"/>
      <c r="N95" s="2"/>
      <c r="O95" s="2"/>
      <c r="P95" s="2"/>
      <c r="Q95" s="2"/>
      <c r="R95" s="2"/>
      <c r="S95" s="2"/>
    </row>
    <row r="96" spans="1:19" ht="15.75" thickTop="1">
      <c r="A96"/>
      <c r="B96" s="1"/>
      <c r="C96" s="2"/>
      <c r="D96" s="2"/>
      <c r="E96" s="2"/>
      <c r="F96" s="2"/>
      <c r="G96" s="2"/>
      <c r="H96" s="2"/>
      <c r="I96" s="2"/>
      <c r="J96" s="2"/>
      <c r="K96" s="2"/>
      <c r="L96" s="2"/>
      <c r="M96" s="2"/>
      <c r="N96" s="2"/>
      <c r="O96" s="2"/>
      <c r="P96" s="2"/>
      <c r="Q96" s="2"/>
      <c r="R96" s="2"/>
      <c r="S96" s="2"/>
    </row>
    <row r="97" spans="1:19">
      <c r="A97" s="95"/>
      <c r="B97" s="1" t="s">
        <v>588</v>
      </c>
      <c r="C97" s="2"/>
      <c r="D97" s="2"/>
      <c r="E97" s="2"/>
      <c r="F97" s="2"/>
      <c r="G97" s="2"/>
      <c r="H97" s="2"/>
      <c r="I97" s="2"/>
      <c r="J97" s="2"/>
      <c r="K97" s="2"/>
      <c r="L97" s="2"/>
      <c r="M97" s="2"/>
      <c r="N97" s="2"/>
      <c r="O97" s="2"/>
      <c r="P97" s="2"/>
      <c r="Q97" s="2"/>
      <c r="R97" s="2"/>
      <c r="S97" s="2"/>
    </row>
    <row r="98" spans="1:19">
      <c r="A98" s="96"/>
      <c r="B98" s="1" t="s">
        <v>589</v>
      </c>
      <c r="C98" s="2"/>
      <c r="D98" s="2"/>
      <c r="E98" s="2"/>
      <c r="F98" s="2"/>
      <c r="G98" s="2"/>
      <c r="H98" s="2"/>
      <c r="I98" s="2"/>
      <c r="J98" s="2"/>
      <c r="K98" s="2"/>
      <c r="L98" s="2"/>
      <c r="M98" s="2"/>
      <c r="N98" s="2"/>
      <c r="O98" s="2"/>
      <c r="P98" s="2"/>
      <c r="Q98" s="2"/>
      <c r="R98" s="2"/>
      <c r="S98" s="2"/>
    </row>
  </sheetData>
  <mergeCells count="47">
    <mergeCell ref="P7:Q7"/>
    <mergeCell ref="P8:Q8"/>
    <mergeCell ref="R4:S4"/>
    <mergeCell ref="R5:S5"/>
    <mergeCell ref="R6:S6"/>
    <mergeCell ref="R7:S7"/>
    <mergeCell ref="R8:S8"/>
    <mergeCell ref="J7:K7"/>
    <mergeCell ref="J8:K8"/>
    <mergeCell ref="N4:O4"/>
    <mergeCell ref="N5:O5"/>
    <mergeCell ref="N6:O6"/>
    <mergeCell ref="N7:O7"/>
    <mergeCell ref="N8:O8"/>
    <mergeCell ref="L7:M7"/>
    <mergeCell ref="L8:M8"/>
    <mergeCell ref="R2:S2"/>
    <mergeCell ref="R3:S3"/>
    <mergeCell ref="J4:K4"/>
    <mergeCell ref="J5:K5"/>
    <mergeCell ref="J6:K6"/>
    <mergeCell ref="P4:Q4"/>
    <mergeCell ref="P5:Q5"/>
    <mergeCell ref="P6:Q6"/>
    <mergeCell ref="L4:M4"/>
    <mergeCell ref="L5:M5"/>
    <mergeCell ref="L6:M6"/>
    <mergeCell ref="H3:I3"/>
    <mergeCell ref="J3:K3"/>
    <mergeCell ref="L3:M3"/>
    <mergeCell ref="N3:O3"/>
    <mergeCell ref="P3:Q3"/>
    <mergeCell ref="H2:I2"/>
    <mergeCell ref="J2:K2"/>
    <mergeCell ref="L2:M2"/>
    <mergeCell ref="N2:O2"/>
    <mergeCell ref="P2:Q2"/>
    <mergeCell ref="H4:I4"/>
    <mergeCell ref="H5:I5"/>
    <mergeCell ref="H6:I6"/>
    <mergeCell ref="H7:I7"/>
    <mergeCell ref="H8:I8"/>
    <mergeCell ref="A63:B63"/>
    <mergeCell ref="A67:B67"/>
    <mergeCell ref="A71:B71"/>
    <mergeCell ref="A75:B75"/>
    <mergeCell ref="A79:B79"/>
  </mergeCells>
  <phoneticPr fontId="32" type="noConversion"/>
  <conditionalFormatting sqref="H20:H31 J20:J54 H33:H54 L33:L54 N33:N54 P33:P54 R33:R54">
    <cfRule type="cellIs" dxfId="33" priority="31" operator="equal">
      <formula>"X"</formula>
    </cfRule>
    <cfRule type="cellIs" dxfId="32" priority="32" operator="equal">
      <formula>"I"</formula>
    </cfRule>
  </conditionalFormatting>
  <conditionalFormatting sqref="L23:L31">
    <cfRule type="cellIs" dxfId="31" priority="25" operator="equal">
      <formula>"X"</formula>
    </cfRule>
    <cfRule type="cellIs" dxfId="30" priority="26" operator="equal">
      <formula>"I"</formula>
    </cfRule>
  </conditionalFormatting>
  <conditionalFormatting sqref="N22:N31">
    <cfRule type="cellIs" dxfId="29" priority="21" operator="equal">
      <formula>"X"</formula>
    </cfRule>
    <cfRule type="cellIs" dxfId="28" priority="22" operator="equal">
      <formula>"I"</formula>
    </cfRule>
  </conditionalFormatting>
  <conditionalFormatting sqref="P20:P31">
    <cfRule type="cellIs" dxfId="27" priority="15" operator="equal">
      <formula>"X"</formula>
    </cfRule>
    <cfRule type="cellIs" dxfId="26" priority="16" operator="equal">
      <formula>"I"</formula>
    </cfRule>
  </conditionalFormatting>
  <conditionalFormatting sqref="R20:R31">
    <cfRule type="cellIs" dxfId="25" priority="13" operator="equal">
      <formula>"X"</formula>
    </cfRule>
    <cfRule type="cellIs" dxfId="24" priority="14" operator="equal">
      <formula>"I"</formula>
    </cfRule>
  </conditionalFormatting>
  <hyperlinks>
    <hyperlink ref="B3" location="'Cost Summary'!A1" display="BACK TO SUMMARY SHEET" xr:uid="{C7D8BC29-560A-42FB-BE16-07CB28A10680}"/>
  </hyperlinks>
  <printOptions horizontalCentered="1"/>
  <pageMargins left="0.2" right="0.2" top="0.75" bottom="0.75" header="0.3" footer="0.3"/>
  <pageSetup scale="64" orientation="portrait" horizontalDpi="1200" verticalDpi="1200"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7095-97FE-4E41-80D3-DD36C0A44ED1}">
  <sheetPr>
    <tabColor rgb="FF92D050"/>
  </sheetPr>
  <dimension ref="A1:S95"/>
  <sheetViews>
    <sheetView workbookViewId="0">
      <pane xSplit="2" ySplit="9" topLeftCell="C21" activePane="bottomRight" state="frozen"/>
      <selection pane="bottomRight" activeCell="B34" sqref="B34"/>
      <selection pane="bottomLeft" activeCell="A10" sqref="A10"/>
      <selection pane="topRight" activeCell="C1" sqref="C1"/>
    </sheetView>
  </sheetViews>
  <sheetFormatPr defaultColWidth="8.85546875" defaultRowHeight="15"/>
  <cols>
    <col min="1" max="1" width="11" style="65" customWidth="1"/>
    <col min="2" max="2" width="70.7109375" style="66" customWidth="1"/>
    <col min="3" max="3" width="10.85546875" style="67" bestFit="1" customWidth="1"/>
    <col min="4" max="5" width="7.5703125" style="67" customWidth="1"/>
    <col min="6" max="6" width="7.7109375" style="67" customWidth="1"/>
    <col min="7" max="7" width="12.28515625" style="67" customWidth="1"/>
    <col min="8" max="8" width="7.42578125" style="67" bestFit="1" customWidth="1"/>
    <col min="9" max="9" width="14.85546875" style="67" customWidth="1"/>
    <col min="10" max="10" width="7.42578125" style="67" bestFit="1" customWidth="1"/>
    <col min="11" max="11" width="14.85546875" style="67" customWidth="1"/>
    <col min="12" max="12" width="7.42578125" style="67" bestFit="1" customWidth="1"/>
    <col min="13" max="13" width="14.85546875" style="67" customWidth="1"/>
    <col min="14" max="14" width="7.42578125" style="67" bestFit="1" customWidth="1"/>
    <col min="15" max="15" width="14.85546875" style="67" customWidth="1"/>
    <col min="16" max="16" width="7.42578125" style="67" bestFit="1" customWidth="1"/>
    <col min="17" max="17" width="14.85546875" style="67" customWidth="1"/>
    <col min="18" max="18" width="7.42578125" style="67" bestFit="1" customWidth="1"/>
    <col min="19" max="19" width="14.85546875" style="67" customWidth="1"/>
    <col min="20" max="16384" width="8.85546875" style="65"/>
  </cols>
  <sheetData>
    <row r="1" spans="1:19">
      <c r="E1" s="175"/>
      <c r="F1" s="149"/>
      <c r="G1" s="147" t="s">
        <v>474</v>
      </c>
    </row>
    <row r="2" spans="1:19" ht="15.75" thickBot="1">
      <c r="E2" s="175"/>
      <c r="F2" s="146" t="s">
        <v>475</v>
      </c>
      <c r="G2" s="147" t="s">
        <v>476</v>
      </c>
      <c r="H2" s="755"/>
      <c r="I2" s="755"/>
      <c r="J2" s="755"/>
      <c r="K2" s="755"/>
      <c r="L2" s="755"/>
      <c r="M2" s="755"/>
      <c r="N2" s="755"/>
      <c r="O2" s="755"/>
      <c r="P2" s="755"/>
      <c r="Q2" s="755"/>
      <c r="R2" s="755"/>
      <c r="S2" s="755"/>
    </row>
    <row r="3" spans="1:19" ht="19.5" thickBot="1">
      <c r="B3" s="150" t="s">
        <v>477</v>
      </c>
      <c r="E3" s="175"/>
      <c r="F3" s="148" t="s">
        <v>478</v>
      </c>
      <c r="G3" s="147" t="s">
        <v>479</v>
      </c>
      <c r="H3" s="756" t="s">
        <v>480</v>
      </c>
      <c r="I3" s="757"/>
      <c r="J3" s="756" t="s">
        <v>481</v>
      </c>
      <c r="K3" s="757"/>
      <c r="L3" s="756" t="s">
        <v>482</v>
      </c>
      <c r="M3" s="757"/>
      <c r="N3" s="756" t="s">
        <v>483</v>
      </c>
      <c r="O3" s="757"/>
      <c r="P3" s="756" t="s">
        <v>484</v>
      </c>
      <c r="Q3" s="757"/>
      <c r="R3" s="756" t="s">
        <v>485</v>
      </c>
      <c r="S3" s="757"/>
    </row>
    <row r="4" spans="1:19" ht="15.75" thickTop="1">
      <c r="A4" s="68" t="s">
        <v>486</v>
      </c>
      <c r="B4" s="4" t="str">
        <f>'Area Calculations'!B4</f>
        <v>The Club at Ibis Conceptual Estimate</v>
      </c>
      <c r="C4" s="69"/>
      <c r="D4" s="69"/>
      <c r="E4" s="69"/>
      <c r="F4" s="69"/>
      <c r="G4" s="88" t="s">
        <v>487</v>
      </c>
      <c r="H4" s="758"/>
      <c r="I4" s="759"/>
      <c r="J4" s="728"/>
      <c r="K4" s="729"/>
      <c r="L4" s="728"/>
      <c r="M4" s="729"/>
      <c r="N4" s="728"/>
      <c r="O4" s="729"/>
      <c r="P4" s="728"/>
      <c r="Q4" s="729"/>
      <c r="R4" s="728"/>
      <c r="S4" s="729"/>
    </row>
    <row r="5" spans="1:19">
      <c r="A5" s="3598" t="s">
        <v>489</v>
      </c>
      <c r="B5" s="3599" t="s">
        <v>1484</v>
      </c>
      <c r="C5" s="3436"/>
      <c r="D5" s="3436"/>
      <c r="E5" s="3436"/>
      <c r="F5" s="3436"/>
      <c r="G5" s="3600" t="s">
        <v>491</v>
      </c>
      <c r="H5" s="3701"/>
      <c r="I5" s="3702"/>
      <c r="J5" s="2407"/>
      <c r="K5" s="2408"/>
      <c r="L5" s="2407"/>
      <c r="M5" s="2408"/>
      <c r="N5" s="2407"/>
      <c r="O5" s="2408"/>
      <c r="P5" s="2407"/>
      <c r="Q5" s="2408"/>
      <c r="R5" s="2407"/>
      <c r="S5" s="2408"/>
    </row>
    <row r="6" spans="1:19">
      <c r="A6" s="3598" t="s">
        <v>493</v>
      </c>
      <c r="B6" s="3601" t="s">
        <v>1485</v>
      </c>
      <c r="C6" s="3436"/>
      <c r="D6" s="3436"/>
      <c r="E6" s="3436"/>
      <c r="F6" s="3436"/>
      <c r="G6" s="3600" t="s">
        <v>494</v>
      </c>
      <c r="H6" s="3703"/>
      <c r="I6" s="3704"/>
      <c r="J6" s="2411"/>
      <c r="K6" s="2412"/>
      <c r="L6" s="2411"/>
      <c r="M6" s="2412"/>
      <c r="N6" s="2411"/>
      <c r="O6" s="2412"/>
      <c r="P6" s="2411"/>
      <c r="Q6" s="2412"/>
      <c r="R6" s="2411"/>
      <c r="S6" s="2412"/>
    </row>
    <row r="7" spans="1:19">
      <c r="A7" s="3598" t="s">
        <v>496</v>
      </c>
      <c r="B7" s="3602"/>
      <c r="C7" s="3436"/>
      <c r="D7" s="3436"/>
      <c r="E7" s="3436"/>
      <c r="F7" s="3436"/>
      <c r="G7" s="3600" t="s">
        <v>497</v>
      </c>
      <c r="H7" s="2415"/>
      <c r="I7" s="3705"/>
      <c r="J7" s="2415"/>
      <c r="K7" s="2416"/>
      <c r="L7" s="2415"/>
      <c r="M7" s="2416"/>
      <c r="N7" s="2415"/>
      <c r="O7" s="2416"/>
      <c r="P7" s="2415"/>
      <c r="Q7" s="2416"/>
      <c r="R7" s="2415"/>
      <c r="S7" s="2416"/>
    </row>
    <row r="8" spans="1:19" ht="15.75" thickBot="1">
      <c r="A8" s="414" t="s">
        <v>499</v>
      </c>
      <c r="B8" s="251"/>
      <c r="C8" s="253"/>
      <c r="D8" s="253"/>
      <c r="E8" s="253"/>
      <c r="F8" s="253"/>
      <c r="G8" s="419" t="s">
        <v>499</v>
      </c>
      <c r="H8" s="3706">
        <f>I56</f>
        <v>0</v>
      </c>
      <c r="I8" s="3707"/>
      <c r="J8" s="3706">
        <f>K56</f>
        <v>0</v>
      </c>
      <c r="K8" s="3707"/>
      <c r="L8" s="3706">
        <f>M56</f>
        <v>0</v>
      </c>
      <c r="M8" s="3707"/>
      <c r="N8" s="3706">
        <f>O56</f>
        <v>0</v>
      </c>
      <c r="O8" s="3707"/>
      <c r="P8" s="3706">
        <f>Q56</f>
        <v>0</v>
      </c>
      <c r="Q8" s="3707"/>
      <c r="R8" s="3706">
        <f>S56</f>
        <v>0</v>
      </c>
      <c r="S8" s="3707"/>
    </row>
    <row r="9" spans="1:19" ht="31.5" thickTop="1" thickBot="1">
      <c r="A9" s="70" t="s">
        <v>500</v>
      </c>
      <c r="B9" s="71"/>
      <c r="C9" s="72" t="s">
        <v>501</v>
      </c>
      <c r="D9" s="72" t="s">
        <v>502</v>
      </c>
      <c r="E9" s="72" t="s">
        <v>503</v>
      </c>
      <c r="F9" s="72" t="s">
        <v>504</v>
      </c>
      <c r="G9" s="89" t="s">
        <v>505</v>
      </c>
      <c r="H9" s="74" t="s">
        <v>506</v>
      </c>
      <c r="I9" s="74" t="s">
        <v>507</v>
      </c>
      <c r="J9" s="74" t="s">
        <v>506</v>
      </c>
      <c r="K9" s="74" t="s">
        <v>507</v>
      </c>
      <c r="L9" s="74" t="s">
        <v>506</v>
      </c>
      <c r="M9" s="74" t="s">
        <v>507</v>
      </c>
      <c r="N9" s="74" t="s">
        <v>506</v>
      </c>
      <c r="O9" s="74" t="s">
        <v>507</v>
      </c>
      <c r="P9" s="74" t="s">
        <v>506</v>
      </c>
      <c r="Q9" s="74" t="s">
        <v>507</v>
      </c>
      <c r="R9" s="74" t="s">
        <v>506</v>
      </c>
      <c r="S9" s="74" t="s">
        <v>507</v>
      </c>
    </row>
    <row r="10" spans="1:19" ht="15.75" hidden="1" thickTop="1">
      <c r="A10" s="3603"/>
      <c r="B10" s="3708" t="s">
        <v>508</v>
      </c>
      <c r="C10" s="3436"/>
      <c r="D10" s="3436"/>
      <c r="E10" s="3436"/>
      <c r="F10" s="3436"/>
      <c r="G10" s="3604"/>
      <c r="H10" s="3605"/>
      <c r="I10" s="3605"/>
      <c r="J10" s="3605"/>
      <c r="K10" s="3605"/>
      <c r="L10" s="3605"/>
      <c r="M10" s="3605"/>
      <c r="N10" s="3605"/>
      <c r="O10" s="3605"/>
      <c r="P10" s="3605"/>
      <c r="Q10" s="3605"/>
      <c r="R10" s="3605"/>
      <c r="S10" s="3605"/>
    </row>
    <row r="11" spans="1:19" ht="15.75" hidden="1" thickTop="1">
      <c r="A11" s="3603"/>
      <c r="B11" s="2404" t="s">
        <v>1486</v>
      </c>
      <c r="C11" s="3435" t="s">
        <v>509</v>
      </c>
      <c r="D11" s="3436"/>
      <c r="E11" s="3436"/>
      <c r="F11" s="3436"/>
      <c r="G11" s="3604"/>
      <c r="H11" s="3605"/>
      <c r="I11" s="3605"/>
      <c r="J11" s="3605"/>
      <c r="K11" s="3605"/>
      <c r="L11" s="3605"/>
      <c r="M11" s="3605"/>
      <c r="N11" s="3605"/>
      <c r="O11" s="3605"/>
      <c r="P11" s="3605"/>
      <c r="Q11" s="3605"/>
      <c r="R11" s="3605"/>
      <c r="S11" s="3605"/>
    </row>
    <row r="12" spans="1:19" ht="15.75" hidden="1" thickTop="1">
      <c r="A12" s="3603"/>
      <c r="B12" s="3699" t="s">
        <v>1487</v>
      </c>
      <c r="C12" s="3435" t="s">
        <v>509</v>
      </c>
      <c r="D12" s="3436"/>
      <c r="E12" s="3436"/>
      <c r="F12" s="3436"/>
      <c r="G12" s="3604"/>
      <c r="H12" s="3605"/>
      <c r="I12" s="3605"/>
      <c r="J12" s="3605"/>
      <c r="K12" s="3605"/>
      <c r="L12" s="3605"/>
      <c r="M12" s="3605"/>
      <c r="N12" s="3605"/>
      <c r="O12" s="3605"/>
      <c r="P12" s="3605"/>
      <c r="Q12" s="3605"/>
      <c r="R12" s="3605"/>
      <c r="S12" s="3605"/>
    </row>
    <row r="13" spans="1:19" ht="15.75" hidden="1" thickTop="1">
      <c r="A13" s="3603"/>
      <c r="B13" s="2404" t="s">
        <v>1488</v>
      </c>
      <c r="C13" s="3435" t="s">
        <v>509</v>
      </c>
      <c r="D13" s="3436"/>
      <c r="E13" s="3436"/>
      <c r="F13" s="3436"/>
      <c r="G13" s="3604"/>
      <c r="H13" s="3605"/>
      <c r="I13" s="3605"/>
      <c r="J13" s="3605"/>
      <c r="K13" s="3605"/>
      <c r="L13" s="3605"/>
      <c r="M13" s="3605"/>
      <c r="N13" s="3605"/>
      <c r="O13" s="3605"/>
      <c r="P13" s="3605"/>
      <c r="Q13" s="3605"/>
      <c r="R13" s="3605"/>
      <c r="S13" s="3605"/>
    </row>
    <row r="14" spans="1:19" ht="15.75" hidden="1" thickTop="1">
      <c r="A14" s="3603"/>
      <c r="B14" s="2404" t="s">
        <v>1489</v>
      </c>
      <c r="C14" s="3435" t="s">
        <v>509</v>
      </c>
      <c r="D14" s="3436"/>
      <c r="E14" s="3436"/>
      <c r="F14" s="3436"/>
      <c r="G14" s="3604"/>
      <c r="H14" s="3605"/>
      <c r="I14" s="3605"/>
      <c r="J14" s="3605"/>
      <c r="K14" s="3605"/>
      <c r="L14" s="3605"/>
      <c r="M14" s="3605"/>
      <c r="N14" s="3605"/>
      <c r="O14" s="3605"/>
      <c r="P14" s="3605"/>
      <c r="Q14" s="3605"/>
      <c r="R14" s="3605"/>
      <c r="S14" s="3605"/>
    </row>
    <row r="15" spans="1:19" ht="15.75" hidden="1" thickTop="1">
      <c r="A15" s="3603"/>
      <c r="B15" s="2404" t="s">
        <v>1490</v>
      </c>
      <c r="C15" s="3435" t="s">
        <v>509</v>
      </c>
      <c r="D15" s="3436"/>
      <c r="E15" s="3436"/>
      <c r="F15" s="3436"/>
      <c r="G15" s="3604"/>
      <c r="H15" s="3605"/>
      <c r="I15" s="3605"/>
      <c r="J15" s="3605"/>
      <c r="K15" s="3605"/>
      <c r="L15" s="3605"/>
      <c r="M15" s="3605"/>
      <c r="N15" s="3605"/>
      <c r="O15" s="3605"/>
      <c r="P15" s="3605"/>
      <c r="Q15" s="3605"/>
      <c r="R15" s="3605"/>
      <c r="S15" s="3605"/>
    </row>
    <row r="16" spans="1:19" ht="15.75" hidden="1" thickTop="1">
      <c r="A16" s="3603"/>
      <c r="B16" s="3699" t="s">
        <v>1491</v>
      </c>
      <c r="C16" s="3435" t="s">
        <v>509</v>
      </c>
      <c r="D16" s="3436"/>
      <c r="E16" s="3436"/>
      <c r="F16" s="3436"/>
      <c r="G16" s="3604"/>
      <c r="H16" s="3605"/>
      <c r="I16" s="3605"/>
      <c r="J16" s="3605"/>
      <c r="K16" s="3605"/>
      <c r="L16" s="3605"/>
      <c r="M16" s="3605"/>
      <c r="N16" s="3605"/>
      <c r="O16" s="3605"/>
      <c r="P16" s="3605"/>
      <c r="Q16" s="3605"/>
      <c r="R16" s="3605"/>
      <c r="S16" s="3605"/>
    </row>
    <row r="17" spans="1:19" ht="15.75" hidden="1" thickTop="1">
      <c r="A17" s="3603"/>
      <c r="B17" s="3699" t="s">
        <v>1492</v>
      </c>
      <c r="C17" s="3435" t="s">
        <v>509</v>
      </c>
      <c r="D17" s="3436"/>
      <c r="E17" s="3436"/>
      <c r="F17" s="3436"/>
      <c r="G17" s="3604"/>
      <c r="H17" s="3605"/>
      <c r="I17" s="3605"/>
      <c r="J17" s="3605"/>
      <c r="K17" s="3605"/>
      <c r="L17" s="3605"/>
      <c r="M17" s="3605"/>
      <c r="N17" s="3605"/>
      <c r="O17" s="3605"/>
      <c r="P17" s="3605"/>
      <c r="Q17" s="3605"/>
      <c r="R17" s="3605"/>
      <c r="S17" s="3605"/>
    </row>
    <row r="18" spans="1:19" ht="15.75" hidden="1" thickTop="1">
      <c r="A18" s="3603"/>
      <c r="B18" s="2404" t="s">
        <v>1493</v>
      </c>
      <c r="C18" s="3435" t="s">
        <v>509</v>
      </c>
      <c r="D18" s="3436"/>
      <c r="E18" s="3436"/>
      <c r="F18" s="3436"/>
      <c r="G18" s="3604"/>
      <c r="H18" s="3605"/>
      <c r="I18" s="3605"/>
      <c r="J18" s="3605"/>
      <c r="K18" s="3605"/>
      <c r="L18" s="3605"/>
      <c r="M18" s="3605"/>
      <c r="N18" s="3605"/>
      <c r="O18" s="3605"/>
      <c r="P18" s="3605"/>
      <c r="Q18" s="3605"/>
      <c r="R18" s="3605"/>
      <c r="S18" s="3605"/>
    </row>
    <row r="19" spans="1:19" ht="15.75" hidden="1" thickTop="1">
      <c r="A19" s="3603"/>
      <c r="B19" s="2404" t="s">
        <v>111</v>
      </c>
      <c r="C19" s="3435" t="s">
        <v>509</v>
      </c>
      <c r="D19" s="3436"/>
      <c r="E19" s="3436"/>
      <c r="F19" s="3436"/>
      <c r="G19" s="3604"/>
      <c r="H19" s="3605"/>
      <c r="I19" s="3605"/>
      <c r="J19" s="3605"/>
      <c r="K19" s="3605"/>
      <c r="L19" s="3605"/>
      <c r="M19" s="3605"/>
      <c r="N19" s="3605"/>
      <c r="O19" s="3605"/>
      <c r="P19" s="3605"/>
      <c r="Q19" s="3605"/>
      <c r="R19" s="3605"/>
      <c r="S19" s="3605"/>
    </row>
    <row r="20" spans="1:19" ht="15.75" hidden="1" thickTop="1">
      <c r="A20" s="3603"/>
      <c r="B20" s="3599" t="s">
        <v>1494</v>
      </c>
      <c r="C20" s="3435" t="s">
        <v>509</v>
      </c>
      <c r="D20" s="3436"/>
      <c r="E20" s="3436"/>
      <c r="F20" s="3436"/>
      <c r="G20" s="3604"/>
      <c r="H20" s="3605"/>
      <c r="I20" s="3605"/>
      <c r="J20" s="3605"/>
      <c r="K20" s="3605"/>
      <c r="L20" s="3605"/>
      <c r="M20" s="3605"/>
      <c r="N20" s="3605"/>
      <c r="O20" s="3605"/>
      <c r="P20" s="3605"/>
      <c r="Q20" s="3605"/>
      <c r="R20" s="3605"/>
      <c r="S20" s="3605"/>
    </row>
    <row r="21" spans="1:19" ht="15.75" thickTop="1">
      <c r="A21" s="3709"/>
      <c r="B21" s="3710"/>
      <c r="C21" s="3435"/>
      <c r="D21" s="3436"/>
      <c r="E21" s="3436"/>
      <c r="F21" s="3436"/>
      <c r="G21" s="3604"/>
      <c r="H21" s="3711"/>
      <c r="I21" s="3712"/>
      <c r="J21" s="3712"/>
      <c r="K21" s="3712"/>
      <c r="L21" s="3712"/>
      <c r="M21" s="3712"/>
      <c r="N21" s="3712"/>
      <c r="O21" s="3712"/>
      <c r="P21" s="3712"/>
      <c r="Q21" s="3712"/>
      <c r="R21" s="3712"/>
      <c r="S21" s="3712"/>
    </row>
    <row r="22" spans="1:19" ht="15.75" thickBot="1">
      <c r="A22" s="3713"/>
      <c r="B22" s="3608" t="s">
        <v>1484</v>
      </c>
      <c r="C22" s="3435"/>
      <c r="D22" s="3436"/>
      <c r="E22" s="3436"/>
      <c r="F22" s="3436"/>
      <c r="G22" s="3604"/>
      <c r="H22" s="3711"/>
      <c r="I22" s="3714"/>
      <c r="J22" s="3714"/>
      <c r="K22" s="3714"/>
      <c r="L22" s="3714"/>
      <c r="M22" s="3714"/>
      <c r="N22" s="3714"/>
      <c r="O22" s="3715"/>
      <c r="P22" s="3714"/>
      <c r="Q22" s="3714"/>
      <c r="R22" s="3714"/>
      <c r="S22" s="3714"/>
    </row>
    <row r="23" spans="1:19" customFormat="1">
      <c r="A23" s="3672"/>
      <c r="B23" s="2318" t="s">
        <v>512</v>
      </c>
      <c r="C23" s="2426"/>
      <c r="D23" s="2405"/>
      <c r="E23" s="2405"/>
      <c r="F23" s="2405"/>
      <c r="G23" s="3604"/>
      <c r="H23" s="2427"/>
      <c r="I23" s="3716"/>
      <c r="J23" s="2427"/>
      <c r="K23" s="3670"/>
      <c r="L23" s="2427"/>
      <c r="M23" s="3671"/>
      <c r="N23" s="2427"/>
      <c r="O23" s="3671"/>
      <c r="P23" s="2427"/>
      <c r="Q23" s="3671"/>
      <c r="R23" s="2427"/>
      <c r="S23" s="3671"/>
    </row>
    <row r="24" spans="1:19" customFormat="1">
      <c r="A24" s="3672"/>
      <c r="B24" s="3717" t="s">
        <v>513</v>
      </c>
      <c r="C24" s="2426"/>
      <c r="D24" s="2405"/>
      <c r="E24" s="2405"/>
      <c r="F24" s="2405"/>
      <c r="G24" s="3604"/>
      <c r="H24" s="2427"/>
      <c r="I24" s="3716"/>
      <c r="J24" s="2427"/>
      <c r="K24" s="3670"/>
      <c r="L24" s="2427"/>
      <c r="M24" s="3671"/>
      <c r="N24" s="2427"/>
      <c r="O24" s="3671"/>
      <c r="P24" s="2427"/>
      <c r="Q24" s="3671"/>
      <c r="R24" s="2427"/>
      <c r="S24" s="3671"/>
    </row>
    <row r="25" spans="1:19" customFormat="1">
      <c r="A25" s="3672"/>
      <c r="B25" s="3717" t="s">
        <v>514</v>
      </c>
      <c r="C25" s="2426"/>
      <c r="D25" s="2405"/>
      <c r="E25" s="2405"/>
      <c r="F25" s="2405"/>
      <c r="G25" s="3604"/>
      <c r="H25" s="2427"/>
      <c r="I25" s="3670"/>
      <c r="J25" s="2427"/>
      <c r="K25" s="3670"/>
      <c r="L25" s="2427"/>
      <c r="M25" s="3671"/>
      <c r="N25" s="2427"/>
      <c r="O25" s="3671"/>
      <c r="P25" s="2427"/>
      <c r="Q25" s="3671"/>
      <c r="R25" s="2427"/>
      <c r="S25" s="3671"/>
    </row>
    <row r="26" spans="1:19" customFormat="1">
      <c r="A26" s="3672"/>
      <c r="B26" s="3718" t="s">
        <v>515</v>
      </c>
      <c r="C26" s="2426"/>
      <c r="D26" s="2405"/>
      <c r="E26" s="2405"/>
      <c r="F26" s="2405"/>
      <c r="G26" s="3604"/>
      <c r="H26" s="2427"/>
      <c r="I26" s="3670"/>
      <c r="J26" s="2427"/>
      <c r="K26" s="3670"/>
      <c r="L26" s="2427"/>
      <c r="M26" s="3671"/>
      <c r="N26" s="2427"/>
      <c r="O26" s="3670"/>
      <c r="P26" s="2427"/>
      <c r="Q26" s="3671"/>
      <c r="R26" s="2427"/>
      <c r="S26" s="3671"/>
    </row>
    <row r="27" spans="1:19" customFormat="1">
      <c r="A27" s="3672"/>
      <c r="B27" s="3718" t="s">
        <v>516</v>
      </c>
      <c r="C27" s="2426"/>
      <c r="D27" s="2405"/>
      <c r="E27" s="2405"/>
      <c r="F27" s="2405"/>
      <c r="G27" s="3604"/>
      <c r="H27" s="2427"/>
      <c r="I27" s="3670"/>
      <c r="J27" s="2427"/>
      <c r="K27" s="3670"/>
      <c r="L27" s="2427"/>
      <c r="M27" s="3671"/>
      <c r="N27" s="2427"/>
      <c r="O27" s="3670"/>
      <c r="P27" s="2427"/>
      <c r="Q27" s="3671"/>
      <c r="R27" s="2427"/>
      <c r="S27" s="3671"/>
    </row>
    <row r="28" spans="1:19" customFormat="1">
      <c r="A28" s="3672"/>
      <c r="B28" s="3718" t="s">
        <v>517</v>
      </c>
      <c r="C28" s="2426"/>
      <c r="D28" s="2405"/>
      <c r="E28" s="2405"/>
      <c r="F28" s="2405"/>
      <c r="G28" s="3604"/>
      <c r="H28" s="2427"/>
      <c r="I28" s="3670"/>
      <c r="J28" s="2427"/>
      <c r="K28" s="3670"/>
      <c r="L28" s="2427"/>
      <c r="M28" s="3671"/>
      <c r="N28" s="2427"/>
      <c r="O28" s="3670"/>
      <c r="P28" s="2427"/>
      <c r="Q28" s="3671"/>
      <c r="R28" s="2427"/>
      <c r="S28" s="3671"/>
    </row>
    <row r="29" spans="1:19" customFormat="1">
      <c r="A29" s="3672"/>
      <c r="B29" s="3718" t="s">
        <v>518</v>
      </c>
      <c r="C29" s="2426"/>
      <c r="D29" s="2405"/>
      <c r="E29" s="2405"/>
      <c r="F29" s="2405"/>
      <c r="G29" s="3604"/>
      <c r="H29" s="2427"/>
      <c r="I29" s="3670"/>
      <c r="J29" s="2427"/>
      <c r="K29" s="3670"/>
      <c r="L29" s="2427"/>
      <c r="M29" s="3671"/>
      <c r="N29" s="2427"/>
      <c r="O29" s="3670"/>
      <c r="P29" s="2427"/>
      <c r="Q29" s="3671"/>
      <c r="R29" s="2427"/>
      <c r="S29" s="3671"/>
    </row>
    <row r="30" spans="1:19" customFormat="1">
      <c r="A30" s="153"/>
      <c r="B30" s="311" t="s">
        <v>693</v>
      </c>
      <c r="C30" s="2426"/>
      <c r="D30" s="2405"/>
      <c r="E30" s="2405"/>
      <c r="F30" s="2405"/>
      <c r="G30" s="3604"/>
      <c r="H30" s="2427"/>
      <c r="I30" s="3670"/>
      <c r="J30" s="2427"/>
      <c r="K30" s="3670"/>
      <c r="L30" s="2427"/>
      <c r="M30" s="3671"/>
      <c r="N30" s="2427"/>
      <c r="O30" s="3670"/>
      <c r="P30" s="2427"/>
      <c r="Q30" s="3671"/>
      <c r="R30" s="2427"/>
      <c r="S30" s="3671"/>
    </row>
    <row r="31" spans="1:19">
      <c r="A31" s="153"/>
      <c r="B31" s="155" t="s">
        <v>519</v>
      </c>
      <c r="C31" s="3435"/>
      <c r="D31" s="3436"/>
      <c r="E31" s="3436"/>
      <c r="F31" s="3436"/>
      <c r="G31" s="3604"/>
      <c r="H31" s="2427"/>
      <c r="I31" s="3712"/>
      <c r="J31" s="2427"/>
      <c r="K31" s="3712"/>
      <c r="L31" s="2427"/>
      <c r="M31" s="3712"/>
      <c r="N31" s="2427"/>
      <c r="O31" s="3712"/>
      <c r="P31" s="2427"/>
      <c r="Q31" s="3712"/>
      <c r="R31" s="2427"/>
      <c r="S31" s="3712"/>
    </row>
    <row r="32" spans="1:19">
      <c r="A32" s="3719"/>
      <c r="B32" s="3720" t="s">
        <v>520</v>
      </c>
      <c r="C32" s="3721"/>
      <c r="D32" s="2980"/>
      <c r="E32" s="2980"/>
      <c r="F32" s="2980"/>
      <c r="G32" s="3079"/>
      <c r="H32" s="3722"/>
      <c r="I32" s="3723"/>
      <c r="J32" s="3723"/>
      <c r="K32" s="3723"/>
      <c r="L32" s="3724"/>
      <c r="M32" s="3725"/>
      <c r="N32" s="3723"/>
      <c r="O32" s="3723"/>
      <c r="P32" s="3723"/>
      <c r="Q32" s="3723"/>
      <c r="R32" s="2439"/>
      <c r="S32" s="3725"/>
    </row>
    <row r="33" spans="1:19">
      <c r="A33" s="3726"/>
      <c r="B33" s="3726"/>
      <c r="C33" s="3435"/>
      <c r="D33" s="3436"/>
      <c r="E33" s="3436"/>
      <c r="F33" s="3436"/>
      <c r="G33" s="3604"/>
      <c r="H33" s="2427"/>
      <c r="I33" s="3714"/>
      <c r="J33" s="2427"/>
      <c r="K33" s="3714"/>
      <c r="L33" s="2427"/>
      <c r="M33" s="3715"/>
      <c r="N33" s="2427"/>
      <c r="O33" s="3714"/>
      <c r="P33" s="2427"/>
      <c r="Q33" s="3714"/>
      <c r="R33" s="2427"/>
      <c r="S33" s="3714"/>
    </row>
    <row r="34" spans="1:19">
      <c r="A34" s="3726"/>
      <c r="B34" s="3726"/>
      <c r="C34" s="3710"/>
      <c r="D34" s="3436"/>
      <c r="E34" s="3436"/>
      <c r="F34" s="3436"/>
      <c r="G34" s="3604"/>
      <c r="H34" s="2427"/>
      <c r="I34" s="3715"/>
      <c r="J34" s="2427"/>
      <c r="K34" s="3714"/>
      <c r="L34" s="2427"/>
      <c r="M34" s="3715"/>
      <c r="N34" s="2427"/>
      <c r="O34" s="3714"/>
      <c r="P34" s="2427"/>
      <c r="Q34" s="3714"/>
      <c r="R34" s="2427"/>
      <c r="S34" s="3714"/>
    </row>
    <row r="35" spans="1:19">
      <c r="A35" s="3713"/>
      <c r="B35" s="3710"/>
      <c r="C35" s="3710"/>
      <c r="D35" s="3436"/>
      <c r="E35" s="3436"/>
      <c r="F35" s="3436"/>
      <c r="G35" s="3604"/>
      <c r="H35" s="2427"/>
      <c r="I35" s="3715"/>
      <c r="J35" s="2427"/>
      <c r="K35" s="3715"/>
      <c r="L35" s="2427"/>
      <c r="M35" s="3715"/>
      <c r="N35" s="2427"/>
      <c r="O35" s="3714"/>
      <c r="P35" s="2427"/>
      <c r="Q35" s="3714"/>
      <c r="R35" s="2427"/>
      <c r="S35" s="3714"/>
    </row>
    <row r="36" spans="1:19">
      <c r="A36" s="3713"/>
      <c r="B36" s="3710"/>
      <c r="C36" s="3710"/>
      <c r="D36" s="3436"/>
      <c r="E36" s="3436"/>
      <c r="F36" s="3436"/>
      <c r="G36" s="3604"/>
      <c r="H36" s="2427"/>
      <c r="I36" s="3715"/>
      <c r="J36" s="2427"/>
      <c r="K36" s="3714"/>
      <c r="L36" s="2427"/>
      <c r="M36" s="3715"/>
      <c r="N36" s="2427"/>
      <c r="O36" s="3714"/>
      <c r="P36" s="2427"/>
      <c r="Q36" s="3714"/>
      <c r="R36" s="2427"/>
      <c r="S36" s="3714"/>
    </row>
    <row r="37" spans="1:19">
      <c r="A37" s="3713"/>
      <c r="B37" s="3710"/>
      <c r="C37" s="3710"/>
      <c r="D37" s="3436"/>
      <c r="E37" s="3436"/>
      <c r="F37" s="3436"/>
      <c r="G37" s="3604"/>
      <c r="H37" s="2427"/>
      <c r="I37" s="3715"/>
      <c r="J37" s="2427"/>
      <c r="K37" s="3714"/>
      <c r="L37" s="2427"/>
      <c r="M37" s="3715"/>
      <c r="N37" s="2427"/>
      <c r="O37" s="3714"/>
      <c r="P37" s="2427"/>
      <c r="Q37" s="3714"/>
      <c r="R37" s="2427"/>
      <c r="S37" s="3714"/>
    </row>
    <row r="38" spans="1:19">
      <c r="A38" s="3713"/>
      <c r="B38" s="3726"/>
      <c r="C38" s="3710"/>
      <c r="D38" s="3436"/>
      <c r="E38" s="3436"/>
      <c r="F38" s="3436"/>
      <c r="G38" s="3604"/>
      <c r="H38" s="2427"/>
      <c r="I38" s="3715"/>
      <c r="J38" s="2427"/>
      <c r="K38" s="3714"/>
      <c r="L38" s="2427"/>
      <c r="M38" s="3715"/>
      <c r="N38" s="2427"/>
      <c r="O38" s="3714"/>
      <c r="P38" s="2427"/>
      <c r="Q38" s="3714"/>
      <c r="R38" s="2427"/>
      <c r="S38" s="3714"/>
    </row>
    <row r="39" spans="1:19">
      <c r="A39" s="3713"/>
      <c r="B39" s="3726"/>
      <c r="C39" s="3710"/>
      <c r="D39" s="3436"/>
      <c r="E39" s="3436"/>
      <c r="F39" s="3436"/>
      <c r="G39" s="3604"/>
      <c r="H39" s="2427"/>
      <c r="I39" s="3715"/>
      <c r="J39" s="2427"/>
      <c r="K39" s="3714"/>
      <c r="L39" s="2427"/>
      <c r="M39" s="3715"/>
      <c r="N39" s="2427"/>
      <c r="O39" s="3714"/>
      <c r="P39" s="2427"/>
      <c r="Q39" s="3714"/>
      <c r="R39" s="2427"/>
      <c r="S39" s="3714"/>
    </row>
    <row r="40" spans="1:19">
      <c r="A40" s="3713"/>
      <c r="B40" s="3726"/>
      <c r="C40" s="3710"/>
      <c r="D40" s="3436"/>
      <c r="E40" s="3436"/>
      <c r="F40" s="3436"/>
      <c r="G40" s="3604"/>
      <c r="H40" s="2427"/>
      <c r="I40" s="3715"/>
      <c r="J40" s="2427"/>
      <c r="K40" s="3714"/>
      <c r="L40" s="2427"/>
      <c r="M40" s="3715"/>
      <c r="N40" s="2427"/>
      <c r="O40" s="3714"/>
      <c r="P40" s="2427"/>
      <c r="Q40" s="3714"/>
      <c r="R40" s="2427"/>
      <c r="S40" s="3714"/>
    </row>
    <row r="41" spans="1:19">
      <c r="A41" s="3713"/>
      <c r="B41" s="3726"/>
      <c r="C41" s="3710"/>
      <c r="D41" s="3436"/>
      <c r="E41" s="3436"/>
      <c r="F41" s="3436"/>
      <c r="G41" s="3604"/>
      <c r="H41" s="2427"/>
      <c r="I41" s="3715"/>
      <c r="J41" s="2427"/>
      <c r="K41" s="3715"/>
      <c r="L41" s="2427"/>
      <c r="M41" s="3715"/>
      <c r="N41" s="2427"/>
      <c r="O41" s="3714"/>
      <c r="P41" s="2427"/>
      <c r="Q41" s="3714"/>
      <c r="R41" s="2427"/>
      <c r="S41" s="3714"/>
    </row>
    <row r="42" spans="1:19" ht="15.75">
      <c r="A42" s="3713"/>
      <c r="B42" s="3727"/>
      <c r="C42" s="3710"/>
      <c r="D42" s="3436"/>
      <c r="E42" s="3436"/>
      <c r="F42" s="3436"/>
      <c r="G42" s="3604"/>
      <c r="H42" s="2427"/>
      <c r="I42" s="3715"/>
      <c r="J42" s="2427"/>
      <c r="K42" s="3715"/>
      <c r="L42" s="2427"/>
      <c r="M42" s="3715"/>
      <c r="N42" s="2427"/>
      <c r="O42" s="3714"/>
      <c r="P42" s="2427"/>
      <c r="Q42" s="3714"/>
      <c r="R42" s="2427"/>
      <c r="S42" s="3714"/>
    </row>
    <row r="43" spans="1:19">
      <c r="A43" s="3488"/>
      <c r="B43" s="251"/>
      <c r="C43" s="3710"/>
      <c r="D43" s="253"/>
      <c r="E43" s="253"/>
      <c r="F43" s="253"/>
      <c r="G43" s="308"/>
      <c r="H43" s="2427"/>
      <c r="I43" s="3715"/>
      <c r="J43" s="2427"/>
      <c r="K43" s="3714"/>
      <c r="L43" s="2427"/>
      <c r="M43" s="3714"/>
      <c r="N43" s="2427"/>
      <c r="O43" s="3714"/>
      <c r="P43" s="2427"/>
      <c r="Q43" s="3714"/>
      <c r="R43" s="2427"/>
      <c r="S43" s="3714"/>
    </row>
    <row r="44" spans="1:19">
      <c r="A44" s="3488"/>
      <c r="B44" s="251"/>
      <c r="C44" s="252"/>
      <c r="D44" s="253"/>
      <c r="E44" s="253"/>
      <c r="F44" s="253"/>
      <c r="G44" s="308"/>
      <c r="H44" s="2427"/>
      <c r="I44" s="3714"/>
      <c r="J44" s="2427"/>
      <c r="K44" s="3714"/>
      <c r="L44" s="2427"/>
      <c r="M44" s="3714"/>
      <c r="N44" s="2427"/>
      <c r="O44" s="3714"/>
      <c r="P44" s="2427"/>
      <c r="Q44" s="3714"/>
      <c r="R44" s="2427"/>
      <c r="S44" s="3714"/>
    </row>
    <row r="45" spans="1:19">
      <c r="A45" s="3488"/>
      <c r="B45" s="251"/>
      <c r="C45" s="252"/>
      <c r="D45" s="253"/>
      <c r="E45" s="253"/>
      <c r="F45" s="253"/>
      <c r="G45" s="308"/>
      <c r="H45" s="2427"/>
      <c r="I45" s="3714"/>
      <c r="J45" s="2427"/>
      <c r="K45" s="3714"/>
      <c r="L45" s="2427"/>
      <c r="M45" s="3714"/>
      <c r="N45" s="2427"/>
      <c r="O45" s="3714"/>
      <c r="P45" s="2427"/>
      <c r="Q45" s="3714"/>
      <c r="R45" s="2427"/>
      <c r="S45" s="3714"/>
    </row>
    <row r="46" spans="1:19">
      <c r="A46" s="3488"/>
      <c r="B46" s="251"/>
      <c r="C46" s="252"/>
      <c r="D46" s="253"/>
      <c r="E46" s="253"/>
      <c r="F46" s="253"/>
      <c r="G46" s="308"/>
      <c r="H46" s="2427"/>
      <c r="I46" s="3714"/>
      <c r="J46" s="2427"/>
      <c r="K46" s="3714"/>
      <c r="L46" s="2427"/>
      <c r="M46" s="3714"/>
      <c r="N46" s="2427"/>
      <c r="O46" s="3714"/>
      <c r="P46" s="2427"/>
      <c r="Q46" s="3714"/>
      <c r="R46" s="2427"/>
      <c r="S46" s="3714"/>
    </row>
    <row r="47" spans="1:19">
      <c r="A47" s="3488"/>
      <c r="B47" s="251"/>
      <c r="C47" s="252"/>
      <c r="D47" s="253"/>
      <c r="E47" s="253"/>
      <c r="F47" s="253"/>
      <c r="G47" s="308"/>
      <c r="H47" s="2427"/>
      <c r="I47" s="3714"/>
      <c r="J47" s="2427"/>
      <c r="K47" s="3714"/>
      <c r="L47" s="2427"/>
      <c r="M47" s="3714"/>
      <c r="N47" s="2427"/>
      <c r="O47" s="3714"/>
      <c r="P47" s="2427"/>
      <c r="Q47" s="3714"/>
      <c r="R47" s="2427"/>
      <c r="S47" s="3714"/>
    </row>
    <row r="48" spans="1:19">
      <c r="A48" s="3488"/>
      <c r="B48" s="251"/>
      <c r="C48" s="252"/>
      <c r="D48" s="253"/>
      <c r="E48" s="253"/>
      <c r="F48" s="253"/>
      <c r="G48" s="308"/>
      <c r="H48" s="2427"/>
      <c r="I48" s="3714"/>
      <c r="J48" s="2427"/>
      <c r="K48" s="3714"/>
      <c r="L48" s="2427"/>
      <c r="M48" s="3714"/>
      <c r="N48" s="2427"/>
      <c r="O48" s="3714"/>
      <c r="P48" s="2427"/>
      <c r="Q48" s="3714"/>
      <c r="R48" s="2427"/>
      <c r="S48" s="3714"/>
    </row>
    <row r="49" spans="1:19">
      <c r="A49" s="3488"/>
      <c r="B49" s="251"/>
      <c r="C49" s="252"/>
      <c r="D49" s="253"/>
      <c r="E49" s="253"/>
      <c r="F49" s="253"/>
      <c r="G49" s="308"/>
      <c r="H49" s="2427"/>
      <c r="I49" s="3714"/>
      <c r="J49" s="2427"/>
      <c r="K49" s="3714"/>
      <c r="L49" s="2427"/>
      <c r="M49" s="3714"/>
      <c r="N49" s="2427"/>
      <c r="O49" s="3714"/>
      <c r="P49" s="2427"/>
      <c r="Q49" s="3714"/>
      <c r="R49" s="2427"/>
      <c r="S49" s="3714"/>
    </row>
    <row r="50" spans="1:19">
      <c r="A50" s="3488"/>
      <c r="B50" s="251"/>
      <c r="C50" s="252"/>
      <c r="D50" s="253"/>
      <c r="E50" s="253"/>
      <c r="F50" s="253"/>
      <c r="G50" s="308"/>
      <c r="H50" s="2427"/>
      <c r="I50" s="3714"/>
      <c r="J50" s="2427"/>
      <c r="K50" s="3714"/>
      <c r="L50" s="2427"/>
      <c r="M50" s="3714"/>
      <c r="N50" s="2427"/>
      <c r="O50" s="3714"/>
      <c r="P50" s="2427"/>
      <c r="Q50" s="3714"/>
      <c r="R50" s="2427"/>
      <c r="S50" s="3714"/>
    </row>
    <row r="51" spans="1:19" ht="15.75" thickBot="1">
      <c r="A51" s="3488"/>
      <c r="B51" s="3728"/>
      <c r="C51" s="3435"/>
      <c r="D51" s="3436"/>
      <c r="E51" s="3436"/>
      <c r="F51" s="3436"/>
      <c r="G51" s="3604"/>
      <c r="H51" s="2427"/>
      <c r="I51" s="3714"/>
      <c r="J51" s="2427"/>
      <c r="K51" s="3714"/>
      <c r="L51" s="2427"/>
      <c r="M51" s="3714"/>
      <c r="N51" s="2427"/>
      <c r="O51" s="3714"/>
      <c r="P51" s="2427"/>
      <c r="Q51" s="3714"/>
      <c r="R51" s="2427"/>
      <c r="S51" s="3714"/>
    </row>
    <row r="52" spans="1:19" ht="15.75" thickTop="1">
      <c r="A52" s="76"/>
      <c r="B52" s="77"/>
      <c r="C52" s="78"/>
      <c r="D52" s="78"/>
      <c r="E52" s="79"/>
      <c r="F52" s="80" t="s">
        <v>567</v>
      </c>
      <c r="G52" s="90"/>
      <c r="H52" s="83"/>
      <c r="I52" s="82">
        <f>SUM(I34:I51)</f>
        <v>0</v>
      </c>
      <c r="J52" s="81"/>
      <c r="K52" s="82">
        <f>SUM(K34:K51)</f>
        <v>0</v>
      </c>
      <c r="L52" s="81"/>
      <c r="M52" s="82">
        <f>SUM(M34:M51)</f>
        <v>0</v>
      </c>
      <c r="N52" s="81"/>
      <c r="O52" s="82">
        <f>SUM(O34:O51)</f>
        <v>0</v>
      </c>
      <c r="P52" s="81"/>
      <c r="Q52" s="82">
        <f>SUM(Q34:Q51)</f>
        <v>0</v>
      </c>
      <c r="R52" s="81"/>
      <c r="S52" s="82">
        <f>SUM(S34:S51)</f>
        <v>0</v>
      </c>
    </row>
    <row r="53" spans="1:19">
      <c r="A53" s="3673"/>
      <c r="B53" s="3674"/>
      <c r="C53" s="3675"/>
      <c r="D53" s="3675"/>
      <c r="E53" s="3676"/>
      <c r="F53" s="3677" t="s">
        <v>568</v>
      </c>
      <c r="G53" s="3678"/>
      <c r="H53" s="3679">
        <v>0</v>
      </c>
      <c r="I53" s="3680"/>
      <c r="J53" s="3681">
        <v>0</v>
      </c>
      <c r="K53" s="3680"/>
      <c r="L53" s="3681">
        <v>0</v>
      </c>
      <c r="M53" s="3680"/>
      <c r="N53" s="3681">
        <v>0</v>
      </c>
      <c r="O53" s="3680"/>
      <c r="P53" s="3681">
        <v>0</v>
      </c>
      <c r="Q53" s="3680"/>
      <c r="R53" s="3681">
        <v>0</v>
      </c>
      <c r="S53" s="3680"/>
    </row>
    <row r="54" spans="1:19">
      <c r="A54" s="3673"/>
      <c r="B54" s="3674"/>
      <c r="C54" s="3675"/>
      <c r="D54" s="3675"/>
      <c r="E54" s="3676"/>
      <c r="F54" s="3677" t="s">
        <v>569</v>
      </c>
      <c r="G54" s="3678"/>
      <c r="H54" s="3682"/>
      <c r="I54" s="3683">
        <f>I52*H53</f>
        <v>0</v>
      </c>
      <c r="J54" s="3684"/>
      <c r="K54" s="3683">
        <f>K52*J53</f>
        <v>0</v>
      </c>
      <c r="L54" s="3684"/>
      <c r="M54" s="3683">
        <f>M52*L53</f>
        <v>0</v>
      </c>
      <c r="N54" s="3684"/>
      <c r="O54" s="3683">
        <f>O52*N53</f>
        <v>0</v>
      </c>
      <c r="P54" s="3684"/>
      <c r="Q54" s="3683">
        <f>Q52*P53</f>
        <v>0</v>
      </c>
      <c r="R54" s="3684"/>
      <c r="S54" s="3683">
        <f>S52*R53</f>
        <v>0</v>
      </c>
    </row>
    <row r="55" spans="1:19">
      <c r="A55" s="3673"/>
      <c r="B55" s="3674"/>
      <c r="C55" s="3675"/>
      <c r="D55" s="3675"/>
      <c r="E55" s="3676"/>
      <c r="F55" s="3677"/>
      <c r="G55" s="3678"/>
      <c r="H55" s="3682"/>
      <c r="I55" s="3685"/>
      <c r="J55" s="3684"/>
      <c r="K55" s="3685"/>
      <c r="L55" s="3684"/>
      <c r="M55" s="3685"/>
      <c r="N55" s="3684"/>
      <c r="O55" s="3685"/>
      <c r="P55" s="3684"/>
      <c r="Q55" s="3685"/>
      <c r="R55" s="3684"/>
      <c r="S55" s="3685"/>
    </row>
    <row r="56" spans="1:19">
      <c r="A56" s="3673"/>
      <c r="B56" s="3674"/>
      <c r="C56" s="3675"/>
      <c r="D56" s="3675"/>
      <c r="E56" s="3676"/>
      <c r="F56" s="3677" t="s">
        <v>570</v>
      </c>
      <c r="G56" s="3678"/>
      <c r="H56" s="3686"/>
      <c r="I56" s="3687">
        <f>SUM(I52:I54)</f>
        <v>0</v>
      </c>
      <c r="J56" s="3688"/>
      <c r="K56" s="3687">
        <f>SUM(K52:K54)</f>
        <v>0</v>
      </c>
      <c r="L56" s="3688"/>
      <c r="M56" s="3687">
        <f>SUM(M52:M54)</f>
        <v>0</v>
      </c>
      <c r="N56" s="3688"/>
      <c r="O56" s="3687">
        <f>SUM(O52:O54)</f>
        <v>0</v>
      </c>
      <c r="P56" s="3688"/>
      <c r="Q56" s="3687">
        <f>SUM(Q52:Q54)</f>
        <v>0</v>
      </c>
      <c r="R56" s="3688"/>
      <c r="S56" s="3687">
        <f>SUM(S52:S54)</f>
        <v>0</v>
      </c>
    </row>
    <row r="57" spans="1:19">
      <c r="A57" s="3673"/>
      <c r="B57" s="3674"/>
      <c r="C57" s="3675"/>
      <c r="D57" s="3675"/>
      <c r="E57" s="3676"/>
      <c r="F57" s="3677" t="s">
        <v>571</v>
      </c>
      <c r="G57" s="3689"/>
      <c r="H57" s="3690"/>
      <c r="I57" s="2373" t="e">
        <f>I56/'Area Calculations'!$J$4</f>
        <v>#DIV/0!</v>
      </c>
      <c r="J57" s="3691"/>
      <c r="K57" s="2373" t="e">
        <f>K56/'Area Calculations'!$J$4</f>
        <v>#DIV/0!</v>
      </c>
      <c r="L57" s="3691"/>
      <c r="M57" s="2373" t="e">
        <f>M56/'Area Calculations'!$J$4</f>
        <v>#DIV/0!</v>
      </c>
      <c r="N57" s="3691"/>
      <c r="O57" s="2373" t="e">
        <f>O56/'Area Calculations'!$J$4</f>
        <v>#DIV/0!</v>
      </c>
      <c r="P57" s="3691"/>
      <c r="Q57" s="2373" t="e">
        <f>Q56/'Area Calculations'!$J$4</f>
        <v>#DIV/0!</v>
      </c>
      <c r="R57" s="3691"/>
      <c r="S57" s="2373" t="e">
        <f>S56/'Area Calculations'!$J$4</f>
        <v>#DIV/0!</v>
      </c>
    </row>
    <row r="58" spans="1:19">
      <c r="A58" s="3673"/>
      <c r="B58" s="3674"/>
      <c r="C58" s="3675"/>
      <c r="D58" s="3675"/>
      <c r="E58" s="3676"/>
      <c r="F58" s="3677" t="s">
        <v>572</v>
      </c>
      <c r="G58" s="3678"/>
      <c r="H58" s="3690"/>
      <c r="I58" s="2373" t="e">
        <f>I56/'Area Calculations'!#REF!</f>
        <v>#REF!</v>
      </c>
      <c r="J58" s="3691"/>
      <c r="K58" s="2373" t="e">
        <f>K56/'Area Calculations'!#REF!</f>
        <v>#REF!</v>
      </c>
      <c r="L58" s="3691"/>
      <c r="M58" s="2373" t="e">
        <f>M56/'Area Calculations'!#REF!</f>
        <v>#REF!</v>
      </c>
      <c r="N58" s="3691"/>
      <c r="O58" s="2373" t="e">
        <f>O56/'Area Calculations'!#REF!</f>
        <v>#REF!</v>
      </c>
      <c r="P58" s="3691"/>
      <c r="Q58" s="2373" t="e">
        <f>Q56/'Area Calculations'!#REF!</f>
        <v>#REF!</v>
      </c>
      <c r="R58" s="3691"/>
      <c r="S58" s="2373" t="e">
        <f>S56/'Area Calculations'!#REF!</f>
        <v>#REF!</v>
      </c>
    </row>
    <row r="59" spans="1:19" ht="15.75" thickBot="1">
      <c r="A59" s="3673"/>
      <c r="B59" s="3674"/>
      <c r="C59" s="3675"/>
      <c r="D59" s="3675"/>
      <c r="E59" s="3676"/>
      <c r="F59" s="3677"/>
      <c r="G59" s="3678"/>
      <c r="H59" s="3692"/>
      <c r="I59" s="3692"/>
      <c r="J59" s="3729"/>
      <c r="K59" s="3692"/>
      <c r="L59" s="3729"/>
      <c r="M59" s="3692"/>
      <c r="N59" s="3729"/>
      <c r="O59" s="3692"/>
      <c r="P59" s="3729"/>
      <c r="Q59" s="3692"/>
      <c r="R59" s="3729"/>
      <c r="S59" s="3692"/>
    </row>
    <row r="60" spans="1:19" ht="16.5" thickTop="1" thickBot="1">
      <c r="A60" s="726" t="s">
        <v>573</v>
      </c>
      <c r="B60" s="727"/>
      <c r="C60" s="12"/>
      <c r="D60" s="12"/>
      <c r="E60" s="12"/>
      <c r="F60" s="12"/>
      <c r="G60" s="13"/>
      <c r="H60" s="21"/>
      <c r="I60" s="21"/>
      <c r="J60" s="21"/>
      <c r="K60" s="21"/>
      <c r="L60" s="21"/>
      <c r="M60" s="21"/>
      <c r="N60" s="21"/>
      <c r="O60" s="21"/>
      <c r="P60" s="21"/>
      <c r="Q60" s="21"/>
      <c r="R60" s="21"/>
      <c r="S60" s="21"/>
    </row>
    <row r="61" spans="1:19" ht="15.75" thickTop="1">
      <c r="A61" s="3693"/>
      <c r="B61" s="2404"/>
      <c r="C61" s="3694"/>
      <c r="D61" s="3694"/>
      <c r="E61" s="3694"/>
      <c r="F61" s="3694"/>
      <c r="G61" s="3695"/>
      <c r="H61" s="3696"/>
      <c r="I61" s="3696"/>
      <c r="J61" s="3696"/>
      <c r="K61" s="3696"/>
      <c r="L61" s="3696"/>
      <c r="M61" s="3696"/>
      <c r="N61" s="3696"/>
      <c r="O61" s="3696"/>
      <c r="P61" s="3696"/>
      <c r="Q61" s="3696"/>
      <c r="R61" s="3696"/>
      <c r="S61" s="3696"/>
    </row>
    <row r="62" spans="1:19">
      <c r="A62" s="3693"/>
      <c r="B62" s="2404"/>
      <c r="C62" s="3694"/>
      <c r="D62" s="3694"/>
      <c r="E62" s="3694"/>
      <c r="F62" s="3694"/>
      <c r="G62" s="3695"/>
      <c r="H62" s="3696"/>
      <c r="I62" s="3696"/>
      <c r="J62" s="3696"/>
      <c r="K62" s="3696"/>
      <c r="L62" s="3696"/>
      <c r="M62" s="3696"/>
      <c r="N62" s="3696"/>
      <c r="O62" s="3696"/>
      <c r="P62" s="3696"/>
      <c r="Q62" s="3696"/>
      <c r="R62" s="3696"/>
      <c r="S62" s="3696"/>
    </row>
    <row r="63" spans="1:19" ht="15.75" thickBot="1">
      <c r="A63" s="3693"/>
      <c r="B63" s="2404"/>
      <c r="C63" s="3694"/>
      <c r="D63" s="3694"/>
      <c r="E63" s="3694"/>
      <c r="F63" s="3694"/>
      <c r="G63" s="3695"/>
      <c r="H63" s="3696"/>
      <c r="I63" s="3696"/>
      <c r="J63" s="3696"/>
      <c r="K63" s="3696"/>
      <c r="L63" s="3696"/>
      <c r="M63" s="3696"/>
      <c r="N63" s="3696"/>
      <c r="O63" s="3696"/>
      <c r="P63" s="3696"/>
      <c r="Q63" s="3696"/>
      <c r="R63" s="3696"/>
      <c r="S63" s="3696"/>
    </row>
    <row r="64" spans="1:19" s="67" customFormat="1" ht="16.5" thickTop="1" thickBot="1">
      <c r="A64" s="726" t="s">
        <v>574</v>
      </c>
      <c r="B64" s="727"/>
      <c r="C64" s="12"/>
      <c r="D64" s="12"/>
      <c r="E64" s="12"/>
      <c r="F64" s="12"/>
      <c r="G64" s="13"/>
      <c r="H64" s="21"/>
      <c r="I64" s="21"/>
      <c r="J64" s="21"/>
      <c r="K64" s="21"/>
      <c r="L64" s="21"/>
      <c r="M64" s="21"/>
      <c r="N64" s="21"/>
      <c r="O64" s="21"/>
      <c r="P64" s="21"/>
      <c r="Q64" s="21"/>
      <c r="R64" s="21"/>
      <c r="S64" s="21"/>
    </row>
    <row r="65" spans="1:19" s="67" customFormat="1" ht="15.75" thickTop="1">
      <c r="A65" s="3693"/>
      <c r="B65" s="2404"/>
      <c r="C65" s="3694"/>
      <c r="D65" s="3694"/>
      <c r="E65" s="3694"/>
      <c r="F65" s="3694"/>
      <c r="G65" s="3695"/>
      <c r="H65" s="3696"/>
      <c r="I65" s="3696"/>
      <c r="J65" s="3696"/>
      <c r="K65" s="3696"/>
      <c r="L65" s="3696"/>
      <c r="M65" s="3696"/>
      <c r="N65" s="3696"/>
      <c r="O65" s="3696"/>
      <c r="P65" s="3696"/>
      <c r="Q65" s="3696"/>
      <c r="R65" s="3696"/>
      <c r="S65" s="3696"/>
    </row>
    <row r="66" spans="1:19" s="67" customFormat="1">
      <c r="A66" s="3693"/>
      <c r="B66" s="2404"/>
      <c r="C66" s="3694"/>
      <c r="D66" s="3694"/>
      <c r="E66" s="3694"/>
      <c r="F66" s="3694"/>
      <c r="G66" s="3695"/>
      <c r="H66" s="3696"/>
      <c r="I66" s="3696"/>
      <c r="J66" s="3696"/>
      <c r="K66" s="3696"/>
      <c r="L66" s="3696"/>
      <c r="M66" s="3696"/>
      <c r="N66" s="3696"/>
      <c r="O66" s="3696"/>
      <c r="P66" s="3696"/>
      <c r="Q66" s="3696"/>
      <c r="R66" s="3696"/>
      <c r="S66" s="3696"/>
    </row>
    <row r="67" spans="1:19" ht="15.75" thickBot="1">
      <c r="A67" s="3693"/>
      <c r="B67" s="2404"/>
      <c r="C67" s="3694"/>
      <c r="D67" s="3694"/>
      <c r="E67" s="3694"/>
      <c r="F67" s="3694"/>
      <c r="G67" s="3695"/>
      <c r="H67" s="3696"/>
      <c r="I67" s="3696"/>
      <c r="J67" s="3696"/>
      <c r="K67" s="3696"/>
      <c r="L67" s="3696"/>
      <c r="M67" s="3696"/>
      <c r="N67" s="3696"/>
      <c r="O67" s="3696"/>
      <c r="P67" s="3696"/>
      <c r="Q67" s="3696"/>
      <c r="R67" s="3696"/>
      <c r="S67" s="3696"/>
    </row>
    <row r="68" spans="1:19" s="67" customFormat="1" ht="16.5" thickTop="1" thickBot="1">
      <c r="A68" s="726" t="s">
        <v>575</v>
      </c>
      <c r="B68" s="727"/>
      <c r="C68" s="12"/>
      <c r="D68" s="12"/>
      <c r="E68" s="12"/>
      <c r="F68" s="12"/>
      <c r="G68" s="13"/>
      <c r="H68" s="21"/>
      <c r="I68" s="21"/>
      <c r="J68" s="21"/>
      <c r="K68" s="21"/>
      <c r="L68" s="21"/>
      <c r="M68" s="21"/>
      <c r="N68" s="21"/>
      <c r="O68" s="21"/>
      <c r="P68" s="21"/>
      <c r="Q68" s="21"/>
      <c r="R68" s="21"/>
      <c r="S68" s="21"/>
    </row>
    <row r="69" spans="1:19" s="67" customFormat="1" ht="15.75" thickTop="1">
      <c r="A69" s="3693"/>
      <c r="B69" s="2404"/>
      <c r="C69" s="3694"/>
      <c r="D69" s="3694"/>
      <c r="E69" s="3694"/>
      <c r="F69" s="3694"/>
      <c r="G69" s="3695"/>
      <c r="H69" s="3696"/>
      <c r="I69" s="3696"/>
      <c r="J69" s="3696"/>
      <c r="K69" s="3696"/>
      <c r="L69" s="3696"/>
      <c r="M69" s="3696"/>
      <c r="N69" s="3696"/>
      <c r="O69" s="3696"/>
      <c r="P69" s="3696"/>
      <c r="Q69" s="3696"/>
      <c r="R69" s="3696"/>
      <c r="S69" s="3696"/>
    </row>
    <row r="70" spans="1:19" s="67" customFormat="1">
      <c r="A70" s="2421"/>
      <c r="B70" s="2404"/>
      <c r="C70" s="2405"/>
      <c r="D70" s="2405"/>
      <c r="E70" s="2405"/>
      <c r="F70" s="2405"/>
      <c r="G70" s="2423"/>
      <c r="H70" s="2382"/>
      <c r="I70" s="2382"/>
      <c r="J70" s="2382"/>
      <c r="K70" s="2382"/>
      <c r="L70" s="2382"/>
      <c r="M70" s="2382"/>
      <c r="N70" s="2382"/>
      <c r="O70" s="2382"/>
      <c r="P70" s="2382"/>
      <c r="Q70" s="2382"/>
      <c r="R70" s="2382"/>
      <c r="S70" s="2382"/>
    </row>
    <row r="71" spans="1:19" s="67" customFormat="1" ht="15.75" thickBot="1">
      <c r="A71" s="2383"/>
      <c r="B71" s="2384"/>
      <c r="C71" s="2405"/>
      <c r="D71" s="2405"/>
      <c r="E71" s="2405"/>
      <c r="F71" s="2405"/>
      <c r="G71" s="2423"/>
      <c r="H71" s="2385"/>
      <c r="I71" s="2385"/>
      <c r="J71" s="2385"/>
      <c r="K71" s="2385"/>
      <c r="L71" s="2385"/>
      <c r="M71" s="2385"/>
      <c r="N71" s="2385"/>
      <c r="O71" s="2385"/>
      <c r="P71" s="2385"/>
      <c r="Q71" s="2385"/>
      <c r="R71" s="2385"/>
      <c r="S71" s="2385"/>
    </row>
    <row r="72" spans="1:19" s="67" customFormat="1" ht="16.5" thickTop="1" thickBot="1">
      <c r="A72" s="726" t="s">
        <v>576</v>
      </c>
      <c r="B72" s="727"/>
      <c r="C72" s="12"/>
      <c r="D72" s="12"/>
      <c r="E72" s="12"/>
      <c r="F72" s="12"/>
      <c r="G72" s="13"/>
      <c r="H72" s="21"/>
      <c r="I72" s="21"/>
      <c r="J72" s="21"/>
      <c r="K72" s="21"/>
      <c r="L72" s="21"/>
      <c r="M72" s="21"/>
      <c r="N72" s="21"/>
      <c r="O72" s="21"/>
      <c r="P72" s="21"/>
      <c r="Q72" s="21"/>
      <c r="R72" s="21"/>
      <c r="S72" s="21"/>
    </row>
    <row r="73" spans="1:19" ht="15.75" thickTop="1">
      <c r="A73" s="3697"/>
      <c r="B73" s="3698"/>
      <c r="C73" s="3694"/>
      <c r="D73" s="3694"/>
      <c r="E73" s="3694"/>
      <c r="F73" s="3694"/>
      <c r="G73" s="3695"/>
      <c r="H73" s="3696"/>
      <c r="I73" s="3696"/>
      <c r="J73" s="3696"/>
      <c r="K73" s="3696"/>
      <c r="L73" s="3696"/>
      <c r="M73" s="3696"/>
      <c r="N73" s="3696"/>
      <c r="O73" s="3696"/>
      <c r="P73" s="3696"/>
      <c r="Q73" s="3696"/>
      <c r="R73" s="3696"/>
      <c r="S73" s="3696"/>
    </row>
    <row r="74" spans="1:19">
      <c r="A74" s="2383"/>
      <c r="B74" s="2384"/>
      <c r="C74" s="2405"/>
      <c r="D74" s="2405"/>
      <c r="E74" s="2405"/>
      <c r="F74" s="2405"/>
      <c r="G74" s="2423"/>
      <c r="H74" s="2388"/>
      <c r="I74" s="2388"/>
      <c r="J74" s="2388"/>
      <c r="K74" s="2388"/>
      <c r="L74" s="2388"/>
      <c r="M74" s="2388"/>
      <c r="N74" s="2388"/>
      <c r="O74" s="2388"/>
      <c r="P74" s="2388"/>
      <c r="Q74" s="2388"/>
      <c r="R74" s="2388"/>
      <c r="S74" s="2388"/>
    </row>
    <row r="75" spans="1:19" ht="15.75" thickBot="1">
      <c r="A75" s="2383"/>
      <c r="B75" s="2384"/>
      <c r="C75" s="2405"/>
      <c r="D75" s="2405"/>
      <c r="E75" s="2405"/>
      <c r="F75" s="2405"/>
      <c r="G75" s="2423"/>
      <c r="H75" s="2388"/>
      <c r="I75" s="2388"/>
      <c r="J75" s="2388"/>
      <c r="K75" s="2388"/>
      <c r="L75" s="2388"/>
      <c r="M75" s="2388"/>
      <c r="N75" s="2388"/>
      <c r="O75" s="2388"/>
      <c r="P75" s="2388"/>
      <c r="Q75" s="2388"/>
      <c r="R75" s="2388"/>
      <c r="S75" s="2388"/>
    </row>
    <row r="76" spans="1:19" ht="16.5" thickTop="1" thickBot="1">
      <c r="A76" s="726" t="s">
        <v>577</v>
      </c>
      <c r="B76" s="727"/>
      <c r="C76" s="12"/>
      <c r="D76" s="12"/>
      <c r="E76" s="12"/>
      <c r="F76" s="12"/>
      <c r="G76" s="13"/>
      <c r="H76" s="21"/>
      <c r="I76" s="21"/>
      <c r="J76" s="21"/>
      <c r="K76" s="21"/>
      <c r="L76" s="21"/>
      <c r="M76" s="21"/>
      <c r="N76" s="21"/>
      <c r="O76" s="21"/>
      <c r="P76" s="21"/>
      <c r="Q76" s="21"/>
      <c r="R76" s="21"/>
      <c r="S76" s="21"/>
    </row>
    <row r="77" spans="1:19" ht="15.75" thickTop="1">
      <c r="A77" s="2421"/>
      <c r="B77" s="2404" t="s">
        <v>578</v>
      </c>
      <c r="C77" s="2405"/>
      <c r="D77" s="2405"/>
      <c r="E77" s="2405"/>
      <c r="F77" s="2405"/>
      <c r="G77" s="2423"/>
      <c r="H77" s="2388"/>
      <c r="I77" s="2388"/>
      <c r="J77" s="2388"/>
      <c r="K77" s="2388"/>
      <c r="L77" s="2388"/>
      <c r="M77" s="2388"/>
      <c r="N77" s="2388"/>
      <c r="O77" s="2388"/>
      <c r="P77" s="2388"/>
      <c r="Q77" s="2388"/>
      <c r="R77" s="2388"/>
      <c r="S77" s="2388"/>
    </row>
    <row r="78" spans="1:19">
      <c r="A78" s="2421"/>
      <c r="B78" s="2404" t="s">
        <v>579</v>
      </c>
      <c r="C78" s="2405"/>
      <c r="D78" s="2405"/>
      <c r="E78" s="2405"/>
      <c r="F78" s="2405"/>
      <c r="G78" s="2423"/>
      <c r="H78" s="2388"/>
      <c r="I78" s="2388"/>
      <c r="J78" s="2388"/>
      <c r="K78" s="2388"/>
      <c r="L78" s="2388"/>
      <c r="M78" s="2388"/>
      <c r="N78" s="2388"/>
      <c r="O78" s="2388"/>
      <c r="P78" s="2388"/>
      <c r="Q78" s="2388"/>
      <c r="R78" s="2388"/>
      <c r="S78" s="2388"/>
    </row>
    <row r="79" spans="1:19">
      <c r="A79" s="2421"/>
      <c r="B79" s="2404" t="s">
        <v>580</v>
      </c>
      <c r="C79" s="2405"/>
      <c r="D79" s="2405"/>
      <c r="E79" s="2405"/>
      <c r="F79" s="2405"/>
      <c r="G79" s="2423"/>
      <c r="H79" s="2388"/>
      <c r="I79" s="2388"/>
      <c r="J79" s="2388"/>
      <c r="K79" s="2388"/>
      <c r="L79" s="2388"/>
      <c r="M79" s="2388"/>
      <c r="N79" s="2388"/>
      <c r="O79" s="2388"/>
      <c r="P79" s="2388"/>
      <c r="Q79" s="2388"/>
      <c r="R79" s="2388"/>
      <c r="S79" s="2388"/>
    </row>
    <row r="80" spans="1:19">
      <c r="A80" s="2421"/>
      <c r="B80" s="2404" t="s">
        <v>581</v>
      </c>
      <c r="C80" s="2405"/>
      <c r="D80" s="2405"/>
      <c r="E80" s="2405"/>
      <c r="F80" s="2405"/>
      <c r="G80" s="2423"/>
      <c r="H80" s="2388"/>
      <c r="I80" s="2388"/>
      <c r="J80" s="2388"/>
      <c r="K80" s="2388"/>
      <c r="L80" s="2388"/>
      <c r="M80" s="2388"/>
      <c r="N80" s="2388"/>
      <c r="O80" s="2388"/>
      <c r="P80" s="2388"/>
      <c r="Q80" s="2388"/>
      <c r="R80" s="2388"/>
      <c r="S80" s="2388"/>
    </row>
    <row r="81" spans="1:19" ht="15.75" thickBot="1">
      <c r="A81" s="416"/>
      <c r="B81" s="295"/>
      <c r="C81" s="184"/>
      <c r="D81" s="184"/>
      <c r="E81" s="184"/>
      <c r="F81" s="184"/>
      <c r="G81" s="296"/>
      <c r="H81" s="418"/>
      <c r="I81" s="418"/>
      <c r="J81" s="418"/>
      <c r="K81" s="418"/>
      <c r="L81" s="418"/>
      <c r="M81" s="418"/>
      <c r="N81" s="418"/>
      <c r="O81" s="418"/>
      <c r="P81" s="418"/>
      <c r="Q81" s="418"/>
      <c r="R81" s="418"/>
      <c r="S81" s="418"/>
    </row>
    <row r="82" spans="1:19" ht="16.5" thickTop="1" thickBot="1">
      <c r="A82" s="7" t="s">
        <v>582</v>
      </c>
      <c r="B82" s="8"/>
      <c r="C82" s="12"/>
      <c r="D82" s="12"/>
      <c r="E82" s="12"/>
      <c r="F82" s="12"/>
      <c r="G82" s="13"/>
      <c r="H82" s="21"/>
      <c r="I82" s="21"/>
      <c r="J82" s="21"/>
      <c r="K82" s="21"/>
      <c r="L82" s="21"/>
      <c r="M82" s="21"/>
      <c r="N82" s="21"/>
      <c r="O82" s="21"/>
      <c r="P82" s="21"/>
      <c r="Q82" s="21"/>
      <c r="R82" s="21"/>
      <c r="S82" s="21"/>
    </row>
    <row r="83" spans="1:19" ht="15.75" thickTop="1">
      <c r="A83" s="3693"/>
      <c r="B83" s="3699" t="s">
        <v>583</v>
      </c>
      <c r="C83" s="3694"/>
      <c r="D83" s="3694"/>
      <c r="E83" s="3694"/>
      <c r="F83" s="3694"/>
      <c r="G83" s="3695"/>
      <c r="H83" s="3700"/>
      <c r="I83" s="3700"/>
      <c r="J83" s="3700"/>
      <c r="K83" s="3700"/>
      <c r="L83" s="3700"/>
      <c r="M83" s="3700"/>
      <c r="N83" s="3700"/>
      <c r="O83" s="3700"/>
      <c r="P83" s="3700"/>
      <c r="Q83" s="3700"/>
      <c r="R83" s="3700"/>
      <c r="S83" s="3700"/>
    </row>
    <row r="84" spans="1:19">
      <c r="A84" s="2421"/>
      <c r="B84" s="2404" t="s">
        <v>584</v>
      </c>
      <c r="C84" s="2405"/>
      <c r="D84" s="2405"/>
      <c r="E84" s="2405"/>
      <c r="F84" s="2405"/>
      <c r="G84" s="2423"/>
      <c r="H84" s="2390"/>
      <c r="I84" s="2390"/>
      <c r="J84" s="2390"/>
      <c r="K84" s="2390"/>
      <c r="L84" s="2390"/>
      <c r="M84" s="2390"/>
      <c r="N84" s="2390"/>
      <c r="O84" s="2390"/>
      <c r="P84" s="2390"/>
      <c r="Q84" s="2390"/>
      <c r="R84" s="2390"/>
      <c r="S84" s="2390"/>
    </row>
    <row r="85" spans="1:19" ht="15.75" thickBot="1">
      <c r="A85" s="2391"/>
      <c r="B85" s="2392" t="s">
        <v>585</v>
      </c>
      <c r="C85" s="2393"/>
      <c r="D85" s="2393"/>
      <c r="E85" s="2393"/>
      <c r="F85" s="2393"/>
      <c r="G85" s="2394"/>
      <c r="H85" s="2395"/>
      <c r="I85" s="2395"/>
      <c r="J85" s="2395"/>
      <c r="K85" s="2395"/>
      <c r="L85" s="2395"/>
      <c r="M85" s="2395"/>
      <c r="N85" s="2395"/>
      <c r="O85" s="2395"/>
      <c r="P85" s="2395"/>
      <c r="Q85" s="2395"/>
      <c r="R85" s="2395"/>
      <c r="S85" s="2395"/>
    </row>
    <row r="86" spans="1:19" ht="16.5" thickTop="1" thickBot="1">
      <c r="A86"/>
      <c r="B86" s="1"/>
      <c r="C86" s="2"/>
      <c r="D86" s="2"/>
      <c r="E86" s="2"/>
      <c r="F86" s="2"/>
      <c r="G86" s="2"/>
      <c r="H86" s="2"/>
      <c r="I86" s="2"/>
      <c r="J86" s="2"/>
      <c r="K86" s="2"/>
      <c r="L86" s="2"/>
      <c r="M86" s="2"/>
      <c r="N86" s="2"/>
      <c r="O86" s="2"/>
      <c r="P86" s="2"/>
      <c r="Q86" s="2"/>
      <c r="R86" s="2"/>
      <c r="S86" s="2"/>
    </row>
    <row r="87" spans="1:19" ht="16.5" thickTop="1" thickBot="1">
      <c r="A87" s="92" t="s">
        <v>586</v>
      </c>
      <c r="B87" s="94"/>
      <c r="C87" s="2"/>
      <c r="D87" s="2"/>
      <c r="E87" s="2"/>
      <c r="F87" s="2"/>
      <c r="G87" s="2"/>
      <c r="H87" s="2"/>
      <c r="I87" s="2"/>
      <c r="J87" s="2"/>
      <c r="K87" s="2"/>
      <c r="L87" s="2"/>
      <c r="M87" s="2"/>
      <c r="N87" s="2"/>
      <c r="O87" s="2"/>
      <c r="P87" s="2"/>
      <c r="Q87" s="2"/>
      <c r="R87" s="2"/>
      <c r="S87" s="2"/>
    </row>
    <row r="88" spans="1:19" ht="16.5" thickTop="1" thickBot="1">
      <c r="A88" s="93" t="s">
        <v>487</v>
      </c>
      <c r="B88" s="94"/>
      <c r="C88" s="2"/>
      <c r="D88" s="2"/>
      <c r="E88" s="2"/>
      <c r="F88" s="2"/>
      <c r="G88" s="2"/>
      <c r="H88" s="2"/>
      <c r="I88" s="2"/>
      <c r="J88" s="2"/>
      <c r="K88" s="2"/>
      <c r="L88" s="2"/>
      <c r="M88" s="2"/>
      <c r="N88" s="2"/>
      <c r="O88" s="2"/>
      <c r="P88" s="2"/>
      <c r="Q88" s="2"/>
      <c r="R88" s="2"/>
      <c r="S88" s="2"/>
    </row>
    <row r="89" spans="1:19" ht="15.75" thickTop="1">
      <c r="A89" s="2397" t="s">
        <v>491</v>
      </c>
      <c r="B89" s="2396"/>
      <c r="C89" s="2"/>
      <c r="D89" s="2"/>
      <c r="E89" s="2"/>
      <c r="F89" s="2"/>
      <c r="G89" s="2"/>
      <c r="H89" s="2"/>
      <c r="I89" s="2"/>
      <c r="J89" s="2"/>
      <c r="K89" s="2"/>
      <c r="L89" s="2"/>
      <c r="M89" s="2"/>
      <c r="N89" s="2"/>
      <c r="O89" s="2"/>
      <c r="P89" s="2"/>
      <c r="Q89" s="2"/>
      <c r="R89" s="2"/>
      <c r="S89" s="2"/>
    </row>
    <row r="90" spans="1:19">
      <c r="A90" s="2398" t="s">
        <v>494</v>
      </c>
      <c r="B90" s="2399"/>
      <c r="C90" s="2"/>
      <c r="D90" s="2"/>
      <c r="E90" s="2"/>
      <c r="F90" s="2"/>
      <c r="G90" s="2"/>
      <c r="H90" s="2"/>
      <c r="I90" s="2"/>
      <c r="J90" s="2"/>
      <c r="K90" s="2"/>
      <c r="L90" s="2"/>
      <c r="M90" s="2"/>
      <c r="N90" s="2"/>
      <c r="O90" s="2"/>
      <c r="P90" s="2"/>
      <c r="Q90" s="2"/>
      <c r="R90" s="2"/>
      <c r="S90" s="2"/>
    </row>
    <row r="91" spans="1:19">
      <c r="A91" s="2398" t="s">
        <v>497</v>
      </c>
      <c r="B91" s="2400"/>
      <c r="C91" s="2"/>
      <c r="D91" s="2"/>
      <c r="E91" s="2"/>
      <c r="F91" s="2"/>
      <c r="G91" s="2"/>
      <c r="H91" s="2"/>
      <c r="I91" s="2"/>
      <c r="J91" s="2"/>
      <c r="K91" s="2"/>
      <c r="L91" s="2"/>
      <c r="M91" s="2"/>
      <c r="N91" s="2"/>
      <c r="O91" s="2"/>
      <c r="P91" s="2"/>
      <c r="Q91" s="2"/>
      <c r="R91" s="2"/>
      <c r="S91" s="2"/>
    </row>
    <row r="92" spans="1:19" ht="15.75" thickBot="1">
      <c r="A92" s="2401" t="s">
        <v>587</v>
      </c>
      <c r="B92" s="2402"/>
      <c r="C92" s="2"/>
      <c r="D92" s="2"/>
      <c r="E92" s="2"/>
      <c r="F92" s="2"/>
      <c r="G92" s="2"/>
      <c r="H92" s="2"/>
      <c r="I92" s="2"/>
      <c r="J92" s="2"/>
      <c r="K92" s="2"/>
      <c r="L92" s="2"/>
      <c r="M92" s="2"/>
      <c r="N92" s="2"/>
      <c r="O92" s="2"/>
      <c r="P92" s="2"/>
      <c r="Q92" s="2"/>
      <c r="R92" s="2"/>
      <c r="S92" s="2"/>
    </row>
    <row r="93" spans="1:19" ht="15.75" thickTop="1">
      <c r="A93"/>
      <c r="B93" s="1"/>
      <c r="C93" s="2"/>
      <c r="D93" s="2"/>
      <c r="E93" s="2"/>
      <c r="F93" s="2"/>
      <c r="G93" s="2"/>
      <c r="H93" s="2"/>
      <c r="I93" s="2"/>
      <c r="J93" s="2"/>
      <c r="K93" s="2"/>
      <c r="L93" s="2"/>
      <c r="M93" s="2"/>
      <c r="N93" s="2"/>
      <c r="O93" s="2"/>
      <c r="P93" s="2"/>
      <c r="Q93" s="2"/>
      <c r="R93" s="2"/>
      <c r="S93" s="2"/>
    </row>
    <row r="94" spans="1:19">
      <c r="A94" s="95"/>
      <c r="B94" s="1" t="s">
        <v>588</v>
      </c>
      <c r="C94" s="2"/>
      <c r="D94" s="2"/>
      <c r="E94" s="2"/>
      <c r="F94" s="2"/>
      <c r="G94" s="2"/>
      <c r="H94" s="2"/>
      <c r="I94" s="2"/>
      <c r="J94" s="2"/>
      <c r="K94" s="2"/>
      <c r="L94" s="2"/>
      <c r="M94" s="2"/>
      <c r="N94" s="2"/>
      <c r="O94" s="2"/>
      <c r="P94" s="2"/>
      <c r="Q94" s="2"/>
      <c r="R94" s="2"/>
      <c r="S94" s="2"/>
    </row>
    <row r="95" spans="1:19">
      <c r="A95" s="96"/>
      <c r="B95" s="1" t="s">
        <v>589</v>
      </c>
      <c r="C95" s="2"/>
      <c r="D95" s="2"/>
      <c r="E95" s="2"/>
      <c r="F95" s="2"/>
      <c r="G95" s="2"/>
      <c r="H95" s="2"/>
      <c r="I95" s="2"/>
      <c r="J95" s="2"/>
      <c r="K95" s="2"/>
      <c r="L95" s="2"/>
      <c r="M95" s="2"/>
      <c r="N95" s="2"/>
      <c r="O95" s="2"/>
      <c r="P95" s="2"/>
      <c r="Q95" s="2"/>
      <c r="R95" s="2"/>
      <c r="S95" s="2"/>
    </row>
  </sheetData>
  <mergeCells count="47">
    <mergeCell ref="R3:S3"/>
    <mergeCell ref="H2:I2"/>
    <mergeCell ref="J2:K2"/>
    <mergeCell ref="L2:M2"/>
    <mergeCell ref="N2:O2"/>
    <mergeCell ref="P2:Q2"/>
    <mergeCell ref="R2:S2"/>
    <mergeCell ref="H3:I3"/>
    <mergeCell ref="J3:K3"/>
    <mergeCell ref="L3:M3"/>
    <mergeCell ref="N3:O3"/>
    <mergeCell ref="P3:Q3"/>
    <mergeCell ref="H4:I4"/>
    <mergeCell ref="J4:K4"/>
    <mergeCell ref="L4:M4"/>
    <mergeCell ref="H5:I5"/>
    <mergeCell ref="J5:K5"/>
    <mergeCell ref="L5:M5"/>
    <mergeCell ref="H8:I8"/>
    <mergeCell ref="J8:K8"/>
    <mergeCell ref="L8:M8"/>
    <mergeCell ref="H6:I6"/>
    <mergeCell ref="J6:K6"/>
    <mergeCell ref="L6:M6"/>
    <mergeCell ref="H7:I7"/>
    <mergeCell ref="J7:K7"/>
    <mergeCell ref="L7:M7"/>
    <mergeCell ref="A60:B60"/>
    <mergeCell ref="A64:B64"/>
    <mergeCell ref="A68:B68"/>
    <mergeCell ref="A72:B72"/>
    <mergeCell ref="A76:B76"/>
    <mergeCell ref="N8:O8"/>
    <mergeCell ref="P8:Q8"/>
    <mergeCell ref="R8:S8"/>
    <mergeCell ref="N4:O4"/>
    <mergeCell ref="N5:O5"/>
    <mergeCell ref="N6:O6"/>
    <mergeCell ref="N7:O7"/>
    <mergeCell ref="P4:Q4"/>
    <mergeCell ref="P5:Q5"/>
    <mergeCell ref="P6:Q6"/>
    <mergeCell ref="P7:Q7"/>
    <mergeCell ref="R4:S4"/>
    <mergeCell ref="R5:S5"/>
    <mergeCell ref="R6:S6"/>
    <mergeCell ref="R7:S7"/>
  </mergeCells>
  <conditionalFormatting sqref="H23:H31">
    <cfRule type="cellIs" dxfId="23" priority="23" operator="equal">
      <formula>"X"</formula>
    </cfRule>
    <cfRule type="cellIs" dxfId="22" priority="24" operator="equal">
      <formula>"I"</formula>
    </cfRule>
  </conditionalFormatting>
  <conditionalFormatting sqref="H33:H51">
    <cfRule type="cellIs" dxfId="21" priority="1" operator="equal">
      <formula>"X"</formula>
    </cfRule>
    <cfRule type="cellIs" dxfId="20" priority="2" operator="equal">
      <formula>"I"</formula>
    </cfRule>
  </conditionalFormatting>
  <conditionalFormatting sqref="J23:J31">
    <cfRule type="cellIs" dxfId="19" priority="21" operator="equal">
      <formula>"X"</formula>
    </cfRule>
    <cfRule type="cellIs" dxfId="18" priority="22" operator="equal">
      <formula>"I"</formula>
    </cfRule>
  </conditionalFormatting>
  <conditionalFormatting sqref="J33:J51">
    <cfRule type="cellIs" dxfId="17" priority="3" operator="equal">
      <formula>"X"</formula>
    </cfRule>
    <cfRule type="cellIs" dxfId="16" priority="4" operator="equal">
      <formula>"I"</formula>
    </cfRule>
  </conditionalFormatting>
  <conditionalFormatting sqref="L23:L31">
    <cfRule type="cellIs" dxfId="15" priority="19" operator="equal">
      <formula>"X"</formula>
    </cfRule>
    <cfRule type="cellIs" dxfId="14" priority="20" operator="equal">
      <formula>"I"</formula>
    </cfRule>
  </conditionalFormatting>
  <conditionalFormatting sqref="L33:L51">
    <cfRule type="cellIs" dxfId="13" priority="5" operator="equal">
      <formula>"X"</formula>
    </cfRule>
    <cfRule type="cellIs" dxfId="12" priority="6" operator="equal">
      <formula>"I"</formula>
    </cfRule>
  </conditionalFormatting>
  <conditionalFormatting sqref="N23:N31">
    <cfRule type="cellIs" dxfId="11" priority="17" operator="equal">
      <formula>"X"</formula>
    </cfRule>
    <cfRule type="cellIs" dxfId="10" priority="18" operator="equal">
      <formula>"I"</formula>
    </cfRule>
  </conditionalFormatting>
  <conditionalFormatting sqref="N33:N51">
    <cfRule type="cellIs" dxfId="9" priority="7" operator="equal">
      <formula>"X"</formula>
    </cfRule>
    <cfRule type="cellIs" dxfId="8" priority="8" operator="equal">
      <formula>"I"</formula>
    </cfRule>
  </conditionalFormatting>
  <conditionalFormatting sqref="P23:P31">
    <cfRule type="cellIs" dxfId="7" priority="15" operator="equal">
      <formula>"X"</formula>
    </cfRule>
    <cfRule type="cellIs" dxfId="6" priority="16" operator="equal">
      <formula>"I"</formula>
    </cfRule>
  </conditionalFormatting>
  <conditionalFormatting sqref="P33:P51">
    <cfRule type="cellIs" dxfId="5" priority="9" operator="equal">
      <formula>"X"</formula>
    </cfRule>
    <cfRule type="cellIs" dxfId="4" priority="10" operator="equal">
      <formula>"I"</formula>
    </cfRule>
  </conditionalFormatting>
  <conditionalFormatting sqref="R23:R31">
    <cfRule type="cellIs" dxfId="3" priority="13" operator="equal">
      <formula>"X"</formula>
    </cfRule>
    <cfRule type="cellIs" dxfId="2" priority="14" operator="equal">
      <formula>"I"</formula>
    </cfRule>
  </conditionalFormatting>
  <conditionalFormatting sqref="R33:R51">
    <cfRule type="cellIs" dxfId="1" priority="11" operator="equal">
      <formula>"X"</formula>
    </cfRule>
    <cfRule type="cellIs" dxfId="0" priority="12" operator="equal">
      <formula>"I"</formula>
    </cfRule>
  </conditionalFormatting>
  <hyperlinks>
    <hyperlink ref="B3" location="'Cost Summary'!A1" display="BACK TO SUMMARY SHEET" xr:uid="{E1500767-1754-45BD-AC48-DC0ABD6062CE}"/>
  </hyperlinks>
  <pageMargins left="0.7" right="0.7" top="0.75" bottom="0.75" header="0.3" footer="0.3"/>
  <pageSetup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717-7ED9-4DF9-8627-C95B6C913AF4}">
  <dimension ref="A1:AH118"/>
  <sheetViews>
    <sheetView zoomScale="85" zoomScaleNormal="85" workbookViewId="0">
      <pane xSplit="2" ySplit="9" topLeftCell="C56" activePane="bottomRight" state="frozen"/>
      <selection pane="bottomRight" activeCell="I74" sqref="I74:I7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5703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49"/>
      <c r="G1" s="147" t="s">
        <v>474</v>
      </c>
    </row>
    <row r="2" spans="1:19" ht="15.75" thickBot="1">
      <c r="E2" s="110"/>
      <c r="F2" s="146"/>
      <c r="G2" s="147" t="s">
        <v>476</v>
      </c>
      <c r="H2" s="732"/>
      <c r="I2" s="732"/>
      <c r="J2" s="732"/>
      <c r="K2" s="732"/>
      <c r="L2" s="732"/>
      <c r="M2" s="732"/>
      <c r="N2" s="732"/>
      <c r="O2" s="732"/>
      <c r="P2" s="732"/>
      <c r="Q2" s="732"/>
      <c r="R2" s="732"/>
      <c r="S2" s="732"/>
    </row>
    <row r="3" spans="1:19" ht="21" thickBot="1">
      <c r="B3" s="161" t="s">
        <v>477</v>
      </c>
      <c r="F3" s="148"/>
      <c r="G3" s="147" t="s">
        <v>479</v>
      </c>
      <c r="H3" s="730" t="s">
        <v>480</v>
      </c>
      <c r="I3" s="731"/>
      <c r="J3" s="730" t="s">
        <v>481</v>
      </c>
      <c r="K3" s="731"/>
      <c r="L3" s="730" t="s">
        <v>482</v>
      </c>
      <c r="M3" s="731"/>
      <c r="N3" s="730" t="s">
        <v>483</v>
      </c>
      <c r="O3" s="731"/>
      <c r="P3" s="730" t="s">
        <v>484</v>
      </c>
      <c r="Q3" s="731"/>
      <c r="R3" s="730" t="s">
        <v>485</v>
      </c>
      <c r="S3" s="731"/>
    </row>
    <row r="4" spans="1:19" ht="15.75" thickTop="1">
      <c r="A4" s="3" t="s">
        <v>486</v>
      </c>
      <c r="B4" s="4" t="str">
        <f>'Area Calculations'!B4</f>
        <v>The Club at Ibis Conceptual Estimate</v>
      </c>
      <c r="C4" s="5"/>
      <c r="D4" s="5"/>
      <c r="E4" s="5"/>
      <c r="F4" s="5"/>
      <c r="G4" s="6" t="s">
        <v>487</v>
      </c>
      <c r="H4" s="728"/>
      <c r="I4" s="729"/>
      <c r="J4" s="728"/>
      <c r="K4" s="729"/>
      <c r="L4" s="728"/>
      <c r="M4" s="729"/>
      <c r="N4" s="728"/>
      <c r="O4" s="729"/>
      <c r="P4" s="728"/>
      <c r="Q4" s="729"/>
      <c r="R4" s="728"/>
      <c r="S4" s="729"/>
    </row>
    <row r="5" spans="1:19">
      <c r="A5" s="2403" t="s">
        <v>489</v>
      </c>
      <c r="B5" s="2404" t="s">
        <v>1495</v>
      </c>
      <c r="C5" s="2405"/>
      <c r="D5" s="2405"/>
      <c r="E5" s="2405"/>
      <c r="F5" s="2405"/>
      <c r="G5" s="2406" t="s">
        <v>491</v>
      </c>
      <c r="H5" s="2407"/>
      <c r="I5" s="2408"/>
      <c r="J5" s="2407"/>
      <c r="K5" s="2408"/>
      <c r="L5" s="2407"/>
      <c r="M5" s="2408"/>
      <c r="N5" s="2407"/>
      <c r="O5" s="2408"/>
      <c r="P5" s="2407"/>
      <c r="Q5" s="2408"/>
      <c r="R5" s="2407"/>
      <c r="S5" s="2408"/>
    </row>
    <row r="6" spans="1:19">
      <c r="A6" s="2403" t="s">
        <v>493</v>
      </c>
      <c r="B6" s="2410" t="s">
        <v>1496</v>
      </c>
      <c r="C6" s="2405"/>
      <c r="D6" s="2405"/>
      <c r="E6" s="2405"/>
      <c r="F6" s="2405"/>
      <c r="G6" s="3491" t="s">
        <v>494</v>
      </c>
      <c r="H6" s="2411"/>
      <c r="I6" s="2412"/>
      <c r="J6" s="2411"/>
      <c r="K6" s="2412"/>
      <c r="L6" s="2411"/>
      <c r="M6" s="2412"/>
      <c r="N6" s="2411"/>
      <c r="O6" s="2412"/>
      <c r="P6" s="2411"/>
      <c r="Q6" s="2412"/>
      <c r="R6" s="2411"/>
      <c r="S6" s="2412"/>
    </row>
    <row r="7" spans="1:19">
      <c r="A7" s="2403" t="s">
        <v>496</v>
      </c>
      <c r="B7" s="2414"/>
      <c r="C7" s="2405"/>
      <c r="D7" s="2405"/>
      <c r="E7" s="2405"/>
      <c r="F7" s="2405"/>
      <c r="G7" s="3491" t="s">
        <v>497</v>
      </c>
      <c r="H7" s="2415"/>
      <c r="I7" s="2416"/>
      <c r="J7" s="2415"/>
      <c r="K7" s="2416"/>
      <c r="L7" s="2415"/>
      <c r="M7" s="2416"/>
      <c r="N7" s="2415"/>
      <c r="O7" s="2416"/>
      <c r="P7" s="2415"/>
      <c r="Q7" s="2416"/>
      <c r="R7" s="2415"/>
      <c r="S7" s="2416"/>
    </row>
    <row r="8" spans="1:19" ht="15.75" thickBot="1">
      <c r="A8" s="414" t="s">
        <v>499</v>
      </c>
      <c r="B8" s="295"/>
      <c r="C8" s="184"/>
      <c r="D8" s="184"/>
      <c r="E8" s="184"/>
      <c r="F8" s="184"/>
      <c r="G8" s="414" t="s">
        <v>499</v>
      </c>
      <c r="H8" s="2970">
        <f>I73</f>
        <v>0</v>
      </c>
      <c r="I8" s="2971"/>
      <c r="J8" s="2970">
        <f>K73</f>
        <v>0</v>
      </c>
      <c r="K8" s="2971"/>
      <c r="L8" s="2970">
        <f>M73</f>
        <v>0</v>
      </c>
      <c r="M8" s="2971"/>
      <c r="N8" s="2970">
        <f>O73</f>
        <v>0</v>
      </c>
      <c r="O8" s="2971"/>
      <c r="P8" s="2970">
        <f>Q73</f>
        <v>0</v>
      </c>
      <c r="Q8" s="2971"/>
      <c r="R8" s="2970">
        <f>S73</f>
        <v>0</v>
      </c>
      <c r="S8" s="2971"/>
    </row>
    <row r="9" spans="1:19" ht="31.5" thickTop="1" thickBot="1">
      <c r="A9" s="7" t="s">
        <v>500</v>
      </c>
      <c r="B9" s="8"/>
      <c r="C9" s="9" t="s">
        <v>501</v>
      </c>
      <c r="D9" s="9" t="s">
        <v>502</v>
      </c>
      <c r="E9" s="9" t="s">
        <v>503</v>
      </c>
      <c r="F9" s="9" t="s">
        <v>504</v>
      </c>
      <c r="G9" s="10" t="s">
        <v>505</v>
      </c>
      <c r="H9" s="11" t="s">
        <v>506</v>
      </c>
      <c r="I9" s="11" t="s">
        <v>507</v>
      </c>
      <c r="J9" s="11" t="s">
        <v>506</v>
      </c>
      <c r="K9" s="11" t="s">
        <v>507</v>
      </c>
      <c r="L9" s="11" t="s">
        <v>506</v>
      </c>
      <c r="M9" s="11" t="s">
        <v>507</v>
      </c>
      <c r="N9" s="11" t="s">
        <v>506</v>
      </c>
      <c r="O9" s="11" t="s">
        <v>507</v>
      </c>
      <c r="P9" s="11" t="s">
        <v>506</v>
      </c>
      <c r="Q9" s="11" t="s">
        <v>507</v>
      </c>
      <c r="R9" s="11" t="s">
        <v>506</v>
      </c>
      <c r="S9" s="11" t="s">
        <v>507</v>
      </c>
    </row>
    <row r="10" spans="1:19" ht="15.75" hidden="1" thickTop="1">
      <c r="A10" s="2421"/>
      <c r="B10" s="3708" t="s">
        <v>508</v>
      </c>
      <c r="C10" s="2405"/>
      <c r="D10" s="2405"/>
      <c r="E10" s="2405"/>
      <c r="F10" s="2405"/>
      <c r="G10" s="2423"/>
      <c r="H10" s="2424"/>
      <c r="I10" s="2424"/>
      <c r="J10" s="2424"/>
      <c r="K10" s="2424"/>
      <c r="L10" s="2424"/>
      <c r="M10" s="2424"/>
      <c r="N10" s="2424"/>
      <c r="O10" s="2424"/>
      <c r="P10" s="2424"/>
      <c r="Q10" s="2424"/>
      <c r="R10" s="2424"/>
      <c r="S10" s="2424"/>
    </row>
    <row r="11" spans="1:19" ht="15.75" hidden="1" thickTop="1">
      <c r="A11" s="2421"/>
      <c r="B11" s="2404" t="str">
        <f>'Area Calculations'!M62</f>
        <v>Architectural Drawings  by</v>
      </c>
      <c r="C11" s="2426" t="s">
        <v>509</v>
      </c>
      <c r="D11" s="2405"/>
      <c r="E11" s="2405"/>
      <c r="F11" s="2405"/>
      <c r="G11" s="2423"/>
      <c r="H11" s="2424"/>
      <c r="I11" s="2424"/>
      <c r="J11" s="2424"/>
      <c r="K11" s="2424"/>
      <c r="L11" s="2424"/>
      <c r="M11" s="2424"/>
      <c r="N11" s="2424"/>
      <c r="O11" s="2424"/>
      <c r="P11" s="2424"/>
      <c r="Q11" s="2424"/>
      <c r="R11" s="2424"/>
      <c r="S11" s="2424"/>
    </row>
    <row r="12" spans="1:19" ht="15.75" hidden="1" thickTop="1">
      <c r="A12" s="2421"/>
      <c r="B12" s="2404" t="str">
        <f>'Area Calculations'!M63</f>
        <v>Structural Drawings by</v>
      </c>
      <c r="C12" s="2426" t="s">
        <v>509</v>
      </c>
      <c r="D12" s="2405"/>
      <c r="E12" s="2405"/>
      <c r="F12" s="2405"/>
      <c r="G12" s="2423"/>
      <c r="H12" s="2424"/>
      <c r="I12" s="2424"/>
      <c r="J12" s="2424"/>
      <c r="K12" s="2424"/>
      <c r="L12" s="2424"/>
      <c r="M12" s="2424"/>
      <c r="N12" s="2424"/>
      <c r="O12" s="2424"/>
      <c r="P12" s="2424"/>
      <c r="Q12" s="2424"/>
      <c r="R12" s="2424"/>
      <c r="S12" s="2424"/>
    </row>
    <row r="13" spans="1:19" ht="15.75" hidden="1" thickTop="1">
      <c r="A13" s="2421"/>
      <c r="B13" s="2404" t="str">
        <f>'Area Calculations'!M64</f>
        <v>MEP FA FP Drawings by</v>
      </c>
      <c r="C13" s="2426" t="s">
        <v>509</v>
      </c>
      <c r="D13" s="2405"/>
      <c r="E13" s="2405"/>
      <c r="F13" s="2405"/>
      <c r="G13" s="2423"/>
      <c r="H13" s="2424"/>
      <c r="I13" s="2424"/>
      <c r="J13" s="2424"/>
      <c r="K13" s="2424"/>
      <c r="L13" s="2424"/>
      <c r="M13" s="2424"/>
      <c r="N13" s="2424"/>
      <c r="O13" s="2424"/>
      <c r="P13" s="2424"/>
      <c r="Q13" s="2424"/>
      <c r="R13" s="2424"/>
      <c r="S13" s="2424"/>
    </row>
    <row r="14" spans="1:19" ht="15.75" hidden="1" thickTop="1">
      <c r="A14" s="2421"/>
      <c r="B14" s="2404" t="str">
        <f>'Area Calculations'!M65</f>
        <v xml:space="preserve">Civil Drawings by </v>
      </c>
      <c r="C14" s="2426" t="s">
        <v>509</v>
      </c>
      <c r="D14" s="2405"/>
      <c r="E14" s="2405"/>
      <c r="F14" s="2405"/>
      <c r="G14" s="2423"/>
      <c r="H14" s="2424"/>
      <c r="I14" s="2424"/>
      <c r="J14" s="2424"/>
      <c r="K14" s="2424"/>
      <c r="L14" s="2424"/>
      <c r="M14" s="2424"/>
      <c r="N14" s="2424"/>
      <c r="O14" s="2424"/>
      <c r="P14" s="2424"/>
      <c r="Q14" s="2424"/>
      <c r="R14" s="2424"/>
      <c r="S14" s="2424"/>
    </row>
    <row r="15" spans="1:19" ht="15.75" hidden="1" thickTop="1">
      <c r="A15" s="2421"/>
      <c r="B15" s="2404" t="str">
        <f>'Area Calculations'!M66</f>
        <v>Land scape Drawings by</v>
      </c>
      <c r="C15" s="2426" t="s">
        <v>509</v>
      </c>
      <c r="D15" s="2405"/>
      <c r="E15" s="2405"/>
      <c r="F15" s="2405"/>
      <c r="G15" s="2423"/>
      <c r="H15" s="2424"/>
      <c r="I15" s="2424"/>
      <c r="J15" s="2424"/>
      <c r="K15" s="2424"/>
      <c r="L15" s="2424"/>
      <c r="M15" s="2424"/>
      <c r="N15" s="2424"/>
      <c r="O15" s="2424"/>
      <c r="P15" s="2424"/>
      <c r="Q15" s="2424"/>
      <c r="R15" s="2424"/>
      <c r="S15" s="2424"/>
    </row>
    <row r="16" spans="1:19" ht="15.75" hidden="1" thickTop="1">
      <c r="A16" s="2421"/>
      <c r="B16" s="2404" t="str">
        <f>'Area Calculations'!M67</f>
        <v>Kitchen Drawings by</v>
      </c>
      <c r="C16" s="2426" t="s">
        <v>509</v>
      </c>
      <c r="D16" s="2405"/>
      <c r="E16" s="2405"/>
      <c r="F16" s="2405"/>
      <c r="G16" s="2423"/>
      <c r="H16" s="2424"/>
      <c r="I16" s="2424"/>
      <c r="J16" s="2424"/>
      <c r="K16" s="2424"/>
      <c r="L16" s="2424"/>
      <c r="M16" s="2424"/>
      <c r="N16" s="2424"/>
      <c r="O16" s="2424"/>
      <c r="P16" s="2424"/>
      <c r="Q16" s="2424"/>
      <c r="R16" s="2424"/>
      <c r="S16" s="2424"/>
    </row>
    <row r="17" spans="1:19" ht="15.75" hidden="1" thickTop="1">
      <c r="A17" s="2421"/>
      <c r="B17" s="2404" t="str">
        <f>'Area Calculations'!M68</f>
        <v>Storefront Designer by</v>
      </c>
      <c r="C17" s="2426" t="s">
        <v>509</v>
      </c>
      <c r="D17" s="2405"/>
      <c r="E17" s="2405"/>
      <c r="F17" s="2405"/>
      <c r="G17" s="2423"/>
      <c r="H17" s="2424"/>
      <c r="I17" s="2424"/>
      <c r="J17" s="2424"/>
      <c r="K17" s="2424"/>
      <c r="L17" s="2424"/>
      <c r="M17" s="2424"/>
      <c r="N17" s="2424"/>
      <c r="O17" s="2424"/>
      <c r="P17" s="2424"/>
      <c r="Q17" s="2424"/>
      <c r="R17" s="2424"/>
      <c r="S17" s="2424"/>
    </row>
    <row r="18" spans="1:19" ht="15.75" hidden="1" thickTop="1">
      <c r="A18" s="2421"/>
      <c r="B18" s="2404" t="str">
        <f>'Area Calculations'!M69</f>
        <v>Geotech report by</v>
      </c>
      <c r="C18" s="2426" t="s">
        <v>509</v>
      </c>
      <c r="D18" s="2405"/>
      <c r="E18" s="2405"/>
      <c r="F18" s="2405"/>
      <c r="G18" s="2423"/>
      <c r="H18" s="2424"/>
      <c r="I18" s="2424"/>
      <c r="J18" s="2424"/>
      <c r="K18" s="2424"/>
      <c r="L18" s="2424"/>
      <c r="M18" s="2424"/>
      <c r="N18" s="2424"/>
      <c r="O18" s="2424"/>
      <c r="P18" s="2424"/>
      <c r="Q18" s="2424"/>
      <c r="R18" s="2424"/>
      <c r="S18" s="2424"/>
    </row>
    <row r="19" spans="1:19" ht="15.75" hidden="1" thickTop="1">
      <c r="A19" s="2421"/>
      <c r="B19" s="2404" t="str">
        <f>'Area Calculations'!M70</f>
        <v>Specifications</v>
      </c>
      <c r="C19" s="2426" t="s">
        <v>509</v>
      </c>
      <c r="D19" s="2405"/>
      <c r="E19" s="2405"/>
      <c r="F19" s="2405"/>
      <c r="G19" s="2423"/>
      <c r="H19" s="2424"/>
      <c r="I19" s="2424"/>
      <c r="J19" s="2424"/>
      <c r="K19" s="2424"/>
      <c r="L19" s="2424"/>
      <c r="M19" s="2424"/>
      <c r="N19" s="2424"/>
      <c r="O19" s="2424"/>
      <c r="P19" s="2424"/>
      <c r="Q19" s="2424"/>
      <c r="R19" s="2424"/>
      <c r="S19" s="2424"/>
    </row>
    <row r="20" spans="1:19" ht="15.75" thickTop="1">
      <c r="A20" s="2421"/>
      <c r="B20" s="2404"/>
      <c r="C20" s="2426"/>
      <c r="D20" s="2405"/>
      <c r="E20" s="2405"/>
      <c r="F20" s="2405"/>
      <c r="G20" s="2423"/>
      <c r="H20" s="2424"/>
      <c r="I20" s="2424"/>
      <c r="J20" s="2424"/>
      <c r="K20" s="2424"/>
      <c r="L20" s="2424"/>
      <c r="M20" s="2424"/>
      <c r="N20" s="2424"/>
      <c r="O20" s="2424"/>
      <c r="P20" s="2424"/>
      <c r="Q20" s="2424"/>
      <c r="R20" s="2424"/>
      <c r="S20" s="2424"/>
    </row>
    <row r="21" spans="1:19" ht="15.75" thickBot="1">
      <c r="A21" s="3672"/>
      <c r="B21" s="2428" t="s">
        <v>1497</v>
      </c>
      <c r="C21" s="2426"/>
      <c r="D21" s="2405"/>
      <c r="E21" s="2405"/>
      <c r="F21" s="2405"/>
      <c r="G21" s="2423"/>
      <c r="H21" s="2537"/>
      <c r="I21" s="3670"/>
      <c r="J21" s="3671"/>
      <c r="K21" s="3671"/>
      <c r="L21" s="2537"/>
      <c r="M21" s="3671"/>
      <c r="N21" s="2537"/>
      <c r="O21" s="3671"/>
      <c r="P21" s="2537"/>
      <c r="Q21" s="3671"/>
      <c r="R21" s="2537"/>
      <c r="S21" s="3671"/>
    </row>
    <row r="22" spans="1:19" ht="16.5" hidden="1" thickBot="1">
      <c r="A22" s="3672"/>
      <c r="B22" s="3730" t="s">
        <v>511</v>
      </c>
      <c r="C22" s="2426"/>
      <c r="D22" s="2405"/>
      <c r="E22" s="2405"/>
      <c r="F22" s="2405"/>
      <c r="G22" s="2423"/>
      <c r="H22" s="2537"/>
      <c r="I22" s="3670"/>
      <c r="J22" s="3671"/>
      <c r="K22" s="3671"/>
      <c r="L22" s="2537"/>
      <c r="M22" s="3671"/>
      <c r="N22" s="2537"/>
      <c r="O22" s="3671"/>
      <c r="P22" s="2537"/>
      <c r="Q22" s="3671"/>
      <c r="R22" s="2537"/>
      <c r="S22" s="3671"/>
    </row>
    <row r="23" spans="1:19" ht="16.5" thickBot="1">
      <c r="A23" s="3731"/>
      <c r="B23" s="582" t="s">
        <v>512</v>
      </c>
      <c r="C23" s="3732"/>
      <c r="D23" s="2405"/>
      <c r="E23" s="2405"/>
      <c r="F23" s="2405"/>
      <c r="G23" s="2423"/>
      <c r="H23" s="2537"/>
      <c r="I23" s="3670"/>
      <c r="J23" s="2537"/>
      <c r="K23" s="97"/>
      <c r="L23" s="2537"/>
      <c r="M23" s="3671"/>
      <c r="N23" s="2537"/>
      <c r="O23" s="3671"/>
      <c r="P23" s="2537"/>
      <c r="Q23" s="3671"/>
      <c r="R23" s="2537"/>
      <c r="S23" s="3671"/>
    </row>
    <row r="24" spans="1:19">
      <c r="A24" s="3672"/>
      <c r="B24" s="3733" t="s">
        <v>513</v>
      </c>
      <c r="C24" s="2426"/>
      <c r="D24" s="2405"/>
      <c r="E24" s="2405"/>
      <c r="F24" s="2405"/>
      <c r="G24" s="2423"/>
      <c r="H24" s="2537"/>
      <c r="I24" s="3670"/>
      <c r="J24" s="2537"/>
      <c r="K24" s="3671"/>
      <c r="L24" s="2537"/>
      <c r="M24" s="3671"/>
      <c r="N24" s="2537"/>
      <c r="O24" s="3671"/>
      <c r="P24" s="2537"/>
      <c r="Q24" s="3671"/>
      <c r="R24" s="2537"/>
      <c r="S24" s="3671"/>
    </row>
    <row r="25" spans="1:19">
      <c r="A25" s="2685"/>
      <c r="B25" s="3734" t="s">
        <v>514</v>
      </c>
      <c r="C25" s="2426"/>
      <c r="D25" s="2405"/>
      <c r="E25" s="2405"/>
      <c r="F25" s="2405"/>
      <c r="G25" s="2423"/>
      <c r="H25" s="2537"/>
      <c r="I25" s="3670"/>
      <c r="J25" s="2537"/>
      <c r="K25" s="3671"/>
      <c r="L25" s="2537"/>
      <c r="M25" s="3671"/>
      <c r="N25" s="2537"/>
      <c r="O25" s="3671"/>
      <c r="P25" s="2537"/>
      <c r="Q25" s="3671"/>
      <c r="R25" s="2537"/>
      <c r="S25" s="3671"/>
    </row>
    <row r="26" spans="1:19">
      <c r="A26" s="2685"/>
      <c r="B26" s="3735" t="s">
        <v>515</v>
      </c>
      <c r="C26" s="2426"/>
      <c r="D26" s="2405"/>
      <c r="E26" s="2405"/>
      <c r="F26" s="2405"/>
      <c r="G26" s="2423"/>
      <c r="H26" s="2537"/>
      <c r="I26" s="3670"/>
      <c r="J26" s="2537"/>
      <c r="K26" s="3671"/>
      <c r="L26" s="2537"/>
      <c r="M26" s="3671"/>
      <c r="N26" s="2537"/>
      <c r="O26" s="3671"/>
      <c r="P26" s="2537"/>
      <c r="Q26" s="3671"/>
      <c r="R26" s="2537"/>
      <c r="S26" s="3671"/>
    </row>
    <row r="27" spans="1:19">
      <c r="A27" s="2685"/>
      <c r="B27" s="3735" t="s">
        <v>516</v>
      </c>
      <c r="C27" s="2426"/>
      <c r="D27" s="2405"/>
      <c r="E27" s="2405"/>
      <c r="F27" s="2405"/>
      <c r="G27" s="2423"/>
      <c r="H27" s="2537"/>
      <c r="I27" s="3670"/>
      <c r="J27" s="2537"/>
      <c r="K27" s="3670"/>
      <c r="L27" s="2537"/>
      <c r="M27" s="3670"/>
      <c r="N27" s="2537"/>
      <c r="O27" s="3670"/>
      <c r="P27" s="2537"/>
      <c r="Q27" s="3670"/>
      <c r="R27" s="2537"/>
      <c r="S27" s="3670"/>
    </row>
    <row r="28" spans="1:19">
      <c r="A28" s="2685"/>
      <c r="B28" s="3735" t="s">
        <v>517</v>
      </c>
      <c r="C28" s="2426"/>
      <c r="D28" s="2405"/>
      <c r="E28" s="2405"/>
      <c r="F28" s="2405"/>
      <c r="G28" s="2423"/>
      <c r="H28" s="2537"/>
      <c r="I28" s="3670"/>
      <c r="J28" s="2537"/>
      <c r="K28" s="3671"/>
      <c r="L28" s="2537"/>
      <c r="M28" s="3671"/>
      <c r="N28" s="2537"/>
      <c r="O28" s="3671"/>
      <c r="P28" s="2537"/>
      <c r="Q28" s="3671"/>
      <c r="R28" s="2537"/>
      <c r="S28" s="3671"/>
    </row>
    <row r="29" spans="1:19">
      <c r="A29" s="2685"/>
      <c r="B29" s="3735" t="s">
        <v>518</v>
      </c>
      <c r="C29" s="2426"/>
      <c r="D29" s="2405"/>
      <c r="E29" s="2405"/>
      <c r="F29" s="2446"/>
      <c r="G29" s="2423"/>
      <c r="H29" s="2537"/>
      <c r="I29" s="3670"/>
      <c r="J29" s="2537"/>
      <c r="K29" s="3671"/>
      <c r="L29" s="2537"/>
      <c r="M29" s="3671"/>
      <c r="N29" s="2537"/>
      <c r="O29" s="3671"/>
      <c r="P29" s="2537"/>
      <c r="Q29" s="3671"/>
      <c r="R29" s="2537"/>
      <c r="S29" s="3671"/>
    </row>
    <row r="30" spans="1:19">
      <c r="A30" s="2685"/>
      <c r="B30" s="3736" t="s">
        <v>519</v>
      </c>
      <c r="C30" s="2426"/>
      <c r="D30" s="2405"/>
      <c r="E30" s="2405"/>
      <c r="F30" s="2446"/>
      <c r="G30" s="2423"/>
      <c r="H30" s="2537"/>
      <c r="I30" s="3670"/>
      <c r="J30" s="2537"/>
      <c r="K30" s="3671"/>
      <c r="L30" s="2537"/>
      <c r="M30" s="3671"/>
      <c r="N30" s="2537"/>
      <c r="O30" s="3671"/>
      <c r="P30" s="2537"/>
      <c r="Q30" s="3671"/>
      <c r="R30" s="2537"/>
      <c r="S30" s="3671"/>
    </row>
    <row r="31" spans="1:19">
      <c r="A31" s="2685"/>
      <c r="B31" s="3737" t="s">
        <v>520</v>
      </c>
      <c r="C31" s="3738"/>
      <c r="D31" s="2980"/>
      <c r="E31" s="2980"/>
      <c r="F31" s="2980"/>
      <c r="G31" s="3739"/>
      <c r="H31" s="3740"/>
      <c r="I31" s="3740"/>
      <c r="J31" s="3740"/>
      <c r="K31" s="3740"/>
      <c r="L31" s="3741"/>
      <c r="M31" s="3742"/>
      <c r="N31" s="3740"/>
      <c r="O31" s="3740"/>
      <c r="P31" s="3740"/>
      <c r="Q31" s="3740"/>
      <c r="R31" s="2439"/>
      <c r="S31" s="3742"/>
    </row>
    <row r="32" spans="1:19">
      <c r="A32" s="2685"/>
      <c r="B32" s="3743"/>
      <c r="C32" s="2426"/>
      <c r="D32" s="2405"/>
      <c r="E32" s="2405"/>
      <c r="F32" s="2446"/>
      <c r="G32" s="2423"/>
      <c r="H32" s="2537"/>
      <c r="I32" s="3670"/>
      <c r="J32" s="2537"/>
      <c r="K32" s="3671"/>
      <c r="L32" s="2537"/>
      <c r="M32" s="3671"/>
      <c r="N32" s="2537"/>
      <c r="O32" s="3671"/>
      <c r="P32" s="2537"/>
      <c r="Q32" s="3671"/>
      <c r="R32" s="2537"/>
      <c r="S32" s="3671"/>
    </row>
    <row r="33" spans="1:19" ht="15.75">
      <c r="A33" s="2685"/>
      <c r="B33" s="3744" t="s">
        <v>1498</v>
      </c>
      <c r="C33" s="2426"/>
      <c r="D33" s="3745">
        <v>1</v>
      </c>
      <c r="E33" s="2405" t="s">
        <v>1499</v>
      </c>
      <c r="F33" s="2446">
        <v>49418.3</v>
      </c>
      <c r="G33" s="2423"/>
      <c r="H33" s="2537"/>
      <c r="I33" s="3670"/>
      <c r="J33" s="2537"/>
      <c r="K33" s="3671"/>
      <c r="L33" s="2537"/>
      <c r="M33" s="3671"/>
      <c r="N33" s="2537"/>
      <c r="O33" s="3671"/>
      <c r="P33" s="2537"/>
      <c r="Q33" s="3671"/>
      <c r="R33" s="2537"/>
      <c r="S33" s="3671"/>
    </row>
    <row r="34" spans="1:19">
      <c r="A34" s="2685"/>
      <c r="B34" s="3746" t="s">
        <v>1500</v>
      </c>
      <c r="C34" s="2426"/>
      <c r="D34" s="2405"/>
      <c r="E34" s="2405"/>
      <c r="F34" s="2446"/>
      <c r="G34" s="2423"/>
      <c r="H34" s="2537"/>
      <c r="I34" s="3670"/>
      <c r="J34" s="2537"/>
      <c r="K34" s="3671"/>
      <c r="L34" s="2537"/>
      <c r="M34" s="3671"/>
      <c r="N34" s="2537"/>
      <c r="O34" s="3671"/>
      <c r="P34" s="2537"/>
      <c r="Q34" s="3671"/>
      <c r="R34" s="2537"/>
      <c r="S34" s="3671"/>
    </row>
    <row r="35" spans="1:19">
      <c r="A35" s="2685"/>
      <c r="B35" s="3746" t="s">
        <v>1501</v>
      </c>
      <c r="C35" s="3361"/>
      <c r="D35" s="3361"/>
      <c r="E35" s="2405"/>
      <c r="F35" s="2446"/>
      <c r="G35" s="2423"/>
      <c r="H35" s="2537"/>
      <c r="I35" s="3670"/>
      <c r="J35" s="2537"/>
      <c r="K35" s="3671"/>
      <c r="L35" s="2537"/>
      <c r="M35" s="3670"/>
      <c r="N35" s="2537"/>
      <c r="O35" s="3670"/>
      <c r="P35" s="2537"/>
      <c r="Q35" s="3671"/>
      <c r="R35" s="2537"/>
      <c r="S35" s="3671"/>
    </row>
    <row r="36" spans="1:19">
      <c r="A36" s="2685"/>
      <c r="B36" s="3746" t="s">
        <v>1502</v>
      </c>
      <c r="C36" s="3361"/>
      <c r="D36" s="3361"/>
      <c r="E36" s="2405"/>
      <c r="F36" s="2446"/>
      <c r="G36" s="2423"/>
      <c r="H36" s="2537"/>
      <c r="I36" s="3670"/>
      <c r="J36" s="2537"/>
      <c r="K36" s="3671"/>
      <c r="L36" s="2537"/>
      <c r="M36" s="3671"/>
      <c r="N36" s="2537"/>
      <c r="O36" s="3671"/>
      <c r="P36" s="2537"/>
      <c r="Q36" s="3671"/>
      <c r="R36" s="2537"/>
      <c r="S36" s="3671"/>
    </row>
    <row r="37" spans="1:19">
      <c r="A37" s="2685"/>
      <c r="B37" s="3747" t="s">
        <v>1503</v>
      </c>
      <c r="C37" s="3361"/>
      <c r="D37" s="3361"/>
      <c r="E37" s="2405"/>
      <c r="F37" s="2446"/>
      <c r="G37" s="2423"/>
      <c r="H37" s="2537"/>
      <c r="I37" s="3670"/>
      <c r="J37" s="2537"/>
      <c r="K37" s="3671"/>
      <c r="L37" s="2537"/>
      <c r="M37" s="3671"/>
      <c r="N37" s="2537"/>
      <c r="O37" s="3671"/>
      <c r="P37" s="2537"/>
      <c r="Q37" s="3671"/>
      <c r="R37" s="2537"/>
      <c r="S37" s="3671"/>
    </row>
    <row r="38" spans="1:19">
      <c r="A38" s="2685"/>
      <c r="B38" s="3746" t="s">
        <v>1504</v>
      </c>
      <c r="C38" s="3361"/>
      <c r="D38" s="3361"/>
      <c r="E38" s="2405"/>
      <c r="F38" s="2446"/>
      <c r="G38" s="2423"/>
      <c r="H38" s="2537"/>
      <c r="I38" s="3670"/>
      <c r="J38" s="2537"/>
      <c r="K38" s="3671"/>
      <c r="L38" s="2537"/>
      <c r="M38" s="3671"/>
      <c r="N38" s="2537"/>
      <c r="O38" s="3671"/>
      <c r="P38" s="2537"/>
      <c r="Q38" s="3671"/>
      <c r="R38" s="2537"/>
      <c r="S38" s="3671"/>
    </row>
    <row r="39" spans="1:19">
      <c r="A39" s="2685"/>
      <c r="B39" s="3747" t="s">
        <v>1505</v>
      </c>
      <c r="C39" s="3361"/>
      <c r="D39" s="3361"/>
      <c r="E39" s="2405"/>
      <c r="F39" s="2446"/>
      <c r="G39" s="2423"/>
      <c r="H39" s="2537"/>
      <c r="I39" s="3670"/>
      <c r="J39" s="2537"/>
      <c r="K39" s="3671"/>
      <c r="L39" s="2537"/>
      <c r="M39" s="3671"/>
      <c r="N39" s="2537"/>
      <c r="O39" s="3671"/>
      <c r="P39" s="2537"/>
      <c r="Q39" s="3671"/>
      <c r="R39" s="2537"/>
      <c r="S39" s="3671"/>
    </row>
    <row r="40" spans="1:19">
      <c r="A40" s="2685"/>
      <c r="B40" s="3485"/>
      <c r="C40" s="3361"/>
      <c r="D40" s="3361"/>
      <c r="E40" s="2405"/>
      <c r="F40" s="2446"/>
      <c r="G40" s="2423"/>
      <c r="H40" s="2537"/>
      <c r="I40" s="3670"/>
      <c r="J40" s="2537"/>
      <c r="K40" s="3671"/>
      <c r="L40" s="2537"/>
      <c r="M40" s="3671"/>
      <c r="N40" s="2537"/>
      <c r="O40" s="3671"/>
      <c r="P40" s="2537"/>
      <c r="Q40" s="3671"/>
      <c r="R40" s="2537"/>
      <c r="S40" s="3671"/>
    </row>
    <row r="41" spans="1:19" ht="15.75">
      <c r="A41" s="2685"/>
      <c r="B41" s="3744" t="s">
        <v>1498</v>
      </c>
      <c r="C41" s="3361"/>
      <c r="D41" s="3361">
        <v>1</v>
      </c>
      <c r="E41" s="2405" t="s">
        <v>1499</v>
      </c>
      <c r="F41" s="2446">
        <v>50298.3</v>
      </c>
      <c r="G41" s="2423"/>
      <c r="H41" s="2537"/>
      <c r="I41" s="3670"/>
      <c r="J41" s="2537"/>
      <c r="K41" s="3671"/>
      <c r="L41" s="2537"/>
      <c r="M41" s="3671"/>
      <c r="N41" s="2537"/>
      <c r="O41" s="3671"/>
      <c r="P41" s="2537"/>
      <c r="Q41" s="3671"/>
      <c r="R41" s="2537"/>
      <c r="S41" s="3671"/>
    </row>
    <row r="42" spans="1:19">
      <c r="A42" s="2685"/>
      <c r="B42" s="3746" t="s">
        <v>1500</v>
      </c>
      <c r="C42" s="3361"/>
      <c r="D42" s="3361"/>
      <c r="E42" s="2405"/>
      <c r="F42" s="2446"/>
      <c r="G42" s="2423"/>
      <c r="H42" s="2537"/>
      <c r="I42" s="3670"/>
      <c r="J42" s="2537"/>
      <c r="K42" s="3671"/>
      <c r="L42" s="2537"/>
      <c r="M42" s="3671"/>
      <c r="N42" s="2537"/>
      <c r="O42" s="3671"/>
      <c r="P42" s="2537"/>
      <c r="Q42" s="3671"/>
      <c r="R42" s="2537"/>
      <c r="S42" s="3671"/>
    </row>
    <row r="43" spans="1:19">
      <c r="A43" s="2685"/>
      <c r="B43" s="3746" t="s">
        <v>1501</v>
      </c>
      <c r="C43" s="3361"/>
      <c r="D43" s="3361"/>
      <c r="E43" s="2405"/>
      <c r="F43" s="2446"/>
      <c r="G43" s="2423"/>
      <c r="H43" s="2537"/>
      <c r="I43" s="3670"/>
      <c r="J43" s="2537"/>
      <c r="K43" s="3671"/>
      <c r="L43" s="2537"/>
      <c r="M43" s="3671"/>
      <c r="N43" s="2537"/>
      <c r="O43" s="3671"/>
      <c r="P43" s="2537"/>
      <c r="Q43" s="3671"/>
      <c r="R43" s="2537"/>
      <c r="S43" s="3671"/>
    </row>
    <row r="44" spans="1:19">
      <c r="A44" s="2685"/>
      <c r="B44" s="3746" t="s">
        <v>1506</v>
      </c>
      <c r="C44" s="3361"/>
      <c r="D44" s="3361"/>
      <c r="E44" s="2405"/>
      <c r="F44" s="2446"/>
      <c r="G44" s="2423"/>
      <c r="H44" s="2537"/>
      <c r="I44" s="3670"/>
      <c r="J44" s="2537"/>
      <c r="K44" s="3671"/>
      <c r="L44" s="2537"/>
      <c r="M44" s="3671"/>
      <c r="N44" s="2537"/>
      <c r="O44" s="3671"/>
      <c r="P44" s="2537"/>
      <c r="Q44" s="3671"/>
      <c r="R44" s="2537"/>
      <c r="S44" s="3671"/>
    </row>
    <row r="45" spans="1:19">
      <c r="A45" s="2685"/>
      <c r="B45" s="3747" t="s">
        <v>1503</v>
      </c>
      <c r="C45" s="3361"/>
      <c r="D45" s="3361"/>
      <c r="E45" s="2405"/>
      <c r="F45" s="2446"/>
      <c r="G45" s="2423"/>
      <c r="H45" s="2537"/>
      <c r="I45" s="3670"/>
      <c r="J45" s="2537"/>
      <c r="K45" s="3671"/>
      <c r="L45" s="2537"/>
      <c r="M45" s="3671"/>
      <c r="N45" s="2537"/>
      <c r="O45" s="3671"/>
      <c r="P45" s="2537"/>
      <c r="Q45" s="3671"/>
      <c r="R45" s="2537"/>
      <c r="S45" s="3671"/>
    </row>
    <row r="46" spans="1:19">
      <c r="A46" s="2685"/>
      <c r="B46" s="3746" t="s">
        <v>1504</v>
      </c>
      <c r="C46" s="3361"/>
      <c r="D46" s="3361"/>
      <c r="E46" s="2405"/>
      <c r="F46" s="2446"/>
      <c r="G46" s="2423"/>
      <c r="H46" s="2537"/>
      <c r="I46" s="3670"/>
      <c r="J46" s="2537"/>
      <c r="K46" s="3671"/>
      <c r="L46" s="2537"/>
      <c r="M46" s="3671"/>
      <c r="N46" s="2537"/>
      <c r="O46" s="3671"/>
      <c r="P46" s="2537"/>
      <c r="Q46" s="3671"/>
      <c r="R46" s="2537"/>
      <c r="S46" s="3671"/>
    </row>
    <row r="47" spans="1:19">
      <c r="A47" s="2685"/>
      <c r="B47" s="3747" t="s">
        <v>1507</v>
      </c>
      <c r="C47" s="3361"/>
      <c r="D47" s="3361"/>
      <c r="E47" s="2405"/>
      <c r="F47" s="2405"/>
      <c r="G47" s="2423"/>
      <c r="H47" s="2537"/>
      <c r="I47" s="3670"/>
      <c r="J47" s="2537"/>
      <c r="K47" s="3671"/>
      <c r="L47" s="2537"/>
      <c r="M47" s="3671"/>
      <c r="N47" s="2537"/>
      <c r="O47" s="3671"/>
      <c r="P47" s="2537"/>
      <c r="Q47" s="3671"/>
      <c r="R47" s="2537"/>
      <c r="S47" s="3671"/>
    </row>
    <row r="48" spans="1:19">
      <c r="A48" s="2685"/>
      <c r="B48" s="3454"/>
      <c r="C48" s="3361"/>
      <c r="D48" s="3361"/>
      <c r="E48" s="2405"/>
      <c r="F48" s="2405"/>
      <c r="G48" s="2423"/>
      <c r="H48" s="2537"/>
      <c r="I48" s="3670"/>
      <c r="J48" s="2537"/>
      <c r="K48" s="3671"/>
      <c r="L48" s="2537"/>
      <c r="M48" s="3671"/>
      <c r="N48" s="2537"/>
      <c r="O48" s="3671"/>
      <c r="P48" s="2537"/>
      <c r="Q48" s="3671"/>
      <c r="R48" s="2537"/>
      <c r="S48" s="3671"/>
    </row>
    <row r="49" spans="1:19" ht="15.75">
      <c r="A49" s="2685"/>
      <c r="B49" s="3744" t="s">
        <v>1498</v>
      </c>
      <c r="C49" s="2426"/>
      <c r="D49" s="3361">
        <v>1</v>
      </c>
      <c r="E49" s="2405" t="s">
        <v>1499</v>
      </c>
      <c r="F49" s="2446">
        <v>52852</v>
      </c>
      <c r="G49" s="2423"/>
      <c r="H49" s="2537"/>
      <c r="I49" s="3670"/>
      <c r="J49" s="2537"/>
      <c r="K49" s="3671"/>
      <c r="L49" s="2537"/>
      <c r="M49" s="3671"/>
      <c r="N49" s="2537"/>
      <c r="O49" s="3671"/>
      <c r="P49" s="2537"/>
      <c r="Q49" s="3670"/>
      <c r="R49" s="2537"/>
      <c r="S49" s="3670"/>
    </row>
    <row r="50" spans="1:19">
      <c r="A50" s="2685"/>
      <c r="B50" s="3746" t="s">
        <v>1508</v>
      </c>
      <c r="C50" s="2426"/>
      <c r="D50" s="2405"/>
      <c r="E50" s="2405"/>
      <c r="F50" s="2405"/>
      <c r="G50" s="2423"/>
      <c r="H50" s="2537"/>
      <c r="I50" s="3670"/>
      <c r="J50" s="2537"/>
      <c r="K50" s="3671"/>
      <c r="L50" s="2537"/>
      <c r="M50" s="3671"/>
      <c r="N50" s="2537"/>
      <c r="O50" s="3671"/>
      <c r="P50" s="2537"/>
      <c r="Q50" s="3671"/>
      <c r="R50" s="2537"/>
      <c r="S50" s="3671"/>
    </row>
    <row r="51" spans="1:19">
      <c r="A51" s="2685"/>
      <c r="B51" s="3746" t="s">
        <v>1501</v>
      </c>
      <c r="C51" s="2426"/>
      <c r="D51" s="2405"/>
      <c r="E51" s="2405"/>
      <c r="F51" s="2446"/>
      <c r="G51" s="2423"/>
      <c r="H51" s="2537"/>
      <c r="I51" s="3670"/>
      <c r="J51" s="2537"/>
      <c r="K51" s="3671"/>
      <c r="L51" s="2537"/>
      <c r="M51" s="3671"/>
      <c r="N51" s="2537"/>
      <c r="O51" s="3671"/>
      <c r="P51" s="2537"/>
      <c r="Q51" s="3671"/>
      <c r="R51" s="2537"/>
      <c r="S51" s="3671"/>
    </row>
    <row r="52" spans="1:19">
      <c r="A52" s="2685"/>
      <c r="B52" s="3746" t="s">
        <v>1509</v>
      </c>
      <c r="C52" s="2426"/>
      <c r="D52" s="2405"/>
      <c r="E52" s="2405"/>
      <c r="F52" s="2446"/>
      <c r="G52" s="2423"/>
      <c r="H52" s="2537"/>
      <c r="I52" s="3670"/>
      <c r="J52" s="2537"/>
      <c r="K52" s="3671"/>
      <c r="L52" s="2537"/>
      <c r="M52" s="3671"/>
      <c r="N52" s="2537"/>
      <c r="O52" s="3671"/>
      <c r="P52" s="2537"/>
      <c r="Q52" s="3671"/>
      <c r="R52" s="2537"/>
      <c r="S52" s="3671"/>
    </row>
    <row r="53" spans="1:19">
      <c r="A53" s="2685"/>
      <c r="B53" s="3747" t="s">
        <v>1510</v>
      </c>
      <c r="C53" s="2426"/>
      <c r="D53" s="2405"/>
      <c r="E53" s="2405"/>
      <c r="F53" s="2446"/>
      <c r="G53" s="2423"/>
      <c r="H53" s="2537"/>
      <c r="I53" s="3670"/>
      <c r="J53" s="2537"/>
      <c r="K53" s="3671"/>
      <c r="L53" s="2537"/>
      <c r="M53" s="3671"/>
      <c r="N53" s="2537"/>
      <c r="O53" s="3671"/>
      <c r="P53" s="2537"/>
      <c r="Q53" s="3671"/>
      <c r="R53" s="2537"/>
      <c r="S53" s="3671"/>
    </row>
    <row r="54" spans="1:19">
      <c r="A54" s="2685"/>
      <c r="B54" s="3746" t="s">
        <v>1511</v>
      </c>
      <c r="C54" s="2426"/>
      <c r="D54" s="2405"/>
      <c r="E54" s="2405"/>
      <c r="F54" s="2446"/>
      <c r="G54" s="2423"/>
      <c r="H54" s="2537"/>
      <c r="I54" s="3670"/>
      <c r="J54" s="2537"/>
      <c r="K54" s="3671"/>
      <c r="L54" s="2537"/>
      <c r="M54" s="3671"/>
      <c r="N54" s="2537"/>
      <c r="O54" s="3671"/>
      <c r="P54" s="2537"/>
      <c r="Q54" s="3671"/>
      <c r="R54" s="2537"/>
      <c r="S54" s="3671"/>
    </row>
    <row r="55" spans="1:19">
      <c r="A55" s="2685"/>
      <c r="B55" s="3747" t="s">
        <v>1512</v>
      </c>
      <c r="C55" s="2426"/>
      <c r="D55" s="2405"/>
      <c r="E55" s="2405"/>
      <c r="F55" s="2446"/>
      <c r="G55" s="2423"/>
      <c r="H55" s="2537"/>
      <c r="I55" s="3670"/>
      <c r="J55" s="2537"/>
      <c r="K55" s="3671"/>
      <c r="L55" s="2537"/>
      <c r="M55" s="3671"/>
      <c r="N55" s="2537"/>
      <c r="O55" s="3671"/>
      <c r="P55" s="2537"/>
      <c r="Q55" s="3671"/>
      <c r="R55" s="2537"/>
      <c r="S55" s="3671"/>
    </row>
    <row r="56" spans="1:19">
      <c r="A56" s="2685"/>
      <c r="B56" s="3454"/>
      <c r="C56" s="2426"/>
      <c r="D56" s="2405"/>
      <c r="E56" s="2405"/>
      <c r="F56" s="2446"/>
      <c r="G56" s="2423"/>
      <c r="H56" s="2537"/>
      <c r="I56" s="3670"/>
      <c r="J56" s="2537"/>
      <c r="K56" s="3671"/>
      <c r="L56" s="2537"/>
      <c r="M56" s="3671"/>
      <c r="N56" s="2537"/>
      <c r="O56" s="3671"/>
      <c r="P56" s="2537"/>
      <c r="Q56" s="3671"/>
      <c r="R56" s="2537"/>
      <c r="S56" s="3671"/>
    </row>
    <row r="57" spans="1:19">
      <c r="A57" s="2685"/>
      <c r="B57" s="3454"/>
      <c r="C57" s="2426"/>
      <c r="D57" s="2405"/>
      <c r="E57" s="2405"/>
      <c r="F57" s="2446"/>
      <c r="G57" s="2423"/>
      <c r="H57" s="2537"/>
      <c r="I57" s="3670"/>
      <c r="J57" s="2537"/>
      <c r="K57" s="3671"/>
      <c r="L57" s="2537"/>
      <c r="M57" s="3671"/>
      <c r="N57" s="2537"/>
      <c r="O57" s="3671"/>
      <c r="P57" s="2537"/>
      <c r="Q57" s="3671"/>
      <c r="R57" s="2537"/>
      <c r="S57" s="3671"/>
    </row>
    <row r="58" spans="1:19" ht="15.75">
      <c r="A58" s="2685"/>
      <c r="B58" s="3744" t="s">
        <v>1513</v>
      </c>
      <c r="C58" s="2426"/>
      <c r="D58" s="2405">
        <v>1</v>
      </c>
      <c r="E58" s="2405" t="s">
        <v>1499</v>
      </c>
      <c r="F58" s="2446">
        <v>74300.800000000003</v>
      </c>
      <c r="G58" s="2423"/>
      <c r="H58" s="2537"/>
      <c r="I58" s="3670"/>
      <c r="J58" s="2537"/>
      <c r="K58" s="3671"/>
      <c r="L58" s="2537"/>
      <c r="M58" s="3671"/>
      <c r="N58" s="2537"/>
      <c r="O58" s="3671"/>
      <c r="P58" s="2537"/>
      <c r="Q58" s="3671"/>
      <c r="R58" s="2537"/>
      <c r="S58" s="3671"/>
    </row>
    <row r="59" spans="1:19">
      <c r="A59" s="2685"/>
      <c r="B59" s="3454" t="s">
        <v>1514</v>
      </c>
      <c r="C59" s="2426"/>
      <c r="D59" s="2405"/>
      <c r="E59" s="2405"/>
      <c r="F59" s="2446"/>
      <c r="G59" s="2423"/>
      <c r="H59" s="2537"/>
      <c r="I59" s="3670"/>
      <c r="J59" s="2537"/>
      <c r="K59" s="3671"/>
      <c r="L59" s="2537"/>
      <c r="M59" s="3671"/>
      <c r="N59" s="2537"/>
      <c r="O59" s="3671"/>
      <c r="P59" s="2537"/>
      <c r="Q59" s="3671"/>
      <c r="R59" s="2537"/>
      <c r="S59" s="3671"/>
    </row>
    <row r="60" spans="1:19">
      <c r="A60" s="2685"/>
      <c r="B60" s="3454" t="s">
        <v>1515</v>
      </c>
      <c r="C60" s="2426"/>
      <c r="D60" s="2405"/>
      <c r="E60" s="2405"/>
      <c r="F60" s="2446"/>
      <c r="G60" s="2423"/>
      <c r="H60" s="2537"/>
      <c r="I60" s="3670"/>
      <c r="J60" s="2537"/>
      <c r="K60" s="3671"/>
      <c r="L60" s="2537"/>
      <c r="M60" s="3671"/>
      <c r="N60" s="2537"/>
      <c r="O60" s="3671"/>
      <c r="P60" s="2537"/>
      <c r="Q60" s="3671"/>
      <c r="R60" s="2537"/>
      <c r="S60" s="3671"/>
    </row>
    <row r="61" spans="1:19">
      <c r="A61" s="2685"/>
      <c r="B61" s="3454" t="s">
        <v>1516</v>
      </c>
      <c r="C61" s="2426"/>
      <c r="D61" s="2405"/>
      <c r="E61" s="2405"/>
      <c r="F61" s="2446"/>
      <c r="G61" s="2423"/>
      <c r="H61" s="2537"/>
      <c r="I61" s="3670"/>
      <c r="J61" s="2537"/>
      <c r="K61" s="3671"/>
      <c r="L61" s="2537"/>
      <c r="M61" s="3671"/>
      <c r="N61" s="2537"/>
      <c r="O61" s="3671"/>
      <c r="P61" s="2537"/>
      <c r="Q61" s="3671"/>
      <c r="R61" s="2537"/>
      <c r="S61" s="3671"/>
    </row>
    <row r="62" spans="1:19">
      <c r="A62" s="2685"/>
      <c r="B62" s="3454"/>
      <c r="C62" s="2426"/>
      <c r="D62" s="2405"/>
      <c r="E62" s="2405"/>
      <c r="F62" s="2446"/>
      <c r="G62" s="2423"/>
      <c r="H62" s="2537"/>
      <c r="I62" s="3670"/>
      <c r="J62" s="2537"/>
      <c r="K62" s="3671"/>
      <c r="L62" s="2537"/>
      <c r="M62" s="3671"/>
      <c r="N62" s="2537"/>
      <c r="O62" s="3671"/>
      <c r="P62" s="2537"/>
      <c r="Q62" s="3671"/>
      <c r="R62" s="2537"/>
      <c r="S62" s="3671"/>
    </row>
    <row r="63" spans="1:19" ht="15.75">
      <c r="A63" s="2685"/>
      <c r="B63" s="3744" t="s">
        <v>1517</v>
      </c>
      <c r="C63" s="2426"/>
      <c r="D63" s="2405">
        <v>1</v>
      </c>
      <c r="E63" s="2405" t="s">
        <v>1499</v>
      </c>
      <c r="F63" s="2446">
        <v>123514.3</v>
      </c>
      <c r="G63" s="2423"/>
      <c r="H63" s="2537"/>
      <c r="I63" s="3670"/>
      <c r="J63" s="2537"/>
      <c r="K63" s="3671"/>
      <c r="L63" s="2537"/>
      <c r="M63" s="3671"/>
      <c r="N63" s="2537"/>
      <c r="O63" s="3671"/>
      <c r="P63" s="2537"/>
      <c r="Q63" s="3671"/>
      <c r="R63" s="2537"/>
      <c r="S63" s="3671"/>
    </row>
    <row r="64" spans="1:19">
      <c r="A64" s="2685"/>
      <c r="B64" s="3454" t="s">
        <v>1514</v>
      </c>
      <c r="C64" s="2426"/>
      <c r="D64" s="2405"/>
      <c r="E64" s="2405"/>
      <c r="F64" s="2446"/>
      <c r="G64" s="2423"/>
      <c r="H64" s="2537"/>
      <c r="I64" s="3670"/>
      <c r="J64" s="2537"/>
      <c r="K64" s="3671"/>
      <c r="L64" s="2537"/>
      <c r="M64" s="3671"/>
      <c r="N64" s="2537"/>
      <c r="O64" s="3671"/>
      <c r="P64" s="2537"/>
      <c r="Q64" s="3671"/>
      <c r="R64" s="2537"/>
      <c r="S64" s="3671"/>
    </row>
    <row r="65" spans="1:19">
      <c r="A65" s="2685"/>
      <c r="B65" s="3454" t="s">
        <v>1518</v>
      </c>
      <c r="C65" s="2426"/>
      <c r="D65" s="2405"/>
      <c r="E65" s="2405"/>
      <c r="F65" s="2446"/>
      <c r="G65" s="2423"/>
      <c r="H65" s="2537"/>
      <c r="I65" s="3670"/>
      <c r="J65" s="2537"/>
      <c r="K65" s="3671"/>
      <c r="L65" s="2537"/>
      <c r="M65" s="3671"/>
      <c r="N65" s="2537"/>
      <c r="O65" s="3671"/>
      <c r="P65" s="2537"/>
      <c r="Q65" s="3671"/>
      <c r="R65" s="2537"/>
      <c r="S65" s="3671"/>
    </row>
    <row r="66" spans="1:19">
      <c r="A66" s="2685"/>
      <c r="B66" s="3454" t="s">
        <v>1516</v>
      </c>
      <c r="C66" s="2426"/>
      <c r="D66" s="2405"/>
      <c r="E66" s="2405"/>
      <c r="F66" s="2446"/>
      <c r="G66" s="2423"/>
      <c r="H66" s="2537"/>
      <c r="I66" s="3670"/>
      <c r="J66" s="2537"/>
      <c r="K66" s="3671"/>
      <c r="L66" s="2537"/>
      <c r="M66" s="3671"/>
      <c r="N66" s="2537"/>
      <c r="O66" s="3671"/>
      <c r="P66" s="2537"/>
      <c r="Q66" s="3671"/>
      <c r="R66" s="2537"/>
      <c r="S66" s="3671"/>
    </row>
    <row r="67" spans="1:19">
      <c r="A67" s="2685"/>
      <c r="B67" s="145"/>
      <c r="C67" s="2426"/>
      <c r="D67" s="2405"/>
      <c r="E67" s="2405"/>
      <c r="F67" s="2446"/>
      <c r="G67" s="2423"/>
      <c r="H67" s="2537"/>
      <c r="I67" s="3670"/>
      <c r="J67" s="2537"/>
      <c r="K67" s="3671"/>
      <c r="L67" s="2537"/>
      <c r="M67" s="3671"/>
      <c r="N67" s="2537"/>
      <c r="O67" s="3671"/>
      <c r="P67" s="2537"/>
      <c r="Q67" s="3671"/>
      <c r="R67" s="2537"/>
      <c r="S67" s="3671"/>
    </row>
    <row r="68" spans="1:19" ht="15.75" thickBot="1">
      <c r="A68" s="2685"/>
      <c r="B68" s="3485"/>
      <c r="C68" s="2426"/>
      <c r="D68" s="2405"/>
      <c r="E68" s="2405"/>
      <c r="F68" s="2446"/>
      <c r="G68" s="2423"/>
      <c r="H68" s="2537"/>
      <c r="I68" s="3670"/>
      <c r="J68" s="2537"/>
      <c r="K68" s="3671"/>
      <c r="L68" s="2537"/>
      <c r="M68" s="3671"/>
      <c r="N68" s="2537"/>
      <c r="O68" s="3671"/>
      <c r="P68" s="2537"/>
      <c r="Q68" s="3671"/>
      <c r="R68" s="2537"/>
      <c r="S68" s="3671"/>
    </row>
    <row r="69" spans="1:19" ht="15.75" thickTop="1">
      <c r="A69" s="14"/>
      <c r="B69" s="15"/>
      <c r="C69" s="16"/>
      <c r="D69" s="16"/>
      <c r="E69" s="17"/>
      <c r="F69" s="18" t="s">
        <v>567</v>
      </c>
      <c r="G69" s="19"/>
      <c r="H69" s="20"/>
      <c r="I69" s="61">
        <f>SUM(I31:I68)</f>
        <v>0</v>
      </c>
      <c r="J69" s="20"/>
      <c r="K69" s="61">
        <f>SUM(K31:K68)</f>
        <v>0</v>
      </c>
      <c r="L69" s="20"/>
      <c r="M69" s="61">
        <f>SUM(M31:M68)</f>
        <v>0</v>
      </c>
      <c r="N69" s="20"/>
      <c r="O69" s="61">
        <f>SUM(O31:O68)</f>
        <v>0</v>
      </c>
      <c r="P69" s="20"/>
      <c r="Q69" s="61">
        <f>SUM(Q31:Q68)</f>
        <v>0</v>
      </c>
      <c r="R69" s="20"/>
      <c r="S69" s="61">
        <f>SUM(S31:S68)</f>
        <v>0</v>
      </c>
    </row>
    <row r="70" spans="1:19">
      <c r="A70" s="2358"/>
      <c r="B70" s="2359"/>
      <c r="C70" s="2360"/>
      <c r="D70" s="2360"/>
      <c r="E70" s="2361"/>
      <c r="F70" s="2362" t="s">
        <v>568</v>
      </c>
      <c r="G70" s="2363"/>
      <c r="H70" s="2364">
        <v>0</v>
      </c>
      <c r="I70" s="415"/>
      <c r="J70" s="2364">
        <v>0</v>
      </c>
      <c r="K70" s="415"/>
      <c r="L70" s="2364">
        <v>0</v>
      </c>
      <c r="M70" s="415"/>
      <c r="N70" s="2364">
        <v>0</v>
      </c>
      <c r="O70" s="415"/>
      <c r="P70" s="2364">
        <v>0</v>
      </c>
      <c r="Q70" s="415"/>
      <c r="R70" s="2364">
        <v>0</v>
      </c>
      <c r="S70" s="415"/>
    </row>
    <row r="71" spans="1:19">
      <c r="A71" s="2358"/>
      <c r="B71" s="2359"/>
      <c r="C71" s="2360"/>
      <c r="D71" s="2360"/>
      <c r="E71" s="2361"/>
      <c r="F71" s="2362" t="s">
        <v>569</v>
      </c>
      <c r="G71" s="2363"/>
      <c r="H71" s="2366"/>
      <c r="I71" s="2465">
        <f>H70*I69</f>
        <v>0</v>
      </c>
      <c r="J71" s="2366"/>
      <c r="K71" s="2465">
        <f>J70*K69</f>
        <v>0</v>
      </c>
      <c r="L71" s="2366"/>
      <c r="M71" s="2465">
        <f>L70*M69</f>
        <v>0</v>
      </c>
      <c r="N71" s="2366"/>
      <c r="O71" s="2465">
        <f>N70*O69</f>
        <v>0</v>
      </c>
      <c r="P71" s="2366"/>
      <c r="Q71" s="2465">
        <f>P70*Q69</f>
        <v>0</v>
      </c>
      <c r="R71" s="2366"/>
      <c r="S71" s="2465">
        <f>R70*S69</f>
        <v>0</v>
      </c>
    </row>
    <row r="72" spans="1:19">
      <c r="A72" s="2358"/>
      <c r="B72" s="2359"/>
      <c r="C72" s="2360"/>
      <c r="D72" s="2360"/>
      <c r="E72" s="2361"/>
      <c r="F72" s="2362"/>
      <c r="G72" s="2363"/>
      <c r="H72" s="2366"/>
      <c r="I72" s="2464"/>
      <c r="J72" s="2366"/>
      <c r="K72" s="2464"/>
      <c r="L72" s="2366"/>
      <c r="M72" s="2464"/>
      <c r="N72" s="2366"/>
      <c r="O72" s="2464"/>
      <c r="P72" s="2366"/>
      <c r="Q72" s="2464"/>
      <c r="R72" s="2366"/>
      <c r="S72" s="2464"/>
    </row>
    <row r="73" spans="1:19">
      <c r="A73" s="2358"/>
      <c r="B73" s="2359"/>
      <c r="C73" s="2360"/>
      <c r="D73" s="2360"/>
      <c r="E73" s="2361"/>
      <c r="F73" s="2362" t="s">
        <v>570</v>
      </c>
      <c r="G73" s="2363"/>
      <c r="H73" s="2368"/>
      <c r="I73" s="2465">
        <f>SUM(I69:I71)</f>
        <v>0</v>
      </c>
      <c r="J73" s="2368"/>
      <c r="K73" s="2465">
        <f>SUM(K69:K71)</f>
        <v>0</v>
      </c>
      <c r="L73" s="2368"/>
      <c r="M73" s="2465">
        <f>SUM(M69:M71)</f>
        <v>0</v>
      </c>
      <c r="N73" s="2368"/>
      <c r="O73" s="2465">
        <f>SUM(O69:O71)</f>
        <v>0</v>
      </c>
      <c r="P73" s="2368"/>
      <c r="Q73" s="2465">
        <f>SUM(Q69:Q71)</f>
        <v>0</v>
      </c>
      <c r="R73" s="2368"/>
      <c r="S73" s="2465">
        <f>SUM(S69:S71)</f>
        <v>0</v>
      </c>
    </row>
    <row r="74" spans="1:19">
      <c r="A74" s="2358"/>
      <c r="B74" s="2359"/>
      <c r="C74" s="2360"/>
      <c r="D74" s="2360"/>
      <c r="E74" s="2361"/>
      <c r="F74" s="2370" t="s">
        <v>571</v>
      </c>
      <c r="G74" s="2371"/>
      <c r="H74" s="2372"/>
      <c r="I74" s="2373" t="e">
        <f>I73/'Area Calculations'!$J$4</f>
        <v>#DIV/0!</v>
      </c>
      <c r="J74" s="2372"/>
      <c r="K74" s="2373" t="e">
        <f>K73/'Area Calculations'!$J$4</f>
        <v>#DIV/0!</v>
      </c>
      <c r="L74" s="2372"/>
      <c r="M74" s="2373" t="e">
        <f>M73/'Area Calculations'!$J$4</f>
        <v>#DIV/0!</v>
      </c>
      <c r="N74" s="2372"/>
      <c r="O74" s="2373" t="e">
        <f>O73/'Area Calculations'!$J$4</f>
        <v>#DIV/0!</v>
      </c>
      <c r="P74" s="2372"/>
      <c r="Q74" s="2373" t="e">
        <f>Q73/'Area Calculations'!$J$4</f>
        <v>#DIV/0!</v>
      </c>
      <c r="R74" s="2372"/>
      <c r="S74" s="2373" t="e">
        <f>S73/'Area Calculations'!$J$4</f>
        <v>#DIV/0!</v>
      </c>
    </row>
    <row r="75" spans="1:19">
      <c r="A75" s="2358"/>
      <c r="B75" s="2359"/>
      <c r="C75" s="2360"/>
      <c r="D75" s="2360"/>
      <c r="E75" s="2361"/>
      <c r="F75" s="2370" t="s">
        <v>572</v>
      </c>
      <c r="G75" s="2374"/>
      <c r="H75" s="2372"/>
      <c r="I75" s="2373" t="e">
        <f>I73/'Area Calculations'!#REF!</f>
        <v>#REF!</v>
      </c>
      <c r="J75" s="2372"/>
      <c r="K75" s="2373" t="e">
        <f>K73/'Area Calculations'!#REF!</f>
        <v>#REF!</v>
      </c>
      <c r="L75" s="2372"/>
      <c r="M75" s="2373" t="e">
        <f>M73/'Area Calculations'!#REF!</f>
        <v>#REF!</v>
      </c>
      <c r="N75" s="2372"/>
      <c r="O75" s="2373" t="e">
        <f>O73/'Area Calculations'!#REF!</f>
        <v>#REF!</v>
      </c>
      <c r="P75" s="2372"/>
      <c r="Q75" s="2373" t="e">
        <f>Q73/'Area Calculations'!#REF!</f>
        <v>#REF!</v>
      </c>
      <c r="R75" s="2372"/>
      <c r="S75" s="2373" t="e">
        <f>S73/'Area Calculations'!#REF!</f>
        <v>#REF!</v>
      </c>
    </row>
    <row r="76" spans="1:19" ht="15.75" thickBot="1">
      <c r="A76" s="2358"/>
      <c r="B76" s="2359"/>
      <c r="C76" s="2360"/>
      <c r="D76" s="2360"/>
      <c r="E76" s="2361"/>
      <c r="F76" s="2362"/>
      <c r="G76" s="2363"/>
      <c r="H76" s="2378"/>
      <c r="I76" s="2378"/>
      <c r="J76" s="2378"/>
      <c r="K76" s="2378"/>
      <c r="L76" s="2378"/>
      <c r="M76" s="2378"/>
      <c r="N76" s="2378"/>
      <c r="O76" s="2378"/>
      <c r="P76" s="2378"/>
      <c r="Q76" s="2378"/>
      <c r="R76" s="2378"/>
      <c r="S76" s="2378"/>
    </row>
    <row r="77" spans="1:19" ht="16.5" thickTop="1" thickBot="1">
      <c r="A77" s="726" t="s">
        <v>573</v>
      </c>
      <c r="B77" s="727"/>
      <c r="C77" s="12"/>
      <c r="D77" s="12"/>
      <c r="E77" s="12"/>
      <c r="F77" s="12"/>
      <c r="G77" s="54"/>
      <c r="H77" s="52"/>
      <c r="I77" s="21"/>
      <c r="J77" s="21"/>
      <c r="K77" s="21"/>
      <c r="L77" s="21"/>
      <c r="M77" s="21"/>
      <c r="N77" s="21"/>
      <c r="O77" s="21"/>
      <c r="P77" s="21"/>
      <c r="Q77" s="21"/>
      <c r="R77" s="21"/>
      <c r="S77" s="21"/>
    </row>
    <row r="78" spans="1:19" ht="15.75" thickTop="1">
      <c r="A78" s="3748"/>
      <c r="B78" s="2404"/>
      <c r="C78" s="3749"/>
      <c r="D78" s="3749"/>
      <c r="E78" s="3749"/>
      <c r="F78" s="3749"/>
      <c r="G78" s="3750"/>
      <c r="H78" s="3751"/>
      <c r="I78" s="3752"/>
      <c r="J78" s="3752"/>
      <c r="K78" s="3752"/>
      <c r="L78" s="3752"/>
      <c r="M78" s="3752"/>
      <c r="N78" s="3752"/>
      <c r="O78" s="3752"/>
      <c r="P78" s="3752"/>
      <c r="Q78" s="3752"/>
      <c r="R78" s="3752"/>
      <c r="S78" s="3752"/>
    </row>
    <row r="79" spans="1:19">
      <c r="A79" s="3748"/>
      <c r="B79" s="2404"/>
      <c r="C79" s="3749"/>
      <c r="D79" s="3749"/>
      <c r="E79" s="3749"/>
      <c r="F79" s="3749"/>
      <c r="G79" s="3750"/>
      <c r="H79" s="3751"/>
      <c r="I79" s="3752"/>
      <c r="J79" s="3752"/>
      <c r="K79" s="3752"/>
      <c r="L79" s="3752"/>
      <c r="M79" s="3752"/>
      <c r="N79" s="3752"/>
      <c r="O79" s="3752"/>
      <c r="P79" s="3752"/>
      <c r="Q79" s="3752"/>
      <c r="R79" s="3752"/>
      <c r="S79" s="3752"/>
    </row>
    <row r="80" spans="1:19" ht="15.75" thickBot="1">
      <c r="A80" s="3748"/>
      <c r="B80" s="2404"/>
      <c r="C80" s="3749"/>
      <c r="D80" s="3749"/>
      <c r="E80" s="3749"/>
      <c r="F80" s="3749"/>
      <c r="G80" s="3750"/>
      <c r="H80" s="3751"/>
      <c r="I80" s="3752"/>
      <c r="J80" s="3752"/>
      <c r="K80" s="3752"/>
      <c r="L80" s="3752"/>
      <c r="M80" s="3752"/>
      <c r="N80" s="3752"/>
      <c r="O80" s="3752"/>
      <c r="P80" s="3752"/>
      <c r="Q80" s="3752"/>
      <c r="R80" s="3752"/>
      <c r="S80" s="3752"/>
    </row>
    <row r="81" spans="1:34" s="2" customFormat="1" ht="16.5" thickTop="1" thickBot="1">
      <c r="A81" s="726" t="s">
        <v>574</v>
      </c>
      <c r="B81" s="727"/>
      <c r="C81" s="12"/>
      <c r="D81" s="12"/>
      <c r="E81" s="12"/>
      <c r="F81" s="12"/>
      <c r="G81" s="54"/>
      <c r="H81" s="52"/>
      <c r="I81" s="21"/>
      <c r="J81" s="21"/>
      <c r="K81" s="21"/>
      <c r="L81" s="21"/>
      <c r="M81" s="21"/>
      <c r="N81" s="21"/>
      <c r="O81" s="21"/>
      <c r="P81" s="21"/>
      <c r="Q81" s="21"/>
      <c r="R81" s="21"/>
      <c r="S81" s="21"/>
      <c r="T81"/>
      <c r="U81"/>
      <c r="V81"/>
      <c r="W81"/>
      <c r="X81"/>
      <c r="Y81"/>
      <c r="Z81"/>
      <c r="AA81"/>
      <c r="AB81"/>
      <c r="AC81"/>
      <c r="AD81"/>
      <c r="AE81"/>
      <c r="AF81"/>
      <c r="AG81"/>
      <c r="AH81"/>
    </row>
    <row r="82" spans="1:34" s="2" customFormat="1" ht="15.75" thickTop="1">
      <c r="A82" s="3748"/>
      <c r="B82" s="2404"/>
      <c r="C82" s="3749"/>
      <c r="D82" s="3749"/>
      <c r="E82" s="3749"/>
      <c r="F82" s="3749"/>
      <c r="G82" s="3750"/>
      <c r="H82" s="3751"/>
      <c r="I82" s="3752"/>
      <c r="J82" s="3752"/>
      <c r="K82" s="3752"/>
      <c r="L82" s="3752"/>
      <c r="M82" s="3752"/>
      <c r="N82" s="3752"/>
      <c r="O82" s="3752"/>
      <c r="P82" s="3752"/>
      <c r="Q82" s="3752"/>
      <c r="R82" s="3752"/>
      <c r="S82" s="3752"/>
      <c r="T82"/>
      <c r="U82"/>
      <c r="V82"/>
      <c r="W82"/>
      <c r="X82"/>
      <c r="Y82"/>
      <c r="Z82"/>
      <c r="AA82"/>
      <c r="AB82"/>
      <c r="AC82"/>
      <c r="AD82"/>
      <c r="AE82"/>
      <c r="AF82"/>
      <c r="AG82"/>
      <c r="AH82"/>
    </row>
    <row r="83" spans="1:34" s="2" customFormat="1">
      <c r="A83" s="3748"/>
      <c r="B83" s="2404"/>
      <c r="C83" s="3749"/>
      <c r="D83" s="3749"/>
      <c r="E83" s="3749"/>
      <c r="F83" s="3749"/>
      <c r="G83" s="3750"/>
      <c r="H83" s="3751"/>
      <c r="I83" s="3752"/>
      <c r="J83" s="3752"/>
      <c r="K83" s="3752"/>
      <c r="L83" s="3752"/>
      <c r="M83" s="3752"/>
      <c r="N83" s="3752"/>
      <c r="O83" s="3752"/>
      <c r="P83" s="3752"/>
      <c r="Q83" s="3752"/>
      <c r="R83" s="3752"/>
      <c r="S83" s="3752"/>
      <c r="T83"/>
      <c r="U83"/>
      <c r="V83"/>
      <c r="W83"/>
      <c r="X83"/>
      <c r="Y83"/>
      <c r="Z83"/>
      <c r="AA83"/>
      <c r="AB83"/>
      <c r="AC83"/>
      <c r="AD83"/>
      <c r="AE83"/>
      <c r="AF83"/>
      <c r="AG83"/>
      <c r="AH83"/>
    </row>
    <row r="84" spans="1:34" ht="15.75" thickBot="1">
      <c r="A84" s="3748"/>
      <c r="B84" s="2404"/>
      <c r="C84" s="3749"/>
      <c r="D84" s="3749"/>
      <c r="E84" s="3749"/>
      <c r="F84" s="3749"/>
      <c r="G84" s="3750"/>
      <c r="H84" s="3751"/>
      <c r="I84" s="3752"/>
      <c r="J84" s="3752"/>
      <c r="K84" s="3752"/>
      <c r="L84" s="3752"/>
      <c r="M84" s="3752"/>
      <c r="N84" s="3752"/>
      <c r="O84" s="3752"/>
      <c r="P84" s="3752"/>
      <c r="Q84" s="3752"/>
      <c r="R84" s="3752"/>
      <c r="S84" s="3752"/>
    </row>
    <row r="85" spans="1:34" s="2" customFormat="1" ht="16.5" thickTop="1" thickBot="1">
      <c r="A85" s="726" t="s">
        <v>575</v>
      </c>
      <c r="B85" s="727"/>
      <c r="C85" s="12"/>
      <c r="D85" s="12"/>
      <c r="E85" s="12"/>
      <c r="F85" s="12"/>
      <c r="G85" s="54"/>
      <c r="H85" s="52"/>
      <c r="I85" s="21"/>
      <c r="J85" s="21"/>
      <c r="K85" s="21"/>
      <c r="L85" s="21"/>
      <c r="M85" s="21"/>
      <c r="N85" s="21"/>
      <c r="O85" s="21"/>
      <c r="P85" s="21"/>
      <c r="Q85" s="21"/>
      <c r="R85" s="21"/>
      <c r="S85" s="21"/>
      <c r="T85"/>
      <c r="U85"/>
      <c r="V85"/>
      <c r="W85"/>
      <c r="X85"/>
      <c r="Y85"/>
      <c r="Z85"/>
      <c r="AA85"/>
      <c r="AB85"/>
      <c r="AC85"/>
      <c r="AD85"/>
      <c r="AE85"/>
      <c r="AF85"/>
      <c r="AG85"/>
      <c r="AH85"/>
    </row>
    <row r="86" spans="1:34" s="2" customFormat="1" ht="15.75" thickTop="1">
      <c r="A86" s="3748"/>
      <c r="B86" s="2404"/>
      <c r="C86" s="3749"/>
      <c r="D86" s="3749"/>
      <c r="E86" s="3749"/>
      <c r="F86" s="3749"/>
      <c r="G86" s="3750"/>
      <c r="H86" s="3751"/>
      <c r="I86" s="3752"/>
      <c r="J86" s="3752"/>
      <c r="K86" s="3752"/>
      <c r="L86" s="3752"/>
      <c r="M86" s="3752"/>
      <c r="N86" s="3752"/>
      <c r="O86" s="3752"/>
      <c r="P86" s="3752"/>
      <c r="Q86" s="3752"/>
      <c r="R86" s="3752"/>
      <c r="S86" s="3752"/>
      <c r="T86"/>
      <c r="U86"/>
      <c r="V86"/>
      <c r="W86"/>
      <c r="X86"/>
      <c r="Y86"/>
      <c r="Z86"/>
      <c r="AA86"/>
      <c r="AB86"/>
      <c r="AC86"/>
      <c r="AD86"/>
      <c r="AE86"/>
      <c r="AF86"/>
      <c r="AG86"/>
      <c r="AH86"/>
    </row>
    <row r="87" spans="1:34" s="2" customFormat="1">
      <c r="A87" s="2421"/>
      <c r="B87" s="2404"/>
      <c r="C87" s="2405"/>
      <c r="D87" s="2405"/>
      <c r="E87" s="2405"/>
      <c r="F87" s="2405"/>
      <c r="G87" s="2552"/>
      <c r="H87" s="2474"/>
      <c r="I87" s="2382"/>
      <c r="J87" s="2382"/>
      <c r="K87" s="2382"/>
      <c r="L87" s="2382"/>
      <c r="M87" s="2382"/>
      <c r="N87" s="2382"/>
      <c r="O87" s="2382"/>
      <c r="P87" s="2382"/>
      <c r="Q87" s="2382"/>
      <c r="R87" s="2382"/>
      <c r="S87" s="2382"/>
      <c r="T87"/>
      <c r="U87"/>
      <c r="V87"/>
      <c r="W87"/>
      <c r="X87"/>
      <c r="Y87"/>
      <c r="Z87"/>
      <c r="AA87"/>
      <c r="AB87"/>
      <c r="AC87"/>
      <c r="AD87"/>
      <c r="AE87"/>
      <c r="AF87"/>
      <c r="AG87"/>
      <c r="AH87"/>
    </row>
    <row r="88" spans="1:34" s="2" customFormat="1" ht="15.75" thickBot="1">
      <c r="A88" s="2383"/>
      <c r="B88" s="2384"/>
      <c r="C88" s="2405"/>
      <c r="D88" s="2405"/>
      <c r="E88" s="2405"/>
      <c r="F88" s="2405"/>
      <c r="G88" s="2552"/>
      <c r="H88" s="2475"/>
      <c r="I88" s="2385"/>
      <c r="J88" s="2385"/>
      <c r="K88" s="2385"/>
      <c r="L88" s="2385"/>
      <c r="M88" s="2385"/>
      <c r="N88" s="2385"/>
      <c r="O88" s="2385"/>
      <c r="P88" s="2385"/>
      <c r="Q88" s="2385"/>
      <c r="R88" s="2385"/>
      <c r="S88" s="2385"/>
    </row>
    <row r="89" spans="1:34" s="2" customFormat="1" ht="16.5" thickTop="1" thickBot="1">
      <c r="A89" s="726" t="s">
        <v>576</v>
      </c>
      <c r="B89" s="727"/>
      <c r="C89" s="12"/>
      <c r="D89" s="12"/>
      <c r="E89" s="12"/>
      <c r="F89" s="12"/>
      <c r="G89" s="54"/>
      <c r="H89" s="52"/>
      <c r="I89" s="21"/>
      <c r="J89" s="21"/>
      <c r="K89" s="21"/>
      <c r="L89" s="21"/>
      <c r="M89" s="21"/>
      <c r="N89" s="21"/>
      <c r="O89" s="21"/>
      <c r="P89" s="21"/>
      <c r="Q89" s="21"/>
      <c r="R89" s="21"/>
      <c r="S89" s="21"/>
      <c r="T89"/>
      <c r="U89"/>
      <c r="V89"/>
      <c r="W89"/>
      <c r="X89"/>
      <c r="Y89"/>
      <c r="Z89"/>
      <c r="AA89"/>
      <c r="AB89"/>
      <c r="AC89"/>
      <c r="AD89"/>
      <c r="AE89"/>
      <c r="AF89"/>
      <c r="AG89"/>
      <c r="AH89"/>
    </row>
    <row r="90" spans="1:34" ht="15.75" thickTop="1">
      <c r="A90" s="3753"/>
      <c r="B90" s="3754"/>
      <c r="C90" s="3749"/>
      <c r="D90" s="3749"/>
      <c r="E90" s="3749"/>
      <c r="F90" s="3749"/>
      <c r="G90" s="3750"/>
      <c r="H90" s="3751"/>
      <c r="I90" s="3752"/>
      <c r="J90" s="3752"/>
      <c r="K90" s="3752"/>
      <c r="L90" s="3752"/>
      <c r="M90" s="3752"/>
      <c r="N90" s="3752"/>
      <c r="O90" s="3752"/>
      <c r="P90" s="3752"/>
      <c r="Q90" s="3752"/>
      <c r="R90" s="3752"/>
      <c r="S90" s="3752"/>
      <c r="T90" s="2"/>
      <c r="U90" s="2"/>
      <c r="V90" s="2"/>
      <c r="W90" s="2"/>
      <c r="X90" s="2"/>
      <c r="Y90" s="2"/>
      <c r="Z90" s="2"/>
      <c r="AA90" s="2"/>
      <c r="AB90" s="2"/>
      <c r="AC90" s="2"/>
      <c r="AD90" s="2"/>
      <c r="AE90" s="2"/>
      <c r="AF90" s="2"/>
      <c r="AG90" s="2"/>
      <c r="AH90" s="2"/>
    </row>
    <row r="91" spans="1:34">
      <c r="A91" s="2383"/>
      <c r="B91" s="2384"/>
      <c r="C91" s="2405"/>
      <c r="D91" s="2405"/>
      <c r="E91" s="2405"/>
      <c r="F91" s="2405"/>
      <c r="G91" s="2552"/>
      <c r="H91" s="2478"/>
      <c r="I91" s="2388"/>
      <c r="J91" s="2388"/>
      <c r="K91" s="2388"/>
      <c r="L91" s="2388"/>
      <c r="M91" s="2388"/>
      <c r="N91" s="2388"/>
      <c r="O91" s="2388"/>
      <c r="P91" s="2388"/>
      <c r="Q91" s="2388"/>
      <c r="R91" s="2388"/>
      <c r="S91" s="2388"/>
      <c r="T91" s="2"/>
      <c r="U91" s="2"/>
      <c r="V91" s="2"/>
      <c r="W91" s="2"/>
      <c r="X91" s="2"/>
      <c r="Y91" s="2"/>
      <c r="Z91" s="2"/>
      <c r="AA91" s="2"/>
      <c r="AB91" s="2"/>
      <c r="AC91" s="2"/>
      <c r="AD91" s="2"/>
      <c r="AE91" s="2"/>
      <c r="AF91" s="2"/>
      <c r="AG91" s="2"/>
      <c r="AH91" s="2"/>
    </row>
    <row r="92" spans="1:34" ht="15.75" thickBot="1">
      <c r="A92" s="2383"/>
      <c r="B92" s="2384"/>
      <c r="C92" s="2405"/>
      <c r="D92" s="2405"/>
      <c r="E92" s="2405"/>
      <c r="F92" s="2405"/>
      <c r="G92" s="2552"/>
      <c r="H92" s="2478"/>
      <c r="I92" s="2388"/>
      <c r="J92" s="2388"/>
      <c r="K92" s="2388"/>
      <c r="L92" s="2388"/>
      <c r="M92" s="2388"/>
      <c r="N92" s="2388"/>
      <c r="O92" s="2388"/>
      <c r="P92" s="2388"/>
      <c r="Q92" s="2388"/>
      <c r="R92" s="2388"/>
      <c r="S92" s="2388"/>
      <c r="T92" s="2"/>
      <c r="U92" s="2"/>
      <c r="V92" s="2"/>
      <c r="W92" s="2"/>
      <c r="X92" s="2"/>
      <c r="Y92" s="2"/>
      <c r="Z92" s="2"/>
      <c r="AA92" s="2"/>
      <c r="AB92" s="2"/>
      <c r="AC92" s="2"/>
      <c r="AD92" s="2"/>
      <c r="AE92" s="2"/>
      <c r="AF92" s="2"/>
      <c r="AG92" s="2"/>
      <c r="AH92" s="2"/>
    </row>
    <row r="93" spans="1:34" ht="16.5" thickTop="1" thickBot="1">
      <c r="A93" s="726" t="s">
        <v>577</v>
      </c>
      <c r="B93" s="727"/>
      <c r="C93" s="12"/>
      <c r="D93" s="12"/>
      <c r="E93" s="12"/>
      <c r="F93" s="12"/>
      <c r="G93" s="54"/>
      <c r="H93" s="52"/>
      <c r="I93" s="21"/>
      <c r="J93" s="21"/>
      <c r="K93" s="21"/>
      <c r="L93" s="21"/>
      <c r="M93" s="21"/>
      <c r="N93" s="21"/>
      <c r="O93" s="21"/>
      <c r="P93" s="21"/>
      <c r="Q93" s="21"/>
      <c r="R93" s="21"/>
      <c r="S93" s="21"/>
    </row>
    <row r="94" spans="1:34" ht="15.75" thickTop="1">
      <c r="A94" s="2421"/>
      <c r="B94" s="2404" t="s">
        <v>578</v>
      </c>
      <c r="C94" s="2405"/>
      <c r="D94" s="2405"/>
      <c r="E94" s="2405"/>
      <c r="F94" s="2405"/>
      <c r="G94" s="2552"/>
      <c r="H94" s="2478"/>
      <c r="I94" s="2388"/>
      <c r="J94" s="2388"/>
      <c r="K94" s="2388"/>
      <c r="L94" s="2388"/>
      <c r="M94" s="2388"/>
      <c r="N94" s="2388"/>
      <c r="O94" s="2388"/>
      <c r="P94" s="2388"/>
      <c r="Q94" s="2388"/>
      <c r="R94" s="2388"/>
      <c r="S94" s="2388"/>
    </row>
    <row r="95" spans="1:34">
      <c r="A95" s="2421"/>
      <c r="B95" s="2404" t="s">
        <v>579</v>
      </c>
      <c r="C95" s="2405"/>
      <c r="D95" s="2405"/>
      <c r="E95" s="2405"/>
      <c r="F95" s="2405"/>
      <c r="G95" s="2552"/>
      <c r="H95" s="2478"/>
      <c r="I95" s="2388"/>
      <c r="J95" s="2388"/>
      <c r="K95" s="2388"/>
      <c r="L95" s="2388"/>
      <c r="M95" s="2388"/>
      <c r="N95" s="2388"/>
      <c r="O95" s="2388"/>
      <c r="P95" s="2388"/>
      <c r="Q95" s="2388"/>
      <c r="R95" s="2388"/>
      <c r="S95" s="2388"/>
    </row>
    <row r="96" spans="1:34">
      <c r="A96" s="2421"/>
      <c r="B96" s="2404" t="s">
        <v>580</v>
      </c>
      <c r="C96" s="2405"/>
      <c r="D96" s="2405"/>
      <c r="E96" s="2405"/>
      <c r="F96" s="2405"/>
      <c r="G96" s="2552"/>
      <c r="H96" s="2478"/>
      <c r="I96" s="2388"/>
      <c r="J96" s="2388"/>
      <c r="K96" s="2388"/>
      <c r="L96" s="2388"/>
      <c r="M96" s="2388"/>
      <c r="N96" s="2388"/>
      <c r="O96" s="2388"/>
      <c r="P96" s="2388"/>
      <c r="Q96" s="2388"/>
      <c r="R96" s="2388"/>
      <c r="S96" s="2388"/>
    </row>
    <row r="97" spans="1:34">
      <c r="A97" s="2421"/>
      <c r="B97" s="2404" t="s">
        <v>581</v>
      </c>
      <c r="C97" s="2405"/>
      <c r="D97" s="2405"/>
      <c r="E97" s="2405"/>
      <c r="F97" s="2405"/>
      <c r="G97" s="2552"/>
      <c r="H97" s="2478"/>
      <c r="I97" s="2388"/>
      <c r="J97" s="2388"/>
      <c r="K97" s="2388"/>
      <c r="L97" s="2388"/>
      <c r="M97" s="2388"/>
      <c r="N97" s="2388"/>
      <c r="O97" s="2388"/>
      <c r="P97" s="2388"/>
      <c r="Q97" s="2388"/>
      <c r="R97" s="2388"/>
      <c r="S97" s="2388"/>
    </row>
    <row r="98" spans="1:34" ht="15.75" thickBot="1">
      <c r="A98" s="416"/>
      <c r="B98" s="295"/>
      <c r="C98" s="184"/>
      <c r="D98" s="184"/>
      <c r="E98" s="184"/>
      <c r="F98" s="184"/>
      <c r="G98" s="417"/>
      <c r="H98" s="53"/>
      <c r="I98" s="418"/>
      <c r="J98" s="418"/>
      <c r="K98" s="418"/>
      <c r="L98" s="418"/>
      <c r="M98" s="418"/>
      <c r="N98" s="418"/>
      <c r="O98" s="418"/>
      <c r="P98" s="418"/>
      <c r="Q98" s="418"/>
      <c r="R98" s="418"/>
      <c r="S98" s="418"/>
    </row>
    <row r="99" spans="1:34" ht="16.5" thickTop="1" thickBot="1">
      <c r="A99" s="7" t="s">
        <v>582</v>
      </c>
      <c r="B99" s="8"/>
      <c r="C99" s="12"/>
      <c r="D99" s="12"/>
      <c r="E99" s="12"/>
      <c r="F99" s="12"/>
      <c r="G99" s="54"/>
      <c r="H99" s="52"/>
      <c r="I99" s="21"/>
      <c r="J99" s="21"/>
      <c r="K99" s="21"/>
      <c r="L99" s="21"/>
      <c r="M99" s="21"/>
      <c r="N99" s="21"/>
      <c r="O99" s="21"/>
      <c r="P99" s="21"/>
      <c r="Q99" s="21"/>
      <c r="R99" s="21"/>
      <c r="S99" s="21"/>
    </row>
    <row r="100" spans="1:34" ht="15.75" thickTop="1">
      <c r="A100" s="3748"/>
      <c r="B100" s="3755" t="s">
        <v>583</v>
      </c>
      <c r="C100" s="3749"/>
      <c r="D100" s="3749"/>
      <c r="E100" s="3749"/>
      <c r="F100" s="3749"/>
      <c r="G100" s="3750"/>
      <c r="H100" s="3671"/>
      <c r="I100" s="3756"/>
      <c r="J100" s="3756"/>
      <c r="K100" s="3756"/>
      <c r="L100" s="3756"/>
      <c r="M100" s="3756"/>
      <c r="N100" s="3756"/>
      <c r="O100" s="3756"/>
      <c r="P100" s="3756"/>
      <c r="Q100" s="3756"/>
      <c r="R100" s="3756"/>
      <c r="S100" s="3756"/>
    </row>
    <row r="101" spans="1:34">
      <c r="A101" s="2421"/>
      <c r="B101" s="2404" t="s">
        <v>584</v>
      </c>
      <c r="C101" s="2405"/>
      <c r="D101" s="2405"/>
      <c r="E101" s="2405"/>
      <c r="F101" s="2405"/>
      <c r="G101" s="2552"/>
      <c r="H101" s="2481"/>
      <c r="I101" s="2390"/>
      <c r="J101" s="2390"/>
      <c r="K101" s="2390"/>
      <c r="L101" s="2390"/>
      <c r="M101" s="2390"/>
      <c r="N101" s="2390"/>
      <c r="O101" s="2390"/>
      <c r="P101" s="2390"/>
      <c r="Q101" s="2390"/>
      <c r="R101" s="2390"/>
      <c r="S101" s="2390"/>
    </row>
    <row r="102" spans="1:34" ht="15.75" thickBot="1">
      <c r="A102" s="2391"/>
      <c r="B102" s="2392" t="s">
        <v>585</v>
      </c>
      <c r="C102" s="2393"/>
      <c r="D102" s="2393"/>
      <c r="E102" s="2393"/>
      <c r="F102" s="2393"/>
      <c r="G102" s="2555"/>
      <c r="H102" s="2482"/>
      <c r="I102" s="2395"/>
      <c r="J102" s="2395"/>
      <c r="K102" s="2395"/>
      <c r="L102" s="2395"/>
      <c r="M102" s="2395"/>
      <c r="N102" s="2395"/>
      <c r="O102" s="2395"/>
      <c r="P102" s="2395"/>
      <c r="Q102" s="2395"/>
      <c r="R102" s="2395"/>
      <c r="S102" s="2395"/>
    </row>
    <row r="103" spans="1:34" ht="16.5" thickTop="1" thickBot="1"/>
    <row r="104" spans="1:34" ht="16.5" thickTop="1" thickBot="1">
      <c r="A104" s="92" t="s">
        <v>586</v>
      </c>
      <c r="B104" s="94" t="s">
        <v>1519</v>
      </c>
    </row>
    <row r="105" spans="1:34" ht="15.75" thickTop="1">
      <c r="A105" s="93" t="s">
        <v>487</v>
      </c>
      <c r="B105" s="2396"/>
    </row>
    <row r="106" spans="1:34">
      <c r="A106" s="2397" t="s">
        <v>491</v>
      </c>
      <c r="B106" s="2396"/>
    </row>
    <row r="107" spans="1:34">
      <c r="A107" s="2398" t="s">
        <v>494</v>
      </c>
      <c r="B107" s="2399"/>
    </row>
    <row r="108" spans="1:34">
      <c r="A108" s="2398" t="s">
        <v>497</v>
      </c>
      <c r="B108" s="2400"/>
    </row>
    <row r="109" spans="1:34" s="2" customFormat="1" ht="15.75" thickBot="1">
      <c r="A109" s="2401" t="s">
        <v>587</v>
      </c>
      <c r="B109" s="2402"/>
      <c r="T109"/>
      <c r="U109"/>
      <c r="V109"/>
      <c r="W109"/>
      <c r="X109"/>
      <c r="Y109"/>
      <c r="Z109"/>
      <c r="AA109"/>
      <c r="AB109"/>
      <c r="AC109"/>
      <c r="AD109"/>
      <c r="AE109"/>
      <c r="AF109"/>
      <c r="AG109"/>
      <c r="AH109"/>
    </row>
    <row r="110" spans="1:34" s="2" customFormat="1" ht="15.75" thickTop="1">
      <c r="A110"/>
      <c r="B110" s="1"/>
      <c r="T110"/>
      <c r="U110"/>
      <c r="V110"/>
      <c r="W110"/>
      <c r="X110"/>
      <c r="Y110"/>
      <c r="Z110"/>
      <c r="AA110"/>
      <c r="AB110"/>
      <c r="AC110"/>
      <c r="AD110"/>
      <c r="AE110"/>
      <c r="AF110"/>
      <c r="AG110"/>
      <c r="AH110"/>
    </row>
    <row r="111" spans="1:34" ht="15.75" thickBot="1"/>
    <row r="112" spans="1:34" ht="16.5" thickTop="1" thickBot="1">
      <c r="A112" s="92" t="s">
        <v>586</v>
      </c>
      <c r="B112" s="94" t="s">
        <v>1520</v>
      </c>
    </row>
    <row r="113" spans="1:2" ht="15.75" thickTop="1">
      <c r="A113" s="93" t="s">
        <v>487</v>
      </c>
      <c r="B113" s="2396"/>
    </row>
    <row r="114" spans="1:2">
      <c r="A114" s="2397" t="s">
        <v>491</v>
      </c>
      <c r="B114" s="2396"/>
    </row>
    <row r="115" spans="1:2">
      <c r="A115" s="2398" t="s">
        <v>494</v>
      </c>
      <c r="B115" s="2399"/>
    </row>
    <row r="116" spans="1:2">
      <c r="A116" s="2398" t="s">
        <v>497</v>
      </c>
      <c r="B116" s="2400"/>
    </row>
    <row r="117" spans="1:2" ht="15.75" thickBot="1">
      <c r="A117" s="2401" t="s">
        <v>587</v>
      </c>
      <c r="B117" s="2402"/>
    </row>
    <row r="118" spans="1:2" ht="15.75" thickTop="1"/>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7:B77"/>
    <mergeCell ref="A81:B81"/>
    <mergeCell ref="A85:B85"/>
    <mergeCell ref="A89:B89"/>
    <mergeCell ref="A93:B93"/>
  </mergeCells>
  <hyperlinks>
    <hyperlink ref="B3" location="'Cost Summary'!A1" display="BACK TO SUMMARY SHEET" xr:uid="{2089BAF4-2A27-4E1B-A417-7C104219C5FA}"/>
  </hyperlinks>
  <pageMargins left="0.7" right="0.7" top="0.75" bottom="0.75" header="0.3" footer="0.3"/>
  <pageSetup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C-B765-4A18-9559-D1F341E36417}">
  <dimension ref="B1:BO206"/>
  <sheetViews>
    <sheetView workbookViewId="0">
      <selection activeCell="C16" sqref="C16"/>
    </sheetView>
  </sheetViews>
  <sheetFormatPr defaultRowHeight="15"/>
  <cols>
    <col min="2" max="2" width="7.7109375" style="165" customWidth="1"/>
    <col min="3" max="3" width="79.42578125" style="166" bestFit="1" customWidth="1"/>
    <col min="4" max="4" width="11.7109375" style="167" bestFit="1" customWidth="1"/>
    <col min="5" max="5" width="7.28515625" style="166" bestFit="1" customWidth="1"/>
    <col min="6" max="6" width="12.28515625" style="168" bestFit="1" customWidth="1"/>
    <col min="7" max="8" width="12.7109375" style="166" bestFit="1" customWidth="1"/>
    <col min="9" max="10" width="11.5703125" style="166" bestFit="1" customWidth="1"/>
    <col min="11" max="11" width="12.7109375" style="166" bestFit="1" customWidth="1"/>
    <col min="12" max="12" width="11.5703125" style="166" bestFit="1" customWidth="1"/>
    <col min="13" max="13" width="10.7109375" style="166" bestFit="1" customWidth="1"/>
    <col min="14" max="15" width="9.7109375" style="166" bestFit="1" customWidth="1"/>
    <col min="16" max="16" width="9.140625" style="166"/>
  </cols>
  <sheetData>
    <row r="1" spans="2:7">
      <c r="B1" s="165" t="s">
        <v>1521</v>
      </c>
    </row>
    <row r="2" spans="2:7">
      <c r="B2" s="165">
        <v>10</v>
      </c>
      <c r="C2" s="166" t="s">
        <v>584</v>
      </c>
      <c r="D2" s="167" t="s">
        <v>1522</v>
      </c>
      <c r="F2" s="168">
        <v>17500</v>
      </c>
      <c r="G2" s="169">
        <v>17500</v>
      </c>
    </row>
    <row r="3" spans="2:7">
      <c r="B3" s="165">
        <v>20</v>
      </c>
      <c r="C3" s="166" t="s">
        <v>1523</v>
      </c>
      <c r="D3" s="167" t="s">
        <v>1522</v>
      </c>
      <c r="F3" s="168">
        <v>33960</v>
      </c>
      <c r="G3" s="169">
        <v>33960</v>
      </c>
    </row>
    <row r="4" spans="2:7">
      <c r="C4" s="169"/>
    </row>
    <row r="5" spans="2:7">
      <c r="B5" s="165" t="s">
        <v>1524</v>
      </c>
    </row>
    <row r="6" spans="2:7">
      <c r="B6" s="165">
        <v>50</v>
      </c>
      <c r="C6" s="166" t="s">
        <v>1525</v>
      </c>
      <c r="D6" s="167" t="s">
        <v>1526</v>
      </c>
      <c r="F6" s="168">
        <v>1</v>
      </c>
      <c r="G6" s="169">
        <v>2600</v>
      </c>
    </row>
    <row r="7" spans="2:7">
      <c r="B7" s="165">
        <v>55</v>
      </c>
      <c r="C7" s="166" t="s">
        <v>1527</v>
      </c>
      <c r="D7" s="167" t="s">
        <v>1528</v>
      </c>
      <c r="F7" s="168">
        <v>800</v>
      </c>
      <c r="G7" s="169">
        <v>4800</v>
      </c>
    </row>
    <row r="8" spans="2:7">
      <c r="B8" s="165">
        <v>70</v>
      </c>
      <c r="C8" s="166" t="s">
        <v>1529</v>
      </c>
      <c r="D8" s="167" t="s">
        <v>1530</v>
      </c>
      <c r="F8" s="168">
        <v>250</v>
      </c>
      <c r="G8" s="169">
        <v>5500</v>
      </c>
    </row>
    <row r="9" spans="2:7">
      <c r="B9" s="165">
        <v>75</v>
      </c>
      <c r="C9" s="166" t="s">
        <v>1531</v>
      </c>
      <c r="D9" s="167" t="s">
        <v>1532</v>
      </c>
      <c r="F9" s="168">
        <v>10</v>
      </c>
      <c r="G9" s="169">
        <v>1000</v>
      </c>
    </row>
    <row r="10" spans="2:7">
      <c r="G10" s="169"/>
    </row>
    <row r="11" spans="2:7">
      <c r="B11" s="165" t="s">
        <v>1533</v>
      </c>
    </row>
    <row r="12" spans="2:7">
      <c r="B12" s="165">
        <v>108</v>
      </c>
      <c r="C12" s="166" t="s">
        <v>1534</v>
      </c>
      <c r="D12" s="167" t="s">
        <v>1522</v>
      </c>
      <c r="F12" s="168">
        <v>31000</v>
      </c>
      <c r="G12" s="169">
        <v>31000</v>
      </c>
    </row>
    <row r="13" spans="2:7">
      <c r="B13" s="165">
        <v>110</v>
      </c>
      <c r="C13" s="166" t="s">
        <v>1535</v>
      </c>
      <c r="D13" s="167" t="s">
        <v>1536</v>
      </c>
      <c r="F13" s="168">
        <v>4.5</v>
      </c>
      <c r="G13" s="169">
        <v>2700</v>
      </c>
    </row>
    <row r="14" spans="2:7">
      <c r="B14" s="165">
        <v>115</v>
      </c>
      <c r="C14" s="166" t="s">
        <v>1537</v>
      </c>
      <c r="D14" s="167" t="s">
        <v>1538</v>
      </c>
      <c r="F14" s="168">
        <v>12</v>
      </c>
      <c r="G14" s="169">
        <v>234000</v>
      </c>
    </row>
    <row r="15" spans="2:7">
      <c r="B15" s="165">
        <v>120</v>
      </c>
      <c r="C15" s="166" t="s">
        <v>1539</v>
      </c>
      <c r="D15" s="167" t="s">
        <v>1540</v>
      </c>
      <c r="F15" s="168">
        <v>0.35</v>
      </c>
      <c r="G15" s="169">
        <v>9905</v>
      </c>
    </row>
    <row r="16" spans="2:7">
      <c r="B16" s="165">
        <v>125</v>
      </c>
      <c r="C16" s="166" t="s">
        <v>1541</v>
      </c>
      <c r="D16" s="167" t="s">
        <v>1540</v>
      </c>
      <c r="F16" s="168">
        <v>1.2</v>
      </c>
      <c r="G16" s="169">
        <v>33960</v>
      </c>
    </row>
    <row r="17" spans="2:7">
      <c r="B17" s="165">
        <v>130</v>
      </c>
      <c r="C17" s="166" t="s">
        <v>1542</v>
      </c>
      <c r="D17" s="167" t="s">
        <v>1522</v>
      </c>
      <c r="F17" s="168">
        <v>34000</v>
      </c>
      <c r="G17" s="169">
        <v>34000</v>
      </c>
    </row>
    <row r="18" spans="2:7">
      <c r="B18" s="165">
        <v>135</v>
      </c>
      <c r="C18" s="166" t="s">
        <v>1543</v>
      </c>
      <c r="D18" s="167" t="s">
        <v>1544</v>
      </c>
      <c r="F18" s="168">
        <v>2.5</v>
      </c>
      <c r="G18" s="169">
        <v>10500</v>
      </c>
    </row>
    <row r="19" spans="2:7">
      <c r="G19" s="169"/>
    </row>
    <row r="20" spans="2:7">
      <c r="B20" s="165" t="s">
        <v>1545</v>
      </c>
    </row>
    <row r="21" spans="2:7">
      <c r="B21" s="165">
        <v>200</v>
      </c>
      <c r="C21" s="166" t="s">
        <v>1450</v>
      </c>
      <c r="D21" s="167" t="s">
        <v>1546</v>
      </c>
      <c r="F21" s="168">
        <v>4.8</v>
      </c>
      <c r="G21" s="169">
        <v>41280</v>
      </c>
    </row>
    <row r="22" spans="2:7">
      <c r="B22" s="165">
        <v>205</v>
      </c>
      <c r="C22" s="166" t="s">
        <v>1451</v>
      </c>
      <c r="D22" s="167" t="s">
        <v>1547</v>
      </c>
      <c r="F22" s="168">
        <v>11</v>
      </c>
      <c r="G22" s="169">
        <v>89100</v>
      </c>
    </row>
    <row r="23" spans="2:7">
      <c r="B23" s="165">
        <v>215</v>
      </c>
      <c r="C23" s="166" t="s">
        <v>1452</v>
      </c>
      <c r="D23" s="167" t="s">
        <v>1548</v>
      </c>
      <c r="F23" s="168">
        <v>6.6</v>
      </c>
      <c r="G23" s="169">
        <v>52800</v>
      </c>
    </row>
    <row r="24" spans="2:7">
      <c r="B24" s="165">
        <v>220</v>
      </c>
      <c r="C24" s="166" t="s">
        <v>1453</v>
      </c>
      <c r="D24" s="167" t="s">
        <v>1548</v>
      </c>
      <c r="F24" s="168">
        <v>7</v>
      </c>
      <c r="G24" s="169">
        <v>56000</v>
      </c>
    </row>
    <row r="25" spans="2:7">
      <c r="B25" s="165">
        <v>225</v>
      </c>
      <c r="C25" s="166" t="s">
        <v>1454</v>
      </c>
      <c r="D25" s="167" t="s">
        <v>1549</v>
      </c>
      <c r="F25" s="168">
        <v>51</v>
      </c>
      <c r="G25" s="169">
        <v>4335</v>
      </c>
    </row>
    <row r="26" spans="2:7">
      <c r="B26" s="165">
        <v>230</v>
      </c>
      <c r="C26" s="166" t="s">
        <v>1455</v>
      </c>
      <c r="D26" s="167" t="s">
        <v>1550</v>
      </c>
      <c r="F26" s="168">
        <v>6</v>
      </c>
      <c r="G26" s="169">
        <v>9000</v>
      </c>
    </row>
    <row r="27" spans="2:7">
      <c r="B27" s="165">
        <v>240</v>
      </c>
      <c r="C27" s="166" t="s">
        <v>1456</v>
      </c>
      <c r="D27" s="167" t="s">
        <v>1551</v>
      </c>
      <c r="F27" s="168">
        <v>11.2</v>
      </c>
      <c r="G27" s="169">
        <v>47600</v>
      </c>
    </row>
    <row r="28" spans="2:7">
      <c r="B28" s="165">
        <v>241</v>
      </c>
      <c r="C28" s="166" t="s">
        <v>1457</v>
      </c>
      <c r="D28" s="167" t="s">
        <v>1552</v>
      </c>
      <c r="F28" s="168">
        <v>17.2</v>
      </c>
      <c r="G28" s="169">
        <v>1892</v>
      </c>
    </row>
    <row r="29" spans="2:7">
      <c r="B29" s="165">
        <v>242</v>
      </c>
      <c r="C29" s="166" t="s">
        <v>1458</v>
      </c>
      <c r="D29" s="167" t="s">
        <v>1553</v>
      </c>
      <c r="F29" s="168">
        <v>19.2</v>
      </c>
      <c r="G29" s="169">
        <v>4800</v>
      </c>
    </row>
    <row r="30" spans="2:7">
      <c r="B30" s="165">
        <v>245</v>
      </c>
      <c r="C30" s="166" t="s">
        <v>1459</v>
      </c>
      <c r="D30" s="167" t="s">
        <v>1554</v>
      </c>
      <c r="F30" s="168">
        <v>21</v>
      </c>
      <c r="G30" s="169">
        <v>3045</v>
      </c>
    </row>
    <row r="31" spans="2:7">
      <c r="B31" s="165">
        <v>250</v>
      </c>
      <c r="C31" s="166" t="s">
        <v>1460</v>
      </c>
      <c r="D31" s="167" t="s">
        <v>1555</v>
      </c>
      <c r="F31" s="168">
        <v>3.8</v>
      </c>
      <c r="G31" s="169">
        <v>53200</v>
      </c>
    </row>
    <row r="32" spans="2:7">
      <c r="B32" s="165">
        <v>252</v>
      </c>
      <c r="C32" s="166" t="s">
        <v>1461</v>
      </c>
      <c r="D32" s="167" t="s">
        <v>1556</v>
      </c>
      <c r="F32" s="168">
        <v>7.2</v>
      </c>
      <c r="G32" s="169">
        <v>864</v>
      </c>
    </row>
    <row r="33" spans="2:7">
      <c r="B33" s="165">
        <v>255</v>
      </c>
      <c r="C33" s="166" t="s">
        <v>1462</v>
      </c>
      <c r="D33" s="167" t="s">
        <v>1557</v>
      </c>
      <c r="F33" s="168">
        <v>800</v>
      </c>
      <c r="G33" s="169">
        <v>5600</v>
      </c>
    </row>
    <row r="34" spans="2:7">
      <c r="B34" s="165">
        <v>256</v>
      </c>
      <c r="C34" s="166" t="s">
        <v>1558</v>
      </c>
      <c r="D34" s="167" t="s">
        <v>1559</v>
      </c>
      <c r="F34" s="168">
        <v>43</v>
      </c>
      <c r="G34" s="169">
        <v>27950</v>
      </c>
    </row>
    <row r="35" spans="2:7">
      <c r="B35" s="165">
        <v>260</v>
      </c>
      <c r="C35" s="166" t="s">
        <v>1464</v>
      </c>
      <c r="D35" s="167" t="s">
        <v>1522</v>
      </c>
      <c r="F35" s="168">
        <v>13650</v>
      </c>
      <c r="G35" s="169">
        <v>13650</v>
      </c>
    </row>
    <row r="36" spans="2:7">
      <c r="G36" s="169"/>
    </row>
    <row r="37" spans="2:7">
      <c r="B37" s="165" t="s">
        <v>1560</v>
      </c>
    </row>
    <row r="38" spans="2:7">
      <c r="B38" s="165">
        <v>300</v>
      </c>
      <c r="C38" s="166" t="s">
        <v>1561</v>
      </c>
      <c r="D38" s="167" t="s">
        <v>1562</v>
      </c>
      <c r="F38" s="168">
        <v>34</v>
      </c>
      <c r="G38" s="169">
        <v>1870</v>
      </c>
    </row>
    <row r="39" spans="2:7">
      <c r="B39" s="165">
        <v>305</v>
      </c>
      <c r="C39" s="166" t="s">
        <v>1563</v>
      </c>
      <c r="D39" s="167" t="s">
        <v>1564</v>
      </c>
      <c r="F39" s="168">
        <v>36</v>
      </c>
      <c r="G39" s="169">
        <v>2736</v>
      </c>
    </row>
    <row r="40" spans="2:7">
      <c r="B40" s="165">
        <v>310</v>
      </c>
      <c r="C40" s="166" t="s">
        <v>1565</v>
      </c>
      <c r="D40" s="167" t="s">
        <v>1566</v>
      </c>
      <c r="F40" s="168">
        <v>43</v>
      </c>
      <c r="G40" s="169">
        <v>11653</v>
      </c>
    </row>
    <row r="41" spans="2:7">
      <c r="B41" s="165">
        <v>315</v>
      </c>
      <c r="C41" s="166" t="s">
        <v>1567</v>
      </c>
      <c r="D41" s="167" t="s">
        <v>1568</v>
      </c>
      <c r="F41" s="168">
        <v>38</v>
      </c>
      <c r="G41" s="169">
        <v>21280</v>
      </c>
    </row>
    <row r="42" spans="2:7">
      <c r="B42" s="165">
        <v>320</v>
      </c>
      <c r="C42" s="166" t="s">
        <v>1569</v>
      </c>
      <c r="D42" s="167" t="s">
        <v>1570</v>
      </c>
      <c r="F42" s="168">
        <v>44</v>
      </c>
      <c r="G42" s="169">
        <v>20548</v>
      </c>
    </row>
    <row r="43" spans="2:7">
      <c r="B43" s="165">
        <v>325</v>
      </c>
      <c r="C43" s="166" t="s">
        <v>1571</v>
      </c>
      <c r="D43" s="167" t="s">
        <v>1572</v>
      </c>
      <c r="F43" s="168">
        <v>50</v>
      </c>
      <c r="G43" s="169">
        <v>7100</v>
      </c>
    </row>
    <row r="44" spans="2:7">
      <c r="B44" s="165">
        <v>330</v>
      </c>
      <c r="C44" s="166" t="s">
        <v>1573</v>
      </c>
      <c r="D44" s="167" t="s">
        <v>1574</v>
      </c>
      <c r="F44" s="168">
        <v>60</v>
      </c>
      <c r="G44" s="169">
        <v>106500</v>
      </c>
    </row>
    <row r="45" spans="2:7">
      <c r="B45" s="165">
        <v>332</v>
      </c>
      <c r="C45" s="166" t="s">
        <v>1575</v>
      </c>
      <c r="D45" s="167" t="s">
        <v>1576</v>
      </c>
      <c r="F45" s="168">
        <v>88</v>
      </c>
      <c r="G45" s="169">
        <v>5368</v>
      </c>
    </row>
    <row r="46" spans="2:7">
      <c r="B46" s="165">
        <v>335</v>
      </c>
      <c r="C46" s="166" t="s">
        <v>1577</v>
      </c>
      <c r="D46" s="167" t="s">
        <v>1578</v>
      </c>
      <c r="F46" s="168">
        <v>95</v>
      </c>
      <c r="G46" s="169">
        <v>14535</v>
      </c>
    </row>
    <row r="47" spans="2:7">
      <c r="B47" s="165">
        <v>340</v>
      </c>
      <c r="C47" s="166" t="s">
        <v>1579</v>
      </c>
      <c r="D47" s="167" t="s">
        <v>1580</v>
      </c>
      <c r="F47" s="168">
        <v>980</v>
      </c>
      <c r="G47" s="169">
        <v>3920</v>
      </c>
    </row>
    <row r="48" spans="2:7">
      <c r="B48" s="165">
        <v>345</v>
      </c>
      <c r="C48" s="166" t="s">
        <v>1581</v>
      </c>
      <c r="D48" s="167" t="s">
        <v>1582</v>
      </c>
      <c r="F48" s="168">
        <v>1700</v>
      </c>
      <c r="G48" s="169">
        <v>13600</v>
      </c>
    </row>
    <row r="49" spans="2:7">
      <c r="B49" s="165">
        <v>350</v>
      </c>
      <c r="C49" s="166" t="s">
        <v>1583</v>
      </c>
      <c r="D49" s="167" t="s">
        <v>1584</v>
      </c>
      <c r="F49" s="168">
        <v>4250</v>
      </c>
      <c r="G49" s="169">
        <v>4250</v>
      </c>
    </row>
    <row r="50" spans="2:7">
      <c r="B50" s="165">
        <v>355</v>
      </c>
      <c r="C50" s="166" t="s">
        <v>1585</v>
      </c>
      <c r="D50" s="167" t="s">
        <v>1584</v>
      </c>
      <c r="F50" s="168">
        <v>4100</v>
      </c>
      <c r="G50" s="169">
        <v>4100</v>
      </c>
    </row>
    <row r="51" spans="2:7">
      <c r="B51" s="165">
        <v>360</v>
      </c>
      <c r="C51" s="166" t="s">
        <v>1586</v>
      </c>
      <c r="D51" s="167" t="s">
        <v>1587</v>
      </c>
      <c r="F51" s="168">
        <v>5200</v>
      </c>
      <c r="G51" s="169">
        <v>26000</v>
      </c>
    </row>
    <row r="52" spans="2:7">
      <c r="B52" s="165">
        <v>362</v>
      </c>
      <c r="C52" s="166" t="s">
        <v>1588</v>
      </c>
      <c r="D52" s="167" t="s">
        <v>1584</v>
      </c>
      <c r="F52" s="168">
        <v>28000</v>
      </c>
      <c r="G52" s="169">
        <v>28000</v>
      </c>
    </row>
    <row r="53" spans="2:7">
      <c r="B53" s="165">
        <v>364</v>
      </c>
      <c r="C53" s="166" t="s">
        <v>1589</v>
      </c>
      <c r="D53" s="167" t="s">
        <v>1582</v>
      </c>
      <c r="F53" s="168">
        <v>4700</v>
      </c>
      <c r="G53" s="169">
        <v>37600</v>
      </c>
    </row>
    <row r="54" spans="2:7">
      <c r="B54" s="165">
        <v>366</v>
      </c>
      <c r="C54" s="166" t="s">
        <v>1590</v>
      </c>
      <c r="D54" s="167" t="s">
        <v>1591</v>
      </c>
      <c r="F54" s="168">
        <v>4600</v>
      </c>
      <c r="G54" s="169">
        <v>41400</v>
      </c>
    </row>
    <row r="55" spans="2:7">
      <c r="B55" s="165">
        <v>368</v>
      </c>
      <c r="C55" s="166" t="s">
        <v>1592</v>
      </c>
      <c r="D55" s="167" t="s">
        <v>1593</v>
      </c>
      <c r="F55" s="168">
        <v>4550</v>
      </c>
      <c r="G55" s="169">
        <v>9100</v>
      </c>
    </row>
    <row r="56" spans="2:7">
      <c r="B56" s="165">
        <v>369</v>
      </c>
      <c r="C56" s="166" t="s">
        <v>1594</v>
      </c>
      <c r="D56" s="167" t="s">
        <v>1584</v>
      </c>
      <c r="F56" s="168">
        <v>4400</v>
      </c>
      <c r="G56" s="169">
        <v>4400</v>
      </c>
    </row>
    <row r="57" spans="2:7">
      <c r="B57" s="165">
        <v>370</v>
      </c>
      <c r="C57" s="166" t="s">
        <v>1595</v>
      </c>
      <c r="D57" s="167" t="s">
        <v>1584</v>
      </c>
      <c r="F57" s="168">
        <v>5400</v>
      </c>
      <c r="G57" s="169">
        <v>5400</v>
      </c>
    </row>
    <row r="58" spans="2:7">
      <c r="B58" s="165">
        <v>380</v>
      </c>
      <c r="C58" s="166" t="s">
        <v>1596</v>
      </c>
      <c r="D58" s="167" t="s">
        <v>1597</v>
      </c>
      <c r="F58" s="168">
        <v>10</v>
      </c>
      <c r="G58" s="169">
        <v>35600</v>
      </c>
    </row>
    <row r="59" spans="2:7">
      <c r="B59" s="165">
        <v>385</v>
      </c>
      <c r="C59" s="166" t="s">
        <v>1598</v>
      </c>
      <c r="D59" s="167" t="s">
        <v>1597</v>
      </c>
      <c r="F59" s="168">
        <v>5</v>
      </c>
      <c r="G59" s="169">
        <v>17800</v>
      </c>
    </row>
    <row r="60" spans="2:7">
      <c r="G60" s="169"/>
    </row>
    <row r="61" spans="2:7">
      <c r="B61" s="165" t="s">
        <v>1599</v>
      </c>
    </row>
    <row r="62" spans="2:7">
      <c r="B62" s="165">
        <v>405</v>
      </c>
      <c r="C62" s="166" t="s">
        <v>1600</v>
      </c>
      <c r="D62" s="167" t="s">
        <v>1601</v>
      </c>
      <c r="F62" s="168">
        <v>46</v>
      </c>
      <c r="G62" s="169">
        <v>1380</v>
      </c>
    </row>
    <row r="63" spans="2:7">
      <c r="B63" s="165">
        <v>410</v>
      </c>
      <c r="C63" s="166" t="s">
        <v>1602</v>
      </c>
      <c r="D63" s="167" t="s">
        <v>1603</v>
      </c>
      <c r="F63" s="168">
        <v>50</v>
      </c>
      <c r="G63" s="169">
        <v>11000</v>
      </c>
    </row>
    <row r="64" spans="2:7">
      <c r="B64" s="165">
        <v>415</v>
      </c>
      <c r="C64" s="166" t="s">
        <v>1604</v>
      </c>
      <c r="D64" s="167" t="s">
        <v>1584</v>
      </c>
      <c r="F64" s="168">
        <v>6500</v>
      </c>
      <c r="G64" s="169">
        <v>6500</v>
      </c>
    </row>
    <row r="65" spans="2:7">
      <c r="B65" s="165">
        <v>420</v>
      </c>
      <c r="C65" s="166" t="s">
        <v>1605</v>
      </c>
      <c r="D65" s="167" t="s">
        <v>1584</v>
      </c>
      <c r="F65" s="168">
        <v>7600</v>
      </c>
      <c r="G65" s="169">
        <v>7600</v>
      </c>
    </row>
    <row r="66" spans="2:7">
      <c r="B66" s="165">
        <v>425</v>
      </c>
      <c r="C66" s="166" t="s">
        <v>1606</v>
      </c>
      <c r="D66" s="167" t="s">
        <v>1607</v>
      </c>
      <c r="F66" s="168">
        <v>40</v>
      </c>
      <c r="G66" s="169">
        <v>11120</v>
      </c>
    </row>
    <row r="67" spans="2:7">
      <c r="B67" s="165">
        <v>426</v>
      </c>
      <c r="C67" s="166" t="s">
        <v>1608</v>
      </c>
      <c r="D67" s="167" t="s">
        <v>1522</v>
      </c>
      <c r="F67" s="168">
        <v>2700</v>
      </c>
      <c r="G67" s="169">
        <v>2700</v>
      </c>
    </row>
    <row r="68" spans="2:7">
      <c r="B68" s="165">
        <v>428</v>
      </c>
      <c r="C68" s="166" t="s">
        <v>1609</v>
      </c>
      <c r="D68" s="167" t="s">
        <v>1593</v>
      </c>
      <c r="F68" s="168">
        <v>10000</v>
      </c>
      <c r="G68" s="169">
        <v>20000</v>
      </c>
    </row>
    <row r="69" spans="2:7">
      <c r="B69" s="165">
        <v>440</v>
      </c>
      <c r="C69" s="166" t="s">
        <v>1610</v>
      </c>
      <c r="D69" s="167" t="s">
        <v>1553</v>
      </c>
      <c r="F69" s="168">
        <v>10</v>
      </c>
      <c r="G69" s="169">
        <v>2500</v>
      </c>
    </row>
    <row r="70" spans="2:7">
      <c r="B70" s="165">
        <v>445</v>
      </c>
      <c r="C70" s="166" t="s">
        <v>1611</v>
      </c>
      <c r="D70" s="167" t="s">
        <v>1553</v>
      </c>
      <c r="F70" s="168">
        <v>5</v>
      </c>
      <c r="G70" s="169">
        <v>1250</v>
      </c>
    </row>
    <row r="71" spans="2:7">
      <c r="G71" s="169"/>
    </row>
    <row r="72" spans="2:7">
      <c r="B72" s="165" t="s">
        <v>1612</v>
      </c>
    </row>
    <row r="73" spans="2:7">
      <c r="B73" s="165">
        <v>460</v>
      </c>
      <c r="C73" s="166" t="s">
        <v>1613</v>
      </c>
      <c r="D73" s="167" t="s">
        <v>1614</v>
      </c>
      <c r="F73" s="168">
        <v>45</v>
      </c>
      <c r="G73" s="169">
        <v>13725</v>
      </c>
    </row>
    <row r="74" spans="2:7">
      <c r="B74" s="165">
        <v>470</v>
      </c>
      <c r="C74" s="166" t="s">
        <v>1615</v>
      </c>
      <c r="D74" s="167" t="s">
        <v>1522</v>
      </c>
      <c r="F74" s="168">
        <v>2300</v>
      </c>
      <c r="G74" s="169">
        <v>2300</v>
      </c>
    </row>
    <row r="75" spans="2:7">
      <c r="B75" s="165">
        <v>475</v>
      </c>
      <c r="C75" s="166" t="s">
        <v>1616</v>
      </c>
      <c r="D75" s="167" t="s">
        <v>1522</v>
      </c>
      <c r="F75" s="168">
        <v>132000</v>
      </c>
      <c r="G75" s="169">
        <v>132000</v>
      </c>
    </row>
    <row r="76" spans="2:7">
      <c r="B76" s="165">
        <v>485</v>
      </c>
      <c r="C76" s="166" t="s">
        <v>1610</v>
      </c>
      <c r="D76" s="167" t="s">
        <v>1614</v>
      </c>
      <c r="F76" s="168">
        <v>10</v>
      </c>
      <c r="G76" s="169">
        <v>3050</v>
      </c>
    </row>
    <row r="77" spans="2:7">
      <c r="B77" s="165">
        <v>490</v>
      </c>
      <c r="C77" s="166" t="s">
        <v>1617</v>
      </c>
      <c r="D77" s="167" t="s">
        <v>1614</v>
      </c>
      <c r="F77" s="168">
        <v>5</v>
      </c>
      <c r="G77" s="169">
        <v>1525</v>
      </c>
    </row>
    <row r="78" spans="2:7">
      <c r="G78" s="169"/>
    </row>
    <row r="79" spans="2:7">
      <c r="B79" s="165" t="s">
        <v>1618</v>
      </c>
    </row>
    <row r="80" spans="2:7">
      <c r="B80" s="165">
        <v>505</v>
      </c>
      <c r="C80" s="166" t="s">
        <v>1619</v>
      </c>
      <c r="D80" s="167" t="s">
        <v>1620</v>
      </c>
      <c r="F80" s="168">
        <v>30</v>
      </c>
      <c r="G80" s="169">
        <v>40290</v>
      </c>
    </row>
    <row r="81" spans="2:7">
      <c r="B81" s="165">
        <v>506</v>
      </c>
      <c r="C81" s="166" t="s">
        <v>1621</v>
      </c>
      <c r="D81" s="167" t="s">
        <v>1622</v>
      </c>
      <c r="F81" s="168">
        <v>45</v>
      </c>
      <c r="G81" s="169">
        <v>2250</v>
      </c>
    </row>
    <row r="82" spans="2:7">
      <c r="B82" s="165">
        <v>510</v>
      </c>
      <c r="C82" s="166" t="s">
        <v>1623</v>
      </c>
      <c r="D82" s="167" t="s">
        <v>1580</v>
      </c>
      <c r="F82" s="168">
        <v>2600</v>
      </c>
      <c r="G82" s="169">
        <v>10400</v>
      </c>
    </row>
    <row r="83" spans="2:7">
      <c r="B83" s="165">
        <v>515</v>
      </c>
      <c r="C83" s="166" t="s">
        <v>1624</v>
      </c>
      <c r="D83" s="167" t="s">
        <v>1552</v>
      </c>
      <c r="F83" s="168">
        <v>28</v>
      </c>
      <c r="G83" s="169">
        <v>3080</v>
      </c>
    </row>
    <row r="84" spans="2:7">
      <c r="B84" s="165">
        <v>520</v>
      </c>
      <c r="C84" s="166" t="s">
        <v>1625</v>
      </c>
      <c r="D84" s="167" t="s">
        <v>1593</v>
      </c>
      <c r="F84" s="168">
        <v>2350</v>
      </c>
      <c r="G84" s="169">
        <v>4700</v>
      </c>
    </row>
    <row r="85" spans="2:7">
      <c r="B85" s="165">
        <v>525</v>
      </c>
      <c r="C85" s="166" t="s">
        <v>1626</v>
      </c>
      <c r="D85" s="167" t="s">
        <v>1522</v>
      </c>
      <c r="F85" s="168">
        <v>22000</v>
      </c>
      <c r="G85" s="169">
        <v>22000</v>
      </c>
    </row>
    <row r="86" spans="2:7">
      <c r="B86" s="165">
        <v>530</v>
      </c>
      <c r="C86" s="166" t="s">
        <v>1627</v>
      </c>
      <c r="D86" s="167" t="s">
        <v>1580</v>
      </c>
      <c r="F86" s="168">
        <v>5300</v>
      </c>
      <c r="G86" s="169">
        <v>21200</v>
      </c>
    </row>
    <row r="87" spans="2:7">
      <c r="B87" s="165">
        <v>535</v>
      </c>
      <c r="C87" s="166" t="s">
        <v>1628</v>
      </c>
      <c r="D87" s="167" t="s">
        <v>1584</v>
      </c>
      <c r="F87" s="168">
        <v>1800</v>
      </c>
      <c r="G87" s="169">
        <v>1800</v>
      </c>
    </row>
    <row r="88" spans="2:7">
      <c r="B88" s="165">
        <v>540</v>
      </c>
      <c r="C88" s="166" t="s">
        <v>1615</v>
      </c>
      <c r="D88" s="167" t="s">
        <v>1522</v>
      </c>
      <c r="F88" s="168">
        <v>3550</v>
      </c>
      <c r="G88" s="169">
        <v>3550</v>
      </c>
    </row>
    <row r="89" spans="2:7">
      <c r="B89" s="165">
        <v>545</v>
      </c>
      <c r="C89" s="166" t="s">
        <v>1629</v>
      </c>
      <c r="D89" s="167" t="s">
        <v>1584</v>
      </c>
      <c r="F89" s="168">
        <v>2500</v>
      </c>
      <c r="G89" s="169">
        <v>2500</v>
      </c>
    </row>
    <row r="90" spans="2:7">
      <c r="B90" s="165">
        <v>550</v>
      </c>
      <c r="C90" s="166" t="s">
        <v>1630</v>
      </c>
      <c r="D90" s="167" t="s">
        <v>1522</v>
      </c>
      <c r="F90" s="168">
        <v>2800</v>
      </c>
      <c r="G90" s="169">
        <v>2800</v>
      </c>
    </row>
    <row r="91" spans="2:7">
      <c r="G91" s="169"/>
    </row>
    <row r="92" spans="2:7">
      <c r="B92" s="165" t="s">
        <v>1631</v>
      </c>
    </row>
    <row r="93" spans="2:7">
      <c r="B93" s="165">
        <v>600</v>
      </c>
      <c r="C93" s="166" t="s">
        <v>1632</v>
      </c>
      <c r="D93" s="167" t="s">
        <v>1633</v>
      </c>
      <c r="F93" s="168">
        <v>70</v>
      </c>
      <c r="G93" s="169">
        <v>9450</v>
      </c>
    </row>
    <row r="94" spans="2:7">
      <c r="B94" s="165">
        <v>605</v>
      </c>
      <c r="C94" s="166" t="s">
        <v>1634</v>
      </c>
      <c r="D94" s="167" t="s">
        <v>1584</v>
      </c>
      <c r="F94" s="168">
        <v>10000</v>
      </c>
      <c r="G94" s="169">
        <v>10000</v>
      </c>
    </row>
    <row r="95" spans="2:7">
      <c r="B95" s="165">
        <v>610</v>
      </c>
      <c r="C95" s="166" t="s">
        <v>1635</v>
      </c>
      <c r="D95" s="167" t="s">
        <v>1636</v>
      </c>
      <c r="F95" s="168">
        <v>28</v>
      </c>
      <c r="G95" s="169">
        <v>420</v>
      </c>
    </row>
    <row r="96" spans="2:7">
      <c r="B96" s="165">
        <v>615</v>
      </c>
      <c r="C96" s="166" t="s">
        <v>1637</v>
      </c>
      <c r="D96" s="167" t="s">
        <v>1522</v>
      </c>
      <c r="F96" s="168">
        <v>2100</v>
      </c>
      <c r="G96" s="169">
        <v>2100</v>
      </c>
    </row>
    <row r="97" spans="2:10">
      <c r="B97" s="165">
        <v>620</v>
      </c>
      <c r="C97" s="166" t="s">
        <v>1638</v>
      </c>
      <c r="D97" s="167" t="s">
        <v>1584</v>
      </c>
      <c r="F97" s="168">
        <v>2500</v>
      </c>
      <c r="G97" s="169">
        <v>2500</v>
      </c>
    </row>
    <row r="98" spans="2:10">
      <c r="B98" s="165">
        <v>625</v>
      </c>
      <c r="C98" s="166" t="s">
        <v>1639</v>
      </c>
      <c r="D98" s="167" t="s">
        <v>1584</v>
      </c>
      <c r="F98" s="168">
        <v>1800</v>
      </c>
      <c r="G98" s="169">
        <v>1800</v>
      </c>
    </row>
    <row r="99" spans="2:10">
      <c r="B99" s="165">
        <v>630</v>
      </c>
      <c r="C99" s="166" t="s">
        <v>1640</v>
      </c>
      <c r="D99" s="167" t="s">
        <v>1522</v>
      </c>
      <c r="F99" s="168">
        <v>2200</v>
      </c>
      <c r="G99" s="169">
        <v>2200</v>
      </c>
    </row>
    <row r="100" spans="2:10">
      <c r="G100" s="169"/>
    </row>
    <row r="101" spans="2:10">
      <c r="B101" s="165" t="s">
        <v>1521</v>
      </c>
    </row>
    <row r="102" spans="2:10">
      <c r="B102" s="165">
        <v>10</v>
      </c>
      <c r="C102" s="166" t="s">
        <v>584</v>
      </c>
      <c r="D102" s="167" t="s">
        <v>1522</v>
      </c>
      <c r="F102" s="168">
        <v>17500</v>
      </c>
      <c r="G102" s="169">
        <v>17500</v>
      </c>
    </row>
    <row r="103" spans="2:10">
      <c r="B103" s="165">
        <v>20</v>
      </c>
      <c r="C103" s="166" t="s">
        <v>1523</v>
      </c>
      <c r="D103" s="167" t="s">
        <v>1522</v>
      </c>
      <c r="F103" s="168">
        <v>12040</v>
      </c>
      <c r="G103" s="169">
        <v>12040</v>
      </c>
    </row>
    <row r="104" spans="2:10">
      <c r="B104" s="165">
        <v>30</v>
      </c>
      <c r="C104" s="166" t="s">
        <v>1641</v>
      </c>
      <c r="D104" s="167" t="s">
        <v>1522</v>
      </c>
      <c r="F104" s="168">
        <v>10000</v>
      </c>
      <c r="G104" s="169">
        <v>10000</v>
      </c>
    </row>
    <row r="105" spans="2:10">
      <c r="C105" s="169"/>
    </row>
    <row r="106" spans="2:10">
      <c r="B106" s="165" t="s">
        <v>1524</v>
      </c>
    </row>
    <row r="107" spans="2:10">
      <c r="B107" s="165">
        <v>50</v>
      </c>
      <c r="C107" s="166" t="s">
        <v>1525</v>
      </c>
      <c r="D107" s="167" t="s">
        <v>1642</v>
      </c>
      <c r="F107" s="168">
        <v>1</v>
      </c>
      <c r="G107" s="169">
        <v>1700</v>
      </c>
    </row>
    <row r="108" spans="2:10">
      <c r="B108" s="165">
        <v>55</v>
      </c>
      <c r="C108" s="166" t="s">
        <v>1527</v>
      </c>
      <c r="F108" s="168" t="s">
        <v>1528</v>
      </c>
      <c r="H108" s="169">
        <v>800</v>
      </c>
      <c r="J108" s="169">
        <v>4800</v>
      </c>
    </row>
    <row r="109" spans="2:10">
      <c r="B109" s="165">
        <v>60</v>
      </c>
      <c r="C109" s="166" t="s">
        <v>1643</v>
      </c>
      <c r="F109" s="168" t="s">
        <v>1584</v>
      </c>
      <c r="G109" s="169">
        <v>3200</v>
      </c>
      <c r="I109" s="169">
        <v>3200</v>
      </c>
    </row>
    <row r="110" spans="2:10">
      <c r="B110" s="165">
        <v>65</v>
      </c>
      <c r="C110" s="166" t="s">
        <v>1644</v>
      </c>
      <c r="D110" s="167" t="s">
        <v>1645</v>
      </c>
      <c r="F110" s="168">
        <v>1870</v>
      </c>
      <c r="G110" s="169">
        <v>22440</v>
      </c>
    </row>
    <row r="111" spans="2:10">
      <c r="B111" s="165">
        <v>70</v>
      </c>
      <c r="C111" s="166" t="s">
        <v>1529</v>
      </c>
      <c r="F111" s="168" t="s">
        <v>1582</v>
      </c>
      <c r="H111" s="169">
        <v>250</v>
      </c>
      <c r="J111" s="169">
        <v>2000</v>
      </c>
    </row>
    <row r="112" spans="2:10">
      <c r="C112" s="169"/>
    </row>
    <row r="113" spans="2:14">
      <c r="B113" s="165" t="s">
        <v>1533</v>
      </c>
    </row>
    <row r="114" spans="2:14">
      <c r="B114" s="165">
        <v>100</v>
      </c>
      <c r="C114" s="166" t="s">
        <v>1646</v>
      </c>
      <c r="D114" s="167" t="s">
        <v>1647</v>
      </c>
      <c r="F114" s="168">
        <v>5</v>
      </c>
      <c r="G114" s="169">
        <v>4500</v>
      </c>
    </row>
    <row r="115" spans="2:14">
      <c r="B115" s="165">
        <v>105</v>
      </c>
      <c r="C115" s="166" t="s">
        <v>1648</v>
      </c>
      <c r="H115" s="166" t="s">
        <v>1522</v>
      </c>
      <c r="J115" s="169">
        <v>2600</v>
      </c>
      <c r="M115" s="169">
        <v>2600</v>
      </c>
    </row>
    <row r="116" spans="2:14">
      <c r="B116" s="165">
        <v>108</v>
      </c>
      <c r="C116" s="166" t="s">
        <v>1534</v>
      </c>
      <c r="H116" s="166" t="s">
        <v>1522</v>
      </c>
      <c r="I116" s="169">
        <v>13400</v>
      </c>
      <c r="K116" s="169">
        <v>13400</v>
      </c>
    </row>
    <row r="117" spans="2:14">
      <c r="B117" s="165">
        <v>110</v>
      </c>
      <c r="C117" s="166" t="s">
        <v>1535</v>
      </c>
      <c r="G117" s="166" t="s">
        <v>1649</v>
      </c>
      <c r="K117" s="169">
        <v>4.5</v>
      </c>
      <c r="N117" s="169">
        <v>3150</v>
      </c>
    </row>
    <row r="118" spans="2:14">
      <c r="B118" s="165">
        <v>115</v>
      </c>
      <c r="C118" s="166" t="s">
        <v>1537</v>
      </c>
      <c r="D118" s="167" t="s">
        <v>1650</v>
      </c>
      <c r="H118" s="169">
        <v>12</v>
      </c>
      <c r="I118" s="169">
        <v>138000</v>
      </c>
    </row>
    <row r="119" spans="2:14">
      <c r="B119" s="165">
        <v>120</v>
      </c>
      <c r="C119" s="166" t="s">
        <v>1539</v>
      </c>
      <c r="D119" s="167" t="s">
        <v>1651</v>
      </c>
      <c r="I119" s="169">
        <v>0.35</v>
      </c>
      <c r="L119" s="169">
        <v>4060</v>
      </c>
    </row>
    <row r="120" spans="2:14">
      <c r="B120" s="165">
        <v>125</v>
      </c>
      <c r="C120" s="166" t="s">
        <v>1541</v>
      </c>
      <c r="D120" s="167" t="s">
        <v>1651</v>
      </c>
      <c r="I120" s="169">
        <v>1.2</v>
      </c>
      <c r="K120" s="169">
        <v>13920</v>
      </c>
    </row>
    <row r="121" spans="2:14">
      <c r="B121" s="165">
        <v>135</v>
      </c>
      <c r="C121" s="166" t="s">
        <v>1543</v>
      </c>
      <c r="F121" s="168" t="s">
        <v>1652</v>
      </c>
      <c r="J121" s="169">
        <v>2.5</v>
      </c>
      <c r="M121" s="169">
        <v>9500</v>
      </c>
    </row>
    <row r="122" spans="2:14">
      <c r="C122" s="169"/>
    </row>
    <row r="123" spans="2:14">
      <c r="B123" s="165" t="s">
        <v>1545</v>
      </c>
    </row>
    <row r="124" spans="2:14">
      <c r="B124" s="165">
        <v>200</v>
      </c>
      <c r="C124" s="166" t="s">
        <v>1450</v>
      </c>
      <c r="D124" s="167" t="s">
        <v>1653</v>
      </c>
      <c r="F124" s="168">
        <v>4.8</v>
      </c>
      <c r="G124" s="169">
        <v>11520</v>
      </c>
    </row>
    <row r="125" spans="2:14">
      <c r="B125" s="165">
        <v>205</v>
      </c>
      <c r="C125" s="166" t="s">
        <v>1451</v>
      </c>
      <c r="D125" s="167" t="s">
        <v>1654</v>
      </c>
      <c r="F125" s="168">
        <v>11</v>
      </c>
      <c r="G125" s="169">
        <v>25300</v>
      </c>
    </row>
    <row r="126" spans="2:14">
      <c r="B126" s="165">
        <v>210</v>
      </c>
      <c r="C126" s="166" t="s">
        <v>1655</v>
      </c>
      <c r="F126" s="168" t="s">
        <v>1656</v>
      </c>
      <c r="G126" s="169">
        <v>14.2</v>
      </c>
      <c r="I126" s="169">
        <v>2130</v>
      </c>
    </row>
    <row r="127" spans="2:14">
      <c r="B127" s="165">
        <v>215</v>
      </c>
      <c r="C127" s="166" t="s">
        <v>1452</v>
      </c>
      <c r="D127" s="167" t="s">
        <v>1657</v>
      </c>
      <c r="G127" s="169">
        <v>6.6</v>
      </c>
      <c r="H127" s="169">
        <v>14520</v>
      </c>
    </row>
    <row r="128" spans="2:14">
      <c r="B128" s="165">
        <v>220</v>
      </c>
      <c r="C128" s="166" t="s">
        <v>1453</v>
      </c>
      <c r="D128" s="167" t="s">
        <v>1657</v>
      </c>
      <c r="G128" s="169">
        <v>7</v>
      </c>
      <c r="H128" s="169">
        <v>15400</v>
      </c>
    </row>
    <row r="129" spans="2:10">
      <c r="B129" s="165">
        <v>225</v>
      </c>
      <c r="C129" s="166" t="s">
        <v>1658</v>
      </c>
      <c r="G129" s="166" t="s">
        <v>1659</v>
      </c>
      <c r="H129" s="169">
        <v>51</v>
      </c>
      <c r="J129" s="169">
        <v>3315</v>
      </c>
    </row>
    <row r="130" spans="2:10">
      <c r="B130" s="165" t="s">
        <v>1660</v>
      </c>
    </row>
    <row r="131" spans="2:10">
      <c r="B131" s="165">
        <v>240</v>
      </c>
      <c r="C131" s="166" t="s">
        <v>1456</v>
      </c>
      <c r="D131" s="167" t="s">
        <v>1661</v>
      </c>
      <c r="F131" s="168">
        <v>11.2</v>
      </c>
      <c r="G131" s="169">
        <v>7840</v>
      </c>
    </row>
    <row r="132" spans="2:10">
      <c r="B132" s="165">
        <v>245</v>
      </c>
      <c r="C132" s="166" t="s">
        <v>1459</v>
      </c>
      <c r="D132" s="167" t="s">
        <v>1662</v>
      </c>
      <c r="H132" s="169">
        <v>21</v>
      </c>
      <c r="I132" s="169">
        <v>6720</v>
      </c>
    </row>
    <row r="133" spans="2:10">
      <c r="B133" s="165">
        <v>250</v>
      </c>
      <c r="C133" s="166" t="s">
        <v>1460</v>
      </c>
      <c r="D133" s="167" t="s">
        <v>1663</v>
      </c>
      <c r="I133" s="169">
        <v>3.8</v>
      </c>
      <c r="J133" s="169">
        <v>2470</v>
      </c>
    </row>
    <row r="134" spans="2:10">
      <c r="B134" s="165">
        <v>255</v>
      </c>
      <c r="C134" s="166" t="s">
        <v>1462</v>
      </c>
      <c r="F134" s="168" t="s">
        <v>1580</v>
      </c>
      <c r="H134" s="169">
        <v>800</v>
      </c>
      <c r="I134" s="169">
        <v>3200</v>
      </c>
    </row>
    <row r="135" spans="2:10">
      <c r="B135" s="165">
        <v>260</v>
      </c>
      <c r="C135" s="166" t="s">
        <v>1464</v>
      </c>
      <c r="F135" s="168" t="s">
        <v>1522</v>
      </c>
      <c r="G135" s="169">
        <v>6050</v>
      </c>
      <c r="H135" s="169">
        <v>6050</v>
      </c>
    </row>
    <row r="136" spans="2:10">
      <c r="C136" s="169"/>
    </row>
    <row r="137" spans="2:10">
      <c r="B137" s="165" t="s">
        <v>1664</v>
      </c>
    </row>
    <row r="138" spans="2:10">
      <c r="B138" s="165">
        <v>265</v>
      </c>
      <c r="C138" s="170" t="s">
        <v>1450</v>
      </c>
      <c r="D138" s="167" t="s">
        <v>1665</v>
      </c>
      <c r="F138" s="168">
        <v>5.3</v>
      </c>
      <c r="G138" s="169">
        <v>1113</v>
      </c>
    </row>
    <row r="139" spans="2:10">
      <c r="B139" s="165">
        <v>270</v>
      </c>
      <c r="C139" s="166" t="s">
        <v>1666</v>
      </c>
      <c r="D139" s="167" t="s">
        <v>1667</v>
      </c>
      <c r="F139" s="168">
        <v>16.8</v>
      </c>
      <c r="G139" s="167"/>
      <c r="H139" s="169">
        <v>3360</v>
      </c>
    </row>
    <row r="140" spans="2:10">
      <c r="B140" s="165">
        <v>275</v>
      </c>
      <c r="C140" s="166" t="s">
        <v>1668</v>
      </c>
      <c r="D140" s="167" t="s">
        <v>1667</v>
      </c>
      <c r="F140" s="168">
        <v>75</v>
      </c>
      <c r="G140" s="169">
        <v>15000</v>
      </c>
    </row>
    <row r="141" spans="2:10">
      <c r="B141" s="165">
        <v>280</v>
      </c>
      <c r="C141" s="166" t="s">
        <v>1669</v>
      </c>
      <c r="D141" s="167" t="s">
        <v>1667</v>
      </c>
      <c r="F141" s="168">
        <v>72</v>
      </c>
      <c r="G141" s="169">
        <v>14400</v>
      </c>
    </row>
    <row r="142" spans="2:10">
      <c r="B142" s="165">
        <v>285</v>
      </c>
      <c r="C142" s="166" t="s">
        <v>1670</v>
      </c>
      <c r="D142" s="167" t="s">
        <v>1552</v>
      </c>
      <c r="G142" s="169">
        <v>0</v>
      </c>
      <c r="J142" s="169">
        <v>0</v>
      </c>
    </row>
    <row r="144" spans="2:10">
      <c r="B144" s="165" t="s">
        <v>1671</v>
      </c>
    </row>
    <row r="145" spans="2:67">
      <c r="B145" s="165">
        <v>300</v>
      </c>
      <c r="C145" s="171" t="s">
        <v>1561</v>
      </c>
      <c r="D145" s="167">
        <v>55</v>
      </c>
      <c r="E145" s="165" t="s">
        <v>116</v>
      </c>
      <c r="F145" s="168">
        <v>34</v>
      </c>
      <c r="G145" s="168">
        <v>1870</v>
      </c>
    </row>
    <row r="146" spans="2:67">
      <c r="B146" s="165">
        <v>305</v>
      </c>
      <c r="C146" s="171" t="s">
        <v>1563</v>
      </c>
      <c r="D146" s="167">
        <v>76</v>
      </c>
      <c r="E146" s="165" t="s">
        <v>116</v>
      </c>
      <c r="F146" s="168">
        <v>36</v>
      </c>
      <c r="G146" s="168">
        <v>2736</v>
      </c>
      <c r="I146" s="169"/>
      <c r="Q146" s="172"/>
      <c r="W146" s="172"/>
      <c r="AC146" s="172"/>
      <c r="AJ146" s="172"/>
      <c r="AQ146" s="172"/>
      <c r="AY146" s="172"/>
      <c r="BG146" s="172"/>
      <c r="BN146" s="172"/>
      <c r="BO146" s="172"/>
    </row>
    <row r="147" spans="2:67">
      <c r="B147" s="165">
        <v>310</v>
      </c>
      <c r="C147" s="171" t="s">
        <v>1565</v>
      </c>
      <c r="D147" s="167">
        <v>271</v>
      </c>
      <c r="E147" s="165" t="s">
        <v>116</v>
      </c>
      <c r="F147" s="168">
        <v>43</v>
      </c>
      <c r="G147" s="168">
        <v>11653</v>
      </c>
      <c r="I147" s="169"/>
      <c r="Q147" s="172"/>
      <c r="W147" s="172"/>
      <c r="AC147" s="172"/>
      <c r="AJ147" s="172"/>
      <c r="AQ147" s="172"/>
      <c r="AY147" s="172"/>
      <c r="BG147" s="172"/>
      <c r="BN147" s="172"/>
      <c r="BO147" s="172"/>
    </row>
    <row r="148" spans="2:67">
      <c r="B148" s="165">
        <v>315</v>
      </c>
      <c r="C148" s="165" t="s">
        <v>1567</v>
      </c>
      <c r="D148" s="167">
        <v>560</v>
      </c>
      <c r="E148" s="165" t="s">
        <v>116</v>
      </c>
      <c r="F148" s="168">
        <v>38</v>
      </c>
      <c r="G148" s="168">
        <v>21280</v>
      </c>
    </row>
    <row r="149" spans="2:67">
      <c r="B149" s="165">
        <v>320</v>
      </c>
      <c r="C149" s="165" t="s">
        <v>1569</v>
      </c>
      <c r="D149" s="167">
        <v>467</v>
      </c>
      <c r="E149" s="165" t="s">
        <v>116</v>
      </c>
      <c r="F149" s="168">
        <v>44</v>
      </c>
      <c r="G149" s="168">
        <v>20548</v>
      </c>
      <c r="H149" s="169"/>
    </row>
    <row r="150" spans="2:67">
      <c r="B150" s="165">
        <v>325</v>
      </c>
      <c r="C150" s="165" t="s">
        <v>1571</v>
      </c>
      <c r="D150" s="167">
        <v>142</v>
      </c>
      <c r="E150" s="165" t="s">
        <v>116</v>
      </c>
      <c r="F150" s="168">
        <v>50</v>
      </c>
      <c r="G150" s="168">
        <v>7100</v>
      </c>
      <c r="H150" s="169"/>
    </row>
    <row r="151" spans="2:67">
      <c r="B151" s="165">
        <v>330</v>
      </c>
      <c r="C151" s="165" t="s">
        <v>1573</v>
      </c>
      <c r="D151" s="167">
        <v>1775</v>
      </c>
      <c r="E151" s="165" t="s">
        <v>116</v>
      </c>
      <c r="F151" s="168">
        <v>60</v>
      </c>
      <c r="G151" s="168">
        <v>106500</v>
      </c>
    </row>
    <row r="152" spans="2:67">
      <c r="B152" s="165">
        <v>332</v>
      </c>
      <c r="C152" s="165" t="s">
        <v>1575</v>
      </c>
      <c r="D152" s="167">
        <v>61</v>
      </c>
      <c r="E152" s="165" t="s">
        <v>116</v>
      </c>
      <c r="F152" s="168">
        <v>88</v>
      </c>
      <c r="G152" s="168">
        <v>5368</v>
      </c>
    </row>
    <row r="153" spans="2:67">
      <c r="B153" s="165">
        <v>335</v>
      </c>
      <c r="C153" s="165" t="s">
        <v>1577</v>
      </c>
      <c r="D153" s="167">
        <v>153</v>
      </c>
      <c r="E153" s="165" t="s">
        <v>116</v>
      </c>
      <c r="F153" s="168">
        <v>95</v>
      </c>
      <c r="G153" s="168">
        <v>14535</v>
      </c>
    </row>
    <row r="154" spans="2:67">
      <c r="B154" s="165">
        <v>340</v>
      </c>
      <c r="C154" s="165" t="s">
        <v>1579</v>
      </c>
      <c r="D154" s="167">
        <v>4</v>
      </c>
      <c r="E154" s="165" t="s">
        <v>1672</v>
      </c>
      <c r="F154" s="168">
        <v>980</v>
      </c>
      <c r="G154" s="168">
        <v>3920</v>
      </c>
    </row>
    <row r="155" spans="2:67">
      <c r="B155" s="165">
        <v>345</v>
      </c>
      <c r="C155" s="165" t="s">
        <v>1581</v>
      </c>
      <c r="D155" s="167">
        <v>8</v>
      </c>
      <c r="E155" s="165" t="s">
        <v>1672</v>
      </c>
      <c r="F155" s="168">
        <v>1700</v>
      </c>
      <c r="G155" s="168">
        <v>13600</v>
      </c>
    </row>
    <row r="156" spans="2:67">
      <c r="B156" s="165">
        <v>350</v>
      </c>
      <c r="C156" s="165" t="s">
        <v>1583</v>
      </c>
      <c r="D156" s="167">
        <v>1</v>
      </c>
      <c r="E156" s="165" t="s">
        <v>1672</v>
      </c>
      <c r="F156" s="168">
        <v>4250</v>
      </c>
      <c r="G156" s="168">
        <v>4250</v>
      </c>
    </row>
    <row r="157" spans="2:67">
      <c r="B157" s="165">
        <v>355</v>
      </c>
      <c r="C157" s="165" t="s">
        <v>1585</v>
      </c>
      <c r="D157" s="167">
        <v>1</v>
      </c>
      <c r="E157" s="165" t="s">
        <v>1672</v>
      </c>
      <c r="F157" s="168">
        <v>4100</v>
      </c>
      <c r="G157" s="168">
        <v>4100</v>
      </c>
    </row>
    <row r="158" spans="2:67">
      <c r="B158" s="165">
        <v>360</v>
      </c>
      <c r="C158" s="165" t="s">
        <v>1586</v>
      </c>
      <c r="D158" s="167">
        <v>5</v>
      </c>
      <c r="E158" s="165" t="s">
        <v>1672</v>
      </c>
      <c r="F158" s="168">
        <v>5200</v>
      </c>
      <c r="G158" s="168">
        <v>26000</v>
      </c>
    </row>
    <row r="159" spans="2:67">
      <c r="B159" s="165">
        <v>362</v>
      </c>
      <c r="C159" s="165" t="s">
        <v>1588</v>
      </c>
      <c r="D159" s="167">
        <v>1</v>
      </c>
      <c r="E159" s="165" t="s">
        <v>1672</v>
      </c>
      <c r="F159" s="168">
        <v>28000</v>
      </c>
      <c r="G159" s="168">
        <v>28000</v>
      </c>
    </row>
    <row r="160" spans="2:67">
      <c r="B160" s="165">
        <v>364</v>
      </c>
      <c r="C160" s="165" t="s">
        <v>1589</v>
      </c>
      <c r="D160" s="167">
        <v>8</v>
      </c>
      <c r="E160" s="165" t="s">
        <v>1672</v>
      </c>
      <c r="F160" s="168">
        <v>4700</v>
      </c>
      <c r="G160" s="168">
        <v>37600</v>
      </c>
    </row>
    <row r="161" spans="2:7">
      <c r="B161" s="165">
        <v>366</v>
      </c>
      <c r="C161" s="165" t="s">
        <v>1590</v>
      </c>
      <c r="D161" s="167">
        <v>9</v>
      </c>
      <c r="E161" s="165" t="s">
        <v>1672</v>
      </c>
      <c r="F161" s="168">
        <v>4600</v>
      </c>
      <c r="G161" s="168">
        <v>41400</v>
      </c>
    </row>
    <row r="162" spans="2:7">
      <c r="B162" s="165">
        <v>368</v>
      </c>
      <c r="C162" s="165" t="s">
        <v>1592</v>
      </c>
      <c r="D162" s="167">
        <v>2</v>
      </c>
      <c r="E162" s="165" t="s">
        <v>1672</v>
      </c>
      <c r="F162" s="168">
        <v>4550</v>
      </c>
      <c r="G162" s="168">
        <v>9100</v>
      </c>
    </row>
    <row r="163" spans="2:7">
      <c r="B163" s="165">
        <v>369</v>
      </c>
      <c r="C163" s="165" t="s">
        <v>1594</v>
      </c>
      <c r="D163" s="167">
        <v>1</v>
      </c>
      <c r="E163" s="165" t="s">
        <v>1672</v>
      </c>
      <c r="F163" s="168">
        <v>4400</v>
      </c>
      <c r="G163" s="168">
        <v>4400</v>
      </c>
    </row>
    <row r="164" spans="2:7">
      <c r="B164" s="165">
        <v>370</v>
      </c>
      <c r="C164" s="165" t="s">
        <v>1595</v>
      </c>
      <c r="D164" s="167">
        <v>1</v>
      </c>
      <c r="E164" s="165" t="s">
        <v>1672</v>
      </c>
      <c r="F164" s="168">
        <v>5400</v>
      </c>
      <c r="G164" s="168">
        <v>5400</v>
      </c>
    </row>
    <row r="165" spans="2:7">
      <c r="B165" s="165">
        <v>380</v>
      </c>
      <c r="C165" s="165" t="s">
        <v>1596</v>
      </c>
      <c r="D165" s="167">
        <v>3560</v>
      </c>
      <c r="E165" s="165" t="s">
        <v>116</v>
      </c>
      <c r="F165" s="168">
        <v>10</v>
      </c>
      <c r="G165" s="168">
        <v>35600</v>
      </c>
    </row>
    <row r="166" spans="2:7">
      <c r="B166" s="165">
        <v>385</v>
      </c>
      <c r="C166" s="165" t="s">
        <v>1598</v>
      </c>
      <c r="D166" s="167">
        <v>3560</v>
      </c>
      <c r="E166" s="165" t="s">
        <v>116</v>
      </c>
      <c r="F166" s="168">
        <v>5</v>
      </c>
      <c r="G166" s="168">
        <v>17800</v>
      </c>
    </row>
    <row r="168" spans="2:7">
      <c r="B168" s="165" t="s">
        <v>1673</v>
      </c>
    </row>
    <row r="169" spans="2:7">
      <c r="B169" s="165">
        <v>405</v>
      </c>
      <c r="C169" s="165" t="s">
        <v>1600</v>
      </c>
      <c r="D169" s="167">
        <v>30</v>
      </c>
      <c r="E169" s="165" t="s">
        <v>116</v>
      </c>
      <c r="F169" s="168">
        <v>46</v>
      </c>
      <c r="G169" s="168">
        <f>D169*F169</f>
        <v>1380</v>
      </c>
    </row>
    <row r="170" spans="2:7">
      <c r="B170" s="165">
        <v>410</v>
      </c>
      <c r="C170" s="165" t="s">
        <v>1602</v>
      </c>
      <c r="D170" s="167">
        <v>220</v>
      </c>
      <c r="E170" s="165" t="s">
        <v>116</v>
      </c>
      <c r="F170" s="168">
        <v>50</v>
      </c>
      <c r="G170" s="168">
        <f t="shared" ref="G170:G177" si="0">D170*F170</f>
        <v>11000</v>
      </c>
    </row>
    <row r="171" spans="2:7">
      <c r="B171" s="165">
        <v>415</v>
      </c>
      <c r="C171" s="165" t="s">
        <v>1604</v>
      </c>
      <c r="D171" s="167">
        <v>1</v>
      </c>
      <c r="E171" s="165" t="s">
        <v>1672</v>
      </c>
      <c r="F171" s="168">
        <v>6500</v>
      </c>
      <c r="G171" s="168">
        <f t="shared" si="0"/>
        <v>6500</v>
      </c>
    </row>
    <row r="172" spans="2:7">
      <c r="B172" s="165">
        <v>420</v>
      </c>
      <c r="C172" s="165" t="s">
        <v>1605</v>
      </c>
      <c r="D172" s="167">
        <v>1</v>
      </c>
      <c r="E172" s="165" t="s">
        <v>1672</v>
      </c>
      <c r="F172" s="168">
        <v>7600</v>
      </c>
      <c r="G172" s="168">
        <f t="shared" si="0"/>
        <v>7600</v>
      </c>
    </row>
    <row r="173" spans="2:7">
      <c r="B173" s="165">
        <v>425</v>
      </c>
      <c r="C173" s="165" t="s">
        <v>1606</v>
      </c>
      <c r="D173" s="167">
        <v>278</v>
      </c>
      <c r="E173" s="165" t="s">
        <v>116</v>
      </c>
      <c r="F173" s="168">
        <v>40</v>
      </c>
      <c r="G173" s="168">
        <f t="shared" si="0"/>
        <v>11120</v>
      </c>
    </row>
    <row r="174" spans="2:7">
      <c r="B174" s="165">
        <v>426</v>
      </c>
      <c r="C174" s="165" t="s">
        <v>1674</v>
      </c>
      <c r="D174" s="167">
        <v>1</v>
      </c>
      <c r="E174" s="165" t="s">
        <v>698</v>
      </c>
      <c r="F174" s="168">
        <v>2700</v>
      </c>
      <c r="G174" s="168">
        <f t="shared" si="0"/>
        <v>2700</v>
      </c>
    </row>
    <row r="175" spans="2:7">
      <c r="B175" s="165">
        <v>428</v>
      </c>
      <c r="C175" s="165" t="s">
        <v>1609</v>
      </c>
      <c r="D175" s="167">
        <v>2</v>
      </c>
      <c r="E175" s="165" t="s">
        <v>1672</v>
      </c>
      <c r="F175" s="168">
        <v>10000</v>
      </c>
      <c r="G175" s="168">
        <f t="shared" si="0"/>
        <v>20000</v>
      </c>
    </row>
    <row r="176" spans="2:7">
      <c r="B176" s="165">
        <v>440</v>
      </c>
      <c r="C176" s="165" t="s">
        <v>1610</v>
      </c>
      <c r="D176" s="167">
        <v>250</v>
      </c>
      <c r="E176" s="165" t="s">
        <v>116</v>
      </c>
      <c r="F176" s="168">
        <v>10</v>
      </c>
      <c r="G176" s="168">
        <f t="shared" si="0"/>
        <v>2500</v>
      </c>
    </row>
    <row r="177" spans="2:7">
      <c r="B177" s="165">
        <v>445</v>
      </c>
      <c r="C177" s="165" t="s">
        <v>1611</v>
      </c>
      <c r="D177" s="167">
        <v>250</v>
      </c>
      <c r="E177" s="165" t="s">
        <v>116</v>
      </c>
      <c r="F177" s="168">
        <v>5</v>
      </c>
      <c r="G177" s="168">
        <f t="shared" si="0"/>
        <v>1250</v>
      </c>
    </row>
    <row r="178" spans="2:7">
      <c r="G178" s="168"/>
    </row>
    <row r="179" spans="2:7">
      <c r="B179" s="165" t="s">
        <v>1675</v>
      </c>
      <c r="G179" s="168"/>
    </row>
    <row r="180" spans="2:7">
      <c r="B180" s="165">
        <v>460</v>
      </c>
      <c r="C180" s="165" t="s">
        <v>1613</v>
      </c>
      <c r="D180" s="167">
        <v>305</v>
      </c>
      <c r="E180" s="165" t="s">
        <v>116</v>
      </c>
      <c r="F180" s="168">
        <v>45</v>
      </c>
      <c r="G180" s="168">
        <f>D180*F180</f>
        <v>13725</v>
      </c>
    </row>
    <row r="181" spans="2:7">
      <c r="B181" s="165">
        <v>470</v>
      </c>
      <c r="C181" s="165" t="s">
        <v>1615</v>
      </c>
      <c r="D181" s="167">
        <v>1</v>
      </c>
      <c r="E181" s="165" t="s">
        <v>698</v>
      </c>
      <c r="F181" s="168">
        <v>2300</v>
      </c>
      <c r="G181" s="168">
        <f>D181*F181</f>
        <v>2300</v>
      </c>
    </row>
    <row r="182" spans="2:7">
      <c r="B182" s="165">
        <v>475</v>
      </c>
      <c r="C182" s="165" t="s">
        <v>1616</v>
      </c>
      <c r="D182" s="167">
        <v>1</v>
      </c>
      <c r="E182" s="165" t="s">
        <v>698</v>
      </c>
      <c r="F182" s="168">
        <v>132000</v>
      </c>
      <c r="G182" s="168">
        <f>D182*F182</f>
        <v>132000</v>
      </c>
    </row>
    <row r="183" spans="2:7">
      <c r="B183" s="165">
        <v>485</v>
      </c>
      <c r="C183" s="165" t="s">
        <v>1610</v>
      </c>
      <c r="D183" s="167">
        <v>305</v>
      </c>
      <c r="E183" s="165" t="s">
        <v>116</v>
      </c>
      <c r="F183" s="168">
        <v>10</v>
      </c>
      <c r="G183" s="168">
        <f>D183*F183</f>
        <v>3050</v>
      </c>
    </row>
    <row r="184" spans="2:7">
      <c r="B184" s="165">
        <v>490</v>
      </c>
      <c r="C184" s="165" t="s">
        <v>1617</v>
      </c>
      <c r="D184" s="167">
        <v>305</v>
      </c>
      <c r="E184" s="165" t="s">
        <v>116</v>
      </c>
      <c r="F184" s="168">
        <v>5</v>
      </c>
      <c r="G184" s="168">
        <f>D184*F184</f>
        <v>1525</v>
      </c>
    </row>
    <row r="185" spans="2:7">
      <c r="G185" s="168"/>
    </row>
    <row r="186" spans="2:7">
      <c r="B186" s="165" t="s">
        <v>1676</v>
      </c>
      <c r="G186" s="168"/>
    </row>
    <row r="187" spans="2:7">
      <c r="B187" s="165">
        <v>505</v>
      </c>
      <c r="C187" s="165" t="s">
        <v>1619</v>
      </c>
      <c r="D187" s="167">
        <v>1343</v>
      </c>
      <c r="E187" s="165" t="s">
        <v>116</v>
      </c>
      <c r="F187" s="168">
        <v>30</v>
      </c>
      <c r="G187" s="168">
        <f t="shared" ref="G187:G197" si="1">D187*F187</f>
        <v>40290</v>
      </c>
    </row>
    <row r="188" spans="2:7">
      <c r="B188" s="165">
        <v>506</v>
      </c>
      <c r="C188" s="165" t="s">
        <v>1621</v>
      </c>
      <c r="D188" s="167">
        <v>50</v>
      </c>
      <c r="E188" s="165" t="s">
        <v>116</v>
      </c>
      <c r="F188" s="168">
        <v>45</v>
      </c>
      <c r="G188" s="168">
        <f t="shared" si="1"/>
        <v>2250</v>
      </c>
    </row>
    <row r="189" spans="2:7">
      <c r="B189" s="165">
        <v>510</v>
      </c>
      <c r="C189" s="165" t="s">
        <v>1623</v>
      </c>
      <c r="D189" s="167">
        <v>4</v>
      </c>
      <c r="E189" s="165" t="s">
        <v>1672</v>
      </c>
      <c r="F189" s="168">
        <v>2600</v>
      </c>
      <c r="G189" s="168">
        <f t="shared" si="1"/>
        <v>10400</v>
      </c>
    </row>
    <row r="190" spans="2:7">
      <c r="B190" s="165">
        <v>515</v>
      </c>
      <c r="C190" s="165" t="s">
        <v>1624</v>
      </c>
      <c r="D190" s="167">
        <v>110</v>
      </c>
      <c r="E190" s="165" t="s">
        <v>116</v>
      </c>
      <c r="F190" s="168">
        <v>28</v>
      </c>
      <c r="G190" s="168">
        <f t="shared" si="1"/>
        <v>3080</v>
      </c>
    </row>
    <row r="191" spans="2:7">
      <c r="B191" s="165">
        <v>520</v>
      </c>
      <c r="C191" s="165" t="s">
        <v>1625</v>
      </c>
      <c r="D191" s="167">
        <v>2</v>
      </c>
      <c r="E191" s="165" t="s">
        <v>1672</v>
      </c>
      <c r="F191" s="168">
        <v>2350</v>
      </c>
      <c r="G191" s="168">
        <f t="shared" si="1"/>
        <v>4700</v>
      </c>
    </row>
    <row r="192" spans="2:7">
      <c r="B192" s="165">
        <v>525</v>
      </c>
      <c r="C192" s="165" t="s">
        <v>1626</v>
      </c>
      <c r="D192" s="167">
        <v>1</v>
      </c>
      <c r="E192" s="165" t="s">
        <v>698</v>
      </c>
      <c r="F192" s="168">
        <v>22000</v>
      </c>
      <c r="G192" s="168">
        <f t="shared" si="1"/>
        <v>22000</v>
      </c>
    </row>
    <row r="193" spans="2:7">
      <c r="B193" s="165">
        <v>530</v>
      </c>
      <c r="C193" s="165" t="s">
        <v>1627</v>
      </c>
      <c r="D193" s="167">
        <v>4</v>
      </c>
      <c r="E193" s="165" t="s">
        <v>1672</v>
      </c>
      <c r="F193" s="168">
        <v>5300</v>
      </c>
      <c r="G193" s="168">
        <f t="shared" si="1"/>
        <v>21200</v>
      </c>
    </row>
    <row r="194" spans="2:7">
      <c r="B194" s="165">
        <v>535</v>
      </c>
      <c r="C194" s="165" t="s">
        <v>1628</v>
      </c>
      <c r="D194" s="167">
        <v>1</v>
      </c>
      <c r="E194" s="165" t="s">
        <v>1672</v>
      </c>
      <c r="F194" s="168">
        <v>1800</v>
      </c>
      <c r="G194" s="168">
        <f t="shared" si="1"/>
        <v>1800</v>
      </c>
    </row>
    <row r="195" spans="2:7">
      <c r="B195" s="165">
        <v>540</v>
      </c>
      <c r="C195" s="165" t="s">
        <v>1615</v>
      </c>
      <c r="D195" s="167">
        <v>1</v>
      </c>
      <c r="E195" s="165" t="s">
        <v>698</v>
      </c>
      <c r="F195" s="168">
        <v>3550</v>
      </c>
      <c r="G195" s="168">
        <f t="shared" si="1"/>
        <v>3550</v>
      </c>
    </row>
    <row r="196" spans="2:7">
      <c r="B196" s="165">
        <v>545</v>
      </c>
      <c r="C196" s="165" t="s">
        <v>1629</v>
      </c>
      <c r="D196" s="167">
        <v>1</v>
      </c>
      <c r="E196" s="165" t="s">
        <v>1672</v>
      </c>
      <c r="F196" s="168">
        <v>2500</v>
      </c>
      <c r="G196" s="168">
        <f t="shared" si="1"/>
        <v>2500</v>
      </c>
    </row>
    <row r="197" spans="2:7">
      <c r="B197" s="165">
        <v>550</v>
      </c>
      <c r="C197" s="165" t="s">
        <v>1630</v>
      </c>
      <c r="D197" s="167">
        <v>1</v>
      </c>
      <c r="E197" s="165" t="s">
        <v>698</v>
      </c>
      <c r="F197" s="168">
        <v>2800</v>
      </c>
      <c r="G197" s="168">
        <f t="shared" si="1"/>
        <v>2800</v>
      </c>
    </row>
    <row r="198" spans="2:7">
      <c r="G198" s="168"/>
    </row>
    <row r="199" spans="2:7">
      <c r="B199" s="165" t="s">
        <v>1677</v>
      </c>
      <c r="G199" s="168"/>
    </row>
    <row r="200" spans="2:7">
      <c r="B200" s="165">
        <v>600</v>
      </c>
      <c r="C200" s="165" t="s">
        <v>1632</v>
      </c>
      <c r="D200" s="165">
        <v>135</v>
      </c>
      <c r="E200" s="165" t="s">
        <v>116</v>
      </c>
      <c r="F200" s="168">
        <v>70</v>
      </c>
      <c r="G200" s="168">
        <f t="shared" ref="G200:G206" si="2">D200*F200</f>
        <v>9450</v>
      </c>
    </row>
    <row r="201" spans="2:7">
      <c r="B201" s="165">
        <v>605</v>
      </c>
      <c r="C201" s="165" t="s">
        <v>1634</v>
      </c>
      <c r="D201" s="165">
        <v>1</v>
      </c>
      <c r="E201" s="165" t="s">
        <v>1672</v>
      </c>
      <c r="F201" s="168">
        <v>10000</v>
      </c>
      <c r="G201" s="168">
        <f t="shared" si="2"/>
        <v>10000</v>
      </c>
    </row>
    <row r="202" spans="2:7">
      <c r="B202" s="165">
        <v>610</v>
      </c>
      <c r="C202" s="165" t="s">
        <v>1635</v>
      </c>
      <c r="D202" s="165">
        <v>15</v>
      </c>
      <c r="E202" s="165" t="s">
        <v>116</v>
      </c>
      <c r="F202" s="168">
        <v>28</v>
      </c>
      <c r="G202" s="168">
        <f t="shared" si="2"/>
        <v>420</v>
      </c>
    </row>
    <row r="203" spans="2:7">
      <c r="B203" s="165">
        <v>615</v>
      </c>
      <c r="C203" s="165" t="s">
        <v>1637</v>
      </c>
      <c r="D203" s="165">
        <v>1</v>
      </c>
      <c r="E203" s="165" t="s">
        <v>698</v>
      </c>
      <c r="F203" s="168">
        <v>2100</v>
      </c>
      <c r="G203" s="168">
        <f t="shared" si="2"/>
        <v>2100</v>
      </c>
    </row>
    <row r="204" spans="2:7">
      <c r="B204" s="165">
        <v>620</v>
      </c>
      <c r="C204" s="165" t="s">
        <v>1638</v>
      </c>
      <c r="D204" s="165">
        <v>1</v>
      </c>
      <c r="E204" s="165" t="s">
        <v>1672</v>
      </c>
      <c r="F204" s="168">
        <v>2500</v>
      </c>
      <c r="G204" s="168">
        <f t="shared" si="2"/>
        <v>2500</v>
      </c>
    </row>
    <row r="205" spans="2:7">
      <c r="B205" s="165">
        <v>625</v>
      </c>
      <c r="C205" s="166" t="s">
        <v>1639</v>
      </c>
      <c r="D205" s="165">
        <v>1</v>
      </c>
      <c r="E205" s="165" t="s">
        <v>1672</v>
      </c>
      <c r="F205" s="168">
        <v>1800</v>
      </c>
      <c r="G205" s="168">
        <f t="shared" si="2"/>
        <v>1800</v>
      </c>
    </row>
    <row r="206" spans="2:7">
      <c r="B206" s="165">
        <v>630</v>
      </c>
      <c r="C206" s="166" t="s">
        <v>1678</v>
      </c>
      <c r="D206" s="165">
        <v>1</v>
      </c>
      <c r="E206" s="165" t="s">
        <v>698</v>
      </c>
      <c r="F206" s="168">
        <v>2200</v>
      </c>
      <c r="G206" s="168">
        <f t="shared" si="2"/>
        <v>2200</v>
      </c>
    </row>
  </sheetData>
  <pageMargins left="0.7" right="0.7" top="0.75" bottom="0.75" header="0.3" footer="0.3"/>
  <pageSetup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366-A1E0-460A-964F-2F2DF99BB1A6}">
  <dimension ref="B2:CV46"/>
  <sheetViews>
    <sheetView topLeftCell="A13" workbookViewId="0">
      <selection activeCell="M25" sqref="M25"/>
    </sheetView>
  </sheetViews>
  <sheetFormatPr defaultRowHeight="15"/>
  <cols>
    <col min="1" max="1" width="2.7109375" customWidth="1"/>
    <col min="2" max="2" width="10.28515625" customWidth="1"/>
    <col min="3" max="3" width="3.28515625" bestFit="1" customWidth="1"/>
    <col min="4" max="4" width="3.7109375" customWidth="1"/>
    <col min="5" max="5" width="33.140625" bestFit="1" customWidth="1"/>
    <col min="6" max="6" width="9.5703125" style="173" bestFit="1" customWidth="1"/>
    <col min="7" max="7" width="3.140625" bestFit="1" customWidth="1"/>
    <col min="8" max="8" width="9.5703125" style="173" bestFit="1" customWidth="1"/>
    <col min="9" max="9" width="3.140625" bestFit="1" customWidth="1"/>
    <col min="10" max="10" width="10.28515625" customWidth="1"/>
    <col min="11" max="11" width="3.28515625" bestFit="1" customWidth="1"/>
    <col min="12" max="12" width="3.7109375" customWidth="1"/>
    <col min="13" max="13" width="33.140625" bestFit="1" customWidth="1"/>
    <col min="14" max="14" width="9.5703125" style="173" bestFit="1" customWidth="1"/>
    <col min="15" max="15" width="3.140625" bestFit="1" customWidth="1"/>
    <col min="16" max="16" width="9.5703125" style="173" bestFit="1" customWidth="1"/>
    <col min="17" max="17" width="3.140625" bestFit="1" customWidth="1"/>
    <col min="18" max="18" width="10.28515625" customWidth="1"/>
    <col min="19" max="19" width="3.28515625" bestFit="1" customWidth="1"/>
    <col min="20" max="20" width="3.7109375" customWidth="1"/>
    <col min="21" max="21" width="33.140625" bestFit="1" customWidth="1"/>
    <col min="22" max="22" width="9.5703125" style="173" bestFit="1" customWidth="1"/>
    <col min="23" max="23" width="3.140625" bestFit="1" customWidth="1"/>
    <col min="24" max="24" width="9.5703125" style="173" bestFit="1" customWidth="1"/>
    <col min="25" max="25" width="3.140625" bestFit="1" customWidth="1"/>
    <col min="26" max="26" width="10.28515625" customWidth="1"/>
    <col min="27" max="27" width="3.28515625" bestFit="1" customWidth="1"/>
    <col min="28" max="28" width="3.7109375" customWidth="1"/>
    <col min="29" max="29" width="33.140625" bestFit="1" customWidth="1"/>
    <col min="30" max="30" width="9.5703125" style="173" bestFit="1" customWidth="1"/>
    <col min="31" max="31" width="3.140625" bestFit="1" customWidth="1"/>
    <col min="32" max="32" width="9.5703125" style="173" bestFit="1" customWidth="1"/>
    <col min="33" max="33" width="3.140625" bestFit="1" customWidth="1"/>
    <col min="34" max="34" width="10.28515625" customWidth="1"/>
    <col min="35" max="35" width="3.28515625" bestFit="1" customWidth="1"/>
    <col min="36" max="36" width="3.7109375" customWidth="1"/>
    <col min="37" max="37" width="33.140625" bestFit="1" customWidth="1"/>
    <col min="38" max="38" width="9.5703125" style="173" bestFit="1" customWidth="1"/>
    <col min="39" max="39" width="3.140625" bestFit="1" customWidth="1"/>
    <col min="40" max="40" width="9.5703125" style="173" bestFit="1" customWidth="1"/>
    <col min="41" max="41" width="3.140625" bestFit="1" customWidth="1"/>
    <col min="42" max="42" width="10.28515625" customWidth="1"/>
    <col min="43" max="43" width="3.28515625" bestFit="1" customWidth="1"/>
    <col min="44" max="44" width="3.7109375" customWidth="1"/>
    <col min="45" max="45" width="33.140625" bestFit="1" customWidth="1"/>
    <col min="46" max="46" width="9.5703125" style="173" bestFit="1" customWidth="1"/>
    <col min="47" max="47" width="3.140625" bestFit="1" customWidth="1"/>
    <col min="48" max="48" width="9.5703125" style="173" bestFit="1" customWidth="1"/>
    <col min="49" max="49" width="3.140625" bestFit="1" customWidth="1"/>
    <col min="50" max="50" width="10.28515625" customWidth="1"/>
    <col min="51" max="51" width="3.28515625" bestFit="1" customWidth="1"/>
    <col min="52" max="52" width="3.7109375" customWidth="1"/>
    <col min="53" max="53" width="33.140625" bestFit="1" customWidth="1"/>
    <col min="54" max="54" width="9.5703125" style="173" bestFit="1" customWidth="1"/>
    <col min="55" max="55" width="3.140625" bestFit="1" customWidth="1"/>
    <col min="56" max="56" width="9.5703125" style="173" bestFit="1" customWidth="1"/>
    <col min="57" max="57" width="3.140625" bestFit="1" customWidth="1"/>
    <col min="58" max="58" width="10.28515625" customWidth="1"/>
    <col min="59" max="59" width="3.28515625" bestFit="1" customWidth="1"/>
    <col min="60" max="60" width="3.7109375" customWidth="1"/>
    <col min="61" max="61" width="33.140625" bestFit="1" customWidth="1"/>
    <col min="62" max="62" width="9.5703125" style="173" bestFit="1" customWidth="1"/>
    <col min="63" max="63" width="3.140625" bestFit="1" customWidth="1"/>
    <col min="64" max="64" width="9.5703125" style="173" bestFit="1" customWidth="1"/>
    <col min="65" max="65" width="3.140625" bestFit="1" customWidth="1"/>
    <col min="66" max="66" width="10.28515625" customWidth="1"/>
    <col min="67" max="67" width="3.28515625" bestFit="1" customWidth="1"/>
    <col min="68" max="68" width="3.7109375" customWidth="1"/>
    <col min="69" max="69" width="33.140625" bestFit="1" customWidth="1"/>
    <col min="70" max="70" width="9.5703125" style="173" bestFit="1" customWidth="1"/>
    <col min="71" max="71" width="3.140625" bestFit="1" customWidth="1"/>
    <col min="72" max="72" width="9.5703125" style="173" bestFit="1" customWidth="1"/>
    <col min="73" max="73" width="3.140625" bestFit="1" customWidth="1"/>
    <col min="74" max="74" width="10.28515625" customWidth="1"/>
    <col min="75" max="75" width="3.28515625" bestFit="1" customWidth="1"/>
    <col min="76" max="76" width="3.7109375" customWidth="1"/>
    <col min="77" max="77" width="33.140625" bestFit="1" customWidth="1"/>
    <col min="78" max="78" width="9.5703125" style="173" bestFit="1" customWidth="1"/>
    <col min="79" max="79" width="3.140625" bestFit="1" customWidth="1"/>
    <col min="80" max="80" width="9.5703125" style="173" bestFit="1" customWidth="1"/>
    <col min="81" max="81" width="3.140625" bestFit="1" customWidth="1"/>
    <col min="82" max="82" width="10.28515625" customWidth="1"/>
    <col min="83" max="83" width="3.28515625" bestFit="1" customWidth="1"/>
    <col min="84" max="84" width="3.7109375" customWidth="1"/>
    <col min="85" max="85" width="33.140625" bestFit="1" customWidth="1"/>
    <col min="86" max="86" width="9.5703125" style="173" bestFit="1" customWidth="1"/>
    <col min="87" max="87" width="3.140625" bestFit="1" customWidth="1"/>
    <col min="88" max="88" width="9.5703125" style="173" bestFit="1" customWidth="1"/>
    <col min="89" max="89" width="3.140625" bestFit="1" customWidth="1"/>
    <col min="90" max="90" width="10.28515625" customWidth="1"/>
    <col min="91" max="91" width="3.28515625" bestFit="1" customWidth="1"/>
    <col min="92" max="92" width="3.7109375" customWidth="1"/>
    <col min="93" max="93" width="33.140625" bestFit="1" customWidth="1"/>
    <col min="94" max="94" width="9.5703125" style="173" bestFit="1" customWidth="1"/>
    <col min="95" max="95" width="3.140625" bestFit="1" customWidth="1"/>
    <col min="96" max="96" width="9.5703125" style="173" bestFit="1" customWidth="1"/>
    <col min="97" max="97" width="3.140625" bestFit="1" customWidth="1"/>
    <col min="98" max="98" width="3" bestFit="1" customWidth="1"/>
    <col min="100" max="100" width="3.140625" bestFit="1" customWidth="1"/>
  </cols>
  <sheetData>
    <row r="2" spans="2:100">
      <c r="B2" t="s">
        <v>1679</v>
      </c>
      <c r="C2">
        <v>12</v>
      </c>
      <c r="D2" t="s">
        <v>714</v>
      </c>
      <c r="F2" s="173">
        <v>471</v>
      </c>
      <c r="G2" t="s">
        <v>384</v>
      </c>
      <c r="H2" s="173">
        <f>$C$2*F2</f>
        <v>5652</v>
      </c>
      <c r="I2" t="s">
        <v>384</v>
      </c>
      <c r="J2" t="s">
        <v>1680</v>
      </c>
      <c r="K2">
        <v>12</v>
      </c>
      <c r="L2" t="s">
        <v>714</v>
      </c>
      <c r="N2" s="173">
        <v>357</v>
      </c>
      <c r="O2" t="s">
        <v>384</v>
      </c>
      <c r="P2" s="173">
        <f>$K$2*N2</f>
        <v>4284</v>
      </c>
      <c r="Q2" t="s">
        <v>384</v>
      </c>
      <c r="R2" t="s">
        <v>1681</v>
      </c>
      <c r="S2">
        <v>10</v>
      </c>
      <c r="T2" t="s">
        <v>714</v>
      </c>
      <c r="V2" s="173">
        <v>686</v>
      </c>
      <c r="W2" t="s">
        <v>384</v>
      </c>
      <c r="X2" s="173">
        <f>S$2*V2</f>
        <v>6860</v>
      </c>
      <c r="Y2" t="s">
        <v>384</v>
      </c>
      <c r="Z2" t="s">
        <v>1682</v>
      </c>
      <c r="AA2">
        <v>32</v>
      </c>
      <c r="AB2" t="s">
        <v>714</v>
      </c>
      <c r="AD2" s="173">
        <v>507</v>
      </c>
      <c r="AE2" t="s">
        <v>384</v>
      </c>
      <c r="AF2" s="173">
        <f>AA$2*AD2</f>
        <v>16224</v>
      </c>
      <c r="AG2" t="s">
        <v>384</v>
      </c>
      <c r="AH2" t="s">
        <v>1683</v>
      </c>
      <c r="AI2">
        <v>6</v>
      </c>
      <c r="AJ2" t="s">
        <v>714</v>
      </c>
      <c r="AL2" s="173">
        <v>845</v>
      </c>
      <c r="AM2" t="s">
        <v>384</v>
      </c>
      <c r="AN2" s="173">
        <f>AI$2*AL2</f>
        <v>5070</v>
      </c>
      <c r="AO2" t="s">
        <v>384</v>
      </c>
      <c r="AP2" t="s">
        <v>1684</v>
      </c>
      <c r="AQ2">
        <v>4</v>
      </c>
      <c r="AR2" t="s">
        <v>714</v>
      </c>
      <c r="AT2" s="173">
        <v>357</v>
      </c>
      <c r="AU2" t="s">
        <v>384</v>
      </c>
      <c r="AV2" s="173">
        <f>AQ$2*AT2</f>
        <v>1428</v>
      </c>
      <c r="AW2" t="s">
        <v>384</v>
      </c>
      <c r="AX2" t="s">
        <v>1685</v>
      </c>
      <c r="AY2">
        <v>2</v>
      </c>
      <c r="AZ2" t="s">
        <v>714</v>
      </c>
      <c r="BB2" s="173">
        <v>374</v>
      </c>
      <c r="BC2" t="s">
        <v>384</v>
      </c>
      <c r="BD2" s="173">
        <f>AY$2*BB2</f>
        <v>748</v>
      </c>
      <c r="BE2" t="s">
        <v>384</v>
      </c>
      <c r="BF2" t="s">
        <v>1686</v>
      </c>
      <c r="BG2">
        <v>2</v>
      </c>
      <c r="BH2" t="s">
        <v>714</v>
      </c>
      <c r="BJ2" s="173">
        <v>300</v>
      </c>
      <c r="BK2" t="s">
        <v>384</v>
      </c>
      <c r="BL2" s="173">
        <f>BG$2*BJ2</f>
        <v>600</v>
      </c>
      <c r="BM2" t="s">
        <v>384</v>
      </c>
      <c r="BN2" t="s">
        <v>1687</v>
      </c>
      <c r="BO2">
        <v>12</v>
      </c>
      <c r="BP2" t="s">
        <v>714</v>
      </c>
      <c r="BR2" s="173">
        <v>507</v>
      </c>
      <c r="BS2" t="s">
        <v>384</v>
      </c>
      <c r="BT2" s="173">
        <f>BO$2*BR2</f>
        <v>6084</v>
      </c>
      <c r="BU2" t="s">
        <v>384</v>
      </c>
      <c r="BV2" t="s">
        <v>1688</v>
      </c>
      <c r="BW2">
        <v>4</v>
      </c>
      <c r="BX2" t="s">
        <v>714</v>
      </c>
      <c r="BZ2" s="173">
        <v>471</v>
      </c>
      <c r="CA2" t="s">
        <v>384</v>
      </c>
      <c r="CB2" s="173">
        <f>BW$2*BZ2</f>
        <v>1884</v>
      </c>
      <c r="CC2" t="s">
        <v>384</v>
      </c>
      <c r="CD2" t="s">
        <v>1689</v>
      </c>
      <c r="CE2">
        <v>2</v>
      </c>
      <c r="CF2" t="s">
        <v>714</v>
      </c>
      <c r="CH2" s="173">
        <v>306</v>
      </c>
      <c r="CI2" t="s">
        <v>384</v>
      </c>
      <c r="CJ2" s="173">
        <f>CE$2*CH2</f>
        <v>612</v>
      </c>
      <c r="CK2" t="s">
        <v>384</v>
      </c>
      <c r="CL2" t="s">
        <v>1690</v>
      </c>
      <c r="CM2">
        <v>2</v>
      </c>
      <c r="CN2" t="s">
        <v>714</v>
      </c>
      <c r="CP2" s="173">
        <v>534</v>
      </c>
      <c r="CQ2" t="s">
        <v>384</v>
      </c>
      <c r="CR2" s="173">
        <f>CM$2*CP2</f>
        <v>1068</v>
      </c>
      <c r="CS2" t="s">
        <v>384</v>
      </c>
      <c r="CU2" s="43">
        <f>H2+P2+X2+AF2+AV2+AN2+BD2+BL2+BT2+CB2+CJ2+CR2</f>
        <v>50514</v>
      </c>
      <c r="CV2" t="s">
        <v>384</v>
      </c>
    </row>
    <row r="3" spans="2:100">
      <c r="D3" t="s">
        <v>1691</v>
      </c>
      <c r="L3" t="s">
        <v>1691</v>
      </c>
      <c r="T3" t="s">
        <v>1691</v>
      </c>
      <c r="AB3" t="s">
        <v>1691</v>
      </c>
      <c r="AJ3" t="s">
        <v>1691</v>
      </c>
      <c r="AR3" t="s">
        <v>1691</v>
      </c>
      <c r="AZ3" t="s">
        <v>1691</v>
      </c>
      <c r="BH3" t="s">
        <v>1691</v>
      </c>
      <c r="BP3" t="s">
        <v>1691</v>
      </c>
      <c r="BX3" t="s">
        <v>1691</v>
      </c>
      <c r="CF3" t="s">
        <v>1691</v>
      </c>
      <c r="CN3" t="s">
        <v>1691</v>
      </c>
    </row>
    <row r="4" spans="2:100">
      <c r="E4" t="s">
        <v>1692</v>
      </c>
      <c r="F4" s="173">
        <v>375</v>
      </c>
      <c r="G4" t="s">
        <v>384</v>
      </c>
      <c r="H4" s="173">
        <f>$C$2*F4</f>
        <v>4500</v>
      </c>
      <c r="I4" t="s">
        <v>384</v>
      </c>
      <c r="M4" t="s">
        <v>1692</v>
      </c>
      <c r="N4" s="173">
        <v>263.25</v>
      </c>
      <c r="O4" t="s">
        <v>384</v>
      </c>
      <c r="P4" s="173">
        <f>$K$2*N4</f>
        <v>3159</v>
      </c>
      <c r="Q4" t="s">
        <v>384</v>
      </c>
      <c r="U4" t="s">
        <v>1692</v>
      </c>
      <c r="V4" s="173">
        <v>624</v>
      </c>
      <c r="W4" t="s">
        <v>384</v>
      </c>
      <c r="X4" s="173">
        <f>S$2*V4</f>
        <v>6240</v>
      </c>
      <c r="Y4" t="s">
        <v>384</v>
      </c>
      <c r="AC4" t="s">
        <v>1692</v>
      </c>
      <c r="AD4" s="173">
        <v>399.2</v>
      </c>
      <c r="AE4" t="s">
        <v>384</v>
      </c>
      <c r="AF4" s="173">
        <f>AA$2*AD4</f>
        <v>12774.4</v>
      </c>
      <c r="AG4" t="s">
        <v>384</v>
      </c>
      <c r="AK4" t="s">
        <v>1692</v>
      </c>
      <c r="AL4" s="173">
        <v>629.51</v>
      </c>
      <c r="AM4" t="s">
        <v>384</v>
      </c>
      <c r="AN4" s="173">
        <f>AI$2*AL4</f>
        <v>3777.06</v>
      </c>
      <c r="AO4" t="s">
        <v>384</v>
      </c>
      <c r="AS4" t="s">
        <v>1692</v>
      </c>
      <c r="AT4" s="173">
        <v>238.5</v>
      </c>
      <c r="AU4" t="s">
        <v>384</v>
      </c>
      <c r="AV4" s="173">
        <f>AQ$2*AT4</f>
        <v>954</v>
      </c>
      <c r="AW4" t="s">
        <v>384</v>
      </c>
      <c r="BA4" t="s">
        <v>1692</v>
      </c>
      <c r="BB4" s="173">
        <v>289.52</v>
      </c>
      <c r="BC4" t="s">
        <v>384</v>
      </c>
      <c r="BD4" s="173">
        <f>AY$2*BB4</f>
        <v>579.04</v>
      </c>
      <c r="BE4" t="s">
        <v>384</v>
      </c>
      <c r="BI4" t="s">
        <v>1692</v>
      </c>
      <c r="BJ4" s="173">
        <v>267.20999999999998</v>
      </c>
      <c r="BK4" t="s">
        <v>384</v>
      </c>
      <c r="BL4" s="173">
        <f>BG$2*BJ4</f>
        <v>534.41999999999996</v>
      </c>
      <c r="BM4" t="s">
        <v>384</v>
      </c>
      <c r="BQ4" t="s">
        <v>1692</v>
      </c>
      <c r="BR4" s="173">
        <v>427.03</v>
      </c>
      <c r="BS4" t="s">
        <v>384</v>
      </c>
      <c r="BT4" s="173">
        <f>BO$2*BR4</f>
        <v>5124.3599999999997</v>
      </c>
      <c r="BU4" t="s">
        <v>384</v>
      </c>
      <c r="BY4" t="s">
        <v>1692</v>
      </c>
      <c r="BZ4" s="173">
        <v>437.37</v>
      </c>
      <c r="CA4" t="s">
        <v>384</v>
      </c>
      <c r="CB4" s="173">
        <f>BW$2*BZ4</f>
        <v>1749.48</v>
      </c>
      <c r="CC4" t="s">
        <v>384</v>
      </c>
      <c r="CG4" t="s">
        <v>1692</v>
      </c>
      <c r="CH4" s="173">
        <v>274.89999999999998</v>
      </c>
      <c r="CI4" t="s">
        <v>384</v>
      </c>
      <c r="CJ4" s="173">
        <f>CE$2*CH4</f>
        <v>549.79999999999995</v>
      </c>
      <c r="CK4" t="s">
        <v>384</v>
      </c>
      <c r="CO4" t="s">
        <v>1692</v>
      </c>
      <c r="CP4" s="173">
        <v>465.15</v>
      </c>
      <c r="CQ4" t="s">
        <v>384</v>
      </c>
      <c r="CR4" s="173">
        <f>CM$2*CP4</f>
        <v>930.3</v>
      </c>
      <c r="CS4" t="s">
        <v>384</v>
      </c>
      <c r="CU4" s="43">
        <f>H4+P4+X4+AF4+AV4+AN4+BD4+BL4+BT4+CB4+CJ4+CR4</f>
        <v>40871.860000000008</v>
      </c>
      <c r="CV4" t="s">
        <v>384</v>
      </c>
    </row>
    <row r="5" spans="2:100">
      <c r="E5" t="s">
        <v>1693</v>
      </c>
      <c r="F5" s="173">
        <v>321</v>
      </c>
      <c r="G5" t="s">
        <v>384</v>
      </c>
      <c r="H5" s="173">
        <f>$C$2*F5</f>
        <v>3852</v>
      </c>
      <c r="I5" t="s">
        <v>384</v>
      </c>
      <c r="M5" t="s">
        <v>1693</v>
      </c>
      <c r="N5" s="173">
        <v>489</v>
      </c>
      <c r="O5" t="s">
        <v>384</v>
      </c>
      <c r="P5" s="173">
        <f>$C$2*N5</f>
        <v>5868</v>
      </c>
      <c r="Q5" t="s">
        <v>384</v>
      </c>
      <c r="U5" t="s">
        <v>1693</v>
      </c>
      <c r="V5" s="173">
        <v>468</v>
      </c>
      <c r="W5" t="s">
        <v>384</v>
      </c>
      <c r="X5" s="173">
        <f>S$2*V5</f>
        <v>4680</v>
      </c>
      <c r="Y5" t="s">
        <v>384</v>
      </c>
      <c r="AC5" t="s">
        <v>1693</v>
      </c>
      <c r="AD5" s="173">
        <v>469</v>
      </c>
      <c r="AE5" t="s">
        <v>384</v>
      </c>
      <c r="AF5" s="173">
        <f>AA$2*AD5</f>
        <v>15008</v>
      </c>
      <c r="AG5" t="s">
        <v>384</v>
      </c>
      <c r="AK5" t="s">
        <v>1693</v>
      </c>
      <c r="AL5" s="173">
        <v>405</v>
      </c>
      <c r="AM5" t="s">
        <v>384</v>
      </c>
      <c r="AN5" s="173">
        <f>AI$2*AL5</f>
        <v>2430</v>
      </c>
      <c r="AO5" t="s">
        <v>384</v>
      </c>
      <c r="AS5" t="s">
        <v>1693</v>
      </c>
      <c r="AT5" s="173">
        <v>487</v>
      </c>
      <c r="AU5" t="s">
        <v>384</v>
      </c>
      <c r="AV5" s="173">
        <f>AQ$2*AT5</f>
        <v>1948</v>
      </c>
      <c r="AW5" t="s">
        <v>384</v>
      </c>
      <c r="BA5" t="s">
        <v>1693</v>
      </c>
      <c r="BB5" s="173">
        <v>453</v>
      </c>
      <c r="BC5" t="s">
        <v>384</v>
      </c>
      <c r="BD5" s="173">
        <f>AY$2*BB5</f>
        <v>906</v>
      </c>
      <c r="BE5" t="s">
        <v>384</v>
      </c>
      <c r="BI5" t="s">
        <v>1693</v>
      </c>
      <c r="BJ5" s="173">
        <v>505</v>
      </c>
      <c r="BK5" t="s">
        <v>384</v>
      </c>
      <c r="BL5" s="173">
        <f>BG$2*BJ5</f>
        <v>1010</v>
      </c>
      <c r="BM5" t="s">
        <v>384</v>
      </c>
      <c r="BQ5" t="s">
        <v>1693</v>
      </c>
      <c r="BR5" s="173">
        <v>467</v>
      </c>
      <c r="BS5" t="s">
        <v>384</v>
      </c>
      <c r="BT5" s="173">
        <f>BO$2*BR5</f>
        <v>5604</v>
      </c>
      <c r="BU5" t="s">
        <v>384</v>
      </c>
      <c r="BY5" t="s">
        <v>1693</v>
      </c>
      <c r="BZ5" s="173">
        <v>296</v>
      </c>
      <c r="CA5" t="s">
        <v>384</v>
      </c>
      <c r="CB5" s="173">
        <f>BW$2*BZ5</f>
        <v>1184</v>
      </c>
      <c r="CC5" t="s">
        <v>384</v>
      </c>
      <c r="CG5" t="s">
        <v>1693</v>
      </c>
      <c r="CH5" s="173">
        <v>309</v>
      </c>
      <c r="CI5" t="s">
        <v>384</v>
      </c>
      <c r="CJ5" s="173">
        <f>CE$2*CH5</f>
        <v>618</v>
      </c>
      <c r="CK5" t="s">
        <v>384</v>
      </c>
      <c r="CO5" t="s">
        <v>1693</v>
      </c>
      <c r="CP5" s="173">
        <v>404</v>
      </c>
      <c r="CQ5" t="s">
        <v>384</v>
      </c>
      <c r="CR5" s="173">
        <f>CM$2*CP5</f>
        <v>808</v>
      </c>
      <c r="CS5" t="s">
        <v>384</v>
      </c>
      <c r="CU5" s="43">
        <f>H5+P5+X5+AF5+AV5+AN5+BD5+BL5+BT5+CB5+CJ5+CR5</f>
        <v>43916</v>
      </c>
      <c r="CV5" t="s">
        <v>384</v>
      </c>
    </row>
    <row r="6" spans="2:100">
      <c r="E6" t="s">
        <v>1694</v>
      </c>
      <c r="F6" s="173">
        <v>329</v>
      </c>
      <c r="G6" t="s">
        <v>384</v>
      </c>
      <c r="H6" s="173">
        <f>$C$2*F6</f>
        <v>3948</v>
      </c>
      <c r="I6" t="s">
        <v>384</v>
      </c>
      <c r="M6" t="s">
        <v>1694</v>
      </c>
      <c r="N6" s="173">
        <v>150</v>
      </c>
      <c r="O6" t="s">
        <v>384</v>
      </c>
      <c r="P6" s="173">
        <f>$C$2*N6</f>
        <v>1800</v>
      </c>
      <c r="Q6" t="s">
        <v>384</v>
      </c>
      <c r="U6" t="s">
        <v>1694</v>
      </c>
      <c r="V6" s="173">
        <v>333</v>
      </c>
      <c r="W6" t="s">
        <v>384</v>
      </c>
      <c r="X6" s="173">
        <f>S$2*V6</f>
        <v>3330</v>
      </c>
      <c r="Y6" t="s">
        <v>384</v>
      </c>
      <c r="AC6" t="s">
        <v>1694</v>
      </c>
      <c r="AD6" s="173">
        <v>244.5</v>
      </c>
      <c r="AE6" t="s">
        <v>384</v>
      </c>
      <c r="AF6" s="173">
        <f>AA$2*AD6</f>
        <v>7824</v>
      </c>
      <c r="AG6" t="s">
        <v>384</v>
      </c>
      <c r="AK6" t="s">
        <v>1694</v>
      </c>
      <c r="AL6" s="173">
        <v>431.75</v>
      </c>
      <c r="AM6" t="s">
        <v>384</v>
      </c>
      <c r="AN6" s="173">
        <f>AI$2*AL6</f>
        <v>2590.5</v>
      </c>
      <c r="AO6" t="s">
        <v>384</v>
      </c>
      <c r="AS6" t="s">
        <v>1694</v>
      </c>
      <c r="AT6" s="173">
        <v>149.91999999999999</v>
      </c>
      <c r="AU6" t="s">
        <v>384</v>
      </c>
      <c r="AV6" s="173">
        <f>AQ$2*AT6</f>
        <v>599.67999999999995</v>
      </c>
      <c r="AW6" t="s">
        <v>384</v>
      </c>
      <c r="BA6" t="s">
        <v>1694</v>
      </c>
      <c r="BB6" s="173">
        <v>20</v>
      </c>
      <c r="BC6" t="s">
        <v>384</v>
      </c>
      <c r="BD6" s="173">
        <f>AY$2*BB6</f>
        <v>40</v>
      </c>
      <c r="BE6" t="s">
        <v>384</v>
      </c>
      <c r="BI6" t="s">
        <v>1694</v>
      </c>
      <c r="BJ6" s="173">
        <v>142.09</v>
      </c>
      <c r="BK6" t="s">
        <v>384</v>
      </c>
      <c r="BL6" s="173">
        <f>BG$2*BJ6</f>
        <v>284.18</v>
      </c>
      <c r="BM6" t="s">
        <v>384</v>
      </c>
      <c r="BQ6" t="s">
        <v>1694</v>
      </c>
      <c r="BR6" s="173">
        <v>245.35</v>
      </c>
      <c r="BS6" t="s">
        <v>384</v>
      </c>
      <c r="BT6" s="173">
        <f>BO$2*BR6</f>
        <v>2944.2</v>
      </c>
      <c r="BU6" t="s">
        <v>384</v>
      </c>
      <c r="BY6" t="s">
        <v>1694</v>
      </c>
      <c r="BZ6" s="173">
        <v>353.25</v>
      </c>
      <c r="CA6" t="s">
        <v>384</v>
      </c>
      <c r="CB6" s="173">
        <f>BW$2*BZ6</f>
        <v>1413</v>
      </c>
      <c r="CC6" t="s">
        <v>384</v>
      </c>
      <c r="CG6" t="s">
        <v>1694</v>
      </c>
      <c r="CH6" s="173">
        <v>198.07</v>
      </c>
      <c r="CI6" t="s">
        <v>384</v>
      </c>
      <c r="CJ6" s="173">
        <f>CE$2*CH6</f>
        <v>396.14</v>
      </c>
      <c r="CK6" t="s">
        <v>384</v>
      </c>
      <c r="CO6" t="s">
        <v>1694</v>
      </c>
      <c r="CP6" s="173">
        <v>235.5</v>
      </c>
      <c r="CQ6" t="s">
        <v>384</v>
      </c>
      <c r="CR6" s="173">
        <f>CM$2*CP6</f>
        <v>471</v>
      </c>
      <c r="CS6" t="s">
        <v>384</v>
      </c>
      <c r="CU6" s="43">
        <f>H6+P6+X6+AF6+AV6+AN6+BD6+BL6+BT6+CB6+CJ6+CR6</f>
        <v>25640.7</v>
      </c>
      <c r="CV6" t="s">
        <v>384</v>
      </c>
    </row>
    <row r="7" spans="2:100">
      <c r="E7" t="s">
        <v>1695</v>
      </c>
      <c r="F7" s="174">
        <f>F27</f>
        <v>390</v>
      </c>
      <c r="G7" t="s">
        <v>384</v>
      </c>
      <c r="H7" s="173">
        <f>$C$2*F7</f>
        <v>4680</v>
      </c>
      <c r="I7" t="s">
        <v>384</v>
      </c>
      <c r="M7" t="s">
        <v>1695</v>
      </c>
      <c r="N7" s="174">
        <f>N27</f>
        <v>297</v>
      </c>
      <c r="O7" t="s">
        <v>384</v>
      </c>
      <c r="P7" s="173">
        <f>$C$2*N7</f>
        <v>3564</v>
      </c>
      <c r="Q7" t="s">
        <v>384</v>
      </c>
      <c r="U7" t="s">
        <v>1695</v>
      </c>
      <c r="V7" s="174">
        <f>V27</f>
        <v>595</v>
      </c>
      <c r="W7" t="s">
        <v>384</v>
      </c>
      <c r="X7" s="173">
        <f>$C$2*V7</f>
        <v>7140</v>
      </c>
      <c r="Y7" t="s">
        <v>384</v>
      </c>
      <c r="AC7" t="s">
        <v>1695</v>
      </c>
      <c r="AD7" s="174">
        <f>AD27</f>
        <v>429</v>
      </c>
      <c r="AE7" t="s">
        <v>384</v>
      </c>
      <c r="AF7" s="173">
        <f>$C$2*AD7</f>
        <v>5148</v>
      </c>
      <c r="AG7" t="s">
        <v>384</v>
      </c>
      <c r="AK7" t="s">
        <v>1695</v>
      </c>
      <c r="AL7" s="174">
        <f>AL27</f>
        <v>761</v>
      </c>
      <c r="AM7" t="s">
        <v>384</v>
      </c>
      <c r="AN7" s="173">
        <f>$C$2*AL7</f>
        <v>9132</v>
      </c>
      <c r="AO7" t="s">
        <v>384</v>
      </c>
      <c r="AS7" t="s">
        <v>1695</v>
      </c>
      <c r="AT7" s="174">
        <f>AT27</f>
        <v>300</v>
      </c>
      <c r="AU7" t="s">
        <v>384</v>
      </c>
      <c r="AV7" s="173">
        <f>$C$2*AT7</f>
        <v>3600</v>
      </c>
      <c r="AW7" t="s">
        <v>384</v>
      </c>
      <c r="BA7" t="s">
        <v>1695</v>
      </c>
      <c r="BB7" s="174">
        <f>BB27</f>
        <v>316</v>
      </c>
      <c r="BC7" t="s">
        <v>384</v>
      </c>
      <c r="BD7" s="173">
        <f>$C$2*BB7</f>
        <v>3792</v>
      </c>
      <c r="BE7" t="s">
        <v>384</v>
      </c>
      <c r="BI7" t="s">
        <v>1695</v>
      </c>
      <c r="BJ7" s="174">
        <f>BJ27</f>
        <v>247</v>
      </c>
      <c r="BK7" t="s">
        <v>384</v>
      </c>
      <c r="BL7" s="173">
        <f>$C$2*BJ7</f>
        <v>2964</v>
      </c>
      <c r="BM7" t="s">
        <v>384</v>
      </c>
      <c r="BQ7" t="s">
        <v>1695</v>
      </c>
      <c r="BR7" s="174">
        <f>BR27</f>
        <v>436</v>
      </c>
      <c r="BS7" t="s">
        <v>384</v>
      </c>
      <c r="BT7" s="173">
        <f>$C$2*BR7</f>
        <v>5232</v>
      </c>
      <c r="BU7" t="s">
        <v>384</v>
      </c>
      <c r="BY7" t="s">
        <v>1695</v>
      </c>
      <c r="BZ7" s="174">
        <f>BZ27</f>
        <v>405</v>
      </c>
      <c r="CA7" t="s">
        <v>384</v>
      </c>
      <c r="CB7" s="173">
        <f>$C$2*BZ7</f>
        <v>4860</v>
      </c>
      <c r="CC7" t="s">
        <v>384</v>
      </c>
      <c r="CG7" t="s">
        <v>1695</v>
      </c>
      <c r="CH7" s="174">
        <f>CH27</f>
        <v>247</v>
      </c>
      <c r="CI7" t="s">
        <v>384</v>
      </c>
      <c r="CJ7" s="173">
        <f>$C$2*CH7</f>
        <v>2964</v>
      </c>
      <c r="CK7" t="s">
        <v>384</v>
      </c>
      <c r="CO7" t="s">
        <v>1695</v>
      </c>
      <c r="CP7" s="174">
        <f>CP27</f>
        <v>455</v>
      </c>
      <c r="CQ7" t="s">
        <v>384</v>
      </c>
      <c r="CR7" s="173">
        <f>$C$2*CP7</f>
        <v>5460</v>
      </c>
      <c r="CS7" t="s">
        <v>384</v>
      </c>
      <c r="CU7" s="43">
        <f>H7+P7+X7+AF7+AV7+AN7+BD7+BL7+BT7+CB7+CJ7+CR7</f>
        <v>58536</v>
      </c>
      <c r="CV7" t="s">
        <v>384</v>
      </c>
    </row>
    <row r="8" spans="2:100">
      <c r="E8" t="s">
        <v>1696</v>
      </c>
      <c r="M8" t="s">
        <v>1696</v>
      </c>
      <c r="U8" t="s">
        <v>1696</v>
      </c>
      <c r="AC8" t="s">
        <v>1696</v>
      </c>
      <c r="AK8" t="s">
        <v>1696</v>
      </c>
      <c r="AS8" t="s">
        <v>1696</v>
      </c>
      <c r="BA8" t="s">
        <v>1696</v>
      </c>
      <c r="BI8" t="s">
        <v>1696</v>
      </c>
      <c r="BQ8" t="s">
        <v>1696</v>
      </c>
      <c r="BY8" t="s">
        <v>1696</v>
      </c>
      <c r="CG8" t="s">
        <v>1696</v>
      </c>
      <c r="CO8" t="s">
        <v>1696</v>
      </c>
    </row>
    <row r="9" spans="2:100">
      <c r="D9" t="s">
        <v>1697</v>
      </c>
      <c r="L9" t="s">
        <v>1697</v>
      </c>
      <c r="T9" t="s">
        <v>1697</v>
      </c>
      <c r="AB9" t="s">
        <v>1697</v>
      </c>
      <c r="AJ9" t="s">
        <v>1697</v>
      </c>
      <c r="AR9" t="s">
        <v>1697</v>
      </c>
      <c r="AZ9" t="s">
        <v>1697</v>
      </c>
      <c r="BH9" t="s">
        <v>1697</v>
      </c>
      <c r="BP9" t="s">
        <v>1697</v>
      </c>
      <c r="BX9" t="s">
        <v>1697</v>
      </c>
      <c r="CF9" t="s">
        <v>1697</v>
      </c>
      <c r="CN9" t="s">
        <v>1697</v>
      </c>
    </row>
    <row r="10" spans="2:100">
      <c r="E10" t="s">
        <v>1698</v>
      </c>
      <c r="F10" s="173">
        <v>5</v>
      </c>
      <c r="G10" t="s">
        <v>1699</v>
      </c>
      <c r="H10" s="173">
        <f t="shared" ref="H10:H15" si="0">$C$2*F10</f>
        <v>60</v>
      </c>
      <c r="I10" t="s">
        <v>1699</v>
      </c>
      <c r="M10" t="s">
        <v>1698</v>
      </c>
      <c r="N10" s="173">
        <v>5</v>
      </c>
      <c r="O10" t="s">
        <v>1699</v>
      </c>
      <c r="P10" s="173">
        <f>$K$2*N10</f>
        <v>60</v>
      </c>
      <c r="Q10" t="s">
        <v>1699</v>
      </c>
      <c r="U10" t="s">
        <v>1698</v>
      </c>
      <c r="V10" s="173">
        <v>5</v>
      </c>
      <c r="W10" t="s">
        <v>1699</v>
      </c>
      <c r="X10" s="173">
        <f t="shared" ref="X10:X15" si="1">S$2*V10</f>
        <v>50</v>
      </c>
      <c r="Y10" t="s">
        <v>1699</v>
      </c>
      <c r="AC10" t="s">
        <v>1698</v>
      </c>
      <c r="AD10" s="173">
        <v>5</v>
      </c>
      <c r="AE10" t="s">
        <v>1699</v>
      </c>
      <c r="AF10" s="173">
        <f t="shared" ref="AF10:AF15" si="2">AA$2*AD10</f>
        <v>160</v>
      </c>
      <c r="AG10" t="s">
        <v>1699</v>
      </c>
      <c r="AK10" t="s">
        <v>1698</v>
      </c>
      <c r="AL10" s="173">
        <v>5</v>
      </c>
      <c r="AM10" t="s">
        <v>1699</v>
      </c>
      <c r="AN10" s="173">
        <f t="shared" ref="AN10:AN15" si="3">AI$2*AL10</f>
        <v>30</v>
      </c>
      <c r="AO10" t="s">
        <v>1699</v>
      </c>
      <c r="AS10" t="s">
        <v>1698</v>
      </c>
      <c r="AU10" t="s">
        <v>1699</v>
      </c>
      <c r="AV10" s="173">
        <f t="shared" ref="AV10:AV15" si="4">AQ$2*AT10</f>
        <v>0</v>
      </c>
      <c r="AW10" t="s">
        <v>1699</v>
      </c>
      <c r="BA10" t="s">
        <v>1698</v>
      </c>
      <c r="BC10" t="s">
        <v>1699</v>
      </c>
      <c r="BD10" s="173">
        <f t="shared" ref="BD10:BD15" si="5">AY$2*BB10</f>
        <v>0</v>
      </c>
      <c r="BE10" t="s">
        <v>1699</v>
      </c>
      <c r="BI10" t="s">
        <v>1698</v>
      </c>
      <c r="BK10" t="s">
        <v>1699</v>
      </c>
      <c r="BL10" s="173">
        <f t="shared" ref="BL10:BL15" si="6">BG$2*BJ10</f>
        <v>0</v>
      </c>
      <c r="BM10" t="s">
        <v>1699</v>
      </c>
      <c r="BQ10" t="s">
        <v>1698</v>
      </c>
      <c r="BS10" t="s">
        <v>1699</v>
      </c>
      <c r="BT10" s="173">
        <f t="shared" ref="BT10:BT15" si="7">BO$2*BR10</f>
        <v>0</v>
      </c>
      <c r="BU10" t="s">
        <v>1699</v>
      </c>
      <c r="BY10" t="s">
        <v>1698</v>
      </c>
      <c r="CA10" t="s">
        <v>1699</v>
      </c>
      <c r="CB10" s="173">
        <f t="shared" ref="CB10:CB15" si="8">BW$2*BZ10</f>
        <v>0</v>
      </c>
      <c r="CC10" t="s">
        <v>1699</v>
      </c>
      <c r="CG10" t="s">
        <v>1698</v>
      </c>
      <c r="CI10" t="s">
        <v>1699</v>
      </c>
      <c r="CJ10" s="173">
        <f t="shared" ref="CJ10:CJ15" si="9">CE$2*CH10</f>
        <v>0</v>
      </c>
      <c r="CK10" t="s">
        <v>1699</v>
      </c>
      <c r="CO10" t="s">
        <v>1698</v>
      </c>
      <c r="CQ10" t="s">
        <v>1699</v>
      </c>
      <c r="CR10" s="173">
        <f t="shared" ref="CR10:CR15" si="10">CM$2*CP10</f>
        <v>0</v>
      </c>
      <c r="CS10" t="s">
        <v>1699</v>
      </c>
      <c r="CU10" s="43">
        <f t="shared" ref="CU10:CU15" si="11">H10+P10+X10+AF10+AV10+AN10+BD10+BL10+BT10+CB10+CJ10+CR10</f>
        <v>360</v>
      </c>
      <c r="CV10" t="s">
        <v>1699</v>
      </c>
    </row>
    <row r="11" spans="2:100">
      <c r="E11" t="s">
        <v>1700</v>
      </c>
      <c r="F11" s="173">
        <v>7.5</v>
      </c>
      <c r="G11" t="s">
        <v>1699</v>
      </c>
      <c r="H11" s="173">
        <f>$C$2*F11</f>
        <v>90</v>
      </c>
      <c r="I11" t="s">
        <v>1699</v>
      </c>
      <c r="M11" t="s">
        <v>1700</v>
      </c>
      <c r="N11" s="173">
        <v>7.5</v>
      </c>
      <c r="O11" t="s">
        <v>1699</v>
      </c>
      <c r="P11" s="173">
        <f>$K$2*N11</f>
        <v>90</v>
      </c>
      <c r="Q11" t="s">
        <v>1699</v>
      </c>
      <c r="U11" t="s">
        <v>1700</v>
      </c>
      <c r="V11" s="173">
        <v>7.5</v>
      </c>
      <c r="W11" t="s">
        <v>1699</v>
      </c>
      <c r="X11" s="173">
        <f>S$2*V11</f>
        <v>75</v>
      </c>
      <c r="Y11" t="s">
        <v>1699</v>
      </c>
      <c r="AC11" t="s">
        <v>1700</v>
      </c>
      <c r="AD11" s="173">
        <v>7.5</v>
      </c>
      <c r="AE11" t="s">
        <v>1699</v>
      </c>
      <c r="AF11" s="173">
        <f>AA$2*AD11</f>
        <v>240</v>
      </c>
      <c r="AG11" t="s">
        <v>1699</v>
      </c>
      <c r="AK11" t="s">
        <v>1700</v>
      </c>
      <c r="AL11" s="173">
        <v>7.5</v>
      </c>
      <c r="AM11" t="s">
        <v>1699</v>
      </c>
      <c r="AN11" s="173">
        <f t="shared" si="3"/>
        <v>45</v>
      </c>
      <c r="AO11" t="s">
        <v>1699</v>
      </c>
      <c r="AS11" t="s">
        <v>1698</v>
      </c>
      <c r="AU11" t="s">
        <v>1699</v>
      </c>
      <c r="AV11" s="173">
        <f>AQ$2*AT11</f>
        <v>0</v>
      </c>
      <c r="AW11" t="s">
        <v>1699</v>
      </c>
      <c r="BA11" t="s">
        <v>1700</v>
      </c>
      <c r="BC11" t="s">
        <v>1699</v>
      </c>
      <c r="BD11" s="173">
        <f t="shared" si="5"/>
        <v>0</v>
      </c>
      <c r="BE11" t="s">
        <v>1699</v>
      </c>
      <c r="BI11" t="s">
        <v>1700</v>
      </c>
      <c r="BK11" t="s">
        <v>1699</v>
      </c>
      <c r="BL11" s="173">
        <f t="shared" si="6"/>
        <v>0</v>
      </c>
      <c r="BM11" t="s">
        <v>1699</v>
      </c>
      <c r="BQ11" t="s">
        <v>1700</v>
      </c>
      <c r="BS11" t="s">
        <v>1699</v>
      </c>
      <c r="BT11" s="173">
        <f t="shared" si="7"/>
        <v>0</v>
      </c>
      <c r="BU11" t="s">
        <v>1699</v>
      </c>
      <c r="BY11" t="s">
        <v>1700</v>
      </c>
      <c r="CA11" t="s">
        <v>1699</v>
      </c>
      <c r="CB11" s="173">
        <f t="shared" si="8"/>
        <v>0</v>
      </c>
      <c r="CC11" t="s">
        <v>1699</v>
      </c>
      <c r="CG11" t="s">
        <v>1700</v>
      </c>
      <c r="CI11" t="s">
        <v>1699</v>
      </c>
      <c r="CJ11" s="173">
        <f t="shared" si="9"/>
        <v>0</v>
      </c>
      <c r="CK11" t="s">
        <v>1699</v>
      </c>
      <c r="CO11" t="s">
        <v>1700</v>
      </c>
      <c r="CQ11" t="s">
        <v>1699</v>
      </c>
      <c r="CR11" s="173">
        <f t="shared" si="10"/>
        <v>0</v>
      </c>
      <c r="CS11" t="s">
        <v>1699</v>
      </c>
      <c r="CU11" s="43">
        <f t="shared" si="11"/>
        <v>540</v>
      </c>
      <c r="CV11" t="s">
        <v>1699</v>
      </c>
    </row>
    <row r="12" spans="2:100">
      <c r="E12" t="s">
        <v>1701</v>
      </c>
      <c r="F12" s="173">
        <v>4</v>
      </c>
      <c r="G12" t="s">
        <v>1699</v>
      </c>
      <c r="H12" s="173">
        <f t="shared" si="0"/>
        <v>48</v>
      </c>
      <c r="I12" t="s">
        <v>1699</v>
      </c>
      <c r="M12" t="s">
        <v>1701</v>
      </c>
      <c r="N12" s="173">
        <v>4</v>
      </c>
      <c r="O12" t="s">
        <v>1699</v>
      </c>
      <c r="P12" s="173">
        <f>$C$2*N12</f>
        <v>48</v>
      </c>
      <c r="Q12" t="s">
        <v>1699</v>
      </c>
      <c r="U12" t="s">
        <v>1701</v>
      </c>
      <c r="V12" s="173">
        <v>8</v>
      </c>
      <c r="W12" t="s">
        <v>1699</v>
      </c>
      <c r="X12" s="173">
        <f t="shared" si="1"/>
        <v>80</v>
      </c>
      <c r="Y12" t="s">
        <v>1699</v>
      </c>
      <c r="AC12" t="s">
        <v>1701</v>
      </c>
      <c r="AD12" s="173">
        <v>4</v>
      </c>
      <c r="AE12" t="s">
        <v>1699</v>
      </c>
      <c r="AF12" s="173">
        <f t="shared" si="2"/>
        <v>128</v>
      </c>
      <c r="AG12" t="s">
        <v>1699</v>
      </c>
      <c r="AK12" t="s">
        <v>1701</v>
      </c>
      <c r="AL12" s="173">
        <v>4</v>
      </c>
      <c r="AM12" t="s">
        <v>1699</v>
      </c>
      <c r="AN12" s="173">
        <f t="shared" si="3"/>
        <v>24</v>
      </c>
      <c r="AO12" t="s">
        <v>1699</v>
      </c>
      <c r="AS12" t="s">
        <v>1701</v>
      </c>
      <c r="AT12" s="173">
        <v>4</v>
      </c>
      <c r="AU12" t="s">
        <v>1699</v>
      </c>
      <c r="AV12" s="173">
        <f t="shared" si="4"/>
        <v>16</v>
      </c>
      <c r="AW12" t="s">
        <v>1699</v>
      </c>
      <c r="BA12" t="s">
        <v>1701</v>
      </c>
      <c r="BB12" s="173">
        <v>1</v>
      </c>
      <c r="BC12" t="s">
        <v>1699</v>
      </c>
      <c r="BD12" s="173">
        <f t="shared" si="5"/>
        <v>2</v>
      </c>
      <c r="BE12" t="s">
        <v>1699</v>
      </c>
      <c r="BI12" t="s">
        <v>1701</v>
      </c>
      <c r="BK12" t="s">
        <v>1699</v>
      </c>
      <c r="BL12" s="173">
        <f t="shared" si="6"/>
        <v>0</v>
      </c>
      <c r="BM12" t="s">
        <v>1699</v>
      </c>
      <c r="BQ12" t="s">
        <v>1701</v>
      </c>
      <c r="BR12" s="173">
        <v>4</v>
      </c>
      <c r="BS12" t="s">
        <v>1699</v>
      </c>
      <c r="BT12" s="173">
        <f t="shared" si="7"/>
        <v>48</v>
      </c>
      <c r="BU12" t="s">
        <v>1699</v>
      </c>
      <c r="BY12" t="s">
        <v>1701</v>
      </c>
      <c r="BZ12" s="173">
        <v>4</v>
      </c>
      <c r="CA12" t="s">
        <v>1699</v>
      </c>
      <c r="CB12" s="173">
        <f t="shared" si="8"/>
        <v>16</v>
      </c>
      <c r="CC12" t="s">
        <v>1699</v>
      </c>
      <c r="CG12" t="s">
        <v>1701</v>
      </c>
      <c r="CH12" s="173">
        <v>4</v>
      </c>
      <c r="CI12" t="s">
        <v>1699</v>
      </c>
      <c r="CJ12" s="173">
        <f t="shared" si="9"/>
        <v>8</v>
      </c>
      <c r="CK12" t="s">
        <v>1699</v>
      </c>
      <c r="CO12" t="s">
        <v>1701</v>
      </c>
      <c r="CP12" s="173">
        <v>4</v>
      </c>
      <c r="CQ12" t="s">
        <v>1699</v>
      </c>
      <c r="CR12" s="173">
        <f t="shared" si="10"/>
        <v>8</v>
      </c>
      <c r="CS12" t="s">
        <v>1699</v>
      </c>
      <c r="CU12" s="43">
        <f t="shared" si="11"/>
        <v>426</v>
      </c>
      <c r="CV12" t="s">
        <v>1699</v>
      </c>
    </row>
    <row r="13" spans="2:100">
      <c r="E13" t="s">
        <v>1702</v>
      </c>
      <c r="F13" s="173">
        <v>5</v>
      </c>
      <c r="G13" t="s">
        <v>342</v>
      </c>
      <c r="H13" s="173">
        <f t="shared" si="0"/>
        <v>60</v>
      </c>
      <c r="I13" t="s">
        <v>342</v>
      </c>
      <c r="M13" t="s">
        <v>1702</v>
      </c>
      <c r="N13" s="173">
        <v>5</v>
      </c>
      <c r="O13" t="s">
        <v>342</v>
      </c>
      <c r="P13" s="173">
        <f>$C$2*N13</f>
        <v>60</v>
      </c>
      <c r="Q13" t="s">
        <v>342</v>
      </c>
      <c r="U13" t="s">
        <v>1702</v>
      </c>
      <c r="V13" s="173">
        <v>5</v>
      </c>
      <c r="W13" t="s">
        <v>342</v>
      </c>
      <c r="X13" s="173">
        <f t="shared" si="1"/>
        <v>50</v>
      </c>
      <c r="Y13" t="s">
        <v>342</v>
      </c>
      <c r="AC13" t="s">
        <v>1702</v>
      </c>
      <c r="AD13" s="173">
        <v>5</v>
      </c>
      <c r="AE13" t="s">
        <v>342</v>
      </c>
      <c r="AF13" s="173">
        <f t="shared" si="2"/>
        <v>160</v>
      </c>
      <c r="AG13" t="s">
        <v>342</v>
      </c>
      <c r="AK13" t="s">
        <v>1702</v>
      </c>
      <c r="AL13" s="173">
        <v>5</v>
      </c>
      <c r="AM13" t="s">
        <v>342</v>
      </c>
      <c r="AN13" s="173">
        <f t="shared" si="3"/>
        <v>30</v>
      </c>
      <c r="AO13" t="s">
        <v>342</v>
      </c>
      <c r="AS13" t="s">
        <v>1702</v>
      </c>
      <c r="AT13" s="173">
        <v>5</v>
      </c>
      <c r="AU13" t="s">
        <v>342</v>
      </c>
      <c r="AV13" s="173">
        <f t="shared" si="4"/>
        <v>20</v>
      </c>
      <c r="AW13" t="s">
        <v>342</v>
      </c>
      <c r="BA13" t="s">
        <v>1702</v>
      </c>
      <c r="BB13" s="173">
        <v>1</v>
      </c>
      <c r="BC13" t="s">
        <v>342</v>
      </c>
      <c r="BD13" s="173">
        <f t="shared" si="5"/>
        <v>2</v>
      </c>
      <c r="BE13" t="s">
        <v>342</v>
      </c>
      <c r="BI13" t="s">
        <v>1702</v>
      </c>
      <c r="BJ13" s="173">
        <v>5</v>
      </c>
      <c r="BK13" t="s">
        <v>342</v>
      </c>
      <c r="BL13" s="173">
        <f t="shared" si="6"/>
        <v>10</v>
      </c>
      <c r="BM13" t="s">
        <v>342</v>
      </c>
      <c r="BQ13" t="s">
        <v>1702</v>
      </c>
      <c r="BR13" s="173">
        <v>5</v>
      </c>
      <c r="BS13" t="s">
        <v>342</v>
      </c>
      <c r="BT13" s="173">
        <f t="shared" si="7"/>
        <v>60</v>
      </c>
      <c r="BU13" t="s">
        <v>342</v>
      </c>
      <c r="BY13" t="s">
        <v>1702</v>
      </c>
      <c r="BZ13" s="173">
        <v>5</v>
      </c>
      <c r="CA13" t="s">
        <v>342</v>
      </c>
      <c r="CB13" s="173">
        <f t="shared" si="8"/>
        <v>20</v>
      </c>
      <c r="CC13" t="s">
        <v>342</v>
      </c>
      <c r="CG13" t="s">
        <v>1702</v>
      </c>
      <c r="CH13" s="173">
        <v>5</v>
      </c>
      <c r="CI13" t="s">
        <v>342</v>
      </c>
      <c r="CJ13" s="173">
        <f t="shared" si="9"/>
        <v>10</v>
      </c>
      <c r="CK13" t="s">
        <v>342</v>
      </c>
      <c r="CO13" t="s">
        <v>1702</v>
      </c>
      <c r="CP13" s="173">
        <v>5</v>
      </c>
      <c r="CQ13" t="s">
        <v>342</v>
      </c>
      <c r="CR13" s="173">
        <f t="shared" si="10"/>
        <v>10</v>
      </c>
      <c r="CS13" t="s">
        <v>342</v>
      </c>
      <c r="CU13" s="43">
        <f t="shared" si="11"/>
        <v>492</v>
      </c>
      <c r="CV13" t="s">
        <v>342</v>
      </c>
    </row>
    <row r="14" spans="2:100">
      <c r="E14" t="s">
        <v>1703</v>
      </c>
      <c r="F14" s="173">
        <v>93</v>
      </c>
      <c r="G14" t="s">
        <v>402</v>
      </c>
      <c r="H14" s="173">
        <f t="shared" si="0"/>
        <v>1116</v>
      </c>
      <c r="I14" t="s">
        <v>402</v>
      </c>
      <c r="M14" t="s">
        <v>1703</v>
      </c>
      <c r="N14" s="173">
        <v>72</v>
      </c>
      <c r="O14" t="s">
        <v>402</v>
      </c>
      <c r="P14" s="173">
        <f>$C$2*N14</f>
        <v>864</v>
      </c>
      <c r="Q14" t="s">
        <v>402</v>
      </c>
      <c r="U14" t="s">
        <v>1703</v>
      </c>
      <c r="V14" s="173">
        <v>128</v>
      </c>
      <c r="W14" t="s">
        <v>402</v>
      </c>
      <c r="X14" s="173">
        <f t="shared" si="1"/>
        <v>1280</v>
      </c>
      <c r="Y14" t="s">
        <v>402</v>
      </c>
      <c r="AC14" t="s">
        <v>1703</v>
      </c>
      <c r="AD14" s="173">
        <v>111</v>
      </c>
      <c r="AE14" t="s">
        <v>402</v>
      </c>
      <c r="AF14" s="173">
        <f t="shared" si="2"/>
        <v>3552</v>
      </c>
      <c r="AG14" t="s">
        <v>402</v>
      </c>
      <c r="AK14" t="s">
        <v>1703</v>
      </c>
      <c r="AL14" s="173">
        <v>190</v>
      </c>
      <c r="AM14" t="s">
        <v>402</v>
      </c>
      <c r="AN14" s="173">
        <f t="shared" si="3"/>
        <v>1140</v>
      </c>
      <c r="AO14" t="s">
        <v>402</v>
      </c>
      <c r="AS14" t="s">
        <v>1703</v>
      </c>
      <c r="AT14" s="173">
        <v>23</v>
      </c>
      <c r="AU14" t="s">
        <v>402</v>
      </c>
      <c r="AV14" s="173">
        <f t="shared" si="4"/>
        <v>92</v>
      </c>
      <c r="AW14" t="s">
        <v>402</v>
      </c>
      <c r="BA14" t="s">
        <v>1703</v>
      </c>
      <c r="BB14" s="173">
        <v>79</v>
      </c>
      <c r="BC14" t="s">
        <v>402</v>
      </c>
      <c r="BD14" s="173">
        <f t="shared" si="5"/>
        <v>158</v>
      </c>
      <c r="BE14" t="s">
        <v>402</v>
      </c>
      <c r="BI14" t="s">
        <v>1703</v>
      </c>
      <c r="BJ14" s="173">
        <v>62</v>
      </c>
      <c r="BK14" t="s">
        <v>402</v>
      </c>
      <c r="BL14" s="173">
        <f t="shared" si="6"/>
        <v>124</v>
      </c>
      <c r="BM14" t="s">
        <v>402</v>
      </c>
      <c r="BQ14" t="s">
        <v>1703</v>
      </c>
      <c r="BR14" s="173">
        <v>114</v>
      </c>
      <c r="BS14" t="s">
        <v>402</v>
      </c>
      <c r="BT14" s="173">
        <f t="shared" si="7"/>
        <v>1368</v>
      </c>
      <c r="BU14" t="s">
        <v>402</v>
      </c>
      <c r="BY14" t="s">
        <v>1703</v>
      </c>
      <c r="BZ14" s="173">
        <v>116</v>
      </c>
      <c r="CA14" t="s">
        <v>402</v>
      </c>
      <c r="CB14" s="173">
        <f t="shared" si="8"/>
        <v>464</v>
      </c>
      <c r="CC14" t="s">
        <v>402</v>
      </c>
      <c r="CG14" t="s">
        <v>1703</v>
      </c>
      <c r="CH14" s="173">
        <v>68</v>
      </c>
      <c r="CI14" t="s">
        <v>402</v>
      </c>
      <c r="CJ14" s="173">
        <f t="shared" si="9"/>
        <v>136</v>
      </c>
      <c r="CK14" t="s">
        <v>402</v>
      </c>
      <c r="CO14" t="s">
        <v>1703</v>
      </c>
      <c r="CP14" s="173">
        <v>102</v>
      </c>
      <c r="CQ14" t="s">
        <v>402</v>
      </c>
      <c r="CR14" s="173">
        <f t="shared" si="10"/>
        <v>204</v>
      </c>
      <c r="CS14" t="s">
        <v>402</v>
      </c>
      <c r="CU14" s="43">
        <f t="shared" si="11"/>
        <v>10498</v>
      </c>
      <c r="CV14" t="s">
        <v>402</v>
      </c>
    </row>
    <row r="15" spans="2:100">
      <c r="E15" t="s">
        <v>1704</v>
      </c>
      <c r="F15" s="173">
        <v>6</v>
      </c>
      <c r="G15" t="s">
        <v>402</v>
      </c>
      <c r="H15" s="173">
        <f t="shared" si="0"/>
        <v>72</v>
      </c>
      <c r="I15" t="s">
        <v>402</v>
      </c>
      <c r="M15" t="s">
        <v>1704</v>
      </c>
      <c r="N15" s="173">
        <v>5</v>
      </c>
      <c r="O15" t="s">
        <v>402</v>
      </c>
      <c r="P15" s="173">
        <f>$C$2*N15</f>
        <v>60</v>
      </c>
      <c r="Q15" t="s">
        <v>402</v>
      </c>
      <c r="U15" t="s">
        <v>1704</v>
      </c>
      <c r="V15" s="173">
        <v>7</v>
      </c>
      <c r="W15" t="s">
        <v>402</v>
      </c>
      <c r="X15" s="173">
        <f t="shared" si="1"/>
        <v>70</v>
      </c>
      <c r="Y15" t="s">
        <v>402</v>
      </c>
      <c r="AC15" t="s">
        <v>1704</v>
      </c>
      <c r="AD15" s="173">
        <v>5</v>
      </c>
      <c r="AE15" t="s">
        <v>402</v>
      </c>
      <c r="AF15" s="173">
        <f t="shared" si="2"/>
        <v>160</v>
      </c>
      <c r="AG15" t="s">
        <v>402</v>
      </c>
      <c r="AK15" t="s">
        <v>1704</v>
      </c>
      <c r="AL15" s="173">
        <v>15</v>
      </c>
      <c r="AM15" t="s">
        <v>402</v>
      </c>
      <c r="AN15" s="173">
        <f t="shared" si="3"/>
        <v>90</v>
      </c>
      <c r="AO15" t="s">
        <v>402</v>
      </c>
      <c r="AS15" t="s">
        <v>1704</v>
      </c>
      <c r="AT15" s="173">
        <v>6</v>
      </c>
      <c r="AU15" t="s">
        <v>402</v>
      </c>
      <c r="AV15" s="173">
        <f t="shared" si="4"/>
        <v>24</v>
      </c>
      <c r="AW15" t="s">
        <v>402</v>
      </c>
      <c r="BA15" t="s">
        <v>1704</v>
      </c>
      <c r="BB15" s="173">
        <v>6</v>
      </c>
      <c r="BC15" t="s">
        <v>402</v>
      </c>
      <c r="BD15" s="173">
        <f t="shared" si="5"/>
        <v>12</v>
      </c>
      <c r="BE15" t="s">
        <v>402</v>
      </c>
      <c r="BI15" t="s">
        <v>1704</v>
      </c>
      <c r="BJ15" s="173">
        <v>6</v>
      </c>
      <c r="BK15" t="s">
        <v>402</v>
      </c>
      <c r="BL15" s="173">
        <f t="shared" si="6"/>
        <v>12</v>
      </c>
      <c r="BM15" t="s">
        <v>402</v>
      </c>
      <c r="BQ15" t="s">
        <v>1704</v>
      </c>
      <c r="BR15" s="173">
        <v>12</v>
      </c>
      <c r="BS15" t="s">
        <v>402</v>
      </c>
      <c r="BT15" s="173">
        <f t="shared" si="7"/>
        <v>144</v>
      </c>
      <c r="BU15" t="s">
        <v>402</v>
      </c>
      <c r="BY15" t="s">
        <v>1704</v>
      </c>
      <c r="BZ15" s="173">
        <v>12</v>
      </c>
      <c r="CA15" t="s">
        <v>402</v>
      </c>
      <c r="CB15" s="173">
        <f t="shared" si="8"/>
        <v>48</v>
      </c>
      <c r="CC15" t="s">
        <v>402</v>
      </c>
      <c r="CG15" t="s">
        <v>1704</v>
      </c>
      <c r="CH15" s="173">
        <v>6</v>
      </c>
      <c r="CI15" t="s">
        <v>402</v>
      </c>
      <c r="CJ15" s="173">
        <f t="shared" si="9"/>
        <v>12</v>
      </c>
      <c r="CK15" t="s">
        <v>402</v>
      </c>
      <c r="CO15" t="s">
        <v>1704</v>
      </c>
      <c r="CP15" s="173">
        <v>6</v>
      </c>
      <c r="CQ15" t="s">
        <v>402</v>
      </c>
      <c r="CR15" s="173">
        <f t="shared" si="10"/>
        <v>12</v>
      </c>
      <c r="CS15" t="s">
        <v>402</v>
      </c>
      <c r="CU15" s="43">
        <f t="shared" si="11"/>
        <v>716</v>
      </c>
      <c r="CV15" t="s">
        <v>402</v>
      </c>
    </row>
    <row r="16" spans="2:100">
      <c r="D16" t="s">
        <v>1705</v>
      </c>
      <c r="L16" t="s">
        <v>1705</v>
      </c>
      <c r="T16" t="s">
        <v>1705</v>
      </c>
      <c r="AB16" t="s">
        <v>1705</v>
      </c>
      <c r="AJ16" t="s">
        <v>1705</v>
      </c>
      <c r="AR16" t="s">
        <v>1705</v>
      </c>
      <c r="AZ16" t="s">
        <v>1705</v>
      </c>
      <c r="BH16" t="s">
        <v>1705</v>
      </c>
      <c r="BP16" t="s">
        <v>1705</v>
      </c>
      <c r="BX16" t="s">
        <v>1705</v>
      </c>
      <c r="CF16" t="s">
        <v>1705</v>
      </c>
      <c r="CN16" t="s">
        <v>1705</v>
      </c>
    </row>
    <row r="17" spans="4:100">
      <c r="E17" t="s">
        <v>1706</v>
      </c>
      <c r="F17" s="173">
        <v>1</v>
      </c>
      <c r="G17" t="s">
        <v>342</v>
      </c>
      <c r="H17" s="173">
        <f>$C$2*F17</f>
        <v>12</v>
      </c>
      <c r="I17" t="s">
        <v>342</v>
      </c>
      <c r="M17" t="s">
        <v>1706</v>
      </c>
      <c r="O17" t="s">
        <v>342</v>
      </c>
      <c r="P17" s="173">
        <f>$K$2*N17</f>
        <v>0</v>
      </c>
      <c r="Q17" t="s">
        <v>342</v>
      </c>
      <c r="U17" t="s">
        <v>1706</v>
      </c>
      <c r="V17" s="173">
        <v>1</v>
      </c>
      <c r="W17" t="s">
        <v>342</v>
      </c>
      <c r="X17" s="173">
        <f>S$2*V17</f>
        <v>10</v>
      </c>
      <c r="Y17" t="s">
        <v>342</v>
      </c>
      <c r="AC17" t="s">
        <v>1706</v>
      </c>
      <c r="AD17" s="173">
        <v>1</v>
      </c>
      <c r="AE17" t="s">
        <v>342</v>
      </c>
      <c r="AF17" s="173">
        <f>AA$2*AD17</f>
        <v>32</v>
      </c>
      <c r="AG17" t="s">
        <v>342</v>
      </c>
      <c r="AK17" t="s">
        <v>1706</v>
      </c>
      <c r="AM17" t="s">
        <v>342</v>
      </c>
      <c r="AN17" s="173">
        <f>AI$2*AL17</f>
        <v>0</v>
      </c>
      <c r="AO17" t="s">
        <v>342</v>
      </c>
      <c r="AS17" t="s">
        <v>1706</v>
      </c>
      <c r="AT17" s="173">
        <v>1</v>
      </c>
      <c r="AU17" t="s">
        <v>342</v>
      </c>
      <c r="AV17" s="173">
        <f>AQ$2*AT17</f>
        <v>4</v>
      </c>
      <c r="AW17" t="s">
        <v>342</v>
      </c>
      <c r="BA17" t="s">
        <v>1706</v>
      </c>
      <c r="BB17" s="173">
        <v>1</v>
      </c>
      <c r="BC17" t="s">
        <v>342</v>
      </c>
      <c r="BD17" s="173">
        <f>AY$2*BB17</f>
        <v>2</v>
      </c>
      <c r="BE17" t="s">
        <v>342</v>
      </c>
      <c r="BI17" t="s">
        <v>1706</v>
      </c>
      <c r="BJ17" s="173">
        <v>1</v>
      </c>
      <c r="BK17" t="s">
        <v>342</v>
      </c>
      <c r="BL17" s="173">
        <f>BG$2*BJ17</f>
        <v>2</v>
      </c>
      <c r="BM17" t="s">
        <v>342</v>
      </c>
      <c r="BQ17" t="s">
        <v>1706</v>
      </c>
      <c r="BR17" s="173">
        <v>2</v>
      </c>
      <c r="BS17" t="s">
        <v>342</v>
      </c>
      <c r="BT17" s="173">
        <f>BO$2*BR17</f>
        <v>24</v>
      </c>
      <c r="BU17" t="s">
        <v>342</v>
      </c>
      <c r="BY17" t="s">
        <v>1706</v>
      </c>
      <c r="BZ17" s="173">
        <v>2</v>
      </c>
      <c r="CA17" t="s">
        <v>342</v>
      </c>
      <c r="CB17" s="173">
        <f>BW$2*BZ17</f>
        <v>8</v>
      </c>
      <c r="CC17" t="s">
        <v>342</v>
      </c>
      <c r="CG17" t="s">
        <v>1706</v>
      </c>
      <c r="CH17" s="173">
        <v>1</v>
      </c>
      <c r="CI17" t="s">
        <v>342</v>
      </c>
      <c r="CJ17" s="173">
        <f>CE$2*CH17</f>
        <v>2</v>
      </c>
      <c r="CK17" t="s">
        <v>342</v>
      </c>
      <c r="CO17" t="s">
        <v>1706</v>
      </c>
      <c r="CP17" s="173">
        <v>1</v>
      </c>
      <c r="CQ17" t="s">
        <v>342</v>
      </c>
      <c r="CR17" s="173">
        <f>CM$2*CP17</f>
        <v>2</v>
      </c>
      <c r="CS17" t="s">
        <v>342</v>
      </c>
      <c r="CU17" s="43">
        <f>H17+P17+X17+AF17+AV17+AN17+BD17+BL17+BT17+CB17+CJ17+CR17</f>
        <v>98</v>
      </c>
      <c r="CV17" t="s">
        <v>342</v>
      </c>
    </row>
    <row r="18" spans="4:100">
      <c r="E18" t="s">
        <v>1707</v>
      </c>
      <c r="F18" s="173">
        <v>1</v>
      </c>
      <c r="G18" t="s">
        <v>342</v>
      </c>
      <c r="H18" s="173">
        <f>$C$2*F18</f>
        <v>12</v>
      </c>
      <c r="I18" t="s">
        <v>342</v>
      </c>
      <c r="M18" t="s">
        <v>1707</v>
      </c>
      <c r="N18" s="173">
        <v>1</v>
      </c>
      <c r="O18" t="s">
        <v>342</v>
      </c>
      <c r="P18" s="173">
        <f>$C$2*N18</f>
        <v>12</v>
      </c>
      <c r="Q18" t="s">
        <v>342</v>
      </c>
      <c r="U18" t="s">
        <v>1707</v>
      </c>
      <c r="V18" s="173">
        <v>1</v>
      </c>
      <c r="W18" t="s">
        <v>342</v>
      </c>
      <c r="X18" s="173">
        <f>S$2*V18</f>
        <v>10</v>
      </c>
      <c r="Y18" t="s">
        <v>342</v>
      </c>
      <c r="AC18" t="s">
        <v>1707</v>
      </c>
      <c r="AD18" s="173">
        <v>1</v>
      </c>
      <c r="AE18" t="s">
        <v>342</v>
      </c>
      <c r="AF18" s="173">
        <f>AA$2*AD18</f>
        <v>32</v>
      </c>
      <c r="AG18" t="s">
        <v>342</v>
      </c>
      <c r="AK18" t="s">
        <v>1707</v>
      </c>
      <c r="AL18" s="173">
        <v>1</v>
      </c>
      <c r="AM18" t="s">
        <v>342</v>
      </c>
      <c r="AN18" s="173">
        <f>AI$2*AL18</f>
        <v>6</v>
      </c>
      <c r="AO18" t="s">
        <v>342</v>
      </c>
      <c r="AS18" t="s">
        <v>1707</v>
      </c>
      <c r="AT18" s="173">
        <v>1</v>
      </c>
      <c r="AU18" t="s">
        <v>342</v>
      </c>
      <c r="AV18" s="173">
        <f>AQ$2*AT18</f>
        <v>4</v>
      </c>
      <c r="AW18" t="s">
        <v>342</v>
      </c>
      <c r="BA18" t="s">
        <v>1707</v>
      </c>
      <c r="BB18" s="173">
        <v>1</v>
      </c>
      <c r="BC18" t="s">
        <v>342</v>
      </c>
      <c r="BD18" s="173">
        <f>AY$2*BB18</f>
        <v>2</v>
      </c>
      <c r="BE18" t="s">
        <v>342</v>
      </c>
      <c r="BI18" t="s">
        <v>1707</v>
      </c>
      <c r="BJ18" s="173">
        <v>1</v>
      </c>
      <c r="BK18" t="s">
        <v>342</v>
      </c>
      <c r="BL18" s="173">
        <f>BG$2*BJ18</f>
        <v>2</v>
      </c>
      <c r="BM18" t="s">
        <v>342</v>
      </c>
      <c r="BQ18" t="s">
        <v>1707</v>
      </c>
      <c r="BR18" s="173">
        <v>1</v>
      </c>
      <c r="BS18" t="s">
        <v>342</v>
      </c>
      <c r="BT18" s="173">
        <f>BO$2*BR18</f>
        <v>12</v>
      </c>
      <c r="BU18" t="s">
        <v>342</v>
      </c>
      <c r="BY18" t="s">
        <v>1707</v>
      </c>
      <c r="BZ18" s="173">
        <v>1</v>
      </c>
      <c r="CA18" t="s">
        <v>342</v>
      </c>
      <c r="CB18" s="173">
        <f>BW$2*BZ18</f>
        <v>4</v>
      </c>
      <c r="CC18" t="s">
        <v>342</v>
      </c>
      <c r="CG18" t="s">
        <v>1707</v>
      </c>
      <c r="CH18" s="173">
        <v>1</v>
      </c>
      <c r="CI18" t="s">
        <v>342</v>
      </c>
      <c r="CJ18" s="173">
        <f>CE$2*CH18</f>
        <v>2</v>
      </c>
      <c r="CK18" t="s">
        <v>342</v>
      </c>
      <c r="CO18" t="s">
        <v>1707</v>
      </c>
      <c r="CP18" s="173">
        <v>1</v>
      </c>
      <c r="CQ18" t="s">
        <v>342</v>
      </c>
      <c r="CR18" s="173">
        <f>CM$2*CP18</f>
        <v>2</v>
      </c>
      <c r="CS18" t="s">
        <v>342</v>
      </c>
      <c r="CU18" s="43">
        <f>H18+P18+X18+AF18+AV18+AN18+BD18+BL18+BT18+CB18+CJ18+CR18</f>
        <v>100</v>
      </c>
      <c r="CV18" t="s">
        <v>342</v>
      </c>
    </row>
    <row r="19" spans="4:100">
      <c r="U19" t="s">
        <v>1708</v>
      </c>
      <c r="V19" s="173">
        <v>1</v>
      </c>
      <c r="W19" t="s">
        <v>342</v>
      </c>
      <c r="X19" s="173">
        <f>S$2*V19</f>
        <v>10</v>
      </c>
      <c r="Y19" t="s">
        <v>342</v>
      </c>
      <c r="AC19" t="s">
        <v>1708</v>
      </c>
      <c r="AE19" t="s">
        <v>342</v>
      </c>
      <c r="AF19" s="173">
        <f>AA$2*AD19</f>
        <v>0</v>
      </c>
      <c r="AG19" t="s">
        <v>342</v>
      </c>
      <c r="AK19" t="s">
        <v>1708</v>
      </c>
      <c r="AM19" t="s">
        <v>342</v>
      </c>
      <c r="AN19" s="173">
        <f>AI$2*AL19</f>
        <v>0</v>
      </c>
      <c r="AO19" t="s">
        <v>342</v>
      </c>
      <c r="AS19" t="s">
        <v>1708</v>
      </c>
      <c r="AU19" t="s">
        <v>342</v>
      </c>
      <c r="AV19" s="173">
        <f>AQ$2*AT19</f>
        <v>0</v>
      </c>
      <c r="AW19" t="s">
        <v>342</v>
      </c>
      <c r="BA19" t="s">
        <v>1708</v>
      </c>
      <c r="BC19" t="s">
        <v>342</v>
      </c>
      <c r="BD19" s="173">
        <f>AY$2*BB19</f>
        <v>0</v>
      </c>
      <c r="BE19" t="s">
        <v>342</v>
      </c>
      <c r="BI19" t="s">
        <v>1708</v>
      </c>
      <c r="BK19" t="s">
        <v>342</v>
      </c>
      <c r="BL19" s="173">
        <f>BG$2*BJ19</f>
        <v>0</v>
      </c>
      <c r="BM19" t="s">
        <v>342</v>
      </c>
      <c r="BQ19" t="s">
        <v>1708</v>
      </c>
      <c r="BS19" t="s">
        <v>342</v>
      </c>
      <c r="BT19" s="173">
        <f>BO$2*BR19</f>
        <v>0</v>
      </c>
      <c r="BU19" t="s">
        <v>342</v>
      </c>
      <c r="BY19" t="s">
        <v>1708</v>
      </c>
      <c r="CA19" t="s">
        <v>342</v>
      </c>
      <c r="CB19" s="173">
        <f>BW$2*BZ19</f>
        <v>0</v>
      </c>
      <c r="CC19" t="s">
        <v>342</v>
      </c>
      <c r="CG19" t="s">
        <v>1708</v>
      </c>
      <c r="CI19" t="s">
        <v>342</v>
      </c>
      <c r="CJ19" s="173">
        <f>CE$2*CH19</f>
        <v>0</v>
      </c>
      <c r="CK19" t="s">
        <v>342</v>
      </c>
      <c r="CO19" t="s">
        <v>1708</v>
      </c>
      <c r="CQ19" t="s">
        <v>342</v>
      </c>
      <c r="CR19" s="173">
        <f>CM$2*CP19</f>
        <v>0</v>
      </c>
      <c r="CS19" t="s">
        <v>342</v>
      </c>
      <c r="CU19" s="43">
        <f>H19+P19+X19+AF19+AV19+AN19+BD19+BL19+BT19+CB19+CJ19+CR19</f>
        <v>10</v>
      </c>
      <c r="CV19" t="s">
        <v>342</v>
      </c>
    </row>
    <row r="20" spans="4:100">
      <c r="E20" t="s">
        <v>1709</v>
      </c>
      <c r="F20" s="173">
        <v>1</v>
      </c>
      <c r="G20" t="s">
        <v>342</v>
      </c>
      <c r="H20" s="173">
        <f>$C$2*F20</f>
        <v>12</v>
      </c>
      <c r="I20" t="s">
        <v>342</v>
      </c>
      <c r="M20" t="s">
        <v>1709</v>
      </c>
      <c r="O20" t="s">
        <v>342</v>
      </c>
      <c r="P20" s="173">
        <f>$C$2*N20</f>
        <v>0</v>
      </c>
      <c r="Q20" t="s">
        <v>342</v>
      </c>
      <c r="U20" t="s">
        <v>1709</v>
      </c>
      <c r="V20" s="173">
        <v>2</v>
      </c>
      <c r="W20" t="s">
        <v>342</v>
      </c>
      <c r="X20" s="173">
        <f>S$2*V20</f>
        <v>20</v>
      </c>
      <c r="Y20" t="s">
        <v>342</v>
      </c>
      <c r="AC20" t="s">
        <v>1709</v>
      </c>
      <c r="AD20" s="173">
        <v>1</v>
      </c>
      <c r="AE20" t="s">
        <v>342</v>
      </c>
      <c r="AF20" s="173">
        <f>AA$2*AD20</f>
        <v>32</v>
      </c>
      <c r="AG20" t="s">
        <v>342</v>
      </c>
      <c r="AK20" t="s">
        <v>1709</v>
      </c>
      <c r="AL20" s="173">
        <v>3</v>
      </c>
      <c r="AM20" t="s">
        <v>342</v>
      </c>
      <c r="AN20" s="173">
        <f>AI$2*AL20</f>
        <v>18</v>
      </c>
      <c r="AO20" t="s">
        <v>342</v>
      </c>
      <c r="AS20" t="s">
        <v>1709</v>
      </c>
      <c r="AU20" t="s">
        <v>342</v>
      </c>
      <c r="AV20" s="173">
        <f>AQ$2*AT20</f>
        <v>0</v>
      </c>
      <c r="AW20" t="s">
        <v>342</v>
      </c>
      <c r="BA20" t="s">
        <v>1709</v>
      </c>
      <c r="BC20" t="s">
        <v>342</v>
      </c>
      <c r="BD20" s="173">
        <f>AY$2*BB20</f>
        <v>0</v>
      </c>
      <c r="BE20" t="s">
        <v>342</v>
      </c>
      <c r="BI20" t="s">
        <v>1709</v>
      </c>
      <c r="BK20" t="s">
        <v>342</v>
      </c>
      <c r="BL20" s="173">
        <f>BG$2*BJ20</f>
        <v>0</v>
      </c>
      <c r="BM20" t="s">
        <v>342</v>
      </c>
      <c r="BQ20" t="s">
        <v>1709</v>
      </c>
      <c r="BS20" t="s">
        <v>342</v>
      </c>
      <c r="BT20" s="173">
        <f>BO$2*BR20</f>
        <v>0</v>
      </c>
      <c r="BU20" t="s">
        <v>342</v>
      </c>
      <c r="BY20" t="s">
        <v>1709</v>
      </c>
      <c r="CA20" t="s">
        <v>342</v>
      </c>
      <c r="CB20" s="173">
        <f>BW$2*BZ20</f>
        <v>0</v>
      </c>
      <c r="CC20" t="s">
        <v>342</v>
      </c>
      <c r="CG20" t="s">
        <v>1709</v>
      </c>
      <c r="CI20" t="s">
        <v>342</v>
      </c>
      <c r="CJ20" s="173">
        <f>CE$2*CH20</f>
        <v>0</v>
      </c>
      <c r="CK20" t="s">
        <v>342</v>
      </c>
      <c r="CO20" t="s">
        <v>1709</v>
      </c>
      <c r="CP20" s="173">
        <v>1</v>
      </c>
      <c r="CQ20" t="s">
        <v>342</v>
      </c>
      <c r="CR20" s="173">
        <f>CM$2*CP20</f>
        <v>2</v>
      </c>
      <c r="CS20" t="s">
        <v>342</v>
      </c>
      <c r="CU20" s="43">
        <f>H20+P20+X20+AF20+AV20+AN20+BD20+BL20+BT20+CB20+CJ20+CR20</f>
        <v>84</v>
      </c>
      <c r="CV20" t="s">
        <v>342</v>
      </c>
    </row>
    <row r="21" spans="4:100">
      <c r="E21" t="s">
        <v>1710</v>
      </c>
      <c r="F21" s="173">
        <v>1</v>
      </c>
      <c r="G21" t="s">
        <v>342</v>
      </c>
      <c r="H21" s="173">
        <f>$C$2*F21</f>
        <v>12</v>
      </c>
      <c r="I21" t="s">
        <v>342</v>
      </c>
      <c r="M21" t="s">
        <v>1710</v>
      </c>
      <c r="N21" s="173">
        <v>1</v>
      </c>
      <c r="O21" t="s">
        <v>342</v>
      </c>
      <c r="P21" s="173">
        <f>$C$2*N21</f>
        <v>12</v>
      </c>
      <c r="Q21" t="s">
        <v>342</v>
      </c>
      <c r="U21" t="s">
        <v>1710</v>
      </c>
      <c r="V21" s="173">
        <v>1</v>
      </c>
      <c r="W21" t="s">
        <v>342</v>
      </c>
      <c r="X21" s="173">
        <f>S$2*V21</f>
        <v>10</v>
      </c>
      <c r="Y21" t="s">
        <v>342</v>
      </c>
      <c r="AC21" t="s">
        <v>1710</v>
      </c>
      <c r="AD21" s="173">
        <v>1</v>
      </c>
      <c r="AE21" t="s">
        <v>342</v>
      </c>
      <c r="AF21" s="173">
        <f>AA$2*AD21</f>
        <v>32</v>
      </c>
      <c r="AG21" t="s">
        <v>342</v>
      </c>
      <c r="AK21" t="s">
        <v>1710</v>
      </c>
      <c r="AL21" s="173">
        <v>1</v>
      </c>
      <c r="AM21" t="s">
        <v>342</v>
      </c>
      <c r="AN21" s="173">
        <f>AI$2*AL21</f>
        <v>6</v>
      </c>
      <c r="AO21" t="s">
        <v>342</v>
      </c>
      <c r="AS21" t="s">
        <v>1710</v>
      </c>
      <c r="AT21" s="173">
        <v>1</v>
      </c>
      <c r="AU21" t="s">
        <v>342</v>
      </c>
      <c r="AV21" s="173">
        <f>AQ$2*AT21</f>
        <v>4</v>
      </c>
      <c r="AW21" t="s">
        <v>342</v>
      </c>
      <c r="BA21" t="s">
        <v>1710</v>
      </c>
      <c r="BB21" s="173">
        <v>1</v>
      </c>
      <c r="BC21" t="s">
        <v>342</v>
      </c>
      <c r="BD21" s="173">
        <f>AY$2*BB21</f>
        <v>2</v>
      </c>
      <c r="BE21" t="s">
        <v>342</v>
      </c>
      <c r="BI21" t="s">
        <v>1710</v>
      </c>
      <c r="BJ21" s="173">
        <v>1</v>
      </c>
      <c r="BK21" t="s">
        <v>342</v>
      </c>
      <c r="BL21" s="173">
        <f>BG$2*BJ21</f>
        <v>2</v>
      </c>
      <c r="BM21" t="s">
        <v>342</v>
      </c>
      <c r="BQ21" t="s">
        <v>1710</v>
      </c>
      <c r="BR21" s="173">
        <v>1</v>
      </c>
      <c r="BS21" t="s">
        <v>342</v>
      </c>
      <c r="BT21" s="173">
        <f>BO$2*BR21</f>
        <v>12</v>
      </c>
      <c r="BU21" t="s">
        <v>342</v>
      </c>
      <c r="BY21" t="s">
        <v>1710</v>
      </c>
      <c r="BZ21" s="173">
        <v>1</v>
      </c>
      <c r="CA21" t="s">
        <v>342</v>
      </c>
      <c r="CB21" s="173">
        <f>BW$2*BZ21</f>
        <v>4</v>
      </c>
      <c r="CC21" t="s">
        <v>342</v>
      </c>
      <c r="CG21" t="s">
        <v>1710</v>
      </c>
      <c r="CH21" s="173">
        <v>1</v>
      </c>
      <c r="CI21" t="s">
        <v>342</v>
      </c>
      <c r="CJ21" s="173">
        <f>CE$2*CH21</f>
        <v>2</v>
      </c>
      <c r="CK21" t="s">
        <v>342</v>
      </c>
      <c r="CO21" t="s">
        <v>1710</v>
      </c>
      <c r="CP21" s="173">
        <v>1</v>
      </c>
      <c r="CQ21" t="s">
        <v>342</v>
      </c>
      <c r="CR21" s="173">
        <f>CM$2*CP21</f>
        <v>2</v>
      </c>
      <c r="CS21" t="s">
        <v>342</v>
      </c>
      <c r="CU21" s="43">
        <f>H21+P21+X21+AF21+AV21+AN21+BD21+BL21+BT21+CB21+CJ21+CR21</f>
        <v>100</v>
      </c>
      <c r="CV21" t="s">
        <v>342</v>
      </c>
    </row>
    <row r="22" spans="4:100">
      <c r="D22" t="s">
        <v>1711</v>
      </c>
      <c r="L22" t="s">
        <v>1711</v>
      </c>
      <c r="T22" t="s">
        <v>1711</v>
      </c>
      <c r="AB22" t="s">
        <v>1711</v>
      </c>
      <c r="AJ22" t="s">
        <v>1711</v>
      </c>
      <c r="AR22" t="s">
        <v>1711</v>
      </c>
      <c r="AZ22" t="s">
        <v>1711</v>
      </c>
      <c r="BH22" t="s">
        <v>1711</v>
      </c>
      <c r="BP22" t="s">
        <v>1711</v>
      </c>
      <c r="BX22" t="s">
        <v>1711</v>
      </c>
      <c r="CF22" t="s">
        <v>1711</v>
      </c>
      <c r="CN22" t="s">
        <v>1711</v>
      </c>
    </row>
    <row r="23" spans="4:100">
      <c r="E23" t="s">
        <v>1712</v>
      </c>
      <c r="F23" s="173">
        <v>346</v>
      </c>
      <c r="G23" t="s">
        <v>384</v>
      </c>
      <c r="H23" s="173">
        <f t="shared" ref="H23:H31" si="12">$C$2*F23</f>
        <v>4152</v>
      </c>
      <c r="I23" t="s">
        <v>384</v>
      </c>
      <c r="M23" t="s">
        <v>1712</v>
      </c>
      <c r="N23" s="173">
        <v>249</v>
      </c>
      <c r="O23" t="s">
        <v>384</v>
      </c>
      <c r="P23" s="173">
        <f>$K$2*N23</f>
        <v>2988</v>
      </c>
      <c r="Q23" t="s">
        <v>384</v>
      </c>
      <c r="U23" t="s">
        <v>1712</v>
      </c>
      <c r="V23" s="173">
        <v>503</v>
      </c>
      <c r="W23" t="s">
        <v>384</v>
      </c>
      <c r="X23" s="173">
        <f t="shared" ref="X23:X31" si="13">S$2*V23</f>
        <v>5030</v>
      </c>
      <c r="Y23" t="s">
        <v>384</v>
      </c>
      <c r="AC23" t="s">
        <v>1712</v>
      </c>
      <c r="AD23" s="173">
        <v>382</v>
      </c>
      <c r="AE23" t="s">
        <v>384</v>
      </c>
      <c r="AF23" s="173">
        <f t="shared" ref="AF23:AF31" si="14">AA$2*AD23</f>
        <v>12224</v>
      </c>
      <c r="AG23" t="s">
        <v>384</v>
      </c>
      <c r="AK23" t="s">
        <v>1712</v>
      </c>
      <c r="AL23" s="173">
        <v>714</v>
      </c>
      <c r="AM23" t="s">
        <v>384</v>
      </c>
      <c r="AN23" s="173">
        <f t="shared" ref="AN23:AN31" si="15">AI$2*AL23</f>
        <v>4284</v>
      </c>
      <c r="AO23" t="s">
        <v>384</v>
      </c>
      <c r="AS23" t="s">
        <v>1712</v>
      </c>
      <c r="AT23" s="173">
        <v>250</v>
      </c>
      <c r="AU23" t="s">
        <v>384</v>
      </c>
      <c r="AV23" s="173">
        <f t="shared" ref="AV23:AV31" si="16">AQ$2*AT23</f>
        <v>1000</v>
      </c>
      <c r="AW23" t="s">
        <v>384</v>
      </c>
      <c r="BA23" t="s">
        <v>1712</v>
      </c>
      <c r="BB23" s="173">
        <v>269</v>
      </c>
      <c r="BC23" t="s">
        <v>384</v>
      </c>
      <c r="BD23" s="173">
        <f t="shared" ref="BD23:BD31" si="17">AY$2*BB23</f>
        <v>538</v>
      </c>
      <c r="BE23" t="s">
        <v>384</v>
      </c>
      <c r="BI23" t="s">
        <v>1712</v>
      </c>
      <c r="BJ23" s="173">
        <v>199</v>
      </c>
      <c r="BK23" t="s">
        <v>384</v>
      </c>
      <c r="BL23" s="173">
        <f t="shared" ref="BL23:BL31" si="18">BG$2*BJ23</f>
        <v>398</v>
      </c>
      <c r="BM23" t="s">
        <v>384</v>
      </c>
      <c r="BQ23" t="s">
        <v>1712</v>
      </c>
      <c r="BR23" s="173">
        <v>390</v>
      </c>
      <c r="BS23" t="s">
        <v>384</v>
      </c>
      <c r="BT23" s="173">
        <f t="shared" ref="BT23:BT31" si="19">BO$2*BR23</f>
        <v>4680</v>
      </c>
      <c r="BU23" t="s">
        <v>384</v>
      </c>
      <c r="BY23" t="s">
        <v>1712</v>
      </c>
      <c r="BZ23" s="173">
        <v>357</v>
      </c>
      <c r="CA23" t="s">
        <v>384</v>
      </c>
      <c r="CB23" s="173">
        <f t="shared" ref="CB23:CB31" si="20">BW$2*BZ23</f>
        <v>1428</v>
      </c>
      <c r="CC23" t="s">
        <v>384</v>
      </c>
      <c r="CG23" t="s">
        <v>1712</v>
      </c>
      <c r="CH23" s="173">
        <v>201</v>
      </c>
      <c r="CI23" t="s">
        <v>384</v>
      </c>
      <c r="CJ23" s="173">
        <f t="shared" ref="CJ23:CJ31" si="21">CE$2*CH23</f>
        <v>402</v>
      </c>
      <c r="CK23" t="s">
        <v>384</v>
      </c>
      <c r="CO23" t="s">
        <v>1712</v>
      </c>
      <c r="CP23" s="173">
        <v>396</v>
      </c>
      <c r="CQ23" t="s">
        <v>384</v>
      </c>
      <c r="CR23" s="173">
        <f t="shared" ref="CR23:CR31" si="22">CM$2*CP23</f>
        <v>792</v>
      </c>
      <c r="CS23" t="s">
        <v>384</v>
      </c>
      <c r="CU23" s="43">
        <f t="shared" ref="CU23:CU31" si="23">H23+P23+X23+AF23+AV23+AN23+BD23+BL23+BT23+CB23+CJ23+CR23</f>
        <v>37916</v>
      </c>
      <c r="CV23" t="s">
        <v>384</v>
      </c>
    </row>
    <row r="24" spans="4:100">
      <c r="E24" t="s">
        <v>1713</v>
      </c>
      <c r="F24" s="173">
        <v>44</v>
      </c>
      <c r="G24" t="s">
        <v>384</v>
      </c>
      <c r="H24" s="173">
        <f t="shared" si="12"/>
        <v>528</v>
      </c>
      <c r="I24" t="s">
        <v>384</v>
      </c>
      <c r="M24" t="s">
        <v>1713</v>
      </c>
      <c r="N24" s="173">
        <v>48</v>
      </c>
      <c r="O24" t="s">
        <v>384</v>
      </c>
      <c r="P24" s="173">
        <f>$C$2*N24</f>
        <v>576</v>
      </c>
      <c r="Q24" t="s">
        <v>384</v>
      </c>
      <c r="U24" t="s">
        <v>1713</v>
      </c>
      <c r="V24" s="173">
        <v>92</v>
      </c>
      <c r="W24" t="s">
        <v>384</v>
      </c>
      <c r="X24" s="173">
        <f t="shared" si="13"/>
        <v>920</v>
      </c>
      <c r="Y24" t="s">
        <v>384</v>
      </c>
      <c r="AC24" t="s">
        <v>1713</v>
      </c>
      <c r="AD24" s="173">
        <v>47</v>
      </c>
      <c r="AE24" t="s">
        <v>384</v>
      </c>
      <c r="AF24" s="173">
        <f t="shared" si="14"/>
        <v>1504</v>
      </c>
      <c r="AG24" t="s">
        <v>384</v>
      </c>
      <c r="AK24" t="s">
        <v>1713</v>
      </c>
      <c r="AL24" s="173">
        <v>47</v>
      </c>
      <c r="AM24" t="s">
        <v>384</v>
      </c>
      <c r="AN24" s="173">
        <f t="shared" si="15"/>
        <v>282</v>
      </c>
      <c r="AO24" t="s">
        <v>384</v>
      </c>
      <c r="AS24" t="s">
        <v>1713</v>
      </c>
      <c r="AT24" s="173">
        <v>50</v>
      </c>
      <c r="AU24" t="s">
        <v>384</v>
      </c>
      <c r="AV24" s="173">
        <f t="shared" si="16"/>
        <v>200</v>
      </c>
      <c r="AW24" t="s">
        <v>384</v>
      </c>
      <c r="BA24" t="s">
        <v>1713</v>
      </c>
      <c r="BB24" s="173">
        <v>47</v>
      </c>
      <c r="BC24" t="s">
        <v>384</v>
      </c>
      <c r="BD24" s="173">
        <f t="shared" si="17"/>
        <v>94</v>
      </c>
      <c r="BE24" t="s">
        <v>384</v>
      </c>
      <c r="BI24" t="s">
        <v>1713</v>
      </c>
      <c r="BJ24" s="173">
        <v>48</v>
      </c>
      <c r="BK24" t="s">
        <v>384</v>
      </c>
      <c r="BL24" s="173">
        <f t="shared" si="18"/>
        <v>96</v>
      </c>
      <c r="BM24" t="s">
        <v>384</v>
      </c>
      <c r="BQ24" t="s">
        <v>1713</v>
      </c>
      <c r="BR24" s="173">
        <v>46</v>
      </c>
      <c r="BS24" t="s">
        <v>384</v>
      </c>
      <c r="BT24" s="173">
        <f t="shared" si="19"/>
        <v>552</v>
      </c>
      <c r="BU24" t="s">
        <v>384</v>
      </c>
      <c r="BY24" t="s">
        <v>1713</v>
      </c>
      <c r="BZ24" s="173">
        <v>48</v>
      </c>
      <c r="CA24" t="s">
        <v>384</v>
      </c>
      <c r="CB24" s="173">
        <f t="shared" si="20"/>
        <v>192</v>
      </c>
      <c r="CC24" t="s">
        <v>384</v>
      </c>
      <c r="CG24" t="s">
        <v>1713</v>
      </c>
      <c r="CH24" s="173">
        <v>46</v>
      </c>
      <c r="CI24" t="s">
        <v>384</v>
      </c>
      <c r="CJ24" s="173">
        <f t="shared" si="21"/>
        <v>92</v>
      </c>
      <c r="CK24" t="s">
        <v>384</v>
      </c>
      <c r="CO24" t="s">
        <v>1713</v>
      </c>
      <c r="CP24" s="173">
        <v>59</v>
      </c>
      <c r="CQ24" t="s">
        <v>384</v>
      </c>
      <c r="CR24" s="173">
        <f t="shared" si="22"/>
        <v>118</v>
      </c>
      <c r="CS24" t="s">
        <v>384</v>
      </c>
      <c r="CU24" s="43">
        <f t="shared" si="23"/>
        <v>5154</v>
      </c>
      <c r="CV24" t="s">
        <v>384</v>
      </c>
    </row>
    <row r="25" spans="4:100">
      <c r="E25" t="s">
        <v>1714</v>
      </c>
      <c r="F25" s="173">
        <v>23</v>
      </c>
      <c r="G25" t="s">
        <v>402</v>
      </c>
      <c r="H25" s="173">
        <f t="shared" si="12"/>
        <v>276</v>
      </c>
      <c r="I25" t="s">
        <v>402</v>
      </c>
      <c r="M25" t="s">
        <v>1714</v>
      </c>
      <c r="N25" s="173">
        <v>23</v>
      </c>
      <c r="O25" t="s">
        <v>402</v>
      </c>
      <c r="P25" s="173">
        <f>$C$2*N25</f>
        <v>276</v>
      </c>
      <c r="Q25" t="s">
        <v>402</v>
      </c>
      <c r="U25" t="s">
        <v>1714</v>
      </c>
      <c r="V25" s="173">
        <v>46</v>
      </c>
      <c r="W25" t="s">
        <v>402</v>
      </c>
      <c r="X25" s="173">
        <f t="shared" si="13"/>
        <v>460</v>
      </c>
      <c r="Y25" t="s">
        <v>402</v>
      </c>
      <c r="AC25" t="s">
        <v>1714</v>
      </c>
      <c r="AD25" s="173">
        <v>25</v>
      </c>
      <c r="AE25" t="s">
        <v>402</v>
      </c>
      <c r="AF25" s="173">
        <f t="shared" si="14"/>
        <v>800</v>
      </c>
      <c r="AG25" t="s">
        <v>402</v>
      </c>
      <c r="AK25" t="s">
        <v>1714</v>
      </c>
      <c r="AL25" s="173">
        <v>23</v>
      </c>
      <c r="AM25" t="s">
        <v>402</v>
      </c>
      <c r="AN25" s="173">
        <f t="shared" si="15"/>
        <v>138</v>
      </c>
      <c r="AO25" t="s">
        <v>402</v>
      </c>
      <c r="AS25" t="s">
        <v>1714</v>
      </c>
      <c r="AT25" s="173">
        <v>23</v>
      </c>
      <c r="AU25" t="s">
        <v>402</v>
      </c>
      <c r="AV25" s="173">
        <f t="shared" si="16"/>
        <v>92</v>
      </c>
      <c r="AW25" t="s">
        <v>402</v>
      </c>
      <c r="BA25" t="s">
        <v>1714</v>
      </c>
      <c r="BB25" s="173">
        <v>23</v>
      </c>
      <c r="BC25" t="s">
        <v>402</v>
      </c>
      <c r="BD25" s="173">
        <f t="shared" si="17"/>
        <v>46</v>
      </c>
      <c r="BE25" t="s">
        <v>402</v>
      </c>
      <c r="BI25" t="s">
        <v>1714</v>
      </c>
      <c r="BJ25" s="173">
        <v>23</v>
      </c>
      <c r="BK25" t="s">
        <v>402</v>
      </c>
      <c r="BL25" s="173">
        <f t="shared" si="18"/>
        <v>46</v>
      </c>
      <c r="BM25" t="s">
        <v>402</v>
      </c>
      <c r="BQ25" t="s">
        <v>1714</v>
      </c>
      <c r="BR25" s="173">
        <v>23</v>
      </c>
      <c r="BS25" t="s">
        <v>402</v>
      </c>
      <c r="BT25" s="173">
        <f t="shared" si="19"/>
        <v>276</v>
      </c>
      <c r="BU25" t="s">
        <v>402</v>
      </c>
      <c r="BY25" t="s">
        <v>1714</v>
      </c>
      <c r="BZ25" s="173">
        <v>22</v>
      </c>
      <c r="CA25" t="s">
        <v>402</v>
      </c>
      <c r="CB25" s="173">
        <f t="shared" si="20"/>
        <v>88</v>
      </c>
      <c r="CC25" t="s">
        <v>402</v>
      </c>
      <c r="CG25" t="s">
        <v>1714</v>
      </c>
      <c r="CH25" s="173">
        <v>22</v>
      </c>
      <c r="CI25" t="s">
        <v>402</v>
      </c>
      <c r="CJ25" s="173">
        <f t="shared" si="21"/>
        <v>44</v>
      </c>
      <c r="CK25" t="s">
        <v>402</v>
      </c>
      <c r="CO25" t="s">
        <v>1714</v>
      </c>
      <c r="CP25" s="173">
        <v>27</v>
      </c>
      <c r="CQ25" t="s">
        <v>402</v>
      </c>
      <c r="CR25" s="173">
        <f t="shared" si="22"/>
        <v>54</v>
      </c>
      <c r="CS25" t="s">
        <v>402</v>
      </c>
      <c r="CU25" s="43">
        <f t="shared" si="23"/>
        <v>2596</v>
      </c>
      <c r="CV25" t="s">
        <v>402</v>
      </c>
    </row>
    <row r="26" spans="4:100">
      <c r="E26" t="s">
        <v>1715</v>
      </c>
      <c r="F26" s="174">
        <f>(F4*2)+F6+F5</f>
        <v>1400</v>
      </c>
      <c r="G26" t="s">
        <v>384</v>
      </c>
      <c r="H26" s="174">
        <f t="shared" si="12"/>
        <v>16800</v>
      </c>
      <c r="I26" t="s">
        <v>384</v>
      </c>
      <c r="M26" t="s">
        <v>1715</v>
      </c>
      <c r="N26" s="174">
        <f>(N4*2)+N6+N5</f>
        <v>1165.5</v>
      </c>
      <c r="O26" t="s">
        <v>384</v>
      </c>
      <c r="P26" s="174">
        <f>$K$2*N26</f>
        <v>13986</v>
      </c>
      <c r="Q26" t="s">
        <v>384</v>
      </c>
      <c r="U26" t="s">
        <v>1715</v>
      </c>
      <c r="V26" s="174">
        <f>(V4*2)+V6+V5</f>
        <v>2049</v>
      </c>
      <c r="W26" t="s">
        <v>384</v>
      </c>
      <c r="X26" s="174">
        <f t="shared" si="13"/>
        <v>20490</v>
      </c>
      <c r="Y26" t="s">
        <v>384</v>
      </c>
      <c r="AC26" t="s">
        <v>1715</v>
      </c>
      <c r="AD26" s="174">
        <f>(AD4*2)+AD6+AD5</f>
        <v>1511.9</v>
      </c>
      <c r="AE26" t="s">
        <v>384</v>
      </c>
      <c r="AF26" s="174">
        <f t="shared" si="14"/>
        <v>48380.800000000003</v>
      </c>
      <c r="AG26" t="s">
        <v>384</v>
      </c>
      <c r="AK26" t="s">
        <v>1715</v>
      </c>
      <c r="AL26" s="174">
        <f>(AL4*2)+AL6+AL5</f>
        <v>2095.77</v>
      </c>
      <c r="AM26" t="s">
        <v>384</v>
      </c>
      <c r="AN26" s="174">
        <f t="shared" si="15"/>
        <v>12574.619999999999</v>
      </c>
      <c r="AO26" t="s">
        <v>384</v>
      </c>
      <c r="AS26" t="s">
        <v>1715</v>
      </c>
      <c r="AT26" s="174">
        <f>(AT4*2)+AT6+AT5</f>
        <v>1113.92</v>
      </c>
      <c r="AU26" t="s">
        <v>384</v>
      </c>
      <c r="AV26" s="174">
        <f t="shared" si="16"/>
        <v>4455.68</v>
      </c>
      <c r="AW26" t="s">
        <v>384</v>
      </c>
      <c r="BA26" t="s">
        <v>1715</v>
      </c>
      <c r="BB26" s="174">
        <f>(BB4*2)+BB6+BB5</f>
        <v>1052.04</v>
      </c>
      <c r="BC26" t="s">
        <v>384</v>
      </c>
      <c r="BD26" s="174">
        <f t="shared" si="17"/>
        <v>2104.08</v>
      </c>
      <c r="BE26" t="s">
        <v>384</v>
      </c>
      <c r="BI26" t="s">
        <v>1715</v>
      </c>
      <c r="BJ26" s="174">
        <f>(BJ4*2)+BJ6+BJ5</f>
        <v>1181.51</v>
      </c>
      <c r="BK26" t="s">
        <v>384</v>
      </c>
      <c r="BL26" s="174">
        <f t="shared" si="18"/>
        <v>2363.02</v>
      </c>
      <c r="BM26" t="s">
        <v>384</v>
      </c>
      <c r="BQ26" t="s">
        <v>1715</v>
      </c>
      <c r="BR26" s="174">
        <f>(BR4*2)+BR6+BR5</f>
        <v>1566.4099999999999</v>
      </c>
      <c r="BS26" t="s">
        <v>384</v>
      </c>
      <c r="BT26" s="174">
        <f t="shared" si="19"/>
        <v>18796.919999999998</v>
      </c>
      <c r="BU26" t="s">
        <v>384</v>
      </c>
      <c r="BY26" t="s">
        <v>1715</v>
      </c>
      <c r="BZ26" s="174">
        <f>(BZ4*2)+BZ6+BZ5</f>
        <v>1523.99</v>
      </c>
      <c r="CA26" t="s">
        <v>384</v>
      </c>
      <c r="CB26" s="174">
        <f t="shared" si="20"/>
        <v>6095.96</v>
      </c>
      <c r="CC26" t="s">
        <v>384</v>
      </c>
      <c r="CG26" t="s">
        <v>1715</v>
      </c>
      <c r="CH26" s="174">
        <f>(CH4*2)+CH6+CH5</f>
        <v>1056.8699999999999</v>
      </c>
      <c r="CI26" t="s">
        <v>384</v>
      </c>
      <c r="CJ26" s="174">
        <f t="shared" si="21"/>
        <v>2113.7399999999998</v>
      </c>
      <c r="CK26" t="s">
        <v>384</v>
      </c>
      <c r="CO26" t="s">
        <v>1715</v>
      </c>
      <c r="CP26" s="174">
        <f>(CP4*2)+CP6+CP5</f>
        <v>1569.8</v>
      </c>
      <c r="CQ26" t="s">
        <v>384</v>
      </c>
      <c r="CR26" s="174">
        <f t="shared" si="22"/>
        <v>3139.6</v>
      </c>
      <c r="CS26" t="s">
        <v>384</v>
      </c>
      <c r="CU26" s="43">
        <f t="shared" si="23"/>
        <v>151300.41999999998</v>
      </c>
      <c r="CV26" t="s">
        <v>384</v>
      </c>
    </row>
    <row r="27" spans="4:100">
      <c r="E27" t="s">
        <v>1716</v>
      </c>
      <c r="F27" s="174">
        <f>F23+F24</f>
        <v>390</v>
      </c>
      <c r="G27" t="s">
        <v>384</v>
      </c>
      <c r="H27" s="174">
        <f t="shared" si="12"/>
        <v>4680</v>
      </c>
      <c r="I27" t="s">
        <v>384</v>
      </c>
      <c r="M27" t="s">
        <v>1716</v>
      </c>
      <c r="N27" s="174">
        <f>N23+N24</f>
        <v>297</v>
      </c>
      <c r="O27" t="s">
        <v>384</v>
      </c>
      <c r="P27" s="174">
        <f>$K$2*N27</f>
        <v>3564</v>
      </c>
      <c r="Q27" t="s">
        <v>384</v>
      </c>
      <c r="U27" t="s">
        <v>1716</v>
      </c>
      <c r="V27" s="174">
        <f>V23+V24</f>
        <v>595</v>
      </c>
      <c r="W27" t="s">
        <v>384</v>
      </c>
      <c r="X27" s="174">
        <f t="shared" si="13"/>
        <v>5950</v>
      </c>
      <c r="Y27" t="s">
        <v>384</v>
      </c>
      <c r="AC27" t="s">
        <v>1716</v>
      </c>
      <c r="AD27" s="174">
        <f>AD23+AD24</f>
        <v>429</v>
      </c>
      <c r="AE27" t="s">
        <v>384</v>
      </c>
      <c r="AF27" s="174">
        <f t="shared" si="14"/>
        <v>13728</v>
      </c>
      <c r="AG27" t="s">
        <v>384</v>
      </c>
      <c r="AK27" t="s">
        <v>1716</v>
      </c>
      <c r="AL27" s="174">
        <f>AL23+AL24</f>
        <v>761</v>
      </c>
      <c r="AM27" t="s">
        <v>384</v>
      </c>
      <c r="AN27" s="174">
        <f t="shared" si="15"/>
        <v>4566</v>
      </c>
      <c r="AO27" t="s">
        <v>384</v>
      </c>
      <c r="AS27" t="s">
        <v>1716</v>
      </c>
      <c r="AT27" s="174">
        <f>AT23+AT24</f>
        <v>300</v>
      </c>
      <c r="AU27" t="s">
        <v>384</v>
      </c>
      <c r="AV27" s="174">
        <f t="shared" si="16"/>
        <v>1200</v>
      </c>
      <c r="AW27" t="s">
        <v>384</v>
      </c>
      <c r="BA27" t="s">
        <v>1716</v>
      </c>
      <c r="BB27" s="174">
        <f>BB23+BB24</f>
        <v>316</v>
      </c>
      <c r="BC27" t="s">
        <v>384</v>
      </c>
      <c r="BD27" s="174">
        <f t="shared" si="17"/>
        <v>632</v>
      </c>
      <c r="BE27" t="s">
        <v>384</v>
      </c>
      <c r="BI27" t="s">
        <v>1716</v>
      </c>
      <c r="BJ27" s="174">
        <f>BJ23+BJ24</f>
        <v>247</v>
      </c>
      <c r="BK27" t="s">
        <v>384</v>
      </c>
      <c r="BL27" s="174">
        <f t="shared" si="18"/>
        <v>494</v>
      </c>
      <c r="BM27" t="s">
        <v>384</v>
      </c>
      <c r="BQ27" t="s">
        <v>1716</v>
      </c>
      <c r="BR27" s="174">
        <f>BR23+BR24</f>
        <v>436</v>
      </c>
      <c r="BS27" t="s">
        <v>384</v>
      </c>
      <c r="BT27" s="174">
        <f t="shared" si="19"/>
        <v>5232</v>
      </c>
      <c r="BU27" t="s">
        <v>384</v>
      </c>
      <c r="BY27" t="s">
        <v>1716</v>
      </c>
      <c r="BZ27" s="174">
        <f>BZ23+BZ24</f>
        <v>405</v>
      </c>
      <c r="CA27" t="s">
        <v>384</v>
      </c>
      <c r="CB27" s="174">
        <f t="shared" si="20"/>
        <v>1620</v>
      </c>
      <c r="CC27" t="s">
        <v>384</v>
      </c>
      <c r="CG27" t="s">
        <v>1716</v>
      </c>
      <c r="CH27" s="174">
        <f>CH23+CH24</f>
        <v>247</v>
      </c>
      <c r="CI27" t="s">
        <v>384</v>
      </c>
      <c r="CJ27" s="174">
        <f t="shared" si="21"/>
        <v>494</v>
      </c>
      <c r="CK27" t="s">
        <v>384</v>
      </c>
      <c r="CO27" t="s">
        <v>1716</v>
      </c>
      <c r="CP27" s="174">
        <f>CP23+CP24</f>
        <v>455</v>
      </c>
      <c r="CQ27" t="s">
        <v>384</v>
      </c>
      <c r="CR27" s="174">
        <f t="shared" si="22"/>
        <v>910</v>
      </c>
      <c r="CS27" t="s">
        <v>384</v>
      </c>
      <c r="CU27" s="43">
        <f t="shared" si="23"/>
        <v>43070</v>
      </c>
      <c r="CV27" t="s">
        <v>384</v>
      </c>
    </row>
    <row r="28" spans="4:100">
      <c r="E28" t="s">
        <v>1717</v>
      </c>
      <c r="F28" s="174">
        <f>F14</f>
        <v>93</v>
      </c>
      <c r="G28" t="s">
        <v>402</v>
      </c>
      <c r="H28" s="174">
        <f t="shared" si="12"/>
        <v>1116</v>
      </c>
      <c r="I28" t="s">
        <v>402</v>
      </c>
      <c r="M28" t="s">
        <v>1717</v>
      </c>
      <c r="N28" s="174">
        <f>N14</f>
        <v>72</v>
      </c>
      <c r="O28" t="s">
        <v>402</v>
      </c>
      <c r="P28" s="174">
        <f>$K$2*N28</f>
        <v>864</v>
      </c>
      <c r="Q28" t="s">
        <v>402</v>
      </c>
      <c r="U28" t="s">
        <v>1717</v>
      </c>
      <c r="V28" s="174">
        <f>V14</f>
        <v>128</v>
      </c>
      <c r="W28" t="s">
        <v>402</v>
      </c>
      <c r="X28" s="174">
        <f t="shared" si="13"/>
        <v>1280</v>
      </c>
      <c r="Y28" t="s">
        <v>402</v>
      </c>
      <c r="AC28" t="s">
        <v>1717</v>
      </c>
      <c r="AD28" s="174">
        <f>AD14</f>
        <v>111</v>
      </c>
      <c r="AE28" t="s">
        <v>402</v>
      </c>
      <c r="AF28" s="174">
        <f t="shared" si="14"/>
        <v>3552</v>
      </c>
      <c r="AG28" t="s">
        <v>402</v>
      </c>
      <c r="AK28" t="s">
        <v>1717</v>
      </c>
      <c r="AL28" s="174">
        <f>AL14</f>
        <v>190</v>
      </c>
      <c r="AM28" t="s">
        <v>402</v>
      </c>
      <c r="AN28" s="174">
        <f t="shared" si="15"/>
        <v>1140</v>
      </c>
      <c r="AO28" t="s">
        <v>402</v>
      </c>
      <c r="AS28" t="s">
        <v>1717</v>
      </c>
      <c r="AT28" s="174">
        <f>AT14</f>
        <v>23</v>
      </c>
      <c r="AU28" t="s">
        <v>402</v>
      </c>
      <c r="AV28" s="174">
        <f t="shared" si="16"/>
        <v>92</v>
      </c>
      <c r="AW28" t="s">
        <v>402</v>
      </c>
      <c r="BA28" t="s">
        <v>1717</v>
      </c>
      <c r="BB28" s="174">
        <f>BB14</f>
        <v>79</v>
      </c>
      <c r="BC28" t="s">
        <v>402</v>
      </c>
      <c r="BD28" s="174">
        <f t="shared" si="17"/>
        <v>158</v>
      </c>
      <c r="BE28" t="s">
        <v>402</v>
      </c>
      <c r="BI28" t="s">
        <v>1717</v>
      </c>
      <c r="BJ28" s="174">
        <f>BJ14</f>
        <v>62</v>
      </c>
      <c r="BK28" t="s">
        <v>402</v>
      </c>
      <c r="BL28" s="174">
        <f t="shared" si="18"/>
        <v>124</v>
      </c>
      <c r="BM28" t="s">
        <v>402</v>
      </c>
      <c r="BQ28" t="s">
        <v>1717</v>
      </c>
      <c r="BR28" s="174">
        <f>BR14</f>
        <v>114</v>
      </c>
      <c r="BS28" t="s">
        <v>402</v>
      </c>
      <c r="BT28" s="174">
        <f t="shared" si="19"/>
        <v>1368</v>
      </c>
      <c r="BU28" t="s">
        <v>402</v>
      </c>
      <c r="BY28" t="s">
        <v>1717</v>
      </c>
      <c r="BZ28" s="174">
        <f>BZ14</f>
        <v>116</v>
      </c>
      <c r="CA28" t="s">
        <v>402</v>
      </c>
      <c r="CB28" s="174">
        <f t="shared" si="20"/>
        <v>464</v>
      </c>
      <c r="CC28" t="s">
        <v>402</v>
      </c>
      <c r="CG28" t="s">
        <v>1717</v>
      </c>
      <c r="CH28" s="174">
        <f>CH14</f>
        <v>68</v>
      </c>
      <c r="CI28" t="s">
        <v>402</v>
      </c>
      <c r="CJ28" s="174">
        <f t="shared" si="21"/>
        <v>136</v>
      </c>
      <c r="CK28" t="s">
        <v>402</v>
      </c>
      <c r="CO28" t="s">
        <v>1717</v>
      </c>
      <c r="CP28" s="174">
        <f>CP14</f>
        <v>102</v>
      </c>
      <c r="CQ28" t="s">
        <v>402</v>
      </c>
      <c r="CR28" s="174">
        <f t="shared" si="22"/>
        <v>204</v>
      </c>
      <c r="CS28" t="s">
        <v>402</v>
      </c>
      <c r="CU28" s="43">
        <f t="shared" si="23"/>
        <v>10498</v>
      </c>
      <c r="CV28" t="s">
        <v>402</v>
      </c>
    </row>
    <row r="29" spans="4:100">
      <c r="E29" t="s">
        <v>1718</v>
      </c>
      <c r="F29" s="174">
        <f>F17+F18+F20+F21</f>
        <v>4</v>
      </c>
      <c r="G29" t="s">
        <v>342</v>
      </c>
      <c r="H29" s="174">
        <f t="shared" si="12"/>
        <v>48</v>
      </c>
      <c r="I29" t="s">
        <v>342</v>
      </c>
      <c r="M29" t="s">
        <v>1718</v>
      </c>
      <c r="N29" s="174">
        <f>N17+N18+N20+N21</f>
        <v>2</v>
      </c>
      <c r="O29" t="s">
        <v>342</v>
      </c>
      <c r="P29" s="174">
        <f>$K$2*N29</f>
        <v>24</v>
      </c>
      <c r="Q29" t="s">
        <v>342</v>
      </c>
      <c r="U29" t="s">
        <v>1718</v>
      </c>
      <c r="V29" s="174">
        <f>V17+V18+V19+V20+V21</f>
        <v>6</v>
      </c>
      <c r="W29" t="s">
        <v>342</v>
      </c>
      <c r="X29" s="174">
        <f t="shared" si="13"/>
        <v>60</v>
      </c>
      <c r="Y29" t="s">
        <v>342</v>
      </c>
      <c r="AC29" t="s">
        <v>1718</v>
      </c>
      <c r="AD29" s="174">
        <f>AD17+AD18+AD19+AD20+AD21</f>
        <v>4</v>
      </c>
      <c r="AE29" t="s">
        <v>342</v>
      </c>
      <c r="AF29" s="174">
        <f t="shared" si="14"/>
        <v>128</v>
      </c>
      <c r="AG29" t="s">
        <v>342</v>
      </c>
      <c r="AK29" t="s">
        <v>1718</v>
      </c>
      <c r="AL29" s="174">
        <f>AL17+AL18+AL19+AL20+AL21</f>
        <v>5</v>
      </c>
      <c r="AM29" t="s">
        <v>342</v>
      </c>
      <c r="AN29" s="174">
        <f t="shared" si="15"/>
        <v>30</v>
      </c>
      <c r="AO29" t="s">
        <v>342</v>
      </c>
      <c r="AS29" t="s">
        <v>1718</v>
      </c>
      <c r="AT29" s="174">
        <f>AT17+AT18+AT19+AT20+AT21</f>
        <v>3</v>
      </c>
      <c r="AU29" t="s">
        <v>342</v>
      </c>
      <c r="AV29" s="174">
        <f t="shared" si="16"/>
        <v>12</v>
      </c>
      <c r="AW29" t="s">
        <v>342</v>
      </c>
      <c r="BA29" t="s">
        <v>1718</v>
      </c>
      <c r="BB29" s="174">
        <f>BB17+BB18+BB19+BB20+BB21</f>
        <v>3</v>
      </c>
      <c r="BC29" t="s">
        <v>342</v>
      </c>
      <c r="BD29" s="174">
        <f t="shared" si="17"/>
        <v>6</v>
      </c>
      <c r="BE29" t="s">
        <v>342</v>
      </c>
      <c r="BI29" t="s">
        <v>1718</v>
      </c>
      <c r="BJ29" s="174">
        <f>BJ17+BJ18+BJ19+BJ20+BJ21</f>
        <v>3</v>
      </c>
      <c r="BK29" t="s">
        <v>342</v>
      </c>
      <c r="BL29" s="174">
        <f t="shared" si="18"/>
        <v>6</v>
      </c>
      <c r="BM29" t="s">
        <v>342</v>
      </c>
      <c r="BQ29" t="s">
        <v>1718</v>
      </c>
      <c r="BR29" s="174">
        <f>BR17+BR18+BR19+BR20+BR21</f>
        <v>4</v>
      </c>
      <c r="BS29" t="s">
        <v>342</v>
      </c>
      <c r="BT29" s="174">
        <f t="shared" si="19"/>
        <v>48</v>
      </c>
      <c r="BU29" t="s">
        <v>342</v>
      </c>
      <c r="BY29" t="s">
        <v>1718</v>
      </c>
      <c r="BZ29" s="174">
        <f>BZ17+BZ18+BZ19+BZ20+BZ21</f>
        <v>4</v>
      </c>
      <c r="CA29" t="s">
        <v>342</v>
      </c>
      <c r="CB29" s="174">
        <f t="shared" si="20"/>
        <v>16</v>
      </c>
      <c r="CC29" t="s">
        <v>342</v>
      </c>
      <c r="CG29" t="s">
        <v>1718</v>
      </c>
      <c r="CH29" s="174">
        <f>CH17+CH18+CH19+CH20+CH21</f>
        <v>3</v>
      </c>
      <c r="CI29" t="s">
        <v>342</v>
      </c>
      <c r="CJ29" s="174">
        <f t="shared" si="21"/>
        <v>6</v>
      </c>
      <c r="CK29" t="s">
        <v>342</v>
      </c>
      <c r="CO29" t="s">
        <v>1718</v>
      </c>
      <c r="CP29" s="174">
        <f>CP17+CP18+CP19+CP20+CP21</f>
        <v>4</v>
      </c>
      <c r="CQ29" t="s">
        <v>342</v>
      </c>
      <c r="CR29" s="174">
        <f t="shared" si="22"/>
        <v>8</v>
      </c>
      <c r="CS29" t="s">
        <v>342</v>
      </c>
      <c r="CU29" s="43">
        <f t="shared" si="23"/>
        <v>392</v>
      </c>
      <c r="CV29" t="s">
        <v>342</v>
      </c>
    </row>
    <row r="30" spans="4:100">
      <c r="E30" t="s">
        <v>1719</v>
      </c>
      <c r="F30" s="174">
        <f>F13</f>
        <v>5</v>
      </c>
      <c r="G30" t="s">
        <v>342</v>
      </c>
      <c r="H30" s="174">
        <f t="shared" si="12"/>
        <v>60</v>
      </c>
      <c r="I30" t="s">
        <v>342</v>
      </c>
      <c r="M30" t="s">
        <v>1719</v>
      </c>
      <c r="N30" s="174">
        <f>N13</f>
        <v>5</v>
      </c>
      <c r="O30" t="s">
        <v>342</v>
      </c>
      <c r="P30" s="174">
        <f>$C$2*N30</f>
        <v>60</v>
      </c>
      <c r="Q30" t="s">
        <v>342</v>
      </c>
      <c r="U30" t="s">
        <v>1719</v>
      </c>
      <c r="V30" s="174">
        <f>V13</f>
        <v>5</v>
      </c>
      <c r="W30" t="s">
        <v>342</v>
      </c>
      <c r="X30" s="174">
        <f t="shared" si="13"/>
        <v>50</v>
      </c>
      <c r="Y30" t="s">
        <v>342</v>
      </c>
      <c r="AC30" t="s">
        <v>1719</v>
      </c>
      <c r="AD30" s="174">
        <f>AD13</f>
        <v>5</v>
      </c>
      <c r="AE30" t="s">
        <v>342</v>
      </c>
      <c r="AF30" s="174">
        <f t="shared" si="14"/>
        <v>160</v>
      </c>
      <c r="AG30" t="s">
        <v>342</v>
      </c>
      <c r="AK30" t="s">
        <v>1719</v>
      </c>
      <c r="AL30" s="174">
        <f>AL13</f>
        <v>5</v>
      </c>
      <c r="AM30" t="s">
        <v>342</v>
      </c>
      <c r="AN30" s="174">
        <f t="shared" si="15"/>
        <v>30</v>
      </c>
      <c r="AO30" t="s">
        <v>342</v>
      </c>
      <c r="AS30" t="s">
        <v>1719</v>
      </c>
      <c r="AT30" s="174">
        <f>AT13</f>
        <v>5</v>
      </c>
      <c r="AU30" t="s">
        <v>342</v>
      </c>
      <c r="AV30" s="174">
        <f t="shared" si="16"/>
        <v>20</v>
      </c>
      <c r="AW30" t="s">
        <v>342</v>
      </c>
      <c r="BA30" t="s">
        <v>1719</v>
      </c>
      <c r="BB30" s="174">
        <f>BB13</f>
        <v>1</v>
      </c>
      <c r="BC30" t="s">
        <v>342</v>
      </c>
      <c r="BD30" s="174">
        <f t="shared" si="17"/>
        <v>2</v>
      </c>
      <c r="BE30" t="s">
        <v>342</v>
      </c>
      <c r="BI30" t="s">
        <v>1719</v>
      </c>
      <c r="BJ30" s="174">
        <f>BJ13</f>
        <v>5</v>
      </c>
      <c r="BK30" t="s">
        <v>342</v>
      </c>
      <c r="BL30" s="174">
        <f t="shared" si="18"/>
        <v>10</v>
      </c>
      <c r="BM30" t="s">
        <v>342</v>
      </c>
      <c r="BQ30" t="s">
        <v>1719</v>
      </c>
      <c r="BR30" s="174">
        <f>BR13</f>
        <v>5</v>
      </c>
      <c r="BS30" t="s">
        <v>342</v>
      </c>
      <c r="BT30" s="174">
        <f t="shared" si="19"/>
        <v>60</v>
      </c>
      <c r="BU30" t="s">
        <v>342</v>
      </c>
      <c r="BY30" t="s">
        <v>1719</v>
      </c>
      <c r="BZ30" s="174">
        <f>BZ13</f>
        <v>5</v>
      </c>
      <c r="CA30" t="s">
        <v>342</v>
      </c>
      <c r="CB30" s="174">
        <f t="shared" si="20"/>
        <v>20</v>
      </c>
      <c r="CC30" t="s">
        <v>342</v>
      </c>
      <c r="CG30" t="s">
        <v>1719</v>
      </c>
      <c r="CH30" s="174">
        <f>CH13</f>
        <v>5</v>
      </c>
      <c r="CI30" t="s">
        <v>342</v>
      </c>
      <c r="CJ30" s="174">
        <f t="shared" si="21"/>
        <v>10</v>
      </c>
      <c r="CK30" t="s">
        <v>342</v>
      </c>
      <c r="CO30" t="s">
        <v>1719</v>
      </c>
      <c r="CP30" s="174">
        <f>CP13</f>
        <v>5</v>
      </c>
      <c r="CQ30" t="s">
        <v>342</v>
      </c>
      <c r="CR30" s="174">
        <f t="shared" si="22"/>
        <v>10</v>
      </c>
      <c r="CS30" t="s">
        <v>342</v>
      </c>
      <c r="CU30" s="43">
        <f t="shared" si="23"/>
        <v>492</v>
      </c>
      <c r="CV30" t="s">
        <v>342</v>
      </c>
    </row>
    <row r="31" spans="4:100">
      <c r="E31" t="s">
        <v>1720</v>
      </c>
      <c r="F31" s="174">
        <f>F15</f>
        <v>6</v>
      </c>
      <c r="G31" t="s">
        <v>402</v>
      </c>
      <c r="H31" s="174">
        <f t="shared" si="12"/>
        <v>72</v>
      </c>
      <c r="I31" t="s">
        <v>402</v>
      </c>
      <c r="M31" t="s">
        <v>1720</v>
      </c>
      <c r="N31" s="174">
        <f>N15</f>
        <v>5</v>
      </c>
      <c r="O31" t="s">
        <v>402</v>
      </c>
      <c r="P31" s="174">
        <f>$C$2*N31</f>
        <v>60</v>
      </c>
      <c r="Q31" t="s">
        <v>402</v>
      </c>
      <c r="U31" t="s">
        <v>1720</v>
      </c>
      <c r="V31" s="174">
        <f>V15</f>
        <v>7</v>
      </c>
      <c r="W31" t="s">
        <v>402</v>
      </c>
      <c r="X31" s="174">
        <f t="shared" si="13"/>
        <v>70</v>
      </c>
      <c r="Y31" t="s">
        <v>402</v>
      </c>
      <c r="AC31" t="s">
        <v>1720</v>
      </c>
      <c r="AD31" s="174">
        <f>AD15</f>
        <v>5</v>
      </c>
      <c r="AE31" t="s">
        <v>402</v>
      </c>
      <c r="AF31" s="174">
        <f t="shared" si="14"/>
        <v>160</v>
      </c>
      <c r="AG31" t="s">
        <v>402</v>
      </c>
      <c r="AK31" t="s">
        <v>1720</v>
      </c>
      <c r="AL31" s="174">
        <f>AL15</f>
        <v>15</v>
      </c>
      <c r="AM31" t="s">
        <v>402</v>
      </c>
      <c r="AN31" s="174">
        <f t="shared" si="15"/>
        <v>90</v>
      </c>
      <c r="AO31" t="s">
        <v>402</v>
      </c>
      <c r="AS31" t="s">
        <v>1720</v>
      </c>
      <c r="AT31" s="174">
        <f>AT15</f>
        <v>6</v>
      </c>
      <c r="AU31" t="s">
        <v>402</v>
      </c>
      <c r="AV31" s="174">
        <f t="shared" si="16"/>
        <v>24</v>
      </c>
      <c r="AW31" t="s">
        <v>402</v>
      </c>
      <c r="BA31" t="s">
        <v>1720</v>
      </c>
      <c r="BB31" s="174">
        <f>BB15</f>
        <v>6</v>
      </c>
      <c r="BC31" t="s">
        <v>402</v>
      </c>
      <c r="BD31" s="174">
        <f t="shared" si="17"/>
        <v>12</v>
      </c>
      <c r="BE31" t="s">
        <v>402</v>
      </c>
      <c r="BI31" t="s">
        <v>1720</v>
      </c>
      <c r="BJ31" s="174">
        <f>BJ15</f>
        <v>6</v>
      </c>
      <c r="BK31" t="s">
        <v>402</v>
      </c>
      <c r="BL31" s="174">
        <f t="shared" si="18"/>
        <v>12</v>
      </c>
      <c r="BM31" t="s">
        <v>402</v>
      </c>
      <c r="BQ31" t="s">
        <v>1720</v>
      </c>
      <c r="BR31" s="174">
        <f>BR15</f>
        <v>12</v>
      </c>
      <c r="BS31" t="s">
        <v>402</v>
      </c>
      <c r="BT31" s="174">
        <f t="shared" si="19"/>
        <v>144</v>
      </c>
      <c r="BU31" t="s">
        <v>402</v>
      </c>
      <c r="BY31" t="s">
        <v>1720</v>
      </c>
      <c r="BZ31" s="174">
        <f>BZ15</f>
        <v>12</v>
      </c>
      <c r="CA31" t="s">
        <v>402</v>
      </c>
      <c r="CB31" s="174">
        <f t="shared" si="20"/>
        <v>48</v>
      </c>
      <c r="CC31" t="s">
        <v>402</v>
      </c>
      <c r="CG31" t="s">
        <v>1720</v>
      </c>
      <c r="CH31" s="174">
        <f>CH15</f>
        <v>6</v>
      </c>
      <c r="CI31" t="s">
        <v>402</v>
      </c>
      <c r="CJ31" s="174">
        <f t="shared" si="21"/>
        <v>12</v>
      </c>
      <c r="CK31" t="s">
        <v>402</v>
      </c>
      <c r="CO31" t="s">
        <v>1720</v>
      </c>
      <c r="CP31" s="174">
        <f>CP15</f>
        <v>6</v>
      </c>
      <c r="CQ31" t="s">
        <v>402</v>
      </c>
      <c r="CR31" s="174">
        <f t="shared" si="22"/>
        <v>12</v>
      </c>
      <c r="CS31" t="s">
        <v>402</v>
      </c>
      <c r="CU31" s="43">
        <f t="shared" si="23"/>
        <v>716</v>
      </c>
      <c r="CV31" t="s">
        <v>402</v>
      </c>
    </row>
    <row r="32" spans="4:100">
      <c r="D32" t="s">
        <v>1721</v>
      </c>
      <c r="L32" t="s">
        <v>1721</v>
      </c>
      <c r="T32" t="s">
        <v>1721</v>
      </c>
      <c r="AB32" t="s">
        <v>1721</v>
      </c>
      <c r="AJ32" t="s">
        <v>1721</v>
      </c>
      <c r="AR32" t="s">
        <v>1721</v>
      </c>
      <c r="AZ32" t="s">
        <v>1721</v>
      </c>
      <c r="BH32" t="s">
        <v>1721</v>
      </c>
      <c r="BP32" t="s">
        <v>1721</v>
      </c>
      <c r="BX32" t="s">
        <v>1721</v>
      </c>
      <c r="CF32" t="s">
        <v>1721</v>
      </c>
      <c r="CN32" t="s">
        <v>1721</v>
      </c>
    </row>
    <row r="33" spans="4:100">
      <c r="E33" t="s">
        <v>1722</v>
      </c>
      <c r="F33" s="173">
        <v>1</v>
      </c>
      <c r="G33" t="s">
        <v>342</v>
      </c>
      <c r="H33" s="173">
        <f>$C$2*F33</f>
        <v>12</v>
      </c>
      <c r="I33" t="s">
        <v>342</v>
      </c>
      <c r="M33" t="s">
        <v>1722</v>
      </c>
      <c r="N33" s="173">
        <v>1</v>
      </c>
      <c r="O33" t="s">
        <v>342</v>
      </c>
      <c r="P33" s="173">
        <f>$K$2*N33</f>
        <v>12</v>
      </c>
      <c r="Q33" t="s">
        <v>342</v>
      </c>
      <c r="U33" t="s">
        <v>1722</v>
      </c>
      <c r="V33" s="173">
        <v>2</v>
      </c>
      <c r="W33" t="s">
        <v>342</v>
      </c>
      <c r="X33" s="173">
        <f>S$2*V33</f>
        <v>20</v>
      </c>
      <c r="Y33" t="s">
        <v>342</v>
      </c>
      <c r="AC33" t="s">
        <v>1722</v>
      </c>
      <c r="AD33" s="173">
        <v>1</v>
      </c>
      <c r="AE33" t="s">
        <v>342</v>
      </c>
      <c r="AF33" s="173">
        <f>AA$2*AD33</f>
        <v>32</v>
      </c>
      <c r="AG33" t="s">
        <v>342</v>
      </c>
      <c r="AK33" t="s">
        <v>1722</v>
      </c>
      <c r="AL33" s="173">
        <v>1</v>
      </c>
      <c r="AM33" t="s">
        <v>342</v>
      </c>
      <c r="AN33" s="173">
        <f>AI$2*AL33</f>
        <v>6</v>
      </c>
      <c r="AO33" t="s">
        <v>342</v>
      </c>
      <c r="AS33" t="s">
        <v>1722</v>
      </c>
      <c r="AT33" s="173">
        <v>1</v>
      </c>
      <c r="AU33" t="s">
        <v>342</v>
      </c>
      <c r="AV33" s="173">
        <f>AQ$2*AT33</f>
        <v>4</v>
      </c>
      <c r="AW33" t="s">
        <v>342</v>
      </c>
      <c r="BA33" t="s">
        <v>1722</v>
      </c>
      <c r="BB33" s="173">
        <v>1</v>
      </c>
      <c r="BC33" t="s">
        <v>342</v>
      </c>
      <c r="BD33" s="173">
        <f>AY$2*BB33</f>
        <v>2</v>
      </c>
      <c r="BE33" t="s">
        <v>342</v>
      </c>
      <c r="BI33" t="s">
        <v>1722</v>
      </c>
      <c r="BJ33" s="173">
        <v>1</v>
      </c>
      <c r="BK33" t="s">
        <v>342</v>
      </c>
      <c r="BL33" s="173">
        <f>BG$2*BJ33</f>
        <v>2</v>
      </c>
      <c r="BM33" t="s">
        <v>342</v>
      </c>
      <c r="BQ33" t="s">
        <v>1722</v>
      </c>
      <c r="BR33" s="173">
        <v>1</v>
      </c>
      <c r="BS33" t="s">
        <v>342</v>
      </c>
      <c r="BT33" s="173">
        <f>BO$2*BR33</f>
        <v>12</v>
      </c>
      <c r="BU33" t="s">
        <v>342</v>
      </c>
      <c r="BY33" t="s">
        <v>1722</v>
      </c>
      <c r="BZ33" s="173">
        <v>1</v>
      </c>
      <c r="CA33" t="s">
        <v>342</v>
      </c>
      <c r="CB33" s="173">
        <f>BW$2*BZ33</f>
        <v>4</v>
      </c>
      <c r="CC33" t="s">
        <v>342</v>
      </c>
      <c r="CG33" t="s">
        <v>1722</v>
      </c>
      <c r="CH33" s="173">
        <v>1</v>
      </c>
      <c r="CI33" t="s">
        <v>342</v>
      </c>
      <c r="CJ33" s="173">
        <f>CE$2*CH33</f>
        <v>2</v>
      </c>
      <c r="CK33" t="s">
        <v>342</v>
      </c>
      <c r="CO33" t="s">
        <v>1722</v>
      </c>
      <c r="CP33" s="173">
        <v>1</v>
      </c>
      <c r="CQ33" t="s">
        <v>342</v>
      </c>
      <c r="CR33" s="173">
        <f>CM$2*CP33</f>
        <v>2</v>
      </c>
      <c r="CS33" t="s">
        <v>342</v>
      </c>
      <c r="CU33" s="43">
        <f>H33+P33+X33+AF33+AV33+AN33+BD33+BL33+BT33+CB33+CJ33+CR33</f>
        <v>110</v>
      </c>
      <c r="CV33" t="s">
        <v>342</v>
      </c>
    </row>
    <row r="34" spans="4:100">
      <c r="E34" t="s">
        <v>1723</v>
      </c>
      <c r="F34" s="173">
        <v>1</v>
      </c>
      <c r="G34" t="s">
        <v>342</v>
      </c>
      <c r="H34" s="173">
        <f>$C$2*F34</f>
        <v>12</v>
      </c>
      <c r="I34" t="s">
        <v>342</v>
      </c>
      <c r="M34" t="s">
        <v>1723</v>
      </c>
      <c r="N34" s="173">
        <v>1</v>
      </c>
      <c r="O34" t="s">
        <v>342</v>
      </c>
      <c r="P34" s="173">
        <f>$C$2*N34</f>
        <v>12</v>
      </c>
      <c r="Q34" t="s">
        <v>342</v>
      </c>
      <c r="U34" t="s">
        <v>1723</v>
      </c>
      <c r="V34" s="173">
        <v>2</v>
      </c>
      <c r="W34" t="s">
        <v>342</v>
      </c>
      <c r="X34" s="173">
        <f>S$2*V34</f>
        <v>20</v>
      </c>
      <c r="Y34" t="s">
        <v>342</v>
      </c>
      <c r="AC34" t="s">
        <v>1723</v>
      </c>
      <c r="AD34" s="173">
        <v>1</v>
      </c>
      <c r="AE34" t="s">
        <v>342</v>
      </c>
      <c r="AF34" s="173">
        <f>AA$2*AD34</f>
        <v>32</v>
      </c>
      <c r="AG34" t="s">
        <v>342</v>
      </c>
      <c r="AK34" t="s">
        <v>1723</v>
      </c>
      <c r="AL34" s="173">
        <v>1</v>
      </c>
      <c r="AM34" t="s">
        <v>342</v>
      </c>
      <c r="AN34" s="173">
        <f>AI$2*AL34</f>
        <v>6</v>
      </c>
      <c r="AO34" t="s">
        <v>342</v>
      </c>
      <c r="AS34" t="s">
        <v>1723</v>
      </c>
      <c r="AT34" s="173">
        <v>1</v>
      </c>
      <c r="AU34" t="s">
        <v>342</v>
      </c>
      <c r="AV34" s="173">
        <f>AQ$2*AT34</f>
        <v>4</v>
      </c>
      <c r="AW34" t="s">
        <v>342</v>
      </c>
      <c r="BA34" t="s">
        <v>1723</v>
      </c>
      <c r="BB34" s="173">
        <v>1</v>
      </c>
      <c r="BC34" t="s">
        <v>342</v>
      </c>
      <c r="BD34" s="173">
        <f>AY$2*BB34</f>
        <v>2</v>
      </c>
      <c r="BE34" t="s">
        <v>342</v>
      </c>
      <c r="BI34" t="s">
        <v>1723</v>
      </c>
      <c r="BJ34" s="173">
        <v>1</v>
      </c>
      <c r="BK34" t="s">
        <v>342</v>
      </c>
      <c r="BL34" s="173">
        <f>BG$2*BJ34</f>
        <v>2</v>
      </c>
      <c r="BM34" t="s">
        <v>342</v>
      </c>
      <c r="BQ34" t="s">
        <v>1723</v>
      </c>
      <c r="BR34" s="173">
        <v>1</v>
      </c>
      <c r="BS34" t="s">
        <v>342</v>
      </c>
      <c r="BT34" s="173">
        <f>BO$2*BR34</f>
        <v>12</v>
      </c>
      <c r="BU34" t="s">
        <v>342</v>
      </c>
      <c r="BY34" t="s">
        <v>1723</v>
      </c>
      <c r="BZ34" s="173">
        <v>1</v>
      </c>
      <c r="CA34" t="s">
        <v>342</v>
      </c>
      <c r="CB34" s="173">
        <f>BW$2*BZ34</f>
        <v>4</v>
      </c>
      <c r="CC34" t="s">
        <v>342</v>
      </c>
      <c r="CG34" t="s">
        <v>1723</v>
      </c>
      <c r="CH34" s="173">
        <v>1</v>
      </c>
      <c r="CI34" t="s">
        <v>342</v>
      </c>
      <c r="CJ34" s="173">
        <f>CE$2*CH34</f>
        <v>2</v>
      </c>
      <c r="CK34" t="s">
        <v>342</v>
      </c>
      <c r="CO34" t="s">
        <v>1723</v>
      </c>
      <c r="CP34" s="173">
        <v>1</v>
      </c>
      <c r="CQ34" t="s">
        <v>342</v>
      </c>
      <c r="CR34" s="173">
        <f>CM$2*CP34</f>
        <v>2</v>
      </c>
      <c r="CS34" t="s">
        <v>342</v>
      </c>
      <c r="CU34" s="43">
        <f>H34+P34+X34+AF34+AV34+AN34+BD34+BL34+BT34+CB34+CJ34+CR34</f>
        <v>110</v>
      </c>
      <c r="CV34" t="s">
        <v>342</v>
      </c>
    </row>
    <row r="35" spans="4:100">
      <c r="E35" t="s">
        <v>1724</v>
      </c>
      <c r="F35" s="173">
        <v>1</v>
      </c>
      <c r="G35" t="s">
        <v>342</v>
      </c>
      <c r="H35" s="173">
        <f>$C$2*F35</f>
        <v>12</v>
      </c>
      <c r="I35" t="s">
        <v>342</v>
      </c>
      <c r="M35" t="s">
        <v>1724</v>
      </c>
      <c r="N35" s="173">
        <v>1</v>
      </c>
      <c r="O35" t="s">
        <v>342</v>
      </c>
      <c r="P35" s="173">
        <f>$C$2*N35</f>
        <v>12</v>
      </c>
      <c r="Q35" t="s">
        <v>342</v>
      </c>
      <c r="U35" t="s">
        <v>1724</v>
      </c>
      <c r="V35" s="173">
        <v>2</v>
      </c>
      <c r="W35" t="s">
        <v>342</v>
      </c>
      <c r="X35" s="173">
        <f>S$2*V35</f>
        <v>20</v>
      </c>
      <c r="Y35" t="s">
        <v>342</v>
      </c>
      <c r="AC35" t="s">
        <v>1724</v>
      </c>
      <c r="AD35" s="173">
        <v>1</v>
      </c>
      <c r="AE35" t="s">
        <v>342</v>
      </c>
      <c r="AF35" s="173">
        <f>AA$2*AD35</f>
        <v>32</v>
      </c>
      <c r="AG35" t="s">
        <v>342</v>
      </c>
      <c r="AK35" t="s">
        <v>1724</v>
      </c>
      <c r="AL35" s="173">
        <v>1</v>
      </c>
      <c r="AM35" t="s">
        <v>342</v>
      </c>
      <c r="AN35" s="173">
        <f>AI$2*AL35</f>
        <v>6</v>
      </c>
      <c r="AO35" t="s">
        <v>342</v>
      </c>
      <c r="AS35" t="s">
        <v>1724</v>
      </c>
      <c r="AT35" s="173">
        <v>1</v>
      </c>
      <c r="AU35" t="s">
        <v>342</v>
      </c>
      <c r="AV35" s="173">
        <f>AQ$2*AT35</f>
        <v>4</v>
      </c>
      <c r="AW35" t="s">
        <v>342</v>
      </c>
      <c r="BA35" t="s">
        <v>1724</v>
      </c>
      <c r="BB35" s="173">
        <v>1</v>
      </c>
      <c r="BC35" t="s">
        <v>342</v>
      </c>
      <c r="BD35" s="173">
        <f>AY$2*BB35</f>
        <v>2</v>
      </c>
      <c r="BE35" t="s">
        <v>342</v>
      </c>
      <c r="BI35" t="s">
        <v>1724</v>
      </c>
      <c r="BJ35" s="173">
        <v>1</v>
      </c>
      <c r="BK35" t="s">
        <v>342</v>
      </c>
      <c r="BL35" s="173">
        <f>BG$2*BJ35</f>
        <v>2</v>
      </c>
      <c r="BM35" t="s">
        <v>342</v>
      </c>
      <c r="BQ35" t="s">
        <v>1724</v>
      </c>
      <c r="BR35" s="173">
        <v>1</v>
      </c>
      <c r="BS35" t="s">
        <v>342</v>
      </c>
      <c r="BT35" s="173">
        <f>BO$2*BR35</f>
        <v>12</v>
      </c>
      <c r="BU35" t="s">
        <v>342</v>
      </c>
      <c r="BY35" t="s">
        <v>1724</v>
      </c>
      <c r="BZ35" s="173">
        <v>1</v>
      </c>
      <c r="CA35" t="s">
        <v>342</v>
      </c>
      <c r="CB35" s="173">
        <f>BW$2*BZ35</f>
        <v>4</v>
      </c>
      <c r="CC35" t="s">
        <v>342</v>
      </c>
      <c r="CG35" t="s">
        <v>1724</v>
      </c>
      <c r="CH35" s="173">
        <v>1</v>
      </c>
      <c r="CI35" t="s">
        <v>342</v>
      </c>
      <c r="CJ35" s="173">
        <f>CE$2*CH35</f>
        <v>2</v>
      </c>
      <c r="CK35" t="s">
        <v>342</v>
      </c>
      <c r="CO35" t="s">
        <v>1724</v>
      </c>
      <c r="CP35" s="173">
        <v>1</v>
      </c>
      <c r="CQ35" t="s">
        <v>342</v>
      </c>
      <c r="CR35" s="173">
        <f>CM$2*CP35</f>
        <v>2</v>
      </c>
      <c r="CS35" t="s">
        <v>342</v>
      </c>
      <c r="CU35" s="43">
        <f>H35+P35+X35+AF35+AV35+AN35+BD35+BL35+BT35+CB35+CJ35+CR35</f>
        <v>110</v>
      </c>
      <c r="CV35" t="s">
        <v>342</v>
      </c>
    </row>
    <row r="36" spans="4:100">
      <c r="E36" t="s">
        <v>1725</v>
      </c>
      <c r="F36" s="173">
        <v>1</v>
      </c>
      <c r="G36" t="s">
        <v>342</v>
      </c>
      <c r="H36" s="173">
        <f>$C$2*F36</f>
        <v>12</v>
      </c>
      <c r="I36" t="s">
        <v>342</v>
      </c>
      <c r="M36" t="s">
        <v>1725</v>
      </c>
      <c r="N36" s="173">
        <v>1</v>
      </c>
      <c r="O36" t="s">
        <v>342</v>
      </c>
      <c r="P36" s="173">
        <f>$C$2*N36</f>
        <v>12</v>
      </c>
      <c r="Q36" t="s">
        <v>342</v>
      </c>
      <c r="U36" t="s">
        <v>1725</v>
      </c>
      <c r="V36" s="173">
        <v>2</v>
      </c>
      <c r="W36" t="s">
        <v>342</v>
      </c>
      <c r="X36" s="173">
        <f>S$2*V36</f>
        <v>20</v>
      </c>
      <c r="Y36" t="s">
        <v>342</v>
      </c>
      <c r="AC36" t="s">
        <v>1725</v>
      </c>
      <c r="AD36" s="173">
        <v>1</v>
      </c>
      <c r="AE36" t="s">
        <v>342</v>
      </c>
      <c r="AF36" s="173">
        <f>AA$2*AD36</f>
        <v>32</v>
      </c>
      <c r="AG36" t="s">
        <v>342</v>
      </c>
      <c r="AK36" t="s">
        <v>1725</v>
      </c>
      <c r="AL36" s="173">
        <v>1</v>
      </c>
      <c r="AM36" t="s">
        <v>342</v>
      </c>
      <c r="AN36" s="173">
        <f>AI$2*AL36</f>
        <v>6</v>
      </c>
      <c r="AO36" t="s">
        <v>342</v>
      </c>
      <c r="AS36" t="s">
        <v>1725</v>
      </c>
      <c r="AT36" s="173">
        <v>1</v>
      </c>
      <c r="AU36" t="s">
        <v>342</v>
      </c>
      <c r="AV36" s="173">
        <f>AQ$2*AT36</f>
        <v>4</v>
      </c>
      <c r="AW36" t="s">
        <v>342</v>
      </c>
      <c r="BA36" t="s">
        <v>1725</v>
      </c>
      <c r="BB36" s="173">
        <v>1</v>
      </c>
      <c r="BC36" t="s">
        <v>342</v>
      </c>
      <c r="BD36" s="173">
        <f>AY$2*BB36</f>
        <v>2</v>
      </c>
      <c r="BE36" t="s">
        <v>342</v>
      </c>
      <c r="BI36" t="s">
        <v>1725</v>
      </c>
      <c r="BJ36" s="173">
        <v>1</v>
      </c>
      <c r="BK36" t="s">
        <v>342</v>
      </c>
      <c r="BL36" s="173">
        <f>BG$2*BJ36</f>
        <v>2</v>
      </c>
      <c r="BM36" t="s">
        <v>342</v>
      </c>
      <c r="BQ36" t="s">
        <v>1725</v>
      </c>
      <c r="BR36" s="173">
        <v>1</v>
      </c>
      <c r="BS36" t="s">
        <v>342</v>
      </c>
      <c r="BT36" s="173">
        <f>BO$2*BR36</f>
        <v>12</v>
      </c>
      <c r="BU36" t="s">
        <v>342</v>
      </c>
      <c r="BY36" t="s">
        <v>1725</v>
      </c>
      <c r="BZ36" s="173">
        <v>1</v>
      </c>
      <c r="CA36" t="s">
        <v>342</v>
      </c>
      <c r="CB36" s="173">
        <f>BW$2*BZ36</f>
        <v>4</v>
      </c>
      <c r="CC36" t="s">
        <v>342</v>
      </c>
      <c r="CG36" t="s">
        <v>1725</v>
      </c>
      <c r="CH36" s="173">
        <v>1</v>
      </c>
      <c r="CI36" t="s">
        <v>342</v>
      </c>
      <c r="CJ36" s="173">
        <f>CE$2*CH36</f>
        <v>2</v>
      </c>
      <c r="CK36" t="s">
        <v>342</v>
      </c>
      <c r="CO36" t="s">
        <v>1725</v>
      </c>
      <c r="CP36" s="173">
        <v>1</v>
      </c>
      <c r="CQ36" t="s">
        <v>342</v>
      </c>
      <c r="CR36" s="173">
        <f>CM$2*CP36</f>
        <v>2</v>
      </c>
      <c r="CS36" t="s">
        <v>342</v>
      </c>
      <c r="CU36" s="43">
        <f>H36+P36+X36+AF36+AV36+AN36+BD36+BL36+BT36+CB36+CJ36+CR36</f>
        <v>110</v>
      </c>
      <c r="CV36" t="s">
        <v>342</v>
      </c>
    </row>
    <row r="37" spans="4:100">
      <c r="D37" t="s">
        <v>1726</v>
      </c>
      <c r="L37" t="s">
        <v>1726</v>
      </c>
      <c r="T37" t="s">
        <v>1726</v>
      </c>
      <c r="AB37" t="s">
        <v>1726</v>
      </c>
      <c r="AJ37" t="s">
        <v>1726</v>
      </c>
      <c r="AR37" t="s">
        <v>1726</v>
      </c>
      <c r="AZ37" t="s">
        <v>1726</v>
      </c>
      <c r="BH37" t="s">
        <v>1726</v>
      </c>
      <c r="BP37" t="s">
        <v>1726</v>
      </c>
      <c r="BX37" t="s">
        <v>1726</v>
      </c>
      <c r="CF37" t="s">
        <v>1726</v>
      </c>
      <c r="CN37" t="s">
        <v>1726</v>
      </c>
    </row>
    <row r="38" spans="4:100">
      <c r="E38" t="s">
        <v>1727</v>
      </c>
      <c r="F38" s="173">
        <v>2</v>
      </c>
      <c r="G38" t="s">
        <v>342</v>
      </c>
      <c r="H38" s="173">
        <f>$C$2*F38</f>
        <v>24</v>
      </c>
      <c r="I38" t="s">
        <v>342</v>
      </c>
      <c r="M38" t="s">
        <v>1727</v>
      </c>
      <c r="N38" s="173">
        <v>1</v>
      </c>
      <c r="O38" t="s">
        <v>342</v>
      </c>
      <c r="P38" s="173">
        <f>$K$2*N38</f>
        <v>12</v>
      </c>
      <c r="Q38" t="s">
        <v>342</v>
      </c>
      <c r="U38" t="s">
        <v>1727</v>
      </c>
      <c r="V38" s="173">
        <v>3</v>
      </c>
      <c r="W38" t="s">
        <v>342</v>
      </c>
      <c r="X38" s="173">
        <f>S$2*V38</f>
        <v>30</v>
      </c>
      <c r="Y38" t="s">
        <v>342</v>
      </c>
      <c r="AC38" t="s">
        <v>1727</v>
      </c>
      <c r="AD38" s="173">
        <v>2</v>
      </c>
      <c r="AE38" t="s">
        <v>342</v>
      </c>
      <c r="AF38" s="173">
        <f>AA$2*AD38</f>
        <v>64</v>
      </c>
      <c r="AG38" t="s">
        <v>342</v>
      </c>
      <c r="AK38" t="s">
        <v>1727</v>
      </c>
      <c r="AL38" s="173">
        <v>3</v>
      </c>
      <c r="AM38" t="s">
        <v>342</v>
      </c>
      <c r="AN38" s="173">
        <f>AI$2*AL38</f>
        <v>18</v>
      </c>
      <c r="AO38" t="s">
        <v>342</v>
      </c>
      <c r="AS38" t="s">
        <v>1727</v>
      </c>
      <c r="AT38" s="173">
        <v>1</v>
      </c>
      <c r="AU38" t="s">
        <v>342</v>
      </c>
      <c r="AV38" s="173">
        <f>AQ$2*AT38</f>
        <v>4</v>
      </c>
      <c r="AW38" t="s">
        <v>342</v>
      </c>
      <c r="BA38" t="s">
        <v>1727</v>
      </c>
      <c r="BB38" s="173">
        <v>1</v>
      </c>
      <c r="BC38" t="s">
        <v>342</v>
      </c>
      <c r="BD38" s="173">
        <f>AY$2*BB38</f>
        <v>2</v>
      </c>
      <c r="BE38" t="s">
        <v>342</v>
      </c>
      <c r="BI38" t="s">
        <v>1727</v>
      </c>
      <c r="BJ38" s="173">
        <v>1</v>
      </c>
      <c r="BK38" t="s">
        <v>342</v>
      </c>
      <c r="BL38" s="173">
        <f>BG$2*BJ38</f>
        <v>2</v>
      </c>
      <c r="BM38" t="s">
        <v>342</v>
      </c>
      <c r="BQ38" t="s">
        <v>1727</v>
      </c>
      <c r="BR38" s="173">
        <v>2</v>
      </c>
      <c r="BS38" t="s">
        <v>342</v>
      </c>
      <c r="BT38" s="173">
        <f>BO$2*BR38</f>
        <v>24</v>
      </c>
      <c r="BU38" t="s">
        <v>342</v>
      </c>
      <c r="BY38" t="s">
        <v>1727</v>
      </c>
      <c r="BZ38" s="173">
        <v>3</v>
      </c>
      <c r="CA38" t="s">
        <v>342</v>
      </c>
      <c r="CB38" s="173">
        <f>BW$2*BZ38</f>
        <v>12</v>
      </c>
      <c r="CC38" t="s">
        <v>342</v>
      </c>
      <c r="CG38" t="s">
        <v>1727</v>
      </c>
      <c r="CH38" s="173">
        <v>1</v>
      </c>
      <c r="CI38" t="s">
        <v>342</v>
      </c>
      <c r="CJ38" s="173">
        <f>CE$2*CH38</f>
        <v>2</v>
      </c>
      <c r="CK38" t="s">
        <v>342</v>
      </c>
      <c r="CO38" t="s">
        <v>1727</v>
      </c>
      <c r="CP38" s="173">
        <v>2</v>
      </c>
      <c r="CQ38" t="s">
        <v>342</v>
      </c>
      <c r="CR38" s="173">
        <f>CM$2*CP38</f>
        <v>4</v>
      </c>
      <c r="CS38" t="s">
        <v>342</v>
      </c>
      <c r="CU38" s="43">
        <f>H38+P38+X38+AF38+AV38+AN38+BD38+BL38+BT38+CB38+CJ38+CR38</f>
        <v>198</v>
      </c>
      <c r="CV38" t="s">
        <v>342</v>
      </c>
    </row>
    <row r="39" spans="4:100">
      <c r="D39" t="s">
        <v>1728</v>
      </c>
      <c r="L39" t="s">
        <v>1728</v>
      </c>
      <c r="T39" t="s">
        <v>1728</v>
      </c>
      <c r="AB39" t="s">
        <v>1728</v>
      </c>
      <c r="AJ39" t="s">
        <v>1728</v>
      </c>
      <c r="AR39" t="s">
        <v>1728</v>
      </c>
      <c r="AZ39" t="s">
        <v>1728</v>
      </c>
      <c r="BH39" t="s">
        <v>1728</v>
      </c>
      <c r="BP39" t="s">
        <v>1728</v>
      </c>
      <c r="BX39" t="s">
        <v>1728</v>
      </c>
      <c r="CF39" t="s">
        <v>1728</v>
      </c>
      <c r="CN39" t="s">
        <v>1728</v>
      </c>
    </row>
    <row r="40" spans="4:100">
      <c r="E40" t="s">
        <v>1729</v>
      </c>
      <c r="F40" s="173">
        <v>1</v>
      </c>
      <c r="G40" t="s">
        <v>342</v>
      </c>
      <c r="H40" s="173">
        <f>$C$2*F40</f>
        <v>12</v>
      </c>
      <c r="I40" t="s">
        <v>342</v>
      </c>
      <c r="M40" t="s">
        <v>1729</v>
      </c>
      <c r="N40" s="173">
        <v>1</v>
      </c>
      <c r="O40" t="s">
        <v>342</v>
      </c>
      <c r="P40" s="173">
        <f>$K$2*N40</f>
        <v>12</v>
      </c>
      <c r="Q40" t="s">
        <v>342</v>
      </c>
      <c r="U40" t="s">
        <v>1729</v>
      </c>
      <c r="V40" s="173">
        <v>1</v>
      </c>
      <c r="W40" t="s">
        <v>342</v>
      </c>
      <c r="X40" s="173">
        <f>S$2*V40</f>
        <v>10</v>
      </c>
      <c r="Y40" t="s">
        <v>342</v>
      </c>
      <c r="AC40" t="s">
        <v>1729</v>
      </c>
      <c r="AD40" s="173">
        <v>1</v>
      </c>
      <c r="AE40" t="s">
        <v>342</v>
      </c>
      <c r="AF40" s="173">
        <f>AA$2*AD40</f>
        <v>32</v>
      </c>
      <c r="AG40" t="s">
        <v>342</v>
      </c>
      <c r="AK40" t="s">
        <v>1729</v>
      </c>
      <c r="AL40" s="173">
        <v>1</v>
      </c>
      <c r="AM40" t="s">
        <v>342</v>
      </c>
      <c r="AN40" s="173">
        <f>AI$2*AL40</f>
        <v>6</v>
      </c>
      <c r="AO40" t="s">
        <v>342</v>
      </c>
      <c r="AS40" t="s">
        <v>1729</v>
      </c>
      <c r="AU40" t="s">
        <v>342</v>
      </c>
      <c r="AV40" s="173">
        <f>AQ$2*AT40</f>
        <v>0</v>
      </c>
      <c r="AW40" t="s">
        <v>342</v>
      </c>
      <c r="BA40" t="s">
        <v>1729</v>
      </c>
      <c r="BC40" t="s">
        <v>342</v>
      </c>
      <c r="BD40" s="173">
        <f>AY$2*BB40</f>
        <v>0</v>
      </c>
      <c r="BE40" t="s">
        <v>342</v>
      </c>
      <c r="BI40" t="s">
        <v>1729</v>
      </c>
      <c r="BK40" t="s">
        <v>342</v>
      </c>
      <c r="BL40" s="173">
        <f>BG$2*BJ40</f>
        <v>0</v>
      </c>
      <c r="BM40" t="s">
        <v>342</v>
      </c>
      <c r="BQ40" t="s">
        <v>1729</v>
      </c>
      <c r="BS40" t="s">
        <v>342</v>
      </c>
      <c r="BT40" s="173">
        <f>BO$2*BR40</f>
        <v>0</v>
      </c>
      <c r="BU40" t="s">
        <v>342</v>
      </c>
      <c r="BY40" t="s">
        <v>1729</v>
      </c>
      <c r="CA40" t="s">
        <v>342</v>
      </c>
      <c r="CB40" s="173">
        <f>BW$2*BZ40</f>
        <v>0</v>
      </c>
      <c r="CC40" t="s">
        <v>342</v>
      </c>
      <c r="CG40" t="s">
        <v>1729</v>
      </c>
      <c r="CI40" t="s">
        <v>342</v>
      </c>
      <c r="CJ40" s="173">
        <f>CE$2*CH40</f>
        <v>0</v>
      </c>
      <c r="CK40" t="s">
        <v>342</v>
      </c>
      <c r="CO40" t="s">
        <v>1729</v>
      </c>
      <c r="CQ40" t="s">
        <v>342</v>
      </c>
      <c r="CR40" s="173">
        <f>CM$2*CP40</f>
        <v>0</v>
      </c>
      <c r="CS40" t="s">
        <v>342</v>
      </c>
      <c r="CU40" s="43">
        <f>H40+P40+X40+AF40+AV40+AN40+BD40+BL40+BT40+CB40+CJ40+CR40</f>
        <v>72</v>
      </c>
      <c r="CV40" t="s">
        <v>342</v>
      </c>
    </row>
    <row r="41" spans="4:100">
      <c r="E41" t="s">
        <v>1730</v>
      </c>
      <c r="F41" s="173">
        <v>1</v>
      </c>
      <c r="G41" t="s">
        <v>342</v>
      </c>
      <c r="H41" s="173">
        <f>$C$2*F41</f>
        <v>12</v>
      </c>
      <c r="I41" t="s">
        <v>342</v>
      </c>
      <c r="M41" t="s">
        <v>1730</v>
      </c>
      <c r="N41" s="173">
        <v>1</v>
      </c>
      <c r="O41" t="s">
        <v>342</v>
      </c>
      <c r="P41" s="173">
        <f>$C$2*N41</f>
        <v>12</v>
      </c>
      <c r="Q41" t="s">
        <v>342</v>
      </c>
      <c r="U41" t="s">
        <v>1730</v>
      </c>
      <c r="V41" s="173">
        <v>1</v>
      </c>
      <c r="W41" t="s">
        <v>342</v>
      </c>
      <c r="X41" s="173">
        <f>S$2*V41</f>
        <v>10</v>
      </c>
      <c r="Y41" t="s">
        <v>342</v>
      </c>
      <c r="AC41" t="s">
        <v>1730</v>
      </c>
      <c r="AD41" s="173">
        <v>1</v>
      </c>
      <c r="AE41" t="s">
        <v>342</v>
      </c>
      <c r="AF41" s="173">
        <f>AA$2*AD41</f>
        <v>32</v>
      </c>
      <c r="AG41" t="s">
        <v>342</v>
      </c>
      <c r="AK41" t="s">
        <v>1730</v>
      </c>
      <c r="AL41" s="173">
        <v>1</v>
      </c>
      <c r="AM41" t="s">
        <v>342</v>
      </c>
      <c r="AN41" s="173">
        <f>AI$2*AL41</f>
        <v>6</v>
      </c>
      <c r="AO41" t="s">
        <v>342</v>
      </c>
      <c r="AS41" t="s">
        <v>1730</v>
      </c>
      <c r="AU41" t="s">
        <v>342</v>
      </c>
      <c r="AV41" s="173">
        <f>AQ$2*AT41</f>
        <v>0</v>
      </c>
      <c r="AW41" t="s">
        <v>342</v>
      </c>
      <c r="BA41" t="s">
        <v>1730</v>
      </c>
      <c r="BC41" t="s">
        <v>342</v>
      </c>
      <c r="BD41" s="173">
        <f>AY$2*BB41</f>
        <v>0</v>
      </c>
      <c r="BE41" t="s">
        <v>342</v>
      </c>
      <c r="BI41" t="s">
        <v>1730</v>
      </c>
      <c r="BK41" t="s">
        <v>342</v>
      </c>
      <c r="BL41" s="173">
        <f>BG$2*BJ41</f>
        <v>0</v>
      </c>
      <c r="BM41" t="s">
        <v>342</v>
      </c>
      <c r="BQ41" t="s">
        <v>1730</v>
      </c>
      <c r="BS41" t="s">
        <v>342</v>
      </c>
      <c r="BT41" s="173">
        <f>BO$2*BR41</f>
        <v>0</v>
      </c>
      <c r="BU41" t="s">
        <v>342</v>
      </c>
      <c r="BY41" t="s">
        <v>1730</v>
      </c>
      <c r="CA41" t="s">
        <v>342</v>
      </c>
      <c r="CB41" s="173">
        <f>BW$2*BZ41</f>
        <v>0</v>
      </c>
      <c r="CC41" t="s">
        <v>342</v>
      </c>
      <c r="CG41" t="s">
        <v>1730</v>
      </c>
      <c r="CI41" t="s">
        <v>342</v>
      </c>
      <c r="CJ41" s="173">
        <f>CE$2*CH41</f>
        <v>0</v>
      </c>
      <c r="CK41" t="s">
        <v>342</v>
      </c>
      <c r="CO41" t="s">
        <v>1730</v>
      </c>
      <c r="CQ41" t="s">
        <v>342</v>
      </c>
      <c r="CR41" s="173">
        <f>CM$2*CP41</f>
        <v>0</v>
      </c>
      <c r="CS41" t="s">
        <v>342</v>
      </c>
      <c r="CU41" s="43">
        <f>H41+P41+X41+AF41+AV41+AN41+BD41+BL41+BT41+CB41+CJ41+CR41</f>
        <v>72</v>
      </c>
      <c r="CV41" t="s">
        <v>342</v>
      </c>
    </row>
    <row r="42" spans="4:100">
      <c r="D42" t="s">
        <v>1731</v>
      </c>
      <c r="L42" t="s">
        <v>1731</v>
      </c>
      <c r="T42" t="s">
        <v>211</v>
      </c>
      <c r="AB42" t="s">
        <v>211</v>
      </c>
      <c r="AJ42" t="s">
        <v>211</v>
      </c>
      <c r="AR42" t="s">
        <v>211</v>
      </c>
      <c r="AZ42" t="s">
        <v>211</v>
      </c>
      <c r="BH42" t="s">
        <v>211</v>
      </c>
      <c r="BP42" t="s">
        <v>211</v>
      </c>
      <c r="BX42" t="s">
        <v>211</v>
      </c>
      <c r="CF42" t="s">
        <v>211</v>
      </c>
      <c r="CN42" t="s">
        <v>211</v>
      </c>
    </row>
    <row r="43" spans="4:100">
      <c r="E43" t="s">
        <v>1732</v>
      </c>
      <c r="F43" s="173">
        <v>1</v>
      </c>
      <c r="G43" t="s">
        <v>342</v>
      </c>
      <c r="H43" s="173">
        <f>$C$2*F43</f>
        <v>12</v>
      </c>
      <c r="I43" t="s">
        <v>342</v>
      </c>
      <c r="M43" t="s">
        <v>1732</v>
      </c>
      <c r="N43" s="173">
        <v>1</v>
      </c>
      <c r="O43" t="s">
        <v>342</v>
      </c>
      <c r="P43" s="173">
        <f>$K$2*N43</f>
        <v>12</v>
      </c>
      <c r="Q43" t="s">
        <v>342</v>
      </c>
      <c r="U43" t="s">
        <v>1732</v>
      </c>
      <c r="V43" s="173">
        <v>1</v>
      </c>
      <c r="W43" t="s">
        <v>342</v>
      </c>
      <c r="X43" s="173">
        <f>S$2*V43</f>
        <v>10</v>
      </c>
      <c r="Y43" t="s">
        <v>342</v>
      </c>
      <c r="AC43" t="s">
        <v>1732</v>
      </c>
      <c r="AD43" s="173">
        <v>1</v>
      </c>
      <c r="AE43" t="s">
        <v>342</v>
      </c>
      <c r="AF43" s="173">
        <f>AA$2*AD43</f>
        <v>32</v>
      </c>
      <c r="AG43" t="s">
        <v>342</v>
      </c>
      <c r="AK43" t="s">
        <v>1732</v>
      </c>
      <c r="AL43" s="173">
        <v>1</v>
      </c>
      <c r="AM43" t="s">
        <v>342</v>
      </c>
      <c r="AN43" s="173">
        <f>AI$2*AL43</f>
        <v>6</v>
      </c>
      <c r="AO43" t="s">
        <v>342</v>
      </c>
      <c r="AS43" t="s">
        <v>1732</v>
      </c>
      <c r="AU43" t="s">
        <v>342</v>
      </c>
      <c r="AV43" s="173">
        <f>AQ$2*AT43</f>
        <v>0</v>
      </c>
      <c r="AW43" t="s">
        <v>342</v>
      </c>
      <c r="BA43" t="s">
        <v>1732</v>
      </c>
      <c r="BC43" t="s">
        <v>342</v>
      </c>
      <c r="BD43" s="173">
        <f>AY$2*BB43</f>
        <v>0</v>
      </c>
      <c r="BE43" t="s">
        <v>342</v>
      </c>
      <c r="BI43" t="s">
        <v>1732</v>
      </c>
      <c r="BK43" t="s">
        <v>342</v>
      </c>
      <c r="BL43" s="173">
        <f>BG$2*BJ43</f>
        <v>0</v>
      </c>
      <c r="BM43" t="s">
        <v>342</v>
      </c>
      <c r="BQ43" t="s">
        <v>1732</v>
      </c>
      <c r="BS43" t="s">
        <v>342</v>
      </c>
      <c r="BT43" s="173">
        <f>BO$2*BR43</f>
        <v>0</v>
      </c>
      <c r="BU43" t="s">
        <v>342</v>
      </c>
      <c r="BY43" t="s">
        <v>1732</v>
      </c>
      <c r="CA43" t="s">
        <v>342</v>
      </c>
      <c r="CB43" s="173">
        <f>BW$2*BZ43</f>
        <v>0</v>
      </c>
      <c r="CC43" t="s">
        <v>342</v>
      </c>
      <c r="CG43" t="s">
        <v>1732</v>
      </c>
      <c r="CI43" t="s">
        <v>342</v>
      </c>
      <c r="CJ43" s="173">
        <f>CE$2*CH43</f>
        <v>0</v>
      </c>
      <c r="CK43" t="s">
        <v>342</v>
      </c>
      <c r="CO43" t="s">
        <v>1732</v>
      </c>
      <c r="CQ43" t="s">
        <v>342</v>
      </c>
      <c r="CR43" s="173">
        <f>CM$2*CP43</f>
        <v>0</v>
      </c>
      <c r="CS43" t="s">
        <v>342</v>
      </c>
      <c r="CU43" s="43">
        <f>H43+P43+X43+AF43+AV43+AN43+BD43+BL43+BT43+CB43+CJ43+CR43</f>
        <v>72</v>
      </c>
      <c r="CV43" t="s">
        <v>342</v>
      </c>
    </row>
    <row r="44" spans="4:100">
      <c r="E44" t="s">
        <v>1733</v>
      </c>
      <c r="F44" s="173">
        <v>1</v>
      </c>
      <c r="G44" t="s">
        <v>342</v>
      </c>
      <c r="H44" s="173">
        <f>$C$2*F44</f>
        <v>12</v>
      </c>
      <c r="I44" t="s">
        <v>342</v>
      </c>
      <c r="M44" t="s">
        <v>1733</v>
      </c>
      <c r="N44" s="173">
        <v>1</v>
      </c>
      <c r="O44" t="s">
        <v>342</v>
      </c>
      <c r="P44" s="173">
        <f>$C$2*N44</f>
        <v>12</v>
      </c>
      <c r="Q44" t="s">
        <v>342</v>
      </c>
      <c r="U44" t="s">
        <v>1733</v>
      </c>
      <c r="V44" s="173">
        <v>2</v>
      </c>
      <c r="W44" t="s">
        <v>342</v>
      </c>
      <c r="X44" s="173">
        <f>S$2*V44</f>
        <v>20</v>
      </c>
      <c r="Y44" t="s">
        <v>342</v>
      </c>
      <c r="AC44" t="s">
        <v>1733</v>
      </c>
      <c r="AD44" s="173">
        <v>1</v>
      </c>
      <c r="AE44" t="s">
        <v>342</v>
      </c>
      <c r="AF44" s="173">
        <f>AA$2*AD44</f>
        <v>32</v>
      </c>
      <c r="AG44" t="s">
        <v>342</v>
      </c>
      <c r="AK44" t="s">
        <v>1733</v>
      </c>
      <c r="AL44" s="173">
        <v>1</v>
      </c>
      <c r="AM44" t="s">
        <v>342</v>
      </c>
      <c r="AN44" s="173">
        <f>AI$2*AL44</f>
        <v>6</v>
      </c>
      <c r="AO44" t="s">
        <v>342</v>
      </c>
      <c r="AS44" t="s">
        <v>1733</v>
      </c>
      <c r="AT44" s="173">
        <v>1</v>
      </c>
      <c r="AU44" t="s">
        <v>342</v>
      </c>
      <c r="AV44" s="173">
        <f>AQ$2*AT44</f>
        <v>4</v>
      </c>
      <c r="AW44" t="s">
        <v>342</v>
      </c>
      <c r="BA44" t="s">
        <v>1733</v>
      </c>
      <c r="BB44" s="173">
        <v>1</v>
      </c>
      <c r="BC44" t="s">
        <v>342</v>
      </c>
      <c r="BD44" s="173">
        <f>AY$2*BB44</f>
        <v>2</v>
      </c>
      <c r="BE44" t="s">
        <v>342</v>
      </c>
      <c r="BI44" t="s">
        <v>1733</v>
      </c>
      <c r="BJ44" s="173">
        <v>1</v>
      </c>
      <c r="BK44" t="s">
        <v>342</v>
      </c>
      <c r="BL44" s="173">
        <f>BG$2*BJ44</f>
        <v>2</v>
      </c>
      <c r="BM44" t="s">
        <v>342</v>
      </c>
      <c r="BQ44" t="s">
        <v>1733</v>
      </c>
      <c r="BR44" s="173">
        <v>1</v>
      </c>
      <c r="BS44" t="s">
        <v>342</v>
      </c>
      <c r="BT44" s="173">
        <f>BO$2*BR44</f>
        <v>12</v>
      </c>
      <c r="BU44" t="s">
        <v>342</v>
      </c>
      <c r="BY44" t="s">
        <v>1733</v>
      </c>
      <c r="BZ44" s="173">
        <v>1</v>
      </c>
      <c r="CA44" t="s">
        <v>342</v>
      </c>
      <c r="CB44" s="173">
        <f>BW$2*BZ44</f>
        <v>4</v>
      </c>
      <c r="CC44" t="s">
        <v>342</v>
      </c>
      <c r="CG44" t="s">
        <v>1733</v>
      </c>
      <c r="CH44" s="173">
        <v>1</v>
      </c>
      <c r="CI44" t="s">
        <v>342</v>
      </c>
      <c r="CJ44" s="173">
        <f>CE$2*CH44</f>
        <v>2</v>
      </c>
      <c r="CK44" t="s">
        <v>342</v>
      </c>
      <c r="CO44" t="s">
        <v>1733</v>
      </c>
      <c r="CP44" s="173">
        <v>1</v>
      </c>
      <c r="CQ44" t="s">
        <v>342</v>
      </c>
      <c r="CR44" s="173">
        <f>CM$2*CP44</f>
        <v>2</v>
      </c>
      <c r="CS44" t="s">
        <v>342</v>
      </c>
      <c r="CU44" s="43">
        <f>H44+P44+X44+AF44+AV44+AN44+BD44+BL44+BT44+CB44+CJ44+CR44</f>
        <v>110</v>
      </c>
      <c r="CV44" t="s">
        <v>342</v>
      </c>
    </row>
    <row r="45" spans="4:100">
      <c r="E45" t="s">
        <v>1734</v>
      </c>
      <c r="F45" s="173">
        <v>1</v>
      </c>
      <c r="G45" t="s">
        <v>342</v>
      </c>
      <c r="H45" s="173">
        <f>$C$2*F45</f>
        <v>12</v>
      </c>
      <c r="I45" t="s">
        <v>342</v>
      </c>
      <c r="M45" t="s">
        <v>1734</v>
      </c>
      <c r="N45" s="173">
        <v>1</v>
      </c>
      <c r="O45" t="s">
        <v>342</v>
      </c>
      <c r="P45" s="173">
        <f>$C$2*N45</f>
        <v>12</v>
      </c>
      <c r="Q45" t="s">
        <v>342</v>
      </c>
      <c r="U45" t="s">
        <v>1734</v>
      </c>
      <c r="V45" s="173">
        <v>2</v>
      </c>
      <c r="W45" t="s">
        <v>342</v>
      </c>
      <c r="X45" s="173">
        <f>S$2*V45</f>
        <v>20</v>
      </c>
      <c r="Y45" t="s">
        <v>342</v>
      </c>
      <c r="AC45" t="s">
        <v>1734</v>
      </c>
      <c r="AD45" s="173">
        <v>1</v>
      </c>
      <c r="AE45" t="s">
        <v>342</v>
      </c>
      <c r="AF45" s="173">
        <f>AA$2*AD45</f>
        <v>32</v>
      </c>
      <c r="AG45" t="s">
        <v>342</v>
      </c>
      <c r="AK45" t="s">
        <v>1734</v>
      </c>
      <c r="AL45" s="173">
        <v>1</v>
      </c>
      <c r="AM45" t="s">
        <v>342</v>
      </c>
      <c r="AN45" s="173">
        <f>AI$2*AL45</f>
        <v>6</v>
      </c>
      <c r="AO45" t="s">
        <v>342</v>
      </c>
      <c r="AS45" t="s">
        <v>1734</v>
      </c>
      <c r="AT45" s="173">
        <v>1</v>
      </c>
      <c r="AU45" t="s">
        <v>342</v>
      </c>
      <c r="AV45" s="173">
        <f>AQ$2*AT45</f>
        <v>4</v>
      </c>
      <c r="AW45" t="s">
        <v>342</v>
      </c>
      <c r="BA45" t="s">
        <v>1734</v>
      </c>
      <c r="BB45" s="173">
        <v>1</v>
      </c>
      <c r="BC45" t="s">
        <v>342</v>
      </c>
      <c r="BD45" s="173">
        <f>AY$2*BB45</f>
        <v>2</v>
      </c>
      <c r="BE45" t="s">
        <v>342</v>
      </c>
      <c r="BI45" t="s">
        <v>1734</v>
      </c>
      <c r="BJ45" s="173">
        <v>1</v>
      </c>
      <c r="BK45" t="s">
        <v>342</v>
      </c>
      <c r="BL45" s="173">
        <f>BG$2*BJ45</f>
        <v>2</v>
      </c>
      <c r="BM45" t="s">
        <v>342</v>
      </c>
      <c r="BQ45" t="s">
        <v>1734</v>
      </c>
      <c r="BR45" s="173">
        <v>1</v>
      </c>
      <c r="BS45" t="s">
        <v>342</v>
      </c>
      <c r="BT45" s="173">
        <f>BO$2*BR45</f>
        <v>12</v>
      </c>
      <c r="BU45" t="s">
        <v>342</v>
      </c>
      <c r="BY45" t="s">
        <v>1734</v>
      </c>
      <c r="BZ45" s="173">
        <v>1</v>
      </c>
      <c r="CA45" t="s">
        <v>342</v>
      </c>
      <c r="CB45" s="173">
        <f>BW$2*BZ45</f>
        <v>4</v>
      </c>
      <c r="CC45" t="s">
        <v>342</v>
      </c>
      <c r="CG45" t="s">
        <v>1734</v>
      </c>
      <c r="CH45" s="173">
        <v>1</v>
      </c>
      <c r="CI45" t="s">
        <v>342</v>
      </c>
      <c r="CJ45" s="173">
        <f>CE$2*CH45</f>
        <v>2</v>
      </c>
      <c r="CK45" t="s">
        <v>342</v>
      </c>
      <c r="CO45" t="s">
        <v>1734</v>
      </c>
      <c r="CP45" s="173">
        <v>1</v>
      </c>
      <c r="CQ45" t="s">
        <v>342</v>
      </c>
      <c r="CR45" s="173">
        <f>CM$2*CP45</f>
        <v>2</v>
      </c>
      <c r="CS45" t="s">
        <v>342</v>
      </c>
      <c r="CU45" s="43">
        <f>H45+P45+X45+AF45+AV45+AN45+BD45+BL45+BT45+CB45+CJ45+CR45</f>
        <v>110</v>
      </c>
      <c r="CV45" t="s">
        <v>342</v>
      </c>
    </row>
    <row r="46" spans="4:100">
      <c r="E46" t="s">
        <v>1735</v>
      </c>
      <c r="F46" s="173">
        <v>1</v>
      </c>
      <c r="G46" t="s">
        <v>342</v>
      </c>
      <c r="H46" s="173">
        <f>$C$2*F46</f>
        <v>12</v>
      </c>
      <c r="I46" t="s">
        <v>342</v>
      </c>
      <c r="M46" t="s">
        <v>1735</v>
      </c>
      <c r="N46" s="173">
        <v>1</v>
      </c>
      <c r="O46" t="s">
        <v>342</v>
      </c>
      <c r="P46" s="173">
        <f>$C$2*N46</f>
        <v>12</v>
      </c>
      <c r="Q46" t="s">
        <v>342</v>
      </c>
      <c r="U46" t="s">
        <v>1735</v>
      </c>
      <c r="V46" s="173">
        <v>1</v>
      </c>
      <c r="W46" t="s">
        <v>342</v>
      </c>
      <c r="X46" s="173">
        <f>S$2*V46</f>
        <v>10</v>
      </c>
      <c r="Y46" t="s">
        <v>342</v>
      </c>
      <c r="AC46" t="s">
        <v>1735</v>
      </c>
      <c r="AD46" s="173">
        <v>1</v>
      </c>
      <c r="AE46" t="s">
        <v>342</v>
      </c>
      <c r="AF46" s="173">
        <f>AA$2*AD46</f>
        <v>32</v>
      </c>
      <c r="AG46" t="s">
        <v>342</v>
      </c>
      <c r="AK46" t="s">
        <v>1735</v>
      </c>
      <c r="AL46" s="173">
        <v>1</v>
      </c>
      <c r="AM46" t="s">
        <v>342</v>
      </c>
      <c r="AN46" s="173">
        <f>AI$2*AL46</f>
        <v>6</v>
      </c>
      <c r="AO46" t="s">
        <v>342</v>
      </c>
      <c r="AS46" t="s">
        <v>1735</v>
      </c>
      <c r="AT46" s="173">
        <v>1</v>
      </c>
      <c r="AU46" t="s">
        <v>342</v>
      </c>
      <c r="AV46" s="173">
        <f>AQ$2*AT46</f>
        <v>4</v>
      </c>
      <c r="AW46" t="s">
        <v>342</v>
      </c>
      <c r="BA46" t="s">
        <v>1735</v>
      </c>
      <c r="BB46" s="173">
        <v>1</v>
      </c>
      <c r="BC46" t="s">
        <v>342</v>
      </c>
      <c r="BD46" s="173">
        <f>AY$2*BB46</f>
        <v>2</v>
      </c>
      <c r="BE46" t="s">
        <v>342</v>
      </c>
      <c r="BI46" t="s">
        <v>1735</v>
      </c>
      <c r="BJ46" s="173">
        <v>1</v>
      </c>
      <c r="BK46" t="s">
        <v>342</v>
      </c>
      <c r="BL46" s="173">
        <f>BG$2*BJ46</f>
        <v>2</v>
      </c>
      <c r="BM46" t="s">
        <v>342</v>
      </c>
      <c r="BQ46" t="s">
        <v>1735</v>
      </c>
      <c r="BR46" s="173">
        <v>1</v>
      </c>
      <c r="BS46" t="s">
        <v>342</v>
      </c>
      <c r="BT46" s="173">
        <f>BO$2*BR46</f>
        <v>12</v>
      </c>
      <c r="BU46" t="s">
        <v>342</v>
      </c>
      <c r="BY46" t="s">
        <v>1735</v>
      </c>
      <c r="BZ46" s="173">
        <v>1</v>
      </c>
      <c r="CA46" t="s">
        <v>342</v>
      </c>
      <c r="CB46" s="173">
        <f>BW$2*BZ46</f>
        <v>4</v>
      </c>
      <c r="CC46" t="s">
        <v>342</v>
      </c>
      <c r="CG46" t="s">
        <v>1735</v>
      </c>
      <c r="CH46" s="173">
        <v>1</v>
      </c>
      <c r="CI46" t="s">
        <v>342</v>
      </c>
      <c r="CJ46" s="173">
        <f>CE$2*CH46</f>
        <v>2</v>
      </c>
      <c r="CK46" t="s">
        <v>342</v>
      </c>
      <c r="CO46" t="s">
        <v>1735</v>
      </c>
      <c r="CP46" s="173">
        <v>1</v>
      </c>
      <c r="CQ46" t="s">
        <v>342</v>
      </c>
      <c r="CR46" s="173">
        <f>CM$2*CP46</f>
        <v>2</v>
      </c>
      <c r="CS46" t="s">
        <v>342</v>
      </c>
      <c r="CU46" s="43">
        <f>H46+P46+X46+AF46+AV46+AN46+BD46+BL46+BT46+CB46+CJ46+CR46</f>
        <v>100</v>
      </c>
      <c r="CV46" t="s">
        <v>342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C5CDAEC036E54F818E249793D3A63A" ma:contentTypeVersion="13" ma:contentTypeDescription="Create a new document." ma:contentTypeScope="" ma:versionID="3b68bb1ac60d1ef729756fc21ca882de">
  <xsd:schema xmlns:xsd="http://www.w3.org/2001/XMLSchema" xmlns:xs="http://www.w3.org/2001/XMLSchema" xmlns:p="http://schemas.microsoft.com/office/2006/metadata/properties" xmlns:ns2="84e32629-a85f-441b-84e3-0a67009d5f12" xmlns:ns3="05386feb-0fd0-4766-b8e9-7a95f38a2af0" targetNamespace="http://schemas.microsoft.com/office/2006/metadata/properties" ma:root="true" ma:fieldsID="76a23413cb5e3d64dd308836c47bf576" ns2:_="" ns3:_="">
    <xsd:import namespace="84e32629-a85f-441b-84e3-0a67009d5f12"/>
    <xsd:import namespace="05386feb-0fd0-4766-b8e9-7a95f38a2a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32629-a85f-441b-84e3-0a67009d5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386feb-0fd0-4766-b8e9-7a95f38a2a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697bcf4-a684-4d49-9c3f-91a4a9576328}" ma:internalName="TaxCatchAll" ma:showField="CatchAllData" ma:web="05386feb-0fd0-4766-b8e9-7a95f38a2a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e32629-a85f-441b-84e3-0a67009d5f12">
      <Terms xmlns="http://schemas.microsoft.com/office/infopath/2007/PartnerControls"/>
    </lcf76f155ced4ddcb4097134ff3c332f>
    <TaxCatchAll xmlns="05386feb-0fd0-4766-b8e9-7a95f38a2af0" xsi:nil="true"/>
  </documentManagement>
</p:properties>
</file>

<file path=customXml/itemProps1.xml><?xml version="1.0" encoding="utf-8"?>
<ds:datastoreItem xmlns:ds="http://schemas.openxmlformats.org/officeDocument/2006/customXml" ds:itemID="{70540D3A-8CE1-4245-AC49-E93FEA01A5D1}"/>
</file>

<file path=customXml/itemProps2.xml><?xml version="1.0" encoding="utf-8"?>
<ds:datastoreItem xmlns:ds="http://schemas.openxmlformats.org/officeDocument/2006/customXml" ds:itemID="{CE885BFE-622C-4E67-8E23-7DCBF35BD076}"/>
</file>

<file path=customXml/itemProps3.xml><?xml version="1.0" encoding="utf-8"?>
<ds:datastoreItem xmlns:ds="http://schemas.openxmlformats.org/officeDocument/2006/customXml" ds:itemID="{09E06E81-5B01-4E25-82B9-6438D27D27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Safwat Tawedros</dc:creator>
  <cp:keywords/>
  <dc:description/>
  <cp:lastModifiedBy/>
  <cp:revision/>
  <dcterms:created xsi:type="dcterms:W3CDTF">2015-06-05T18:17:20Z</dcterms:created>
  <dcterms:modified xsi:type="dcterms:W3CDTF">2026-05-04T09:19:50Z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0x0101001DC5CDAEC036E54F818E249793D3A63A</vt:lpwstr>
  </property>
  <property fmtid="{D5CDD505-2E9C-101B-9397-08002B2CF9AE}" pid="3" name="MediaServiceImageTags">
    <vt:lpwstr/>
  </property>
</Properties>
</file>