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UNHABITAT-UBS/Shared Documents/Waste Management/06-WaCT data/"/>
    </mc:Choice>
  </mc:AlternateContent>
  <xr:revisionPtr revIDLastSave="524" documentId="11_3DC029BA51017068D82B0A2F20834F1B16BF536A" xr6:coauthVersionLast="47" xr6:coauthVersionMax="47" xr10:uidLastSave="{F13FB153-7E90-4786-9421-4A71A3693944}"/>
  <bookViews>
    <workbookView xWindow="28680" yWindow="-120" windowWidth="29040" windowHeight="15840" xr2:uid="{00000000-000D-0000-FFFF-FFFF00000000}"/>
  </bookViews>
  <sheets>
    <sheet name="Data overview" sheetId="1" r:id="rId1"/>
    <sheet name="recovered materia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NyxVksxZ1kEiGJq3irCGJ+zC+0g=="/>
    </ext>
  </extLst>
</workbook>
</file>

<file path=xl/calcChain.xml><?xml version="1.0" encoding="utf-8"?>
<calcChain xmlns="http://schemas.openxmlformats.org/spreadsheetml/2006/main">
  <c r="AN152" i="1" l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C153" i="1"/>
  <c r="K152" i="1"/>
  <c r="C152" i="1"/>
  <c r="J152" i="1"/>
  <c r="I152" i="1"/>
  <c r="H152" i="1"/>
  <c r="D152" i="1"/>
  <c r="E152" i="1"/>
  <c r="F152" i="1"/>
  <c r="G152" i="1"/>
  <c r="T14" i="1"/>
  <c r="AD63" i="1"/>
  <c r="J63" i="1"/>
  <c r="I63" i="1"/>
  <c r="AE63" i="1"/>
  <c r="H63" i="1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48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49" i="2" s="1"/>
  <c r="I19" i="1"/>
  <c r="I136" i="1"/>
  <c r="I137" i="1"/>
  <c r="I119" i="1"/>
  <c r="I112" i="1"/>
  <c r="I92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93" i="1" s="1"/>
  <c r="I15" i="1"/>
  <c r="I14" i="1"/>
  <c r="U48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49" i="2" s="1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136" i="1"/>
  <c r="U137" i="1"/>
  <c r="U119" i="1"/>
  <c r="U112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92" i="1"/>
  <c r="U91" i="1"/>
  <c r="U89" i="1"/>
  <c r="U87" i="1"/>
  <c r="U85" i="1"/>
  <c r="U83" i="1"/>
  <c r="U81" i="1"/>
  <c r="V81" i="1"/>
  <c r="U79" i="1"/>
  <c r="V79" i="1"/>
  <c r="U77" i="1"/>
  <c r="U75" i="1"/>
  <c r="U73" i="1"/>
  <c r="V73" i="1"/>
  <c r="U71" i="1"/>
  <c r="U69" i="1"/>
  <c r="U67" i="1"/>
  <c r="U93" i="1" s="1"/>
  <c r="U19" i="1"/>
  <c r="U14" i="1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D68" i="2"/>
  <c r="C68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D67" i="2"/>
  <c r="C67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D65" i="2"/>
  <c r="C65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D64" i="2"/>
  <c r="C64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D62" i="2"/>
  <c r="C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D61" i="2"/>
  <c r="C61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D59" i="2"/>
  <c r="C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D58" i="2"/>
  <c r="C58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D56" i="2"/>
  <c r="C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D55" i="2"/>
  <c r="C55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D53" i="2"/>
  <c r="C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D52" i="2"/>
  <c r="C52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AP48" i="2" s="1"/>
  <c r="AR49" i="2" s="1"/>
  <c r="C48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D45" i="2"/>
  <c r="C45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D43" i="2"/>
  <c r="C43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D41" i="2"/>
  <c r="C41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D39" i="2"/>
  <c r="C39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D37" i="2"/>
  <c r="C37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D35" i="2"/>
  <c r="C35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D33" i="2"/>
  <c r="C33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D31" i="2"/>
  <c r="C31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T27" i="2"/>
  <c r="S27" i="2"/>
  <c r="R27" i="2"/>
  <c r="Q27" i="2"/>
  <c r="P27" i="2"/>
  <c r="O27" i="2"/>
  <c r="N27" i="2"/>
  <c r="M27" i="2"/>
  <c r="L27" i="2"/>
  <c r="K27" i="2"/>
  <c r="J27" i="2"/>
  <c r="H27" i="2"/>
  <c r="G27" i="2"/>
  <c r="F27" i="2"/>
  <c r="E27" i="2"/>
  <c r="D27" i="2"/>
  <c r="C27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T25" i="2"/>
  <c r="S25" i="2"/>
  <c r="R25" i="2"/>
  <c r="Q25" i="2"/>
  <c r="P25" i="2"/>
  <c r="O25" i="2"/>
  <c r="N25" i="2"/>
  <c r="M25" i="2"/>
  <c r="L25" i="2"/>
  <c r="K25" i="2"/>
  <c r="J25" i="2"/>
  <c r="H25" i="2"/>
  <c r="G25" i="2"/>
  <c r="F25" i="2"/>
  <c r="E25" i="2"/>
  <c r="D25" i="2"/>
  <c r="C25" i="2"/>
  <c r="AN23" i="2"/>
  <c r="AN49" i="2" s="1"/>
  <c r="AM23" i="2"/>
  <c r="AM49" i="2" s="1"/>
  <c r="AL23" i="2"/>
  <c r="AL49" i="2" s="1"/>
  <c r="AK23" i="2"/>
  <c r="AK49" i="2" s="1"/>
  <c r="AJ23" i="2"/>
  <c r="AJ49" i="2" s="1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H23" i="2"/>
  <c r="H49" i="2" s="1"/>
  <c r="G23" i="2"/>
  <c r="G49" i="2" s="1"/>
  <c r="F23" i="2"/>
  <c r="F49" i="2" s="1"/>
  <c r="E23" i="2"/>
  <c r="E49" i="2" s="1"/>
  <c r="D23" i="2"/>
  <c r="D49" i="2" s="1"/>
  <c r="AP49" i="2" s="1"/>
  <c r="C23" i="2"/>
  <c r="C49" i="2" s="1"/>
  <c r="AP8" i="2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T137" i="1"/>
  <c r="S137" i="1"/>
  <c r="R137" i="1"/>
  <c r="Q137" i="1"/>
  <c r="P137" i="1"/>
  <c r="O137" i="1"/>
  <c r="N137" i="1"/>
  <c r="M137" i="1"/>
  <c r="L137" i="1"/>
  <c r="K137" i="1"/>
  <c r="J137" i="1"/>
  <c r="H137" i="1"/>
  <c r="G137" i="1"/>
  <c r="F137" i="1"/>
  <c r="E137" i="1"/>
  <c r="D137" i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T136" i="1"/>
  <c r="S136" i="1"/>
  <c r="R136" i="1"/>
  <c r="Q136" i="1"/>
  <c r="P136" i="1"/>
  <c r="O136" i="1"/>
  <c r="N136" i="1"/>
  <c r="M136" i="1"/>
  <c r="L136" i="1"/>
  <c r="K136" i="1"/>
  <c r="J136" i="1"/>
  <c r="H136" i="1"/>
  <c r="G136" i="1"/>
  <c r="F136" i="1"/>
  <c r="E136" i="1"/>
  <c r="D136" i="1"/>
  <c r="C136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G119" i="1"/>
  <c r="F119" i="1"/>
  <c r="E119" i="1"/>
  <c r="D119" i="1"/>
  <c r="AP119" i="1" s="1"/>
  <c r="C119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G112" i="1"/>
  <c r="F112" i="1"/>
  <c r="E112" i="1"/>
  <c r="D112" i="1"/>
  <c r="C112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G109" i="1"/>
  <c r="F109" i="1"/>
  <c r="E109" i="1"/>
  <c r="D109" i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G108" i="1"/>
  <c r="F108" i="1"/>
  <c r="E108" i="1"/>
  <c r="D108" i="1"/>
  <c r="C108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G106" i="1"/>
  <c r="F106" i="1"/>
  <c r="E106" i="1"/>
  <c r="D106" i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G105" i="1"/>
  <c r="F105" i="1"/>
  <c r="E105" i="1"/>
  <c r="D105" i="1"/>
  <c r="C105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G103" i="1"/>
  <c r="F103" i="1"/>
  <c r="E103" i="1"/>
  <c r="D103" i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G102" i="1"/>
  <c r="F102" i="1"/>
  <c r="E102" i="1"/>
  <c r="D102" i="1"/>
  <c r="C102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G100" i="1"/>
  <c r="F100" i="1"/>
  <c r="E100" i="1"/>
  <c r="D100" i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T99" i="1"/>
  <c r="S99" i="1"/>
  <c r="R99" i="1"/>
  <c r="Q99" i="1"/>
  <c r="P99" i="1"/>
  <c r="O99" i="1"/>
  <c r="N99" i="1"/>
  <c r="M99" i="1"/>
  <c r="L99" i="1"/>
  <c r="K99" i="1"/>
  <c r="J99" i="1"/>
  <c r="H99" i="1"/>
  <c r="G99" i="1"/>
  <c r="F99" i="1"/>
  <c r="E99" i="1"/>
  <c r="D99" i="1"/>
  <c r="C99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T97" i="1"/>
  <c r="S97" i="1"/>
  <c r="R97" i="1"/>
  <c r="Q97" i="1"/>
  <c r="P97" i="1"/>
  <c r="O97" i="1"/>
  <c r="N97" i="1"/>
  <c r="M97" i="1"/>
  <c r="L97" i="1"/>
  <c r="K97" i="1"/>
  <c r="J97" i="1"/>
  <c r="H97" i="1"/>
  <c r="G97" i="1"/>
  <c r="F97" i="1"/>
  <c r="E97" i="1"/>
  <c r="D97" i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T96" i="1"/>
  <c r="S96" i="1"/>
  <c r="R96" i="1"/>
  <c r="Q96" i="1"/>
  <c r="P96" i="1"/>
  <c r="O96" i="1"/>
  <c r="N96" i="1"/>
  <c r="M96" i="1"/>
  <c r="L96" i="1"/>
  <c r="K96" i="1"/>
  <c r="J96" i="1"/>
  <c r="H96" i="1"/>
  <c r="G96" i="1"/>
  <c r="F96" i="1"/>
  <c r="E96" i="1"/>
  <c r="D96" i="1"/>
  <c r="C96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T92" i="1"/>
  <c r="S92" i="1"/>
  <c r="R92" i="1"/>
  <c r="Q92" i="1"/>
  <c r="P92" i="1"/>
  <c r="O92" i="1"/>
  <c r="N92" i="1"/>
  <c r="M92" i="1"/>
  <c r="L92" i="1"/>
  <c r="K92" i="1"/>
  <c r="J92" i="1"/>
  <c r="H92" i="1"/>
  <c r="G92" i="1"/>
  <c r="F92" i="1"/>
  <c r="E92" i="1"/>
  <c r="D92" i="1"/>
  <c r="AP92" i="1" s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T91" i="1"/>
  <c r="S91" i="1"/>
  <c r="R91" i="1"/>
  <c r="Q91" i="1"/>
  <c r="P91" i="1"/>
  <c r="O91" i="1"/>
  <c r="N91" i="1"/>
  <c r="M91" i="1"/>
  <c r="L91" i="1"/>
  <c r="K91" i="1"/>
  <c r="J91" i="1"/>
  <c r="H91" i="1"/>
  <c r="G91" i="1"/>
  <c r="F91" i="1"/>
  <c r="E91" i="1"/>
  <c r="D91" i="1"/>
  <c r="C91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T89" i="1"/>
  <c r="S89" i="1"/>
  <c r="R89" i="1"/>
  <c r="Q89" i="1"/>
  <c r="P89" i="1"/>
  <c r="O89" i="1"/>
  <c r="N89" i="1"/>
  <c r="M89" i="1"/>
  <c r="L89" i="1"/>
  <c r="K89" i="1"/>
  <c r="J89" i="1"/>
  <c r="H89" i="1"/>
  <c r="G89" i="1"/>
  <c r="F89" i="1"/>
  <c r="E89" i="1"/>
  <c r="D89" i="1"/>
  <c r="C89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T87" i="1"/>
  <c r="S87" i="1"/>
  <c r="R87" i="1"/>
  <c r="Q87" i="1"/>
  <c r="P87" i="1"/>
  <c r="O87" i="1"/>
  <c r="N87" i="1"/>
  <c r="M87" i="1"/>
  <c r="L87" i="1"/>
  <c r="K87" i="1"/>
  <c r="J87" i="1"/>
  <c r="H87" i="1"/>
  <c r="G87" i="1"/>
  <c r="F87" i="1"/>
  <c r="E87" i="1"/>
  <c r="D87" i="1"/>
  <c r="C87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T85" i="1"/>
  <c r="S85" i="1"/>
  <c r="R85" i="1"/>
  <c r="Q85" i="1"/>
  <c r="P85" i="1"/>
  <c r="O85" i="1"/>
  <c r="N85" i="1"/>
  <c r="M85" i="1"/>
  <c r="L85" i="1"/>
  <c r="K85" i="1"/>
  <c r="J85" i="1"/>
  <c r="H85" i="1"/>
  <c r="G85" i="1"/>
  <c r="F85" i="1"/>
  <c r="E85" i="1"/>
  <c r="D85" i="1"/>
  <c r="C85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T83" i="1"/>
  <c r="S83" i="1"/>
  <c r="R83" i="1"/>
  <c r="Q83" i="1"/>
  <c r="P83" i="1"/>
  <c r="O83" i="1"/>
  <c r="N83" i="1"/>
  <c r="M83" i="1"/>
  <c r="L83" i="1"/>
  <c r="K83" i="1"/>
  <c r="J83" i="1"/>
  <c r="H83" i="1"/>
  <c r="G83" i="1"/>
  <c r="F83" i="1"/>
  <c r="E83" i="1"/>
  <c r="D83" i="1"/>
  <c r="C83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T81" i="1"/>
  <c r="S81" i="1"/>
  <c r="R81" i="1"/>
  <c r="Q81" i="1"/>
  <c r="P81" i="1"/>
  <c r="O81" i="1"/>
  <c r="N81" i="1"/>
  <c r="M81" i="1"/>
  <c r="L81" i="1"/>
  <c r="K81" i="1"/>
  <c r="J81" i="1"/>
  <c r="H81" i="1"/>
  <c r="G81" i="1"/>
  <c r="F81" i="1"/>
  <c r="E81" i="1"/>
  <c r="D81" i="1"/>
  <c r="C81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T79" i="1"/>
  <c r="S79" i="1"/>
  <c r="R79" i="1"/>
  <c r="Q79" i="1"/>
  <c r="P79" i="1"/>
  <c r="O79" i="1"/>
  <c r="N79" i="1"/>
  <c r="M79" i="1"/>
  <c r="L79" i="1"/>
  <c r="K79" i="1"/>
  <c r="J79" i="1"/>
  <c r="H79" i="1"/>
  <c r="G79" i="1"/>
  <c r="F79" i="1"/>
  <c r="E79" i="1"/>
  <c r="D79" i="1"/>
  <c r="C79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T77" i="1"/>
  <c r="S77" i="1"/>
  <c r="R77" i="1"/>
  <c r="Q77" i="1"/>
  <c r="P77" i="1"/>
  <c r="O77" i="1"/>
  <c r="N77" i="1"/>
  <c r="M77" i="1"/>
  <c r="L77" i="1"/>
  <c r="K77" i="1"/>
  <c r="J77" i="1"/>
  <c r="H77" i="1"/>
  <c r="G77" i="1"/>
  <c r="F77" i="1"/>
  <c r="E77" i="1"/>
  <c r="D77" i="1"/>
  <c r="C77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T75" i="1"/>
  <c r="S75" i="1"/>
  <c r="R75" i="1"/>
  <c r="Q75" i="1"/>
  <c r="P75" i="1"/>
  <c r="O75" i="1"/>
  <c r="N75" i="1"/>
  <c r="M75" i="1"/>
  <c r="L75" i="1"/>
  <c r="K75" i="1"/>
  <c r="J75" i="1"/>
  <c r="H75" i="1"/>
  <c r="G75" i="1"/>
  <c r="F75" i="1"/>
  <c r="E75" i="1"/>
  <c r="D75" i="1"/>
  <c r="C75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T73" i="1"/>
  <c r="S73" i="1"/>
  <c r="R73" i="1"/>
  <c r="Q73" i="1"/>
  <c r="P73" i="1"/>
  <c r="O73" i="1"/>
  <c r="N73" i="1"/>
  <c r="M73" i="1"/>
  <c r="L73" i="1"/>
  <c r="K73" i="1"/>
  <c r="J73" i="1"/>
  <c r="H73" i="1"/>
  <c r="G73" i="1"/>
  <c r="F73" i="1"/>
  <c r="E73" i="1"/>
  <c r="D73" i="1"/>
  <c r="C73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T71" i="1"/>
  <c r="S71" i="1"/>
  <c r="R71" i="1"/>
  <c r="Q71" i="1"/>
  <c r="P71" i="1"/>
  <c r="O71" i="1"/>
  <c r="N71" i="1"/>
  <c r="M71" i="1"/>
  <c r="L71" i="1"/>
  <c r="K71" i="1"/>
  <c r="J71" i="1"/>
  <c r="H71" i="1"/>
  <c r="G71" i="1"/>
  <c r="F71" i="1"/>
  <c r="E71" i="1"/>
  <c r="D71" i="1"/>
  <c r="C71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T69" i="1"/>
  <c r="S69" i="1"/>
  <c r="R69" i="1"/>
  <c r="Q69" i="1"/>
  <c r="P69" i="1"/>
  <c r="O69" i="1"/>
  <c r="N69" i="1"/>
  <c r="M69" i="1"/>
  <c r="L69" i="1"/>
  <c r="K69" i="1"/>
  <c r="J69" i="1"/>
  <c r="H69" i="1"/>
  <c r="G69" i="1"/>
  <c r="F69" i="1"/>
  <c r="E69" i="1"/>
  <c r="D69" i="1"/>
  <c r="C69" i="1"/>
  <c r="AN67" i="1"/>
  <c r="AN93" i="1" s="1"/>
  <c r="AM67" i="1"/>
  <c r="AM93" i="1" s="1"/>
  <c r="AL67" i="1"/>
  <c r="AL93" i="1" s="1"/>
  <c r="AK67" i="1"/>
  <c r="AK93" i="1" s="1"/>
  <c r="AJ67" i="1"/>
  <c r="AJ93" i="1" s="1"/>
  <c r="AI67" i="1"/>
  <c r="AI93" i="1" s="1"/>
  <c r="AH67" i="1"/>
  <c r="AH93" i="1" s="1"/>
  <c r="AG67" i="1"/>
  <c r="AG93" i="1" s="1"/>
  <c r="AF67" i="1"/>
  <c r="AF93" i="1" s="1"/>
  <c r="AE67" i="1"/>
  <c r="AE93" i="1" s="1"/>
  <c r="AD67" i="1"/>
  <c r="AD93" i="1" s="1"/>
  <c r="AC67" i="1"/>
  <c r="AC93" i="1" s="1"/>
  <c r="AB67" i="1"/>
  <c r="AB93" i="1" s="1"/>
  <c r="AA67" i="1"/>
  <c r="AA93" i="1" s="1"/>
  <c r="Z67" i="1"/>
  <c r="Z93" i="1" s="1"/>
  <c r="Y67" i="1"/>
  <c r="Y93" i="1" s="1"/>
  <c r="X67" i="1"/>
  <c r="X93" i="1" s="1"/>
  <c r="W67" i="1"/>
  <c r="W93" i="1" s="1"/>
  <c r="V67" i="1"/>
  <c r="V93" i="1" s="1"/>
  <c r="T67" i="1"/>
  <c r="T93" i="1" s="1"/>
  <c r="S67" i="1"/>
  <c r="S93" i="1" s="1"/>
  <c r="R67" i="1"/>
  <c r="R93" i="1" s="1"/>
  <c r="Q67" i="1"/>
  <c r="Q93" i="1" s="1"/>
  <c r="P67" i="1"/>
  <c r="P93" i="1" s="1"/>
  <c r="O67" i="1"/>
  <c r="O93" i="1" s="1"/>
  <c r="N67" i="1"/>
  <c r="N93" i="1" s="1"/>
  <c r="M67" i="1"/>
  <c r="M93" i="1" s="1"/>
  <c r="L67" i="1"/>
  <c r="L93" i="1" s="1"/>
  <c r="K67" i="1"/>
  <c r="K93" i="1" s="1"/>
  <c r="J67" i="1"/>
  <c r="J93" i="1" s="1"/>
  <c r="H67" i="1"/>
  <c r="H93" i="1" s="1"/>
  <c r="G67" i="1"/>
  <c r="G93" i="1" s="1"/>
  <c r="F67" i="1"/>
  <c r="F93" i="1" s="1"/>
  <c r="E67" i="1"/>
  <c r="E93" i="1" s="1"/>
  <c r="D67" i="1"/>
  <c r="D93" i="1" s="1"/>
  <c r="AP93" i="1" s="1"/>
  <c r="C67" i="1"/>
  <c r="C93" i="1" s="1"/>
  <c r="AP32" i="1"/>
  <c r="AP31" i="1"/>
  <c r="S25" i="1"/>
  <c r="R25" i="1"/>
  <c r="Q25" i="1"/>
  <c r="S24" i="1"/>
  <c r="R24" i="1"/>
  <c r="Q24" i="1"/>
  <c r="S23" i="1"/>
  <c r="R23" i="1"/>
  <c r="Q23" i="1"/>
  <c r="S22" i="1"/>
  <c r="R22" i="1"/>
  <c r="Q22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T19" i="1"/>
  <c r="S19" i="1"/>
  <c r="R19" i="1"/>
  <c r="Q19" i="1"/>
  <c r="P19" i="1"/>
  <c r="O19" i="1"/>
  <c r="N19" i="1"/>
  <c r="M19" i="1"/>
  <c r="L19" i="1"/>
  <c r="K19" i="1"/>
  <c r="J19" i="1"/>
  <c r="H19" i="1"/>
  <c r="G19" i="1"/>
  <c r="F19" i="1"/>
  <c r="E19" i="1"/>
  <c r="D19" i="1"/>
  <c r="C19" i="1"/>
  <c r="S17" i="1"/>
  <c r="R17" i="1"/>
  <c r="Q17" i="1"/>
  <c r="C17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S15" i="1"/>
  <c r="R15" i="1"/>
  <c r="Q15" i="1"/>
  <c r="P15" i="1"/>
  <c r="O15" i="1"/>
  <c r="N15" i="1"/>
  <c r="M15" i="1"/>
  <c r="L15" i="1"/>
  <c r="K15" i="1"/>
  <c r="J15" i="1"/>
  <c r="H15" i="1"/>
  <c r="G15" i="1"/>
  <c r="F15" i="1"/>
  <c r="E15" i="1"/>
  <c r="D15" i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S14" i="1"/>
  <c r="R14" i="1"/>
  <c r="Q14" i="1"/>
  <c r="P14" i="1"/>
  <c r="O14" i="1"/>
  <c r="N14" i="1"/>
  <c r="M14" i="1"/>
  <c r="L14" i="1"/>
  <c r="K14" i="1"/>
  <c r="J14" i="1"/>
  <c r="H14" i="1"/>
  <c r="G14" i="1"/>
  <c r="F14" i="1"/>
  <c r="E14" i="1"/>
  <c r="D14" i="1"/>
  <c r="C14" i="1"/>
  <c r="AP8" i="1"/>
  <c r="AR32" i="1" s="1"/>
  <c r="I116" i="1" l="1"/>
  <c r="I117" i="1" s="1"/>
  <c r="I114" i="1"/>
  <c r="U116" i="1"/>
  <c r="U117" i="1" s="1"/>
  <c r="U114" i="1"/>
  <c r="AR93" i="1"/>
  <c r="C98" i="1"/>
  <c r="D98" i="1"/>
  <c r="E98" i="1"/>
  <c r="F98" i="1"/>
  <c r="G98" i="1"/>
  <c r="H98" i="1"/>
  <c r="J98" i="1"/>
  <c r="K98" i="1"/>
  <c r="L98" i="1"/>
  <c r="M98" i="1"/>
  <c r="N98" i="1"/>
  <c r="O98" i="1"/>
  <c r="P98" i="1"/>
  <c r="Q98" i="1"/>
  <c r="R98" i="1"/>
  <c r="S98" i="1"/>
  <c r="T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C101" i="1"/>
  <c r="D101" i="1"/>
  <c r="E101" i="1"/>
  <c r="F101" i="1"/>
  <c r="G101" i="1"/>
  <c r="H101" i="1"/>
  <c r="J101" i="1"/>
  <c r="K101" i="1"/>
  <c r="L101" i="1"/>
  <c r="M101" i="1"/>
  <c r="N101" i="1"/>
  <c r="O101" i="1"/>
  <c r="P101" i="1"/>
  <c r="Q101" i="1"/>
  <c r="R101" i="1"/>
  <c r="S101" i="1"/>
  <c r="T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C104" i="1"/>
  <c r="D104" i="1"/>
  <c r="E104" i="1"/>
  <c r="F104" i="1"/>
  <c r="G104" i="1"/>
  <c r="H104" i="1"/>
  <c r="J104" i="1"/>
  <c r="K104" i="1"/>
  <c r="L104" i="1"/>
  <c r="M104" i="1"/>
  <c r="N104" i="1"/>
  <c r="O104" i="1"/>
  <c r="P104" i="1"/>
  <c r="Q104" i="1"/>
  <c r="R104" i="1"/>
  <c r="S104" i="1"/>
  <c r="T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C107" i="1"/>
  <c r="D107" i="1"/>
  <c r="E107" i="1"/>
  <c r="F107" i="1"/>
  <c r="G107" i="1"/>
  <c r="H107" i="1"/>
  <c r="J107" i="1"/>
  <c r="K107" i="1"/>
  <c r="L107" i="1"/>
  <c r="M107" i="1"/>
  <c r="N107" i="1"/>
  <c r="O107" i="1"/>
  <c r="P107" i="1"/>
  <c r="Q107" i="1"/>
  <c r="R107" i="1"/>
  <c r="S107" i="1"/>
  <c r="T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C110" i="1"/>
  <c r="D110" i="1"/>
  <c r="E110" i="1"/>
  <c r="F110" i="1"/>
  <c r="G110" i="1"/>
  <c r="H110" i="1"/>
  <c r="J110" i="1"/>
  <c r="K110" i="1"/>
  <c r="L110" i="1"/>
  <c r="M110" i="1"/>
  <c r="N110" i="1"/>
  <c r="O110" i="1"/>
  <c r="P110" i="1"/>
  <c r="Q110" i="1"/>
  <c r="R110" i="1"/>
  <c r="S110" i="1"/>
  <c r="T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C116" i="1"/>
  <c r="C117" i="1" s="1"/>
  <c r="C114" i="1"/>
  <c r="D116" i="1"/>
  <c r="D117" i="1" s="1"/>
  <c r="D114" i="1"/>
  <c r="E116" i="1"/>
  <c r="E117" i="1" s="1"/>
  <c r="E114" i="1"/>
  <c r="F116" i="1"/>
  <c r="F117" i="1" s="1"/>
  <c r="F114" i="1"/>
  <c r="G116" i="1"/>
  <c r="G117" i="1" s="1"/>
  <c r="G114" i="1"/>
  <c r="H116" i="1"/>
  <c r="H117" i="1" s="1"/>
  <c r="H114" i="1"/>
  <c r="J116" i="1"/>
  <c r="J117" i="1" s="1"/>
  <c r="J114" i="1"/>
  <c r="K116" i="1"/>
  <c r="K117" i="1" s="1"/>
  <c r="K114" i="1"/>
  <c r="L116" i="1"/>
  <c r="L117" i="1" s="1"/>
  <c r="L114" i="1"/>
  <c r="M116" i="1"/>
  <c r="M117" i="1" s="1"/>
  <c r="M114" i="1"/>
  <c r="N116" i="1"/>
  <c r="N117" i="1" s="1"/>
  <c r="N114" i="1"/>
  <c r="O116" i="1"/>
  <c r="O117" i="1" s="1"/>
  <c r="O114" i="1"/>
  <c r="P116" i="1"/>
  <c r="P117" i="1" s="1"/>
  <c r="P114" i="1"/>
  <c r="Q116" i="1"/>
  <c r="Q117" i="1" s="1"/>
  <c r="Q114" i="1"/>
  <c r="R116" i="1"/>
  <c r="R117" i="1" s="1"/>
  <c r="R114" i="1"/>
  <c r="S116" i="1"/>
  <c r="S117" i="1" s="1"/>
  <c r="S114" i="1"/>
  <c r="T113" i="1"/>
  <c r="V116" i="1"/>
  <c r="V117" i="1" s="1"/>
  <c r="V114" i="1"/>
  <c r="W116" i="1"/>
  <c r="W117" i="1" s="1"/>
  <c r="W114" i="1"/>
  <c r="X116" i="1"/>
  <c r="X117" i="1" s="1"/>
  <c r="X114" i="1"/>
  <c r="Y116" i="1"/>
  <c r="Y117" i="1" s="1"/>
  <c r="Y114" i="1"/>
  <c r="Z116" i="1"/>
  <c r="Z117" i="1" s="1"/>
  <c r="Z114" i="1"/>
  <c r="AA116" i="1"/>
  <c r="AA117" i="1" s="1"/>
  <c r="AA114" i="1"/>
  <c r="AB116" i="1"/>
  <c r="AB117" i="1" s="1"/>
  <c r="AB114" i="1"/>
  <c r="AC116" i="1"/>
  <c r="AC117" i="1" s="1"/>
  <c r="AC114" i="1"/>
  <c r="AD116" i="1"/>
  <c r="AD117" i="1" s="1"/>
  <c r="AD114" i="1"/>
  <c r="AE113" i="1"/>
  <c r="AF116" i="1"/>
  <c r="AF117" i="1" s="1"/>
  <c r="AF114" i="1"/>
  <c r="AG116" i="1"/>
  <c r="AG117" i="1" s="1"/>
  <c r="AG114" i="1"/>
  <c r="AH116" i="1"/>
  <c r="AH117" i="1" s="1"/>
  <c r="AH114" i="1"/>
  <c r="AI116" i="1"/>
  <c r="AI117" i="1" s="1"/>
  <c r="AI114" i="1"/>
  <c r="AJ116" i="1"/>
  <c r="AJ117" i="1" s="1"/>
  <c r="AJ114" i="1"/>
  <c r="AK116" i="1"/>
  <c r="AK117" i="1" s="1"/>
  <c r="AK114" i="1"/>
  <c r="AL116" i="1"/>
  <c r="AL117" i="1" s="1"/>
  <c r="AL114" i="1"/>
  <c r="AM116" i="1"/>
  <c r="AM117" i="1" s="1"/>
  <c r="AM114" i="1"/>
  <c r="AN116" i="1"/>
  <c r="AN117" i="1" s="1"/>
  <c r="AN114" i="1"/>
  <c r="C54" i="2"/>
  <c r="D54" i="2"/>
  <c r="E54" i="2"/>
  <c r="F54" i="2"/>
  <c r="G54" i="2"/>
  <c r="H54" i="2"/>
  <c r="J54" i="2"/>
  <c r="K54" i="2"/>
  <c r="L54" i="2"/>
  <c r="M54" i="2"/>
  <c r="N54" i="2"/>
  <c r="O54" i="2"/>
  <c r="P54" i="2"/>
  <c r="Q54" i="2"/>
  <c r="R54" i="2"/>
  <c r="S54" i="2"/>
  <c r="T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C57" i="2"/>
  <c r="D57" i="2"/>
  <c r="E57" i="2"/>
  <c r="F57" i="2"/>
  <c r="G57" i="2"/>
  <c r="H57" i="2"/>
  <c r="J57" i="2"/>
  <c r="K57" i="2"/>
  <c r="L57" i="2"/>
  <c r="M57" i="2"/>
  <c r="N57" i="2"/>
  <c r="O57" i="2"/>
  <c r="P57" i="2"/>
  <c r="Q57" i="2"/>
  <c r="R57" i="2"/>
  <c r="S57" i="2"/>
  <c r="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C60" i="2"/>
  <c r="D60" i="2"/>
  <c r="E60" i="2"/>
  <c r="F60" i="2"/>
  <c r="G60" i="2"/>
  <c r="H60" i="2"/>
  <c r="J60" i="2"/>
  <c r="K60" i="2"/>
  <c r="L60" i="2"/>
  <c r="M60" i="2"/>
  <c r="N60" i="2"/>
  <c r="O60" i="2"/>
  <c r="P60" i="2"/>
  <c r="Q60" i="2"/>
  <c r="R60" i="2"/>
  <c r="S60" i="2"/>
  <c r="T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C63" i="2"/>
  <c r="D63" i="2"/>
  <c r="E63" i="2"/>
  <c r="F63" i="2"/>
  <c r="G63" i="2"/>
  <c r="H63" i="2"/>
  <c r="J63" i="2"/>
  <c r="K63" i="2"/>
  <c r="L63" i="2"/>
  <c r="M63" i="2"/>
  <c r="N63" i="2"/>
  <c r="O63" i="2"/>
  <c r="P63" i="2"/>
  <c r="Q63" i="2"/>
  <c r="R63" i="2"/>
  <c r="S63" i="2"/>
  <c r="T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C66" i="2"/>
  <c r="D66" i="2"/>
  <c r="E66" i="2"/>
  <c r="F66" i="2"/>
  <c r="G66" i="2"/>
  <c r="H66" i="2"/>
  <c r="J66" i="2"/>
  <c r="K66" i="2"/>
  <c r="L66" i="2"/>
  <c r="M66" i="2"/>
  <c r="N66" i="2"/>
  <c r="O66" i="2"/>
  <c r="P66" i="2"/>
  <c r="Q66" i="2"/>
  <c r="R66" i="2"/>
  <c r="S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C69" i="2"/>
  <c r="D69" i="2"/>
  <c r="E69" i="2"/>
  <c r="F69" i="2"/>
  <c r="G69" i="2"/>
  <c r="H69" i="2"/>
  <c r="J69" i="2"/>
  <c r="K69" i="2"/>
  <c r="L69" i="2"/>
  <c r="M69" i="2"/>
  <c r="N69" i="2"/>
  <c r="O69" i="2"/>
  <c r="P69" i="2"/>
  <c r="Q69" i="2"/>
  <c r="R69" i="2"/>
  <c r="S69" i="2"/>
  <c r="T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E114" i="1" l="1"/>
  <c r="AE116" i="1"/>
  <c r="AE117" i="1" s="1"/>
  <c r="T114" i="1"/>
  <c r="T116" i="1"/>
  <c r="T117" i="1" s="1"/>
</calcChain>
</file>

<file path=xl/sharedStrings.xml><?xml version="1.0" encoding="utf-8"?>
<sst xmlns="http://schemas.openxmlformats.org/spreadsheetml/2006/main" count="528" uniqueCount="226">
  <si>
    <t>Country</t>
  </si>
  <si>
    <t>Bangladesh</t>
  </si>
  <si>
    <t>Cambodia</t>
  </si>
  <si>
    <t>Dominican Republic</t>
  </si>
  <si>
    <t>DRC</t>
  </si>
  <si>
    <t>Egypt</t>
  </si>
  <si>
    <t>Ethiopia</t>
  </si>
  <si>
    <t>Ghana</t>
  </si>
  <si>
    <t>India</t>
  </si>
  <si>
    <t>Indonesia</t>
  </si>
  <si>
    <t>Kenya</t>
  </si>
  <si>
    <t>Lebanon</t>
  </si>
  <si>
    <t>Malaysia</t>
  </si>
  <si>
    <t>Nigeria</t>
  </si>
  <si>
    <t>Pakistan</t>
  </si>
  <si>
    <t>Philippines</t>
  </si>
  <si>
    <t>Senegal</t>
  </si>
  <si>
    <t>Tanzania</t>
  </si>
  <si>
    <t>Thailand</t>
  </si>
  <si>
    <t>Tunisia</t>
  </si>
  <si>
    <t>Uganda</t>
  </si>
  <si>
    <t>Vietnam</t>
  </si>
  <si>
    <t>Zimbabwe</t>
  </si>
  <si>
    <t>AVERAGE</t>
  </si>
  <si>
    <t>City</t>
  </si>
  <si>
    <t>Khulna</t>
  </si>
  <si>
    <t>Kep</t>
  </si>
  <si>
    <t>Sihanoukville</t>
  </si>
  <si>
    <t>Santo Domingo</t>
  </si>
  <si>
    <t>Bukavu</t>
  </si>
  <si>
    <t>Alexandria</t>
  </si>
  <si>
    <t>Dakahlia</t>
  </si>
  <si>
    <t>Addis Ababa</t>
  </si>
  <si>
    <t>Bahir Dar</t>
  </si>
  <si>
    <t>Cape Coast</t>
  </si>
  <si>
    <t>Mangalore</t>
  </si>
  <si>
    <t>Thiruvananthapuram</t>
  </si>
  <si>
    <t>Bogor</t>
  </si>
  <si>
    <t>Depok</t>
  </si>
  <si>
    <t>Kiambu</t>
  </si>
  <si>
    <t>Mombasa</t>
  </si>
  <si>
    <t>Nairobi</t>
  </si>
  <si>
    <t>Taita Taveta</t>
  </si>
  <si>
    <t>Tyre</t>
  </si>
  <si>
    <t>Seremban</t>
  </si>
  <si>
    <t>Lagos</t>
  </si>
  <si>
    <t>Karachi</t>
  </si>
  <si>
    <t>Cagayan de Oro</t>
  </si>
  <si>
    <t>Legazpi</t>
  </si>
  <si>
    <t>Ormoc</t>
  </si>
  <si>
    <t>Dakar</t>
  </si>
  <si>
    <t>Dar es Salaam</t>
  </si>
  <si>
    <t>Chonburi</t>
  </si>
  <si>
    <t>Hatyai</t>
  </si>
  <si>
    <t>Samui</t>
  </si>
  <si>
    <t>Songkhla</t>
  </si>
  <si>
    <t>Surat Thani</t>
  </si>
  <si>
    <t>Sousse</t>
  </si>
  <si>
    <t>GMA Kampala</t>
  </si>
  <si>
    <t>Hoi An</t>
  </si>
  <si>
    <t>Hue</t>
  </si>
  <si>
    <t>Tam Ky</t>
  </si>
  <si>
    <t>Harare</t>
  </si>
  <si>
    <t>comments</t>
  </si>
  <si>
    <t>highest kitchen waste in high income areas
tumba landfill has improved loc</t>
  </si>
  <si>
    <t>very high % of garden waste (46% for low income), textiles &amp; shoes, others</t>
  </si>
  <si>
    <t>very high share of kitchen waste at HHs and disposal</t>
  </si>
  <si>
    <t>very high share of kitchen waste at HHs and disposal (kitchen &amp; others)</t>
  </si>
  <si>
    <t>HHs other waste 20%</t>
  </si>
  <si>
    <t>high share of plastic film (16%) and special waste (11.6%) at HHs</t>
  </si>
  <si>
    <t>high textile &amp; shoes share (14%)</t>
  </si>
  <si>
    <t>high share of paper/cardboard at disposal (23%)</t>
  </si>
  <si>
    <t>high share of other at HH (23%) and disposal (35%)</t>
  </si>
  <si>
    <t>high plastic film at HHs (21%) and disposal (22%)</t>
  </si>
  <si>
    <t>high share of plastic film at disposal (25%)</t>
  </si>
  <si>
    <t>full LOC</t>
  </si>
  <si>
    <t>limited LOC</t>
  </si>
  <si>
    <t>high share of other type of waste at disposal (47%)</t>
  </si>
  <si>
    <t>high share of plastic film at disposal (16%)
HH vs nonHH waste</t>
  </si>
  <si>
    <t>is 93% recovered (incineration with energy recovery) since 62% of waste is food waste?
HH vs nonHH waste</t>
  </si>
  <si>
    <t>high share of paper (14%) at disposal 
HH vs nonHH waste</t>
  </si>
  <si>
    <t>HH vs nonHH waste</t>
  </si>
  <si>
    <t>very high share of plstic film (31%) and textiles (26%) at disposal</t>
  </si>
  <si>
    <t>HH vs nonHH waste generation</t>
  </si>
  <si>
    <t>high glass share at HHs (14%); low food waste (16%)</t>
  </si>
  <si>
    <t>Settlement type</t>
  </si>
  <si>
    <t>urban</t>
  </si>
  <si>
    <t>semi-urban, coastal</t>
  </si>
  <si>
    <t>urban, coastal</t>
  </si>
  <si>
    <t>semi-urban</t>
  </si>
  <si>
    <t>Population</t>
  </si>
  <si>
    <t>KEY PARAMETERS</t>
  </si>
  <si>
    <t>MSW generated (t/d)</t>
  </si>
  <si>
    <t>MSW generation rate (kg/cap/day)</t>
  </si>
  <si>
    <t>MSW from HHs (t/d)</t>
  </si>
  <si>
    <t>MSW from non-HHs (t/d)</t>
  </si>
  <si>
    <t>HH food generation rate (kg/cap/day)</t>
  </si>
  <si>
    <t>% of MSW Collected</t>
  </si>
  <si>
    <t xml:space="preserve">% of MSW received by disposal facilities </t>
  </si>
  <si>
    <t xml:space="preserve">% of MSW disposed in controlled disposal facilities </t>
  </si>
  <si>
    <t>% of MSW collected &amp; managed in controlled facilities (SDG 11.6.1)</t>
  </si>
  <si>
    <t>Plastic waste generation from MSW (tonnes/day)</t>
  </si>
  <si>
    <t>Plastic waste generation from MSW (tonnes/year)</t>
  </si>
  <si>
    <t>Plastic waste generation from MSW (kg/cap/year)</t>
  </si>
  <si>
    <t>add explanation</t>
  </si>
  <si>
    <t>Unmanaged plastic (% of plastic waste generation)</t>
  </si>
  <si>
    <t>Plastic Leakage to water systems (kg/cap/year)</t>
  </si>
  <si>
    <t>Plastic Leakage to water systems (% of generated plastic)</t>
  </si>
  <si>
    <t>Plastic Leakage to drains (% of generated plastic)</t>
  </si>
  <si>
    <t>Plastic Leakage to land (% of generated plastic)</t>
  </si>
  <si>
    <t>Plastic Leakage - openly burnt (% of generated plastic)</t>
  </si>
  <si>
    <t>COMPOSITION</t>
  </si>
  <si>
    <t>MSW composition at HHs</t>
  </si>
  <si>
    <t>Kitchen/canteen (%)</t>
  </si>
  <si>
    <t>Garden/park (%)</t>
  </si>
  <si>
    <t>Paper/cardboard (%)</t>
  </si>
  <si>
    <t>Plastic film (%)</t>
  </si>
  <si>
    <t>Average plastic generated (t/d)</t>
  </si>
  <si>
    <t>Plastics dense (%)</t>
  </si>
  <si>
    <t>Metals (%)</t>
  </si>
  <si>
    <t>Glass (%)</t>
  </si>
  <si>
    <t>Textiles/shoes (%)</t>
  </si>
  <si>
    <t>Wood (processed) (%)</t>
  </si>
  <si>
    <t>Special wastes (%)</t>
  </si>
  <si>
    <t>Composite products (%)</t>
  </si>
  <si>
    <t>Other (%)</t>
  </si>
  <si>
    <t>MSW Composition at disposal</t>
  </si>
  <si>
    <t>WFD MSW composition</t>
  </si>
  <si>
    <t>Paper</t>
  </si>
  <si>
    <t>Plastics</t>
  </si>
  <si>
    <t>Glass</t>
  </si>
  <si>
    <t>Metals</t>
  </si>
  <si>
    <t>Other</t>
  </si>
  <si>
    <t>Organic</t>
  </si>
  <si>
    <t>RECOVERY</t>
  </si>
  <si>
    <t>recycling rate (recovered minus WtE)</t>
  </si>
  <si>
    <t>city recovery rate</t>
  </si>
  <si>
    <t>total recovered materials (t/d) with rejects</t>
  </si>
  <si>
    <t>Plastic PET (t/d)</t>
  </si>
  <si>
    <t>Plastic PET (%)</t>
  </si>
  <si>
    <t>Plastic HDPE (t/d)</t>
  </si>
  <si>
    <t>Plastic HDPE (%)</t>
  </si>
  <si>
    <t>Plastic PP (t/d)</t>
  </si>
  <si>
    <t>Plastic PP (%)</t>
  </si>
  <si>
    <t>Plastic PVC (t/d)</t>
  </si>
  <si>
    <t>Plastic PVC (%)</t>
  </si>
  <si>
    <t>Plastic LDPE &amp; Films (t/d)</t>
  </si>
  <si>
    <t>Plastic LDPE &amp; Films (%)</t>
  </si>
  <si>
    <t>Plastic EPS/Styrofoam (t/d)</t>
  </si>
  <si>
    <t>Plastic EPS/Styrofoam (%)</t>
  </si>
  <si>
    <t>Other / mixed plastics (t/d)</t>
  </si>
  <si>
    <t>Other / mixed plastics (%)</t>
  </si>
  <si>
    <t>Paper or Cardboard (t/d)</t>
  </si>
  <si>
    <t>Paper or Cardboard (%)</t>
  </si>
  <si>
    <t>Glass (t/d)</t>
  </si>
  <si>
    <t>Metal (t/d)</t>
  </si>
  <si>
    <t>Metal (%)</t>
  </si>
  <si>
    <t>Organic waste (t/d)</t>
  </si>
  <si>
    <t>Organic waste (%)</t>
  </si>
  <si>
    <t>Mixed waste (t/d)</t>
  </si>
  <si>
    <t>Mixed waste (%)</t>
  </si>
  <si>
    <t>Other waste (t/d)</t>
  </si>
  <si>
    <t>Other waste (%)</t>
  </si>
  <si>
    <t>Total Plastic recovered (t/d)</t>
  </si>
  <si>
    <t>Average plastic recycling rate</t>
  </si>
  <si>
    <t>Total Plastic recovered (%)</t>
  </si>
  <si>
    <t>Potential of recoverable material vs how much is recovered (WFD composition)</t>
  </si>
  <si>
    <t>Amount of recovered materials from the total potential of recovery by materials</t>
  </si>
  <si>
    <t>Organic waste recoverable (generated- rejects) (t/d)</t>
  </si>
  <si>
    <t>Organic waste recovered (t/d)</t>
  </si>
  <si>
    <t>% recovered out of recoverable organic waste</t>
  </si>
  <si>
    <t>Paper/cardboard recoverable (generated- rejects) (t/d)</t>
  </si>
  <si>
    <t>Paper/cardboard recovered (t/d)</t>
  </si>
  <si>
    <t>% recovered out of recoverable paper/cardboard</t>
  </si>
  <si>
    <t>Plastic recoverable (generated- rejects) (t/d)</t>
  </si>
  <si>
    <t>Plastic recovered (t/d)</t>
  </si>
  <si>
    <t xml:space="preserve">% recovered out of recoverable plastic </t>
  </si>
  <si>
    <t>Metal recoverable (generated- rejects) (t/d)</t>
  </si>
  <si>
    <t>Metal recovered (t/d)</t>
  </si>
  <si>
    <t>% recovered out of recoverable metal</t>
  </si>
  <si>
    <t>Glass recoverable (generated- rejects) (t/d)</t>
  </si>
  <si>
    <t>Glass recovered (t/d)</t>
  </si>
  <si>
    <t>% recovered out of recoverable glass</t>
  </si>
  <si>
    <t>recovered minus rejects  (t/d)</t>
  </si>
  <si>
    <t>Recovered in controlled way (t/d)</t>
  </si>
  <si>
    <t>Recovered in controlled way (%)</t>
  </si>
  <si>
    <t>most recovered in controlled</t>
  </si>
  <si>
    <t>organic waste</t>
  </si>
  <si>
    <t>paper or cardboard</t>
  </si>
  <si>
    <t>glass</t>
  </si>
  <si>
    <t>plastic PP</t>
  </si>
  <si>
    <t>metal</t>
  </si>
  <si>
    <t>mixed waste</t>
  </si>
  <si>
    <t>plastic PET</t>
  </si>
  <si>
    <t>Recovered in not controlled way (t/d)</t>
  </si>
  <si>
    <t>Recovered in not controlled way (%)</t>
  </si>
  <si>
    <t>most recovered not in controlled</t>
  </si>
  <si>
    <t>Metal</t>
  </si>
  <si>
    <t>other / mixed plastics</t>
  </si>
  <si>
    <t>share of informality in the recovery chain</t>
  </si>
  <si>
    <t>No of waste pickers at disposal</t>
  </si>
  <si>
    <t>WFD recovery</t>
  </si>
  <si>
    <t>-</t>
  </si>
  <si>
    <t>formal</t>
  </si>
  <si>
    <t>informal</t>
  </si>
  <si>
    <t>PLASTIC LEAKAGE</t>
  </si>
  <si>
    <t>Unmanaged plastic waste (tonnes/year)</t>
  </si>
  <si>
    <t>Unmanaged plastic waste (% of plastic waste generated)</t>
  </si>
  <si>
    <t>Contribution from uncollected waste (% of unmanaged  plastics)</t>
  </si>
  <si>
    <t>Contribution from collection service (% of unmanaged  plastics)</t>
  </si>
  <si>
    <t>Contribution from informal value-chain collection (% of unmanaged  plastics)</t>
  </si>
  <si>
    <t>Contribution from formal sorting (% of unmanaged  plastics)</t>
  </si>
  <si>
    <t>Contribution from informal sorting (% of unmanaged  plastics)</t>
  </si>
  <si>
    <t>Contribution from transportation (% of unmanaged  plastics)</t>
  </si>
  <si>
    <t>Contribution from disposal facilities (% of unmanaged  plastics)</t>
  </si>
  <si>
    <t>Year of WaCT Implementation</t>
  </si>
  <si>
    <t>Collection coverage (%)</t>
  </si>
  <si>
    <t>Plastic film</t>
  </si>
  <si>
    <t>Plastic dense</t>
  </si>
  <si>
    <t>total recovered materials (t/d)</t>
  </si>
  <si>
    <t>Plastic film recoverable (generated- rejects) (t/d)</t>
  </si>
  <si>
    <t>Plastic film recovered (t/d)</t>
  </si>
  <si>
    <t>% recovered out of recoverable plastic film</t>
  </si>
  <si>
    <t>Plastic dense recoverable (generated- rejects) (t/d)</t>
  </si>
  <si>
    <t>Plastic dense recovered (t/d)</t>
  </si>
  <si>
    <t>% recovered out of recoverable plastic 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</si>
</sst>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%"/>
    <numFmt numFmtId="166" formatCode="0.0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/>
    <xf numFmtId="164" fontId="4" fillId="0" borderId="0" xfId="0" applyNumberFormat="1" applyFont="1"/>
    <xf numFmtId="3" fontId="1" fillId="0" borderId="0" xfId="0" applyNumberFormat="1" applyFont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164" fontId="4" fillId="3" borderId="1" xfId="0" applyNumberFormat="1" applyFont="1" applyFill="1" applyBorder="1" applyAlignment="1">
      <alignment wrapText="1"/>
    </xf>
    <xf numFmtId="4" fontId="4" fillId="0" borderId="0" xfId="0" applyNumberFormat="1" applyFont="1" applyAlignment="1">
      <alignment wrapText="1"/>
    </xf>
    <xf numFmtId="4" fontId="1" fillId="0" borderId="0" xfId="0" applyNumberFormat="1" applyFont="1"/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0" fontId="3" fillId="0" borderId="0" xfId="0" applyNumberFormat="1" applyFont="1"/>
    <xf numFmtId="10" fontId="4" fillId="0" borderId="0" xfId="0" applyNumberFormat="1" applyFont="1" applyAlignment="1">
      <alignment wrapText="1"/>
    </xf>
    <xf numFmtId="10" fontId="1" fillId="0" borderId="0" xfId="0" applyNumberFormat="1" applyFont="1"/>
    <xf numFmtId="9" fontId="4" fillId="0" borderId="0" xfId="0" applyNumberFormat="1" applyFont="1" applyAlignment="1">
      <alignment wrapText="1"/>
    </xf>
    <xf numFmtId="4" fontId="4" fillId="3" borderId="1" xfId="0" applyNumberFormat="1" applyFont="1" applyFill="1" applyBorder="1" applyAlignment="1">
      <alignment wrapText="1"/>
    </xf>
    <xf numFmtId="4" fontId="5" fillId="3" borderId="1" xfId="0" applyNumberFormat="1" applyFont="1" applyFill="1" applyBorder="1" applyAlignment="1">
      <alignment wrapText="1"/>
    </xf>
    <xf numFmtId="3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/>
    <xf numFmtId="9" fontId="1" fillId="0" borderId="0" xfId="0" applyNumberFormat="1" applyFont="1"/>
    <xf numFmtId="10" fontId="4" fillId="4" borderId="0" xfId="0" applyNumberFormat="1" applyFont="1" applyFill="1" applyAlignment="1">
      <alignment wrapText="1"/>
    </xf>
    <xf numFmtId="10" fontId="6" fillId="0" borderId="0" xfId="0" applyNumberFormat="1" applyFont="1" applyAlignment="1">
      <alignment horizontal="right"/>
    </xf>
    <xf numFmtId="0" fontId="4" fillId="3" borderId="1" xfId="0" applyFont="1" applyFill="1" applyBorder="1"/>
    <xf numFmtId="0" fontId="5" fillId="3" borderId="1" xfId="0" applyFont="1" applyFill="1" applyBorder="1"/>
    <xf numFmtId="9" fontId="5" fillId="0" borderId="0" xfId="0" applyNumberFormat="1" applyFont="1"/>
    <xf numFmtId="9" fontId="3" fillId="0" borderId="0" xfId="0" applyNumberFormat="1" applyFont="1"/>
    <xf numFmtId="165" fontId="4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166" fontId="4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10" fontId="4" fillId="6" borderId="0" xfId="0" applyNumberFormat="1" applyFont="1" applyFill="1" applyAlignment="1">
      <alignment wrapText="1"/>
    </xf>
    <xf numFmtId="10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9" fontId="5" fillId="0" borderId="1" xfId="0" applyNumberFormat="1" applyFont="1" applyBorder="1"/>
    <xf numFmtId="9" fontId="5" fillId="7" borderId="1" xfId="0" applyNumberFormat="1" applyFont="1" applyFill="1" applyBorder="1"/>
    <xf numFmtId="9" fontId="5" fillId="7" borderId="0" xfId="0" applyNumberFormat="1" applyFont="1" applyFill="1"/>
    <xf numFmtId="0" fontId="7" fillId="0" borderId="0" xfId="0" applyFont="1"/>
    <xf numFmtId="1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34"/>
  <sheetViews>
    <sheetView tabSelected="1" workbookViewId="0">
      <pane xSplit="2" ySplit="3" topLeftCell="T144" activePane="bottomRight" state="frozen"/>
      <selection pane="bottomRight" activeCell="AN153" sqref="AN153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1" width="4.140625" customWidth="1"/>
    <col min="2" max="2" width="30" customWidth="1"/>
    <col min="3" max="40" width="12.5703125" customWidth="1"/>
    <col min="41" max="50" width="8.7109375" customWidth="1"/>
  </cols>
  <sheetData>
    <row r="1" spans="1:50" ht="14.25" customHeight="1"/>
    <row r="2" spans="1:50" ht="30.75" customHeight="1">
      <c r="B2" s="1" t="s">
        <v>0</v>
      </c>
      <c r="C2" s="2" t="s">
        <v>1</v>
      </c>
      <c r="D2" s="3" t="s">
        <v>2</v>
      </c>
      <c r="E2" s="3" t="s">
        <v>2</v>
      </c>
      <c r="F2" s="4" t="s">
        <v>3</v>
      </c>
      <c r="G2" s="3" t="s">
        <v>4</v>
      </c>
      <c r="H2" s="3" t="s">
        <v>5</v>
      </c>
      <c r="I2" s="3" t="s">
        <v>5</v>
      </c>
      <c r="J2" s="3" t="s">
        <v>6</v>
      </c>
      <c r="K2" s="3" t="s">
        <v>6</v>
      </c>
      <c r="L2" s="3" t="s">
        <v>7</v>
      </c>
      <c r="M2" s="3" t="s">
        <v>8</v>
      </c>
      <c r="N2" s="3" t="s">
        <v>8</v>
      </c>
      <c r="O2" s="3" t="s">
        <v>9</v>
      </c>
      <c r="P2" s="3" t="s">
        <v>9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15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18</v>
      </c>
      <c r="AF2" s="2" t="s">
        <v>18</v>
      </c>
      <c r="AG2" s="2" t="s">
        <v>18</v>
      </c>
      <c r="AH2" s="2" t="s">
        <v>18</v>
      </c>
      <c r="AI2" s="2" t="s">
        <v>19</v>
      </c>
      <c r="AJ2" s="3" t="s">
        <v>20</v>
      </c>
      <c r="AK2" s="2" t="s">
        <v>21</v>
      </c>
      <c r="AL2" s="2" t="s">
        <v>21</v>
      </c>
      <c r="AM2" s="2" t="s">
        <v>21</v>
      </c>
      <c r="AN2" s="2" t="s">
        <v>22</v>
      </c>
      <c r="AP2" s="5" t="s">
        <v>23</v>
      </c>
    </row>
    <row r="3" spans="1:50" ht="14.25" customHeight="1">
      <c r="A3" s="6"/>
      <c r="B3" s="6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  <c r="T3" s="7" t="s">
        <v>42</v>
      </c>
      <c r="U3" s="7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  <c r="AF3" s="7" t="s">
        <v>54</v>
      </c>
      <c r="AG3" s="7" t="s">
        <v>55</v>
      </c>
      <c r="AH3" s="7" t="s">
        <v>56</v>
      </c>
      <c r="AI3" s="7" t="s">
        <v>57</v>
      </c>
      <c r="AJ3" s="7" t="s">
        <v>58</v>
      </c>
      <c r="AK3" s="7" t="s">
        <v>59</v>
      </c>
      <c r="AL3" s="7" t="s">
        <v>60</v>
      </c>
      <c r="AM3" s="7" t="s">
        <v>61</v>
      </c>
      <c r="AN3" s="7" t="s">
        <v>62</v>
      </c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ht="29.25" customHeight="1">
      <c r="A4" s="8"/>
      <c r="B4" s="9" t="s">
        <v>63</v>
      </c>
      <c r="C4" s="8"/>
      <c r="D4" s="8"/>
      <c r="E4" s="8"/>
      <c r="F4" s="8" t="s">
        <v>64</v>
      </c>
      <c r="G4" s="8" t="s">
        <v>65</v>
      </c>
      <c r="H4" s="8" t="s">
        <v>66</v>
      </c>
      <c r="I4" s="8"/>
      <c r="J4" s="8" t="s">
        <v>67</v>
      </c>
      <c r="K4" s="8" t="s">
        <v>68</v>
      </c>
      <c r="L4" s="8" t="s">
        <v>69</v>
      </c>
      <c r="M4" s="8"/>
      <c r="N4" s="8" t="s">
        <v>70</v>
      </c>
      <c r="O4" s="8"/>
      <c r="P4" s="8" t="s">
        <v>71</v>
      </c>
      <c r="Q4" s="8"/>
      <c r="R4" s="8"/>
      <c r="S4" s="8"/>
      <c r="T4" s="8" t="s">
        <v>72</v>
      </c>
      <c r="U4" s="8"/>
      <c r="V4" s="8"/>
      <c r="W4" s="8" t="s">
        <v>73</v>
      </c>
      <c r="X4" s="8" t="s">
        <v>74</v>
      </c>
      <c r="Y4" s="8" t="s">
        <v>75</v>
      </c>
      <c r="Z4" s="8" t="s">
        <v>75</v>
      </c>
      <c r="AA4" s="8" t="s">
        <v>76</v>
      </c>
      <c r="AB4" s="8" t="s">
        <v>77</v>
      </c>
      <c r="AC4" s="8"/>
      <c r="AD4" s="8" t="s">
        <v>78</v>
      </c>
      <c r="AE4" s="8" t="s">
        <v>79</v>
      </c>
      <c r="AF4" s="8" t="s">
        <v>80</v>
      </c>
      <c r="AG4" s="8" t="s">
        <v>81</v>
      </c>
      <c r="AH4" s="8" t="s">
        <v>81</v>
      </c>
      <c r="AI4" s="8"/>
      <c r="AJ4" s="8"/>
      <c r="AK4" s="8" t="s">
        <v>82</v>
      </c>
      <c r="AL4" s="8"/>
      <c r="AM4" s="8" t="s">
        <v>83</v>
      </c>
      <c r="AN4" s="8" t="s">
        <v>84</v>
      </c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29.25" customHeight="1">
      <c r="A5" s="10"/>
      <c r="B5" s="10" t="s">
        <v>85</v>
      </c>
      <c r="C5" s="10" t="s">
        <v>86</v>
      </c>
      <c r="D5" s="10" t="s">
        <v>87</v>
      </c>
      <c r="E5" s="10" t="s">
        <v>88</v>
      </c>
      <c r="F5" s="10" t="s">
        <v>88</v>
      </c>
      <c r="G5" s="10" t="s">
        <v>88</v>
      </c>
      <c r="H5" s="10" t="s">
        <v>88</v>
      </c>
      <c r="I5" s="10" t="s">
        <v>86</v>
      </c>
      <c r="J5" s="10" t="s">
        <v>86</v>
      </c>
      <c r="K5" s="10" t="s">
        <v>88</v>
      </c>
      <c r="L5" s="10" t="s">
        <v>88</v>
      </c>
      <c r="M5" s="10" t="s">
        <v>88</v>
      </c>
      <c r="N5" s="10" t="s">
        <v>88</v>
      </c>
      <c r="O5" s="10" t="s">
        <v>86</v>
      </c>
      <c r="P5" s="10" t="s">
        <v>86</v>
      </c>
      <c r="Q5" s="10" t="s">
        <v>86</v>
      </c>
      <c r="R5" s="10" t="s">
        <v>88</v>
      </c>
      <c r="S5" s="10" t="s">
        <v>86</v>
      </c>
      <c r="T5" s="10" t="s">
        <v>86</v>
      </c>
      <c r="U5" s="10" t="s">
        <v>88</v>
      </c>
      <c r="V5" s="10" t="s">
        <v>86</v>
      </c>
      <c r="W5" s="10" t="s">
        <v>88</v>
      </c>
      <c r="X5" s="10" t="s">
        <v>88</v>
      </c>
      <c r="Y5" s="10" t="s">
        <v>88</v>
      </c>
      <c r="Z5" s="10" t="s">
        <v>88</v>
      </c>
      <c r="AA5" s="10" t="s">
        <v>88</v>
      </c>
      <c r="AB5" s="10" t="s">
        <v>88</v>
      </c>
      <c r="AC5" s="10" t="s">
        <v>88</v>
      </c>
      <c r="AD5" s="10" t="s">
        <v>88</v>
      </c>
      <c r="AE5" s="10" t="s">
        <v>89</v>
      </c>
      <c r="AF5" s="10" t="s">
        <v>87</v>
      </c>
      <c r="AG5" s="10" t="s">
        <v>87</v>
      </c>
      <c r="AH5" s="10" t="s">
        <v>88</v>
      </c>
      <c r="AI5" s="10" t="s">
        <v>88</v>
      </c>
      <c r="AJ5" s="10" t="s">
        <v>88</v>
      </c>
      <c r="AK5" s="10" t="s">
        <v>88</v>
      </c>
      <c r="AL5" s="10" t="s">
        <v>88</v>
      </c>
      <c r="AM5" s="10" t="s">
        <v>88</v>
      </c>
      <c r="AN5" s="10" t="s">
        <v>86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ht="14.25" customHeight="1">
      <c r="B6" s="1" t="s">
        <v>90</v>
      </c>
      <c r="C6" s="11">
        <v>1213708</v>
      </c>
      <c r="D6" s="11">
        <v>21204</v>
      </c>
      <c r="E6" s="12">
        <v>209970</v>
      </c>
      <c r="F6" s="12">
        <v>1450000</v>
      </c>
      <c r="G6" s="12">
        <v>1305405</v>
      </c>
      <c r="H6" s="11">
        <v>5547328</v>
      </c>
      <c r="I6" s="11">
        <v>6895426</v>
      </c>
      <c r="J6" s="11">
        <v>4794000</v>
      </c>
      <c r="K6" s="11">
        <v>284432</v>
      </c>
      <c r="L6" s="11">
        <v>227828</v>
      </c>
      <c r="M6" s="11">
        <v>608871</v>
      </c>
      <c r="N6" s="11">
        <v>969298</v>
      </c>
      <c r="O6" s="11">
        <v>1043070</v>
      </c>
      <c r="P6" s="11">
        <v>2056335</v>
      </c>
      <c r="Q6" s="11">
        <v>2417735</v>
      </c>
      <c r="R6" s="11">
        <v>1208333</v>
      </c>
      <c r="S6" s="11">
        <v>4397072</v>
      </c>
      <c r="T6" s="11">
        <v>359500</v>
      </c>
      <c r="U6" s="11">
        <v>177900</v>
      </c>
      <c r="V6" s="11">
        <v>630000</v>
      </c>
      <c r="W6" s="11">
        <v>14368331</v>
      </c>
      <c r="X6" s="11">
        <v>24380136</v>
      </c>
      <c r="Y6" s="11">
        <v>778642</v>
      </c>
      <c r="Z6" s="11">
        <v>214506</v>
      </c>
      <c r="AA6" s="11">
        <v>245239</v>
      </c>
      <c r="AB6" s="11">
        <v>784248</v>
      </c>
      <c r="AC6" s="11">
        <v>6831284</v>
      </c>
      <c r="AD6" s="11">
        <v>1968338</v>
      </c>
      <c r="AE6" s="11">
        <v>193267</v>
      </c>
      <c r="AF6" s="11">
        <v>83819</v>
      </c>
      <c r="AG6" s="11">
        <v>74497</v>
      </c>
      <c r="AH6" s="11">
        <v>141802</v>
      </c>
      <c r="AI6" s="11">
        <v>248998</v>
      </c>
      <c r="AJ6" s="12">
        <v>4794647</v>
      </c>
      <c r="AK6" s="11">
        <v>96534</v>
      </c>
      <c r="AL6" s="11">
        <v>488157</v>
      </c>
      <c r="AM6" s="11">
        <v>123564</v>
      </c>
      <c r="AN6" s="13">
        <v>1413034</v>
      </c>
    </row>
    <row r="7" spans="1:50" ht="14.25" customHeight="1">
      <c r="A7" s="14"/>
      <c r="B7" s="15" t="s">
        <v>91</v>
      </c>
      <c r="C7" s="16"/>
      <c r="D7" s="16"/>
      <c r="E7" s="17"/>
      <c r="F7" s="17"/>
      <c r="G7" s="1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4.25" customHeight="1">
      <c r="A8" s="18"/>
      <c r="B8" s="18" t="s">
        <v>92</v>
      </c>
      <c r="C8" s="18">
        <v>732</v>
      </c>
      <c r="D8" s="18">
        <v>25</v>
      </c>
      <c r="E8" s="18">
        <v>366</v>
      </c>
      <c r="F8" s="18">
        <v>1512</v>
      </c>
      <c r="G8" s="18">
        <v>898</v>
      </c>
      <c r="H8" s="18">
        <v>5134</v>
      </c>
      <c r="I8" s="18">
        <v>4854</v>
      </c>
      <c r="J8" s="18">
        <v>2086</v>
      </c>
      <c r="K8" s="18">
        <v>159</v>
      </c>
      <c r="L8" s="18">
        <v>166</v>
      </c>
      <c r="M8" s="18">
        <v>405</v>
      </c>
      <c r="N8" s="18">
        <v>423</v>
      </c>
      <c r="O8" s="18">
        <v>533</v>
      </c>
      <c r="P8" s="18">
        <v>977</v>
      </c>
      <c r="Q8" s="18">
        <v>1290</v>
      </c>
      <c r="R8" s="18">
        <v>708</v>
      </c>
      <c r="S8" s="18">
        <v>3085</v>
      </c>
      <c r="T8" s="18">
        <v>195</v>
      </c>
      <c r="U8" s="18">
        <v>113</v>
      </c>
      <c r="V8" s="18">
        <v>556</v>
      </c>
      <c r="W8" s="18">
        <v>11349</v>
      </c>
      <c r="X8" s="18">
        <v>12067</v>
      </c>
      <c r="Y8" s="18">
        <v>297</v>
      </c>
      <c r="Z8" s="18">
        <v>79</v>
      </c>
      <c r="AA8" s="18">
        <v>75</v>
      </c>
      <c r="AB8" s="18">
        <v>757</v>
      </c>
      <c r="AC8" s="18">
        <v>5733</v>
      </c>
      <c r="AD8" s="18">
        <v>2418</v>
      </c>
      <c r="AE8" s="18">
        <v>203</v>
      </c>
      <c r="AF8" s="18">
        <v>118</v>
      </c>
      <c r="AG8" s="18">
        <v>95</v>
      </c>
      <c r="AH8" s="18">
        <v>172</v>
      </c>
      <c r="AI8" s="18">
        <v>295</v>
      </c>
      <c r="AJ8" s="18">
        <v>4631</v>
      </c>
      <c r="AK8" s="18">
        <v>62</v>
      </c>
      <c r="AL8" s="18">
        <v>408</v>
      </c>
      <c r="AM8" s="18">
        <v>113</v>
      </c>
      <c r="AN8" s="18">
        <v>798</v>
      </c>
      <c r="AO8" s="18"/>
      <c r="AP8" s="10">
        <f>SUM(D8:AN8)/39</f>
        <v>1619.3589743589744</v>
      </c>
      <c r="AQ8" s="18"/>
      <c r="AR8" s="18"/>
      <c r="AS8" s="18"/>
      <c r="AT8" s="18"/>
      <c r="AU8" s="18"/>
      <c r="AV8" s="18"/>
      <c r="AW8" s="18"/>
      <c r="AX8" s="18"/>
    </row>
    <row r="9" spans="1:50" ht="29.25" customHeight="1">
      <c r="A9" s="18"/>
      <c r="B9" s="18" t="s">
        <v>93</v>
      </c>
      <c r="C9" s="18">
        <v>0.6</v>
      </c>
      <c r="D9" s="18">
        <v>1.2</v>
      </c>
      <c r="E9" s="18">
        <v>1.75</v>
      </c>
      <c r="F9" s="18">
        <v>1.04</v>
      </c>
      <c r="G9" s="18">
        <v>0.69</v>
      </c>
      <c r="H9" s="18">
        <v>0.93</v>
      </c>
      <c r="I9" s="18">
        <v>0.7</v>
      </c>
      <c r="J9" s="18">
        <v>0.44</v>
      </c>
      <c r="K9" s="18">
        <v>0.56000000000000005</v>
      </c>
      <c r="L9" s="18">
        <v>0.73</v>
      </c>
      <c r="M9" s="18">
        <v>0.67</v>
      </c>
      <c r="N9" s="18">
        <v>0.44</v>
      </c>
      <c r="O9" s="18">
        <v>0.51</v>
      </c>
      <c r="P9" s="18">
        <v>0.48</v>
      </c>
      <c r="Q9" s="1">
        <v>0.53</v>
      </c>
      <c r="R9" s="18">
        <v>0.59</v>
      </c>
      <c r="S9" s="18">
        <v>0.7</v>
      </c>
      <c r="T9" s="18">
        <v>0.54</v>
      </c>
      <c r="U9" s="18">
        <v>0.64</v>
      </c>
      <c r="V9" s="18">
        <v>0.88</v>
      </c>
      <c r="W9" s="18">
        <v>0.79</v>
      </c>
      <c r="X9" s="18">
        <v>0.49</v>
      </c>
      <c r="Y9" s="18">
        <v>0.38</v>
      </c>
      <c r="Z9" s="18">
        <v>0.37</v>
      </c>
      <c r="AA9" s="18">
        <v>0.31</v>
      </c>
      <c r="AB9" s="18">
        <v>0.97</v>
      </c>
      <c r="AC9" s="18">
        <v>0.84</v>
      </c>
      <c r="AD9" s="18">
        <v>1.23</v>
      </c>
      <c r="AE9" s="18">
        <v>1.05</v>
      </c>
      <c r="AF9" s="18">
        <v>1.41</v>
      </c>
      <c r="AG9" s="18">
        <v>1.28</v>
      </c>
      <c r="AH9" s="18">
        <v>1.22</v>
      </c>
      <c r="AI9" s="18">
        <v>1.18</v>
      </c>
      <c r="AJ9" s="18">
        <v>0.97</v>
      </c>
      <c r="AK9" s="18">
        <v>0.64</v>
      </c>
      <c r="AL9" s="18">
        <v>0.83</v>
      </c>
      <c r="AM9" s="18">
        <v>0.92</v>
      </c>
      <c r="AN9" s="18">
        <v>0.56000000000000005</v>
      </c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ht="14.25" customHeight="1">
      <c r="A10" s="18"/>
      <c r="B10" s="18" t="s">
        <v>94</v>
      </c>
      <c r="C10" s="18">
        <v>513</v>
      </c>
      <c r="D10" s="18">
        <v>11</v>
      </c>
      <c r="E10" s="18">
        <v>134</v>
      </c>
      <c r="F10" s="18">
        <v>1058</v>
      </c>
      <c r="G10" s="18">
        <v>629</v>
      </c>
      <c r="H10" s="18">
        <v>3337</v>
      </c>
      <c r="I10" s="18">
        <v>4077</v>
      </c>
      <c r="J10" s="18">
        <v>1460</v>
      </c>
      <c r="K10" s="18">
        <v>111</v>
      </c>
      <c r="L10" s="18">
        <v>101</v>
      </c>
      <c r="M10" s="18">
        <v>284</v>
      </c>
      <c r="N10" s="18">
        <v>296</v>
      </c>
      <c r="O10" s="18">
        <v>295</v>
      </c>
      <c r="P10" s="18">
        <v>684</v>
      </c>
      <c r="Q10" s="19">
        <v>903</v>
      </c>
      <c r="R10" s="18">
        <v>496</v>
      </c>
      <c r="S10" s="18">
        <v>2160</v>
      </c>
      <c r="T10" s="18">
        <v>136</v>
      </c>
      <c r="U10" s="18">
        <v>90</v>
      </c>
      <c r="V10" s="18">
        <v>361</v>
      </c>
      <c r="W10" s="18">
        <v>7944</v>
      </c>
      <c r="X10" s="18">
        <v>8447</v>
      </c>
      <c r="Y10" s="18">
        <v>208</v>
      </c>
      <c r="Z10" s="18">
        <v>63</v>
      </c>
      <c r="AA10" s="18">
        <v>60</v>
      </c>
      <c r="AB10" s="18">
        <v>454</v>
      </c>
      <c r="AC10" s="18">
        <v>4013</v>
      </c>
      <c r="AD10" s="18">
        <v>1064</v>
      </c>
      <c r="AE10" s="18">
        <v>61</v>
      </c>
      <c r="AF10" s="18">
        <v>47</v>
      </c>
      <c r="AG10" s="18">
        <v>25</v>
      </c>
      <c r="AH10" s="18">
        <v>76</v>
      </c>
      <c r="AI10" s="18">
        <v>207</v>
      </c>
      <c r="AJ10" s="18">
        <v>3242</v>
      </c>
      <c r="AK10" s="18">
        <v>38</v>
      </c>
      <c r="AL10" s="18">
        <v>166</v>
      </c>
      <c r="AM10" s="18">
        <v>34</v>
      </c>
      <c r="AN10" s="18">
        <v>559</v>
      </c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ht="14.25" customHeight="1">
      <c r="A11" s="18"/>
      <c r="B11" s="18" t="s">
        <v>95</v>
      </c>
      <c r="C11" s="18">
        <v>220</v>
      </c>
      <c r="D11" s="18">
        <v>14</v>
      </c>
      <c r="E11" s="18">
        <v>232</v>
      </c>
      <c r="F11" s="18">
        <v>454</v>
      </c>
      <c r="G11" s="18">
        <v>269</v>
      </c>
      <c r="H11" s="18">
        <v>1797</v>
      </c>
      <c r="I11" s="18">
        <v>777</v>
      </c>
      <c r="J11" s="18">
        <v>626</v>
      </c>
      <c r="K11" s="18">
        <v>48</v>
      </c>
      <c r="L11" s="18">
        <v>65</v>
      </c>
      <c r="M11" s="18">
        <v>122</v>
      </c>
      <c r="N11" s="18">
        <v>127</v>
      </c>
      <c r="O11" s="18">
        <v>238</v>
      </c>
      <c r="P11" s="18">
        <v>293</v>
      </c>
      <c r="Q11" s="19">
        <v>387</v>
      </c>
      <c r="R11" s="18">
        <v>212</v>
      </c>
      <c r="S11" s="18">
        <v>926</v>
      </c>
      <c r="T11" s="18">
        <v>58</v>
      </c>
      <c r="U11" s="18">
        <v>23</v>
      </c>
      <c r="V11" s="18">
        <v>195</v>
      </c>
      <c r="W11" s="18">
        <v>3405</v>
      </c>
      <c r="X11" s="18">
        <v>3620</v>
      </c>
      <c r="Y11" s="18">
        <v>89</v>
      </c>
      <c r="Z11" s="18">
        <v>17</v>
      </c>
      <c r="AA11" s="18">
        <v>15</v>
      </c>
      <c r="AB11" s="18">
        <v>303</v>
      </c>
      <c r="AC11" s="18">
        <v>1720</v>
      </c>
      <c r="AD11" s="18">
        <v>1354</v>
      </c>
      <c r="AE11" s="18">
        <v>142</v>
      </c>
      <c r="AF11" s="18">
        <v>71</v>
      </c>
      <c r="AG11" s="18">
        <v>70</v>
      </c>
      <c r="AH11" s="18">
        <v>96</v>
      </c>
      <c r="AI11" s="18">
        <v>89</v>
      </c>
      <c r="AJ11" s="18">
        <v>1389</v>
      </c>
      <c r="AK11" s="18">
        <v>24</v>
      </c>
      <c r="AL11" s="18">
        <v>242</v>
      </c>
      <c r="AM11" s="18">
        <v>79</v>
      </c>
      <c r="AN11" s="18">
        <v>240</v>
      </c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 spans="1:50" ht="29.25" customHeight="1">
      <c r="A12" s="18"/>
      <c r="B12" s="18" t="s">
        <v>96</v>
      </c>
      <c r="C12" s="18">
        <v>0.32</v>
      </c>
      <c r="D12" s="18">
        <v>0.27</v>
      </c>
      <c r="E12" s="18">
        <v>0.32</v>
      </c>
      <c r="F12" s="18">
        <v>0.31</v>
      </c>
      <c r="G12" s="18">
        <v>0.17</v>
      </c>
      <c r="H12" s="18">
        <v>0.39</v>
      </c>
      <c r="I12" s="18">
        <v>0.38</v>
      </c>
      <c r="J12" s="18">
        <v>0.17</v>
      </c>
      <c r="K12" s="18">
        <v>0.17</v>
      </c>
      <c r="L12" s="18">
        <v>0.09</v>
      </c>
      <c r="M12" s="18">
        <v>0.24</v>
      </c>
      <c r="N12" s="18">
        <v>0.12</v>
      </c>
      <c r="O12" s="18">
        <v>0.15</v>
      </c>
      <c r="P12" s="18">
        <v>0.19</v>
      </c>
      <c r="Q12" s="19">
        <v>0.27</v>
      </c>
      <c r="R12" s="18">
        <v>0.22</v>
      </c>
      <c r="S12" s="18">
        <v>0.25</v>
      </c>
      <c r="T12" s="18">
        <v>0.15</v>
      </c>
      <c r="U12" s="18">
        <v>0.35</v>
      </c>
      <c r="V12" s="18">
        <v>0.28000000000000003</v>
      </c>
      <c r="W12" s="18">
        <v>0.19</v>
      </c>
      <c r="X12" s="18">
        <v>0.2</v>
      </c>
      <c r="Y12" s="18">
        <v>7.0000000000000007E-2</v>
      </c>
      <c r="Z12" s="18">
        <v>0.09</v>
      </c>
      <c r="AA12" s="18">
        <v>0.05</v>
      </c>
      <c r="AB12" s="18">
        <v>0.21</v>
      </c>
      <c r="AC12" s="18">
        <v>0.35</v>
      </c>
      <c r="AD12" s="18">
        <v>0.28999999999999998</v>
      </c>
      <c r="AE12" s="18">
        <v>0.19</v>
      </c>
      <c r="AF12" s="18">
        <v>0.27</v>
      </c>
      <c r="AG12" s="18">
        <v>0.22</v>
      </c>
      <c r="AH12" s="18">
        <v>0.21</v>
      </c>
      <c r="AI12" s="18">
        <v>0.47</v>
      </c>
      <c r="AJ12" s="18">
        <v>0.36</v>
      </c>
      <c r="AK12" s="18">
        <v>0.21</v>
      </c>
      <c r="AL12" s="18">
        <v>0.24</v>
      </c>
      <c r="AM12" s="18">
        <v>0.12</v>
      </c>
      <c r="AN12" s="18">
        <v>0.11</v>
      </c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 spans="1:50" ht="14.25" customHeight="1">
      <c r="A13" s="20"/>
      <c r="B13" s="21" t="s">
        <v>97</v>
      </c>
      <c r="C13" s="20">
        <v>0.63</v>
      </c>
      <c r="D13" s="20">
        <v>0.57999999999999996</v>
      </c>
      <c r="E13" s="20">
        <v>0.9</v>
      </c>
      <c r="F13" s="20">
        <v>0.83</v>
      </c>
      <c r="G13" s="20">
        <v>7.0000000000000007E-2</v>
      </c>
      <c r="H13" s="20">
        <v>0.84</v>
      </c>
      <c r="I13" s="20">
        <v>0.6</v>
      </c>
      <c r="J13" s="20">
        <v>0.98</v>
      </c>
      <c r="K13" s="20">
        <v>0.86</v>
      </c>
      <c r="L13" s="20">
        <v>0.63</v>
      </c>
      <c r="M13" s="20">
        <v>0.9</v>
      </c>
      <c r="N13" s="20">
        <v>0.68</v>
      </c>
      <c r="O13" s="20">
        <v>0.88</v>
      </c>
      <c r="P13" s="20">
        <v>0.94</v>
      </c>
      <c r="Q13" s="22">
        <v>0.52</v>
      </c>
      <c r="R13" s="20">
        <v>0.56000000000000005</v>
      </c>
      <c r="S13" s="20">
        <v>0.65</v>
      </c>
      <c r="T13" s="20">
        <v>0.3</v>
      </c>
      <c r="U13" s="20">
        <v>0.78</v>
      </c>
      <c r="V13" s="20">
        <v>0.96</v>
      </c>
      <c r="W13" s="20">
        <v>0.48</v>
      </c>
      <c r="X13" s="20">
        <v>0.81</v>
      </c>
      <c r="Y13" s="20">
        <v>0.92</v>
      </c>
      <c r="Z13" s="20">
        <v>0.62</v>
      </c>
      <c r="AA13" s="20">
        <v>0.57999999999999996</v>
      </c>
      <c r="AB13" s="20">
        <v>0.9</v>
      </c>
      <c r="AC13" s="20">
        <v>0.36</v>
      </c>
      <c r="AD13" s="20">
        <v>0.98</v>
      </c>
      <c r="AE13" s="20">
        <v>0.98</v>
      </c>
      <c r="AF13" s="20">
        <v>0.94</v>
      </c>
      <c r="AG13" s="20">
        <v>0.95</v>
      </c>
      <c r="AH13" s="20">
        <v>0.98</v>
      </c>
      <c r="AI13" s="20">
        <v>0.9</v>
      </c>
      <c r="AJ13" s="20">
        <v>0.35</v>
      </c>
      <c r="AK13" s="20">
        <v>0.99</v>
      </c>
      <c r="AL13" s="20">
        <v>0.97</v>
      </c>
      <c r="AM13" s="20">
        <v>0.94</v>
      </c>
      <c r="AN13" s="20">
        <v>0.25</v>
      </c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30.75" customHeight="1">
      <c r="A14" s="23"/>
      <c r="B14" s="10" t="s">
        <v>98</v>
      </c>
      <c r="C14" s="23">
        <f>441/732</f>
        <v>0.60245901639344257</v>
      </c>
      <c r="D14" s="23">
        <f>14/25</f>
        <v>0.56000000000000005</v>
      </c>
      <c r="E14" s="23">
        <f>312/366</f>
        <v>0.85245901639344257</v>
      </c>
      <c r="F14" s="23">
        <f>1241/1512</f>
        <v>0.82076719576719581</v>
      </c>
      <c r="G14" s="23">
        <f>62/898</f>
        <v>6.9042316258351888E-2</v>
      </c>
      <c r="H14" s="23">
        <f>3200/5134</f>
        <v>0.62329567588624857</v>
      </c>
      <c r="I14" s="23">
        <f>626/4854</f>
        <v>0.12896580140090647</v>
      </c>
      <c r="J14" s="23">
        <f>1532/2086</f>
        <v>0.73441994247363374</v>
      </c>
      <c r="K14" s="23">
        <f>132/159</f>
        <v>0.83018867924528306</v>
      </c>
      <c r="L14" s="23">
        <f>102/166</f>
        <v>0.61445783132530118</v>
      </c>
      <c r="M14" s="23">
        <f>265/465</f>
        <v>0.56989247311827962</v>
      </c>
      <c r="N14" s="23">
        <f>55/423</f>
        <v>0.13002364066193853</v>
      </c>
      <c r="O14" s="23">
        <f>459/533</f>
        <v>0.86116322701688552</v>
      </c>
      <c r="P14" s="23">
        <f>898/977</f>
        <v>0.91914022517911975</v>
      </c>
      <c r="Q14" s="24">
        <f>627/1290</f>
        <v>0.48604651162790696</v>
      </c>
      <c r="R14" s="23">
        <f>363/708</f>
        <v>0.51271186440677963</v>
      </c>
      <c r="S14" s="23">
        <f>1561/3085</f>
        <v>0.50599675850891412</v>
      </c>
      <c r="T14" s="23">
        <f>55/195</f>
        <v>0.28205128205128205</v>
      </c>
      <c r="U14" s="23">
        <f>83/113</f>
        <v>0.73451327433628322</v>
      </c>
      <c r="V14" s="23">
        <f>475/556</f>
        <v>0.85431654676258995</v>
      </c>
      <c r="W14" s="23">
        <f>4558/11349</f>
        <v>0.40162128821922638</v>
      </c>
      <c r="X14" s="23">
        <f>9787/12067</f>
        <v>0.81105494323361238</v>
      </c>
      <c r="Y14" s="23">
        <f>260/297</f>
        <v>0.87542087542087543</v>
      </c>
      <c r="Z14" s="23">
        <f>35/79</f>
        <v>0.44303797468354428</v>
      </c>
      <c r="AA14" s="23">
        <f>30/75</f>
        <v>0.4</v>
      </c>
      <c r="AB14" s="23">
        <f>630/757</f>
        <v>0.83223249669749011</v>
      </c>
      <c r="AC14" s="23">
        <f>1983/5733</f>
        <v>0.34589220303506019</v>
      </c>
      <c r="AD14" s="23">
        <f>1754/2418</f>
        <v>0.72539288668320923</v>
      </c>
      <c r="AE14" s="23">
        <f>10/203</f>
        <v>4.9261083743842367E-2</v>
      </c>
      <c r="AF14" s="23">
        <f>80/118</f>
        <v>0.67796610169491522</v>
      </c>
      <c r="AG14" s="23">
        <f>90/95</f>
        <v>0.94736842105263153</v>
      </c>
      <c r="AH14" s="23">
        <f>148/172</f>
        <v>0.86046511627906974</v>
      </c>
      <c r="AI14" s="23">
        <f>243/295</f>
        <v>0.82372881355932204</v>
      </c>
      <c r="AJ14" s="23">
        <f>1443/4631</f>
        <v>0.3115957676527748</v>
      </c>
      <c r="AK14" s="23">
        <f>40/62</f>
        <v>0.64516129032258063</v>
      </c>
      <c r="AL14" s="23">
        <f>312/408</f>
        <v>0.76470588235294112</v>
      </c>
      <c r="AM14" s="23">
        <f>105/113</f>
        <v>0.92920353982300885</v>
      </c>
      <c r="AN14" s="23">
        <f>162/798</f>
        <v>0.20300751879699247</v>
      </c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ht="30" customHeight="1">
      <c r="A15" s="23"/>
      <c r="B15" s="10" t="s">
        <v>99</v>
      </c>
      <c r="C15" s="23">
        <f>0/441</f>
        <v>0</v>
      </c>
      <c r="D15" s="23">
        <f>0/14</f>
        <v>0</v>
      </c>
      <c r="E15" s="23">
        <f>0/312</f>
        <v>0</v>
      </c>
      <c r="F15" s="23">
        <f>81/1241</f>
        <v>6.5269943593875904E-2</v>
      </c>
      <c r="G15" s="23">
        <f>0/62</f>
        <v>0</v>
      </c>
      <c r="H15" s="23">
        <f>3200/3200</f>
        <v>1</v>
      </c>
      <c r="I15" s="23">
        <f>350/626</f>
        <v>0.5591054313099042</v>
      </c>
      <c r="J15" s="23">
        <f>0/1532</f>
        <v>0</v>
      </c>
      <c r="K15" s="23">
        <f>0/132</f>
        <v>0</v>
      </c>
      <c r="L15" s="23">
        <f>0/102</f>
        <v>0</v>
      </c>
      <c r="M15" s="23">
        <f>0/265</f>
        <v>0</v>
      </c>
      <c r="N15" s="23">
        <f>0/55</f>
        <v>0</v>
      </c>
      <c r="O15" s="23">
        <f>0/459</f>
        <v>0</v>
      </c>
      <c r="P15" s="23">
        <f>0/898</f>
        <v>0</v>
      </c>
      <c r="Q15" s="24">
        <f>0/627</f>
        <v>0</v>
      </c>
      <c r="R15" s="23">
        <f>0/363</f>
        <v>0</v>
      </c>
      <c r="S15" s="23">
        <f>0/1561</f>
        <v>0</v>
      </c>
      <c r="T15" s="23">
        <f>0/55</f>
        <v>0</v>
      </c>
      <c r="U15" s="23">
        <v>0</v>
      </c>
      <c r="V15" s="23">
        <f>475/475</f>
        <v>1</v>
      </c>
      <c r="W15" s="23">
        <f>0/4558</f>
        <v>0</v>
      </c>
      <c r="X15" s="23">
        <f>0/9787</f>
        <v>0</v>
      </c>
      <c r="Y15" s="23">
        <f>260/260</f>
        <v>1</v>
      </c>
      <c r="Z15" s="23">
        <f>35/35</f>
        <v>1</v>
      </c>
      <c r="AA15" s="23">
        <f>0/30</f>
        <v>0</v>
      </c>
      <c r="AB15" s="23">
        <f>0/630</f>
        <v>0</v>
      </c>
      <c r="AC15" s="23">
        <f>0/1983</f>
        <v>0</v>
      </c>
      <c r="AD15" s="23">
        <f>405/1754</f>
        <v>0.23090079817559864</v>
      </c>
      <c r="AE15" s="23">
        <f>0/10</f>
        <v>0</v>
      </c>
      <c r="AF15" s="23">
        <f t="shared" ref="AF15:AG15" si="0">0/80</f>
        <v>0</v>
      </c>
      <c r="AG15" s="23">
        <f t="shared" si="0"/>
        <v>0</v>
      </c>
      <c r="AH15" s="23">
        <f>0/148</f>
        <v>0</v>
      </c>
      <c r="AI15" s="23">
        <f>243/243</f>
        <v>1</v>
      </c>
      <c r="AJ15" s="23">
        <f>0/1443</f>
        <v>0</v>
      </c>
      <c r="AK15" s="23">
        <f>40/40</f>
        <v>1</v>
      </c>
      <c r="AL15" s="23">
        <f>312/312</f>
        <v>1</v>
      </c>
      <c r="AM15" s="23">
        <f>0/105</f>
        <v>0</v>
      </c>
      <c r="AN15" s="23">
        <f>0/162</f>
        <v>0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ht="43.5" customHeight="1">
      <c r="A16" s="20"/>
      <c r="B16" s="21" t="s">
        <v>100</v>
      </c>
      <c r="C16" s="20">
        <v>0</v>
      </c>
      <c r="D16" s="20">
        <v>0</v>
      </c>
      <c r="E16" s="20">
        <v>0</v>
      </c>
      <c r="F16" s="20">
        <v>0.06</v>
      </c>
      <c r="G16" s="20">
        <v>0</v>
      </c>
      <c r="H16" s="20">
        <v>0.81</v>
      </c>
      <c r="I16" s="20">
        <v>0.48</v>
      </c>
      <c r="J16" s="20">
        <v>0.23</v>
      </c>
      <c r="K16" s="20">
        <v>0</v>
      </c>
      <c r="L16" s="20">
        <v>0</v>
      </c>
      <c r="M16" s="20">
        <v>0.13</v>
      </c>
      <c r="N16" s="20">
        <v>0.49</v>
      </c>
      <c r="O16" s="20">
        <v>0.01</v>
      </c>
      <c r="P16" s="20">
        <v>0.02</v>
      </c>
      <c r="Q16" s="22">
        <v>0.03</v>
      </c>
      <c r="R16" s="20">
        <v>0.05</v>
      </c>
      <c r="S16" s="20">
        <v>0.15</v>
      </c>
      <c r="T16" s="20">
        <v>0.01</v>
      </c>
      <c r="U16" s="20">
        <v>0</v>
      </c>
      <c r="V16" s="20">
        <v>0.96</v>
      </c>
      <c r="W16" s="20">
        <v>0.08</v>
      </c>
      <c r="X16" s="20">
        <v>0</v>
      </c>
      <c r="Y16" s="20">
        <v>0.91</v>
      </c>
      <c r="Z16" s="20">
        <v>0.56000000000000005</v>
      </c>
      <c r="AA16" s="20">
        <v>0.12</v>
      </c>
      <c r="AB16" s="20">
        <v>0.02</v>
      </c>
      <c r="AC16" s="20">
        <v>0.01</v>
      </c>
      <c r="AD16" s="20">
        <v>0.37</v>
      </c>
      <c r="AE16" s="20">
        <v>0.93</v>
      </c>
      <c r="AF16" s="20">
        <v>0.26</v>
      </c>
      <c r="AG16" s="20">
        <v>0.11</v>
      </c>
      <c r="AH16" s="20">
        <v>0.12</v>
      </c>
      <c r="AI16" s="20">
        <v>0.9</v>
      </c>
      <c r="AJ16" s="20">
        <v>0.02</v>
      </c>
      <c r="AK16" s="20">
        <v>0.98</v>
      </c>
      <c r="AL16" s="20">
        <v>0.77</v>
      </c>
      <c r="AM16" s="20">
        <v>0</v>
      </c>
      <c r="AN16" s="20">
        <v>0.02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29.25" customHeight="1">
      <c r="A17" s="18"/>
      <c r="B17" s="18" t="s">
        <v>101</v>
      </c>
      <c r="C17" s="18">
        <f>C18/365</f>
        <v>44.049315068493151</v>
      </c>
      <c r="D17" s="18">
        <v>6</v>
      </c>
      <c r="E17" s="18">
        <v>117</v>
      </c>
      <c r="F17" s="18">
        <v>281</v>
      </c>
      <c r="G17" s="18">
        <v>58</v>
      </c>
      <c r="H17" s="18">
        <v>721</v>
      </c>
      <c r="I17" s="18">
        <v>493</v>
      </c>
      <c r="J17" s="18">
        <v>246</v>
      </c>
      <c r="K17" s="18">
        <v>19</v>
      </c>
      <c r="L17" s="18">
        <v>30</v>
      </c>
      <c r="M17" s="18">
        <v>68</v>
      </c>
      <c r="N17" s="18">
        <v>78</v>
      </c>
      <c r="O17" s="18">
        <v>117</v>
      </c>
      <c r="P17" s="18">
        <v>221</v>
      </c>
      <c r="Q17" s="18">
        <f t="shared" ref="Q17:S17" si="1">Q18/365</f>
        <v>101.41643835616438</v>
      </c>
      <c r="R17" s="18">
        <f t="shared" si="1"/>
        <v>53.153424657534245</v>
      </c>
      <c r="S17" s="18">
        <f t="shared" si="1"/>
        <v>403.46849315068494</v>
      </c>
      <c r="T17" s="18">
        <v>9</v>
      </c>
      <c r="U17" s="18">
        <v>16</v>
      </c>
      <c r="V17" s="18">
        <v>130</v>
      </c>
      <c r="W17" s="18">
        <v>3412</v>
      </c>
      <c r="X17" s="18">
        <v>2899</v>
      </c>
      <c r="Y17" s="18">
        <v>42</v>
      </c>
      <c r="Z17" s="18">
        <v>12</v>
      </c>
      <c r="AA17" s="18">
        <v>10</v>
      </c>
      <c r="AB17" s="18">
        <v>81</v>
      </c>
      <c r="AC17" s="18">
        <v>372</v>
      </c>
      <c r="AD17" s="18">
        <v>654</v>
      </c>
      <c r="AE17" s="18">
        <v>24</v>
      </c>
      <c r="AF17" s="18">
        <v>19</v>
      </c>
      <c r="AG17" s="18">
        <v>24</v>
      </c>
      <c r="AH17" s="18">
        <v>32</v>
      </c>
      <c r="AI17" s="18">
        <v>47</v>
      </c>
      <c r="AJ17" s="18">
        <v>398</v>
      </c>
      <c r="AK17" s="18">
        <v>16</v>
      </c>
      <c r="AL17" s="18">
        <v>63</v>
      </c>
      <c r="AM17" s="18">
        <v>24</v>
      </c>
      <c r="AN17" s="18">
        <v>146</v>
      </c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 spans="1:50" ht="30" customHeight="1">
      <c r="A18" s="18"/>
      <c r="B18" s="18" t="s">
        <v>102</v>
      </c>
      <c r="C18" s="18">
        <v>16078</v>
      </c>
      <c r="D18" s="18">
        <v>2026</v>
      </c>
      <c r="E18" s="18">
        <v>42567</v>
      </c>
      <c r="F18" s="18">
        <v>102720</v>
      </c>
      <c r="G18" s="18">
        <v>21264</v>
      </c>
      <c r="H18" s="18">
        <v>263060</v>
      </c>
      <c r="I18" s="18">
        <v>179947</v>
      </c>
      <c r="J18" s="18">
        <v>89919</v>
      </c>
      <c r="K18" s="18">
        <v>6853</v>
      </c>
      <c r="L18" s="18">
        <v>10865</v>
      </c>
      <c r="M18" s="18">
        <v>24866</v>
      </c>
      <c r="N18" s="18">
        <v>28342</v>
      </c>
      <c r="O18" s="18">
        <v>42693</v>
      </c>
      <c r="P18" s="18">
        <v>80610</v>
      </c>
      <c r="Q18" s="18">
        <v>37017</v>
      </c>
      <c r="R18" s="18">
        <v>19401</v>
      </c>
      <c r="S18" s="18">
        <v>147266</v>
      </c>
      <c r="T18" s="18">
        <v>3329</v>
      </c>
      <c r="U18" s="18">
        <v>5818</v>
      </c>
      <c r="V18" s="18">
        <v>47528</v>
      </c>
      <c r="W18" s="18">
        <v>1245298</v>
      </c>
      <c r="X18" s="18">
        <v>1058083</v>
      </c>
      <c r="Y18" s="18">
        <v>15203</v>
      </c>
      <c r="Z18" s="18">
        <v>4369</v>
      </c>
      <c r="AA18" s="18">
        <v>3488</v>
      </c>
      <c r="AB18" s="18">
        <v>29673</v>
      </c>
      <c r="AC18" s="18">
        <v>135753</v>
      </c>
      <c r="AD18" s="18">
        <v>238595</v>
      </c>
      <c r="AE18" s="18">
        <v>8888</v>
      </c>
      <c r="AF18" s="18">
        <v>6757</v>
      </c>
      <c r="AG18" s="18">
        <v>8649</v>
      </c>
      <c r="AH18" s="18">
        <v>11691</v>
      </c>
      <c r="AI18" s="18">
        <v>17061</v>
      </c>
      <c r="AJ18" s="18">
        <v>144832</v>
      </c>
      <c r="AK18" s="18">
        <v>5847</v>
      </c>
      <c r="AL18" s="18">
        <v>22853</v>
      </c>
      <c r="AM18" s="18">
        <v>8713</v>
      </c>
      <c r="AN18" s="18">
        <v>53288</v>
      </c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 spans="1:50" ht="33" customHeight="1">
      <c r="A19" s="18"/>
      <c r="B19" s="18" t="s">
        <v>103</v>
      </c>
      <c r="C19" s="18">
        <f t="shared" ref="C19:AN19" si="2">C18/C6*1000</f>
        <v>13.247008341380299</v>
      </c>
      <c r="D19" s="18">
        <f t="shared" si="2"/>
        <v>95.548009809469917</v>
      </c>
      <c r="E19" s="18">
        <f t="shared" si="2"/>
        <v>202.72896128018289</v>
      </c>
      <c r="F19" s="18">
        <f t="shared" si="2"/>
        <v>70.841379310344834</v>
      </c>
      <c r="G19" s="18">
        <f t="shared" si="2"/>
        <v>16.28919760534087</v>
      </c>
      <c r="H19" s="18">
        <f t="shared" si="2"/>
        <v>47.421028646584446</v>
      </c>
      <c r="I19" s="18">
        <f t="shared" si="2"/>
        <v>26.096574743895445</v>
      </c>
      <c r="J19" s="18">
        <f t="shared" si="2"/>
        <v>18.756570713391739</v>
      </c>
      <c r="K19" s="18">
        <f t="shared" si="2"/>
        <v>24.093632221409685</v>
      </c>
      <c r="L19" s="18">
        <f t="shared" si="2"/>
        <v>47.689485050125533</v>
      </c>
      <c r="M19" s="18">
        <f t="shared" si="2"/>
        <v>40.839521015124717</v>
      </c>
      <c r="N19" s="18">
        <f t="shared" si="2"/>
        <v>29.239717816399086</v>
      </c>
      <c r="O19" s="18">
        <f t="shared" si="2"/>
        <v>40.93013891685122</v>
      </c>
      <c r="P19" s="18">
        <f t="shared" si="2"/>
        <v>39.200811151879435</v>
      </c>
      <c r="Q19" s="18">
        <f t="shared" si="2"/>
        <v>15.31061096439436</v>
      </c>
      <c r="R19" s="18">
        <f t="shared" si="2"/>
        <v>16.056004429242602</v>
      </c>
      <c r="S19" s="18">
        <f t="shared" si="2"/>
        <v>33.491832746882473</v>
      </c>
      <c r="T19" s="18">
        <f t="shared" si="2"/>
        <v>9.260083449235049</v>
      </c>
      <c r="U19" s="18">
        <f t="shared" si="2"/>
        <v>32.703766160764474</v>
      </c>
      <c r="V19" s="18">
        <f t="shared" si="2"/>
        <v>75.441269841269843</v>
      </c>
      <c r="W19" s="18">
        <f t="shared" si="2"/>
        <v>86.66963476829703</v>
      </c>
      <c r="X19" s="18">
        <f t="shared" si="2"/>
        <v>43.399388748282618</v>
      </c>
      <c r="Y19" s="18">
        <f t="shared" si="2"/>
        <v>19.525019200094523</v>
      </c>
      <c r="Z19" s="18">
        <f t="shared" si="2"/>
        <v>20.367728641623078</v>
      </c>
      <c r="AA19" s="18">
        <f t="shared" si="2"/>
        <v>14.222860148671296</v>
      </c>
      <c r="AB19" s="18">
        <f t="shared" si="2"/>
        <v>37.836245677387765</v>
      </c>
      <c r="AC19" s="18">
        <f t="shared" si="2"/>
        <v>19.872252419896466</v>
      </c>
      <c r="AD19" s="18">
        <f t="shared" si="2"/>
        <v>121.21647806423489</v>
      </c>
      <c r="AE19" s="18">
        <f t="shared" si="2"/>
        <v>45.98819250053036</v>
      </c>
      <c r="AF19" s="18">
        <f t="shared" si="2"/>
        <v>80.614180555721248</v>
      </c>
      <c r="AG19" s="18">
        <f t="shared" si="2"/>
        <v>116.09863484435614</v>
      </c>
      <c r="AH19" s="18">
        <f t="shared" si="2"/>
        <v>82.445945755349015</v>
      </c>
      <c r="AI19" s="18">
        <f t="shared" si="2"/>
        <v>68.518622639539274</v>
      </c>
      <c r="AJ19" s="18">
        <f t="shared" si="2"/>
        <v>30.207020454269106</v>
      </c>
      <c r="AK19" s="18">
        <f t="shared" si="2"/>
        <v>60.569333084716263</v>
      </c>
      <c r="AL19" s="18">
        <f t="shared" si="2"/>
        <v>46.81485669569421</v>
      </c>
      <c r="AM19" s="18">
        <f t="shared" si="2"/>
        <v>70.514065585445593</v>
      </c>
      <c r="AN19" s="18">
        <f t="shared" si="2"/>
        <v>37.711760651194517</v>
      </c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 spans="1:50" ht="36" customHeight="1">
      <c r="A20" s="10" t="s">
        <v>104</v>
      </c>
      <c r="B20" s="23" t="s">
        <v>105</v>
      </c>
      <c r="C20" s="23">
        <v>0.37</v>
      </c>
      <c r="D20" s="23">
        <v>0.35</v>
      </c>
      <c r="E20" s="23">
        <v>0.06</v>
      </c>
      <c r="F20" s="23">
        <v>0.13</v>
      </c>
      <c r="G20" s="23">
        <v>0.95</v>
      </c>
      <c r="H20" s="23">
        <v>0.1</v>
      </c>
      <c r="I20" s="23">
        <v>0.42</v>
      </c>
      <c r="J20" s="23">
        <v>0.12</v>
      </c>
      <c r="K20" s="23">
        <v>0.24</v>
      </c>
      <c r="L20" s="23">
        <v>0.32</v>
      </c>
      <c r="M20" s="23">
        <v>0.26</v>
      </c>
      <c r="N20" s="23">
        <v>0.23</v>
      </c>
      <c r="O20" s="23">
        <v>0.45</v>
      </c>
      <c r="P20" s="23">
        <v>0.14000000000000001</v>
      </c>
      <c r="Q20" s="23">
        <v>0.42</v>
      </c>
      <c r="R20" s="23">
        <v>0.51</v>
      </c>
      <c r="S20" s="23">
        <v>0.28999999999999998</v>
      </c>
      <c r="T20" s="23">
        <v>0.71</v>
      </c>
      <c r="U20" s="23">
        <v>0.1</v>
      </c>
      <c r="V20" s="23">
        <v>0.03</v>
      </c>
      <c r="W20" s="23">
        <v>0.59</v>
      </c>
      <c r="X20" s="23">
        <v>0.18</v>
      </c>
      <c r="Y20" s="23">
        <v>0.09</v>
      </c>
      <c r="Z20" s="23">
        <v>0.28999999999999998</v>
      </c>
      <c r="AA20" s="23">
        <v>0.64</v>
      </c>
      <c r="AB20" s="23">
        <v>0.38</v>
      </c>
      <c r="AC20" s="23">
        <v>0.66</v>
      </c>
      <c r="AD20" s="23">
        <v>0.05</v>
      </c>
      <c r="AE20" s="23">
        <v>0.09</v>
      </c>
      <c r="AF20" s="23">
        <v>7.0000000000000007E-2</v>
      </c>
      <c r="AG20" s="23">
        <v>0.04</v>
      </c>
      <c r="AH20" s="23">
        <v>0.12</v>
      </c>
      <c r="AI20" s="23">
        <v>0.13</v>
      </c>
      <c r="AJ20" s="23">
        <v>0.49790000000000001</v>
      </c>
      <c r="AK20" s="23">
        <v>0.01</v>
      </c>
      <c r="AL20" s="23">
        <v>0.03</v>
      </c>
      <c r="AM20" s="23">
        <v>0.04</v>
      </c>
      <c r="AN20" s="23">
        <v>0.62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ht="27.75" customHeight="1">
      <c r="A21" s="18"/>
      <c r="B21" s="18" t="s">
        <v>106</v>
      </c>
      <c r="C21" s="18">
        <v>2.4</v>
      </c>
      <c r="D21" s="18">
        <v>6.8</v>
      </c>
      <c r="E21" s="18">
        <v>1.6</v>
      </c>
      <c r="F21" s="18">
        <v>4.0999999999999996</v>
      </c>
      <c r="G21" s="18">
        <v>6</v>
      </c>
      <c r="H21" s="18">
        <v>1.7</v>
      </c>
      <c r="I21" s="18">
        <v>1.7</v>
      </c>
      <c r="J21" s="18">
        <v>1.3</v>
      </c>
      <c r="K21" s="18">
        <v>2.7</v>
      </c>
      <c r="L21" s="18">
        <v>6.5</v>
      </c>
      <c r="M21" s="18">
        <v>4.0999999999999996</v>
      </c>
      <c r="N21" s="18">
        <v>2</v>
      </c>
      <c r="O21" s="18">
        <v>8.9</v>
      </c>
      <c r="P21" s="18">
        <v>2.5</v>
      </c>
      <c r="Q21" s="18">
        <v>1.4</v>
      </c>
      <c r="R21" s="18">
        <v>3.2</v>
      </c>
      <c r="S21" s="18">
        <v>4.9000000000000004</v>
      </c>
      <c r="T21" s="18">
        <v>2.9</v>
      </c>
      <c r="U21" s="18">
        <v>1.1000000000000001</v>
      </c>
      <c r="V21" s="18">
        <v>0.9</v>
      </c>
      <c r="W21" s="18">
        <v>34.200000000000003</v>
      </c>
      <c r="X21" s="18">
        <v>2.4</v>
      </c>
      <c r="Y21" s="18">
        <v>0.3</v>
      </c>
      <c r="Z21" s="18">
        <v>2.2999999999999998</v>
      </c>
      <c r="AA21" s="18">
        <v>3.2</v>
      </c>
      <c r="AB21" s="18">
        <v>7.9</v>
      </c>
      <c r="AC21" s="18">
        <v>3.6</v>
      </c>
      <c r="AD21" s="18">
        <v>2.2000000000000002</v>
      </c>
      <c r="AE21" s="18">
        <v>0.4</v>
      </c>
      <c r="AF21" s="18">
        <v>1.4</v>
      </c>
      <c r="AG21" s="18">
        <v>2.4</v>
      </c>
      <c r="AH21" s="18">
        <v>3.4</v>
      </c>
      <c r="AI21" s="18">
        <v>2.9</v>
      </c>
      <c r="AJ21" s="18">
        <v>2.2599999999999998</v>
      </c>
      <c r="AK21" s="18">
        <v>0.1</v>
      </c>
      <c r="AL21" s="18">
        <v>1.01</v>
      </c>
      <c r="AM21" s="18">
        <v>0.9</v>
      </c>
      <c r="AN21" s="18">
        <v>3.6</v>
      </c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 spans="1:50" ht="45">
      <c r="A22" s="18"/>
      <c r="B22" s="18" t="s">
        <v>107</v>
      </c>
      <c r="C22" s="23">
        <v>0.18</v>
      </c>
      <c r="D22" s="25">
        <v>7.0000000000000007E-2</v>
      </c>
      <c r="E22" s="25">
        <v>0.01</v>
      </c>
      <c r="F22" s="25">
        <v>0.06</v>
      </c>
      <c r="G22" s="23">
        <v>0.37</v>
      </c>
      <c r="H22" s="23">
        <v>0.04</v>
      </c>
      <c r="I22" s="23">
        <v>0.06</v>
      </c>
      <c r="J22" s="23">
        <v>7.0000000000000007E-2</v>
      </c>
      <c r="K22" s="23">
        <v>0.11</v>
      </c>
      <c r="L22" s="23">
        <v>0.14000000000000001</v>
      </c>
      <c r="M22" s="23">
        <v>0.1</v>
      </c>
      <c r="N22" s="23">
        <v>7.0000000000000007E-2</v>
      </c>
      <c r="O22" s="23">
        <v>0.22</v>
      </c>
      <c r="P22" s="23">
        <v>0.06</v>
      </c>
      <c r="Q22" s="23">
        <f>3408/Q18</f>
        <v>9.206580760191263E-2</v>
      </c>
      <c r="R22" s="23">
        <f>3885/R18</f>
        <v>0.20024740992732334</v>
      </c>
      <c r="S22" s="23">
        <f>21346/S18</f>
        <v>0.14494859641736721</v>
      </c>
      <c r="T22" s="23">
        <v>0.31</v>
      </c>
      <c r="U22" s="23">
        <v>0.03</v>
      </c>
      <c r="V22" s="23">
        <v>0.01</v>
      </c>
      <c r="W22" s="23">
        <v>0.39</v>
      </c>
      <c r="X22" s="23">
        <v>0.06</v>
      </c>
      <c r="Y22" s="23">
        <v>0.01</v>
      </c>
      <c r="Z22" s="23">
        <v>0.11</v>
      </c>
      <c r="AA22" s="23">
        <v>0.23</v>
      </c>
      <c r="AB22" s="23">
        <v>0.21</v>
      </c>
      <c r="AC22" s="23">
        <v>0.18</v>
      </c>
      <c r="AD22" s="23">
        <v>0.02</v>
      </c>
      <c r="AE22" s="23">
        <v>0.01</v>
      </c>
      <c r="AF22" s="23">
        <v>0.02</v>
      </c>
      <c r="AG22" s="23">
        <v>0.02</v>
      </c>
      <c r="AH22" s="23">
        <v>0.04</v>
      </c>
      <c r="AI22" s="23">
        <v>0.04</v>
      </c>
      <c r="AJ22" s="23">
        <v>0.08</v>
      </c>
      <c r="AK22" s="23">
        <v>0</v>
      </c>
      <c r="AL22" s="23">
        <v>0.02</v>
      </c>
      <c r="AM22" s="23">
        <v>0.01</v>
      </c>
      <c r="AN22" s="25">
        <v>0.1</v>
      </c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ht="29.25" customHeight="1">
      <c r="A23" s="18"/>
      <c r="B23" s="18" t="s">
        <v>108</v>
      </c>
      <c r="C23" s="23">
        <v>0.01</v>
      </c>
      <c r="D23" s="25">
        <v>0.01</v>
      </c>
      <c r="E23" s="25">
        <v>0</v>
      </c>
      <c r="F23" s="25">
        <v>0</v>
      </c>
      <c r="G23" s="23">
        <v>0.04</v>
      </c>
      <c r="H23" s="23">
        <v>0</v>
      </c>
      <c r="I23" s="23">
        <v>0</v>
      </c>
      <c r="J23" s="23">
        <v>0.01</v>
      </c>
      <c r="K23" s="23">
        <v>0</v>
      </c>
      <c r="L23" s="23">
        <v>0.03</v>
      </c>
      <c r="M23" s="23">
        <v>0</v>
      </c>
      <c r="N23" s="23">
        <v>0.01</v>
      </c>
      <c r="O23" s="23">
        <v>0</v>
      </c>
      <c r="P23" s="23">
        <v>0.01</v>
      </c>
      <c r="Q23" s="23">
        <f>2089/Q18</f>
        <v>5.6433530540022155E-2</v>
      </c>
      <c r="R23" s="23">
        <f>209/R18</f>
        <v>1.0772640585536827E-2</v>
      </c>
      <c r="S23" s="23">
        <f>459/S18</f>
        <v>3.1168090394252577E-3</v>
      </c>
      <c r="T23" s="23">
        <v>0.02</v>
      </c>
      <c r="U23" s="23">
        <v>0.01</v>
      </c>
      <c r="V23" s="23">
        <v>0</v>
      </c>
      <c r="W23" s="23">
        <v>0.04</v>
      </c>
      <c r="X23" s="23">
        <v>0</v>
      </c>
      <c r="Y23" s="23">
        <v>0</v>
      </c>
      <c r="Z23" s="23">
        <v>0.01</v>
      </c>
      <c r="AA23" s="23">
        <v>0.03</v>
      </c>
      <c r="AB23" s="23">
        <v>0.02</v>
      </c>
      <c r="AC23" s="23">
        <v>0.01</v>
      </c>
      <c r="AD23" s="23">
        <v>0.01</v>
      </c>
      <c r="AE23" s="23">
        <v>0</v>
      </c>
      <c r="AF23" s="23">
        <v>0</v>
      </c>
      <c r="AG23" s="23">
        <v>0</v>
      </c>
      <c r="AH23" s="23">
        <v>0</v>
      </c>
      <c r="AI23" s="23">
        <v>0.01</v>
      </c>
      <c r="AJ23" s="23">
        <v>0.02</v>
      </c>
      <c r="AK23" s="23">
        <v>0</v>
      </c>
      <c r="AL23" s="23">
        <v>0</v>
      </c>
      <c r="AM23" s="23">
        <v>0</v>
      </c>
      <c r="AN23" s="25">
        <v>0.01</v>
      </c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 spans="1:50" ht="30.75" customHeight="1">
      <c r="A24" s="18"/>
      <c r="B24" s="18" t="s">
        <v>109</v>
      </c>
      <c r="C24" s="23">
        <v>0.15</v>
      </c>
      <c r="D24" s="25">
        <v>0.11</v>
      </c>
      <c r="E24" s="25">
        <v>0.05</v>
      </c>
      <c r="F24" s="25">
        <v>7.0000000000000007E-2</v>
      </c>
      <c r="G24" s="23">
        <v>0.33</v>
      </c>
      <c r="H24" s="23">
        <v>0.05</v>
      </c>
      <c r="I24" s="23">
        <v>0.28000000000000003</v>
      </c>
      <c r="J24" s="23">
        <v>0.04</v>
      </c>
      <c r="K24" s="23">
        <v>0.11</v>
      </c>
      <c r="L24" s="23">
        <v>0.13</v>
      </c>
      <c r="M24" s="23">
        <v>0.15</v>
      </c>
      <c r="N24" s="23">
        <v>0.11</v>
      </c>
      <c r="O24" s="23">
        <v>0.22</v>
      </c>
      <c r="P24" s="23">
        <v>7.0000000000000007E-2</v>
      </c>
      <c r="Q24" s="23">
        <f>9192/Q18</f>
        <v>0.24831834022206015</v>
      </c>
      <c r="R24" s="23">
        <f>4675/R18</f>
        <v>0.24096696046595537</v>
      </c>
      <c r="S24" s="23">
        <f>17211/S18</f>
        <v>0.11687015332799153</v>
      </c>
      <c r="T24" s="23">
        <v>0.21</v>
      </c>
      <c r="U24" s="23">
        <v>0.06</v>
      </c>
      <c r="V24" s="23">
        <v>0.01</v>
      </c>
      <c r="W24" s="23">
        <v>0.13</v>
      </c>
      <c r="X24" s="23">
        <v>0.12</v>
      </c>
      <c r="Y24" s="23">
        <v>0.09</v>
      </c>
      <c r="Z24" s="23">
        <v>0.09</v>
      </c>
      <c r="AA24" s="23">
        <v>0.26</v>
      </c>
      <c r="AB24" s="23">
        <v>0.14000000000000001</v>
      </c>
      <c r="AC24" s="23">
        <v>0.34</v>
      </c>
      <c r="AD24" s="23">
        <v>0.03</v>
      </c>
      <c r="AE24" s="23">
        <v>0.06</v>
      </c>
      <c r="AF24" s="23">
        <v>0.05</v>
      </c>
      <c r="AG24" s="23">
        <v>0.02</v>
      </c>
      <c r="AH24" s="23">
        <v>7.0000000000000007E-2</v>
      </c>
      <c r="AI24" s="23">
        <v>0.05</v>
      </c>
      <c r="AJ24" s="23">
        <v>0.24</v>
      </c>
      <c r="AK24" s="23">
        <v>0</v>
      </c>
      <c r="AL24" s="23">
        <v>0.01</v>
      </c>
      <c r="AM24" s="23">
        <v>0.02</v>
      </c>
      <c r="AN24" s="25">
        <v>0.32</v>
      </c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ht="29.25" customHeight="1">
      <c r="A25" s="18"/>
      <c r="B25" s="18" t="s">
        <v>110</v>
      </c>
      <c r="C25" s="23">
        <v>0.02</v>
      </c>
      <c r="D25" s="25">
        <v>0.16</v>
      </c>
      <c r="E25" s="25">
        <v>0</v>
      </c>
      <c r="F25" s="25">
        <v>0</v>
      </c>
      <c r="G25" s="23">
        <v>0.21</v>
      </c>
      <c r="H25" s="25">
        <v>0.01</v>
      </c>
      <c r="I25" s="25">
        <v>0.08</v>
      </c>
      <c r="J25" s="23">
        <v>0</v>
      </c>
      <c r="K25" s="23">
        <v>0.01</v>
      </c>
      <c r="L25" s="23">
        <v>0.02</v>
      </c>
      <c r="M25" s="23">
        <v>0</v>
      </c>
      <c r="N25" s="23">
        <v>0.04</v>
      </c>
      <c r="O25" s="23">
        <v>0.01</v>
      </c>
      <c r="P25" s="23">
        <v>0</v>
      </c>
      <c r="Q25" s="23">
        <f>919/Q18</f>
        <v>2.482643109922468E-2</v>
      </c>
      <c r="R25" s="23">
        <f>1102/R18</f>
        <v>5.6801195814648729E-2</v>
      </c>
      <c r="S25" s="23">
        <f>3062/S18</f>
        <v>2.0792307796775902E-2</v>
      </c>
      <c r="T25" s="23">
        <v>0.18</v>
      </c>
      <c r="U25" s="23">
        <v>0</v>
      </c>
      <c r="V25" s="23">
        <v>0.01</v>
      </c>
      <c r="W25" s="23">
        <v>0.02</v>
      </c>
      <c r="X25" s="23">
        <v>0.05</v>
      </c>
      <c r="Y25" s="23">
        <v>0.01</v>
      </c>
      <c r="Z25" s="23">
        <v>7.0000000000000007E-2</v>
      </c>
      <c r="AA25" s="23">
        <v>0.13</v>
      </c>
      <c r="AB25" s="23">
        <v>0</v>
      </c>
      <c r="AC25" s="23">
        <v>0.13</v>
      </c>
      <c r="AD25" s="23">
        <v>0</v>
      </c>
      <c r="AE25" s="23">
        <v>0.02</v>
      </c>
      <c r="AF25" s="23">
        <v>0.01</v>
      </c>
      <c r="AG25" s="23">
        <v>0</v>
      </c>
      <c r="AH25" s="23">
        <v>0.01</v>
      </c>
      <c r="AI25" s="23">
        <v>0.02</v>
      </c>
      <c r="AJ25" s="23">
        <v>0.19</v>
      </c>
      <c r="AK25" s="23">
        <v>0</v>
      </c>
      <c r="AL25" s="23">
        <v>0</v>
      </c>
      <c r="AM25" s="23">
        <v>0.01</v>
      </c>
      <c r="AN25" s="25">
        <v>0.2</v>
      </c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ht="14.25" customHeight="1">
      <c r="A26" s="26"/>
      <c r="B26" s="27" t="s">
        <v>111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ht="14.25" customHeight="1">
      <c r="A27" s="10"/>
      <c r="B27" s="21" t="s">
        <v>112</v>
      </c>
      <c r="C27" s="28"/>
      <c r="D27" s="28"/>
      <c r="E27" s="29"/>
      <c r="F27" s="29"/>
      <c r="G27" s="29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9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ht="14.25" customHeight="1">
      <c r="A28" s="10"/>
      <c r="B28" s="10" t="s">
        <v>113</v>
      </c>
      <c r="C28" s="23">
        <v>0.76500000000000001</v>
      </c>
      <c r="D28" s="23">
        <v>0.50490000000000002</v>
      </c>
      <c r="E28" s="23">
        <v>0.49409999999999998</v>
      </c>
      <c r="F28" s="23">
        <v>0.4224</v>
      </c>
      <c r="G28" s="23">
        <v>0.34970000000000001</v>
      </c>
      <c r="H28" s="23">
        <v>0.64319999999999999</v>
      </c>
      <c r="I28" s="23">
        <v>0.64570000000000005</v>
      </c>
      <c r="J28" s="23">
        <v>0.54659999999999997</v>
      </c>
      <c r="K28" s="23">
        <v>0.43919999999999998</v>
      </c>
      <c r="L28" s="23">
        <v>0.19650000000000001</v>
      </c>
      <c r="M28" s="23">
        <v>0.50560000000000005</v>
      </c>
      <c r="N28" s="23">
        <v>0.37669999999999998</v>
      </c>
      <c r="O28" s="23">
        <v>0.52049999999999996</v>
      </c>
      <c r="P28" s="23">
        <v>0.58379999999999999</v>
      </c>
      <c r="Q28" s="24">
        <v>0.71319999999999995</v>
      </c>
      <c r="R28" s="23">
        <v>0.52810000000000001</v>
      </c>
      <c r="S28" s="23">
        <v>0.51439999999999997</v>
      </c>
      <c r="T28" s="23">
        <v>0.39989999999999998</v>
      </c>
      <c r="U28" s="23">
        <v>0.68389999999999995</v>
      </c>
      <c r="V28" s="23">
        <v>0.49580000000000002</v>
      </c>
      <c r="W28" s="23">
        <v>0.34110000000000001</v>
      </c>
      <c r="X28" s="23">
        <v>0.56920000000000004</v>
      </c>
      <c r="Y28" s="23">
        <v>0.2681</v>
      </c>
      <c r="Z28" s="23">
        <v>0.29599999999999999</v>
      </c>
      <c r="AA28" s="23">
        <v>0.20680000000000001</v>
      </c>
      <c r="AB28" s="23">
        <v>0.35610000000000003</v>
      </c>
      <c r="AC28" s="23">
        <v>0.58799999999999997</v>
      </c>
      <c r="AD28" s="23">
        <v>0.52759999999999996</v>
      </c>
      <c r="AE28" s="23">
        <v>0.61709999999999998</v>
      </c>
      <c r="AF28" s="23">
        <v>0.47</v>
      </c>
      <c r="AG28" s="23">
        <v>0.64149999999999996</v>
      </c>
      <c r="AH28" s="23">
        <v>0.39689999999999998</v>
      </c>
      <c r="AI28" s="23">
        <v>0.57199999999999995</v>
      </c>
      <c r="AJ28" s="23">
        <v>0.53159999999999996</v>
      </c>
      <c r="AK28" s="23">
        <v>0.52029999999999998</v>
      </c>
      <c r="AL28" s="23">
        <v>0.7077</v>
      </c>
      <c r="AM28" s="23">
        <v>0.44450000000000001</v>
      </c>
      <c r="AN28" s="23">
        <v>0.26690000000000003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ht="14.25" customHeight="1">
      <c r="A29" s="10"/>
      <c r="B29" s="10" t="s">
        <v>114</v>
      </c>
      <c r="C29" s="23">
        <v>4.7699999999999999E-2</v>
      </c>
      <c r="D29" s="23">
        <v>7.4099999999999999E-2</v>
      </c>
      <c r="E29" s="23">
        <v>4.7E-2</v>
      </c>
      <c r="F29" s="23">
        <v>0.1081</v>
      </c>
      <c r="G29" s="23">
        <v>0.30420000000000003</v>
      </c>
      <c r="H29" s="23">
        <v>0</v>
      </c>
      <c r="I29" s="23">
        <v>1.38E-2</v>
      </c>
      <c r="J29" s="23">
        <v>0.13239999999999999</v>
      </c>
      <c r="K29" s="23">
        <v>7.3800000000000004E-2</v>
      </c>
      <c r="L29" s="23">
        <v>0.1278</v>
      </c>
      <c r="M29" s="23">
        <v>0.1724</v>
      </c>
      <c r="N29" s="23">
        <v>0.13900000000000001</v>
      </c>
      <c r="O29" s="23">
        <v>6.54E-2</v>
      </c>
      <c r="P29" s="23">
        <v>5.7000000000000002E-2</v>
      </c>
      <c r="Q29" s="24">
        <v>3.5999999999999999E-3</v>
      </c>
      <c r="R29" s="23">
        <v>5.33E-2</v>
      </c>
      <c r="S29" s="23">
        <v>3.4700000000000002E-2</v>
      </c>
      <c r="T29" s="23">
        <v>0.2087</v>
      </c>
      <c r="U29" s="23">
        <v>0</v>
      </c>
      <c r="V29" s="23">
        <v>8.48E-2</v>
      </c>
      <c r="W29" s="23">
        <v>1.8700000000000001E-2</v>
      </c>
      <c r="X29" s="23">
        <v>5.7000000000000002E-3</v>
      </c>
      <c r="Y29" s="23">
        <v>0.22939999999999999</v>
      </c>
      <c r="Z29" s="23">
        <v>0.1071</v>
      </c>
      <c r="AA29" s="23">
        <v>0.13780000000000001</v>
      </c>
      <c r="AB29" s="23">
        <v>6.9000000000000006E-2</v>
      </c>
      <c r="AC29" s="23">
        <v>0.1226</v>
      </c>
      <c r="AD29" s="23">
        <v>4.9500000000000002E-2</v>
      </c>
      <c r="AE29" s="23">
        <v>5.3199999999999997E-2</v>
      </c>
      <c r="AF29" s="23">
        <v>0.1217</v>
      </c>
      <c r="AG29" s="23">
        <v>4.2299999999999997E-2</v>
      </c>
      <c r="AH29" s="23">
        <v>5.11E-2</v>
      </c>
      <c r="AI29" s="23">
        <v>4.4699999999999997E-2</v>
      </c>
      <c r="AJ29" s="23">
        <v>0.13350000000000001</v>
      </c>
      <c r="AK29" s="23">
        <v>0.1641</v>
      </c>
      <c r="AL29" s="23">
        <v>6.3700000000000007E-2</v>
      </c>
      <c r="AM29" s="23">
        <v>7.4399999999999994E-2</v>
      </c>
      <c r="AN29" s="23">
        <v>0.1457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ht="14.25" customHeight="1">
      <c r="A30" s="10"/>
      <c r="B30" s="10" t="s">
        <v>115</v>
      </c>
      <c r="C30" s="23">
        <v>3.78E-2</v>
      </c>
      <c r="D30" s="23">
        <v>4.3799999999999999E-2</v>
      </c>
      <c r="E30" s="23">
        <v>6.3299999999999995E-2</v>
      </c>
      <c r="F30" s="23">
        <v>0.1028</v>
      </c>
      <c r="G30" s="23">
        <v>2.8299999999999999E-2</v>
      </c>
      <c r="H30" s="23">
        <v>8.6400000000000005E-2</v>
      </c>
      <c r="I30" s="23">
        <v>4.8000000000000001E-2</v>
      </c>
      <c r="J30" s="23">
        <v>3.3000000000000002E-2</v>
      </c>
      <c r="K30" s="23">
        <v>3.5499999999999997E-2</v>
      </c>
      <c r="L30" s="23">
        <v>6.5199999999999994E-2</v>
      </c>
      <c r="M30" s="23">
        <v>6.4699999999999994E-2</v>
      </c>
      <c r="N30" s="23">
        <v>4.7500000000000001E-2</v>
      </c>
      <c r="O30" s="23">
        <v>9.0200000000000002E-2</v>
      </c>
      <c r="P30" s="23">
        <v>8.5099999999999995E-2</v>
      </c>
      <c r="Q30" s="24">
        <v>5.91E-2</v>
      </c>
      <c r="R30" s="23">
        <v>6.5199999999999994E-2</v>
      </c>
      <c r="S30" s="23">
        <v>9.6000000000000002E-2</v>
      </c>
      <c r="T30" s="23">
        <v>3.3700000000000001E-2</v>
      </c>
      <c r="U30" s="23">
        <v>4.53E-2</v>
      </c>
      <c r="V30" s="23">
        <v>5.8299999999999998E-2</v>
      </c>
      <c r="W30" s="23">
        <v>6.5799999999999997E-2</v>
      </c>
      <c r="X30" s="23">
        <v>4.7100000000000003E-2</v>
      </c>
      <c r="Y30" s="23">
        <v>0.112</v>
      </c>
      <c r="Z30" s="23">
        <v>7.4899999999999994E-2</v>
      </c>
      <c r="AA30" s="23">
        <v>0.13039999999999999</v>
      </c>
      <c r="AB30" s="23">
        <v>6.0100000000000001E-2</v>
      </c>
      <c r="AC30" s="23">
        <v>3.32E-2</v>
      </c>
      <c r="AD30" s="23">
        <v>5.6500000000000002E-2</v>
      </c>
      <c r="AE30" s="23">
        <v>7.0199999999999999E-2</v>
      </c>
      <c r="AF30" s="23">
        <v>6.5299999999999997E-2</v>
      </c>
      <c r="AG30" s="23">
        <v>6.08E-2</v>
      </c>
      <c r="AH30" s="23">
        <v>8.1799999999999998E-2</v>
      </c>
      <c r="AI30" s="23">
        <v>6.9800000000000001E-2</v>
      </c>
      <c r="AJ30" s="23">
        <v>2.07E-2</v>
      </c>
      <c r="AK30" s="23">
        <v>5.9400000000000001E-2</v>
      </c>
      <c r="AL30" s="23">
        <v>2.2700000000000001E-2</v>
      </c>
      <c r="AM30" s="23">
        <v>6.7699999999999996E-2</v>
      </c>
      <c r="AN30" s="23">
        <v>6.4699999999999994E-2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ht="14.25" customHeight="1">
      <c r="A31" s="10"/>
      <c r="B31" s="10" t="s">
        <v>116</v>
      </c>
      <c r="C31" s="23">
        <v>3.5000000000000003E-2</v>
      </c>
      <c r="D31" s="23">
        <v>9.7900000000000001E-2</v>
      </c>
      <c r="E31" s="23">
        <v>0.1452</v>
      </c>
      <c r="F31" s="23">
        <v>6.9599999999999995E-2</v>
      </c>
      <c r="G31" s="23">
        <v>3.9600000000000003E-2</v>
      </c>
      <c r="H31" s="23">
        <v>0.1164</v>
      </c>
      <c r="I31" s="23">
        <v>6.9800000000000001E-2</v>
      </c>
      <c r="J31" s="23">
        <v>4.1599999999999998E-2</v>
      </c>
      <c r="K31" s="23">
        <v>5.1900000000000002E-2</v>
      </c>
      <c r="L31" s="23">
        <v>0.16139999999999999</v>
      </c>
      <c r="M31" s="23">
        <v>6.7500000000000004E-2</v>
      </c>
      <c r="N31" s="23">
        <v>4.8899999999999999E-2</v>
      </c>
      <c r="O31" s="23">
        <v>0.13070000000000001</v>
      </c>
      <c r="P31" s="23">
        <v>0.12839999999999999</v>
      </c>
      <c r="Q31" s="24">
        <v>4.1000000000000002E-2</v>
      </c>
      <c r="R31" s="23">
        <v>4.3700000000000003E-2</v>
      </c>
      <c r="S31" s="23">
        <v>3.8300000000000001E-2</v>
      </c>
      <c r="T31" s="23">
        <v>1.83E-2</v>
      </c>
      <c r="U31" s="23">
        <v>6.2100000000000002E-2</v>
      </c>
      <c r="V31" s="23">
        <v>9.1600000000000001E-2</v>
      </c>
      <c r="W31" s="23">
        <v>0.21440000000000001</v>
      </c>
      <c r="X31" s="23">
        <v>0.1011</v>
      </c>
      <c r="Y31" s="23">
        <v>0.1023</v>
      </c>
      <c r="Z31" s="23">
        <v>5.9299999999999999E-2</v>
      </c>
      <c r="AA31" s="23">
        <v>7.0699999999999999E-2</v>
      </c>
      <c r="AB31" s="23">
        <v>5.5100000000000003E-2</v>
      </c>
      <c r="AC31" s="23">
        <v>0.02</v>
      </c>
      <c r="AD31" s="23">
        <v>7.6300000000000007E-2</v>
      </c>
      <c r="AE31" s="23">
        <v>0.10150000000000001</v>
      </c>
      <c r="AF31" s="23">
        <v>9.6000000000000002E-2</v>
      </c>
      <c r="AG31" s="23">
        <v>0.1022</v>
      </c>
      <c r="AH31" s="23">
        <v>0.1241</v>
      </c>
      <c r="AI31" s="23">
        <v>7.6600000000000001E-2</v>
      </c>
      <c r="AJ31" s="23">
        <v>5.5599999999999997E-2</v>
      </c>
      <c r="AK31" s="23">
        <v>0.115</v>
      </c>
      <c r="AL31" s="23">
        <v>0.08</v>
      </c>
      <c r="AM31" s="23">
        <v>0.1123</v>
      </c>
      <c r="AN31" s="23">
        <v>7.8E-2</v>
      </c>
      <c r="AO31" s="10"/>
      <c r="AP31" s="23">
        <f t="shared" ref="AP31:AP32" si="3">SUM(D31:AN31)/39</f>
        <v>7.959999999999999E-2</v>
      </c>
      <c r="AQ31" s="10"/>
      <c r="AR31" s="30" t="s">
        <v>117</v>
      </c>
      <c r="AS31" s="10"/>
      <c r="AT31" s="10"/>
      <c r="AU31" s="10"/>
      <c r="AV31" s="10"/>
      <c r="AW31" s="10"/>
      <c r="AX31" s="10"/>
    </row>
    <row r="32" spans="1:50" ht="14.25" customHeight="1">
      <c r="A32" s="10"/>
      <c r="B32" s="10" t="s">
        <v>118</v>
      </c>
      <c r="C32" s="23">
        <v>1.4800000000000001E-2</v>
      </c>
      <c r="D32" s="23">
        <v>9.11E-2</v>
      </c>
      <c r="E32" s="23">
        <v>8.1299999999999997E-2</v>
      </c>
      <c r="F32" s="23">
        <v>5.8799999999999998E-2</v>
      </c>
      <c r="G32" s="23">
        <v>2.41E-2</v>
      </c>
      <c r="H32" s="23">
        <v>4.3400000000000001E-2</v>
      </c>
      <c r="I32" s="23">
        <v>3.9800000000000002E-2</v>
      </c>
      <c r="J32" s="23">
        <v>4.0300000000000002E-2</v>
      </c>
      <c r="K32" s="23">
        <v>6.5000000000000002E-2</v>
      </c>
      <c r="L32" s="23">
        <v>4.1200000000000001E-2</v>
      </c>
      <c r="M32" s="23">
        <v>2.4899999999999999E-2</v>
      </c>
      <c r="N32" s="23">
        <v>5.8400000000000001E-2</v>
      </c>
      <c r="O32" s="23">
        <v>6.0699999999999997E-2</v>
      </c>
      <c r="P32" s="23">
        <v>4.8800000000000003E-2</v>
      </c>
      <c r="Q32" s="24">
        <v>2.6700000000000002E-2</v>
      </c>
      <c r="R32" s="23">
        <v>4.1000000000000002E-2</v>
      </c>
      <c r="S32" s="23">
        <v>5.7700000000000001E-2</v>
      </c>
      <c r="T32" s="23">
        <v>2.9399999999999999E-2</v>
      </c>
      <c r="U32" s="23">
        <v>7.7499999999999999E-2</v>
      </c>
      <c r="V32" s="23">
        <v>6.6699999999999995E-2</v>
      </c>
      <c r="W32" s="23">
        <v>0.10390000000000001</v>
      </c>
      <c r="X32" s="23">
        <v>2.9700000000000001E-2</v>
      </c>
      <c r="Y32" s="23">
        <v>5.2900000000000003E-2</v>
      </c>
      <c r="Z32" s="23">
        <v>5.8400000000000001E-2</v>
      </c>
      <c r="AA32" s="23">
        <v>0.1212</v>
      </c>
      <c r="AB32" s="23">
        <v>3.6200000000000003E-2</v>
      </c>
      <c r="AC32" s="23">
        <v>2.7099999999999999E-2</v>
      </c>
      <c r="AD32" s="23">
        <v>7.4399999999999994E-2</v>
      </c>
      <c r="AE32" s="23">
        <v>7.0800000000000002E-2</v>
      </c>
      <c r="AF32" s="23">
        <v>7.8299999999999995E-2</v>
      </c>
      <c r="AG32" s="23">
        <v>6.2899999999999998E-2</v>
      </c>
      <c r="AH32" s="23">
        <v>0.12089999999999999</v>
      </c>
      <c r="AI32" s="23">
        <v>7.6200000000000004E-2</v>
      </c>
      <c r="AJ32" s="23">
        <v>2.5100000000000001E-2</v>
      </c>
      <c r="AK32" s="23">
        <v>5.2499999999999998E-2</v>
      </c>
      <c r="AL32" s="23">
        <v>5.67E-2</v>
      </c>
      <c r="AM32" s="23">
        <v>9.2799999999999994E-2</v>
      </c>
      <c r="AN32" s="23">
        <v>7.3099999999999998E-2</v>
      </c>
      <c r="AO32" s="10"/>
      <c r="AP32" s="23">
        <f t="shared" si="3"/>
        <v>5.6151282051282059E-2</v>
      </c>
      <c r="AQ32" s="10"/>
      <c r="AR32" s="10">
        <f>AP8*(AP31+AP32)</f>
        <v>219.83005687047998</v>
      </c>
      <c r="AS32" s="10"/>
      <c r="AT32" s="10"/>
      <c r="AU32" s="10"/>
      <c r="AV32" s="10"/>
      <c r="AW32" s="10"/>
      <c r="AX32" s="10"/>
    </row>
    <row r="33" spans="1:50" ht="14.25" customHeight="1">
      <c r="A33" s="10"/>
      <c r="B33" s="10" t="s">
        <v>119</v>
      </c>
      <c r="C33" s="23">
        <v>2.0999999999999999E-3</v>
      </c>
      <c r="D33" s="23">
        <v>2.2499999999999999E-2</v>
      </c>
      <c r="E33" s="23">
        <v>1.9300000000000001E-2</v>
      </c>
      <c r="F33" s="23">
        <v>3.4500000000000003E-2</v>
      </c>
      <c r="G33" s="23">
        <v>6.4999999999999997E-3</v>
      </c>
      <c r="H33" s="23">
        <v>6.3E-3</v>
      </c>
      <c r="I33" s="23">
        <v>8.9999999999999993E-3</v>
      </c>
      <c r="J33" s="23">
        <v>9.1000000000000004E-3</v>
      </c>
      <c r="K33" s="23">
        <v>1.7100000000000001E-2</v>
      </c>
      <c r="L33" s="23">
        <v>1.9E-2</v>
      </c>
      <c r="M33" s="23">
        <v>7.4999999999999997E-3</v>
      </c>
      <c r="N33" s="23">
        <v>1.6299999999999999E-2</v>
      </c>
      <c r="O33" s="23">
        <v>1.0200000000000001E-2</v>
      </c>
      <c r="P33" s="23">
        <v>7.4000000000000003E-3</v>
      </c>
      <c r="Q33" s="24">
        <v>8.6E-3</v>
      </c>
      <c r="R33" s="23">
        <v>1.7500000000000002E-2</v>
      </c>
      <c r="S33" s="23">
        <v>1.2999999999999999E-2</v>
      </c>
      <c r="T33" s="23">
        <v>6.4000000000000003E-3</v>
      </c>
      <c r="U33" s="23">
        <v>1.6799999999999999E-2</v>
      </c>
      <c r="V33" s="23">
        <v>1.44E-2</v>
      </c>
      <c r="W33" s="23">
        <v>2.1600000000000001E-2</v>
      </c>
      <c r="X33" s="23">
        <v>4.0000000000000002E-4</v>
      </c>
      <c r="Y33" s="23">
        <v>3.7199999999999997E-2</v>
      </c>
      <c r="Z33" s="23">
        <v>1.9699999999999999E-2</v>
      </c>
      <c r="AA33" s="23">
        <v>4.1200000000000001E-2</v>
      </c>
      <c r="AB33" s="23">
        <v>1.49E-2</v>
      </c>
      <c r="AC33" s="23">
        <v>3.5400000000000001E-2</v>
      </c>
      <c r="AD33" s="23">
        <v>7.6E-3</v>
      </c>
      <c r="AE33" s="23">
        <v>9.1999999999999998E-3</v>
      </c>
      <c r="AF33" s="23">
        <v>1.4200000000000001E-2</v>
      </c>
      <c r="AG33" s="23">
        <v>8.5000000000000006E-3</v>
      </c>
      <c r="AH33" s="23">
        <v>2.1899999999999999E-2</v>
      </c>
      <c r="AI33" s="23">
        <v>2.9600000000000001E-2</v>
      </c>
      <c r="AJ33" s="23">
        <v>4.5999999999999999E-3</v>
      </c>
      <c r="AK33" s="23">
        <v>7.6E-3</v>
      </c>
      <c r="AL33" s="23">
        <v>8.5000000000000006E-3</v>
      </c>
      <c r="AM33" s="23">
        <v>3.6600000000000001E-2</v>
      </c>
      <c r="AN33" s="23">
        <v>4.6100000000000002E-2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ht="14.25" customHeight="1">
      <c r="A34" s="10"/>
      <c r="B34" s="10" t="s">
        <v>120</v>
      </c>
      <c r="C34" s="23">
        <v>5.4999999999999997E-3</v>
      </c>
      <c r="D34" s="23">
        <v>2.64E-2</v>
      </c>
      <c r="E34" s="23">
        <v>1.7399999999999999E-2</v>
      </c>
      <c r="F34" s="23">
        <v>3.0599999999999999E-2</v>
      </c>
      <c r="G34" s="23">
        <v>1.12E-2</v>
      </c>
      <c r="H34" s="23">
        <v>1.5800000000000002E-2</v>
      </c>
      <c r="I34" s="23">
        <v>1.55E-2</v>
      </c>
      <c r="J34" s="23">
        <v>1.12E-2</v>
      </c>
      <c r="K34" s="23">
        <v>1.95E-2</v>
      </c>
      <c r="L34" s="23">
        <v>8.0999999999999996E-3</v>
      </c>
      <c r="M34" s="23">
        <v>1.84E-2</v>
      </c>
      <c r="N34" s="23">
        <v>4.5999999999999999E-2</v>
      </c>
      <c r="O34" s="23">
        <v>1.1299999999999999E-2</v>
      </c>
      <c r="P34" s="23">
        <v>1.2699999999999999E-2</v>
      </c>
      <c r="Q34" s="24">
        <v>2.2800000000000001E-2</v>
      </c>
      <c r="R34" s="23">
        <v>3.0800000000000001E-2</v>
      </c>
      <c r="S34" s="23">
        <v>4.8899999999999999E-2</v>
      </c>
      <c r="T34" s="23">
        <v>1.03E-2</v>
      </c>
      <c r="U34" s="23">
        <v>3.7199999999999997E-2</v>
      </c>
      <c r="V34" s="23">
        <v>2.3400000000000001E-2</v>
      </c>
      <c r="W34" s="23">
        <v>2.5999999999999999E-2</v>
      </c>
      <c r="X34" s="23">
        <v>1.4500000000000001E-2</v>
      </c>
      <c r="Y34" s="23">
        <v>3.3500000000000002E-2</v>
      </c>
      <c r="Z34" s="23">
        <v>3.5400000000000001E-2</v>
      </c>
      <c r="AA34" s="23">
        <v>3.3399999999999999E-2</v>
      </c>
      <c r="AB34" s="23">
        <v>1.52E-2</v>
      </c>
      <c r="AC34" s="23">
        <v>3.0200000000000001E-2</v>
      </c>
      <c r="AD34" s="23">
        <v>8.7800000000000003E-2</v>
      </c>
      <c r="AE34" s="23">
        <v>3.1E-2</v>
      </c>
      <c r="AF34" s="23">
        <v>4.4299999999999999E-2</v>
      </c>
      <c r="AG34" s="23">
        <v>1.7000000000000001E-2</v>
      </c>
      <c r="AH34" s="23">
        <v>0.1061</v>
      </c>
      <c r="AI34" s="23">
        <v>9.4999999999999998E-3</v>
      </c>
      <c r="AJ34" s="23">
        <v>8.2000000000000007E-3</v>
      </c>
      <c r="AK34" s="23">
        <v>1.7299999999999999E-2</v>
      </c>
      <c r="AL34" s="23">
        <v>8.2000000000000007E-3</v>
      </c>
      <c r="AM34" s="23">
        <v>2.2700000000000001E-2</v>
      </c>
      <c r="AN34" s="23">
        <v>0.1411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ht="14.25" customHeight="1">
      <c r="A35" s="10"/>
      <c r="B35" s="10" t="s">
        <v>121</v>
      </c>
      <c r="C35" s="23">
        <v>2.75E-2</v>
      </c>
      <c r="D35" s="23">
        <v>2.1499999999999998E-2</v>
      </c>
      <c r="E35" s="23">
        <v>2.0500000000000001E-2</v>
      </c>
      <c r="F35" s="23">
        <v>6.3500000000000001E-2</v>
      </c>
      <c r="G35" s="23">
        <v>9.2100000000000001E-2</v>
      </c>
      <c r="H35" s="23">
        <v>1.5100000000000001E-2</v>
      </c>
      <c r="I35" s="23">
        <v>1.83E-2</v>
      </c>
      <c r="J35" s="23">
        <v>1.9300000000000001E-2</v>
      </c>
      <c r="K35" s="23">
        <v>2.5700000000000001E-2</v>
      </c>
      <c r="L35" s="23">
        <v>5.11E-2</v>
      </c>
      <c r="M35" s="23">
        <v>4.4200000000000003E-2</v>
      </c>
      <c r="N35" s="23">
        <v>0.1391</v>
      </c>
      <c r="O35" s="23">
        <v>3.3700000000000001E-2</v>
      </c>
      <c r="P35" s="23">
        <v>2.7099999999999999E-2</v>
      </c>
      <c r="Q35" s="24">
        <v>4.58E-2</v>
      </c>
      <c r="R35" s="23">
        <v>5.1799999999999999E-2</v>
      </c>
      <c r="S35" s="23">
        <v>3.6400000000000002E-2</v>
      </c>
      <c r="T35" s="23">
        <v>4.1799999999999997E-2</v>
      </c>
      <c r="U35" s="23">
        <v>1.78E-2</v>
      </c>
      <c r="V35" s="23">
        <v>3.6499999999999998E-2</v>
      </c>
      <c r="W35" s="23">
        <v>8.14E-2</v>
      </c>
      <c r="X35" s="23">
        <v>4.8300000000000003E-2</v>
      </c>
      <c r="Y35" s="23">
        <v>4.53E-2</v>
      </c>
      <c r="Z35" s="23">
        <v>2.1700000000000001E-2</v>
      </c>
      <c r="AA35" s="23">
        <v>9.5600000000000004E-2</v>
      </c>
      <c r="AB35" s="23">
        <v>3.5200000000000002E-2</v>
      </c>
      <c r="AC35" s="23">
        <v>4.0300000000000002E-2</v>
      </c>
      <c r="AD35" s="23">
        <v>2.58E-2</v>
      </c>
      <c r="AE35" s="23">
        <v>7.3000000000000001E-3</v>
      </c>
      <c r="AF35" s="23">
        <v>2.0400000000000001E-2</v>
      </c>
      <c r="AG35" s="23">
        <v>5.0000000000000001E-3</v>
      </c>
      <c r="AH35" s="23">
        <v>7.4000000000000003E-3</v>
      </c>
      <c r="AI35" s="23">
        <v>1.6199999999999999E-2</v>
      </c>
      <c r="AJ35" s="23">
        <v>4.4299999999999999E-2</v>
      </c>
      <c r="AK35" s="23">
        <v>3.5400000000000001E-2</v>
      </c>
      <c r="AL35" s="23">
        <v>8.9999999999999993E-3</v>
      </c>
      <c r="AM35" s="23">
        <v>5.79E-2</v>
      </c>
      <c r="AN35" s="23">
        <v>2.7300000000000001E-2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ht="14.25" customHeight="1">
      <c r="A36" s="10"/>
      <c r="B36" s="10" t="s">
        <v>122</v>
      </c>
      <c r="C36" s="23">
        <v>4.7999999999999996E-3</v>
      </c>
      <c r="D36" s="23">
        <v>8.2000000000000007E-3</v>
      </c>
      <c r="E36" s="23">
        <v>2.8E-3</v>
      </c>
      <c r="F36" s="23">
        <v>1.9800000000000002E-2</v>
      </c>
      <c r="G36" s="23">
        <v>0.03</v>
      </c>
      <c r="H36" s="23">
        <v>0</v>
      </c>
      <c r="I36" s="23">
        <v>6.9999999999999999E-4</v>
      </c>
      <c r="J36" s="23">
        <v>8.9999999999999993E-3</v>
      </c>
      <c r="K36" s="23">
        <v>4.1399999999999999E-2</v>
      </c>
      <c r="L36" s="23">
        <v>4.7000000000000002E-3</v>
      </c>
      <c r="M36" s="23">
        <v>1.6400000000000001E-2</v>
      </c>
      <c r="N36" s="23">
        <v>2.5999999999999999E-3</v>
      </c>
      <c r="O36" s="23">
        <v>1.4999999999999999E-2</v>
      </c>
      <c r="P36" s="23">
        <v>4.0000000000000001E-3</v>
      </c>
      <c r="Q36" s="24">
        <v>1.9E-3</v>
      </c>
      <c r="R36" s="23">
        <v>6.1999999999999998E-3</v>
      </c>
      <c r="S36" s="23">
        <v>2.1899999999999999E-2</v>
      </c>
      <c r="T36" s="23">
        <v>4.1000000000000003E-3</v>
      </c>
      <c r="U36" s="23">
        <v>1.6000000000000001E-3</v>
      </c>
      <c r="V36" s="23">
        <v>6.4000000000000003E-3</v>
      </c>
      <c r="W36" s="23">
        <v>7.1000000000000004E-3</v>
      </c>
      <c r="X36" s="23">
        <v>4.9700000000000001E-2</v>
      </c>
      <c r="Y36" s="23">
        <v>6.9999999999999999E-4</v>
      </c>
      <c r="Z36" s="23">
        <v>2.9999999999999997E-4</v>
      </c>
      <c r="AA36" s="23">
        <v>1.8E-3</v>
      </c>
      <c r="AB36" s="23">
        <v>7.1000000000000004E-3</v>
      </c>
      <c r="AC36" s="23">
        <v>0.02</v>
      </c>
      <c r="AD36" s="23">
        <v>1.2999999999999999E-2</v>
      </c>
      <c r="AE36" s="23">
        <v>1.4E-3</v>
      </c>
      <c r="AF36" s="23">
        <v>7.0000000000000001E-3</v>
      </c>
      <c r="AG36" s="23">
        <v>1.1999999999999999E-3</v>
      </c>
      <c r="AH36" s="23">
        <v>4.4999999999999997E-3</v>
      </c>
      <c r="AI36" s="23">
        <v>9.1999999999999998E-3</v>
      </c>
      <c r="AJ36" s="23">
        <v>4.4000000000000003E-3</v>
      </c>
      <c r="AK36" s="23">
        <v>7.3000000000000001E-3</v>
      </c>
      <c r="AL36" s="23">
        <v>3.0999999999999999E-3</v>
      </c>
      <c r="AM36" s="23">
        <v>8.8999999999999999E-3</v>
      </c>
      <c r="AN36" s="23">
        <v>3.1800000000000002E-2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ht="14.25" customHeight="1">
      <c r="A37" s="10"/>
      <c r="B37" s="10" t="s">
        <v>123</v>
      </c>
      <c r="C37" s="23">
        <v>1E-3</v>
      </c>
      <c r="D37" s="23">
        <v>4.7000000000000002E-3</v>
      </c>
      <c r="E37" s="23">
        <v>7.4000000000000003E-3</v>
      </c>
      <c r="F37" s="23">
        <v>1.6999999999999999E-3</v>
      </c>
      <c r="G37" s="23">
        <v>7.1999999999999998E-3</v>
      </c>
      <c r="H37" s="23">
        <v>4.7000000000000002E-3</v>
      </c>
      <c r="I37" s="23">
        <v>1.17E-2</v>
      </c>
      <c r="J37" s="23">
        <v>1.41E-2</v>
      </c>
      <c r="K37" s="23">
        <v>1.6199999999999999E-2</v>
      </c>
      <c r="L37" s="23">
        <v>0.11650000000000001</v>
      </c>
      <c r="M37" s="23">
        <v>1.5900000000000001E-2</v>
      </c>
      <c r="N37" s="23">
        <v>2.29E-2</v>
      </c>
      <c r="O37" s="23">
        <v>4.0000000000000001E-3</v>
      </c>
      <c r="P37" s="23">
        <v>3.8999999999999998E-3</v>
      </c>
      <c r="Q37" s="24">
        <v>5.0000000000000001E-3</v>
      </c>
      <c r="R37" s="23">
        <v>1.43E-2</v>
      </c>
      <c r="S37" s="23">
        <v>1.9800000000000002E-2</v>
      </c>
      <c r="T37" s="23">
        <v>5.0000000000000001E-3</v>
      </c>
      <c r="U37" s="23">
        <v>3.6499999999999998E-2</v>
      </c>
      <c r="V37" s="23">
        <v>4.7000000000000002E-3</v>
      </c>
      <c r="W37" s="23">
        <v>7.3000000000000001E-3</v>
      </c>
      <c r="X37" s="23">
        <v>0</v>
      </c>
      <c r="Y37" s="23">
        <v>1.6500000000000001E-2</v>
      </c>
      <c r="Z37" s="23">
        <v>2.0899999999999998E-2</v>
      </c>
      <c r="AA37" s="23">
        <v>2.3199999999999998E-2</v>
      </c>
      <c r="AB37" s="23">
        <v>2.3400000000000001E-2</v>
      </c>
      <c r="AC37" s="23">
        <v>5.9900000000000002E-2</v>
      </c>
      <c r="AD37" s="23">
        <v>2.6499999999999999E-2</v>
      </c>
      <c r="AE37" s="23">
        <v>5.7999999999999996E-3</v>
      </c>
      <c r="AF37" s="23">
        <v>3.2199999999999999E-2</v>
      </c>
      <c r="AG37" s="23">
        <v>2.41E-2</v>
      </c>
      <c r="AH37" s="23">
        <v>7.1000000000000004E-3</v>
      </c>
      <c r="AI37" s="23">
        <v>5.1999999999999998E-3</v>
      </c>
      <c r="AJ37" s="23">
        <v>1.2999999999999999E-2</v>
      </c>
      <c r="AK37" s="23">
        <v>5.7999999999999996E-3</v>
      </c>
      <c r="AL37" s="23">
        <v>4.3E-3</v>
      </c>
      <c r="AM37" s="23">
        <v>1.09E-2</v>
      </c>
      <c r="AN37" s="23">
        <v>3.1E-2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ht="14.25" customHeight="1">
      <c r="A38" s="10"/>
      <c r="B38" s="10" t="s">
        <v>124</v>
      </c>
      <c r="C38" s="23">
        <v>9.1999999999999998E-3</v>
      </c>
      <c r="D38" s="23">
        <v>2.0400000000000001E-2</v>
      </c>
      <c r="E38" s="23">
        <v>1.01E-2</v>
      </c>
      <c r="F38" s="23">
        <v>1.5699999999999999E-2</v>
      </c>
      <c r="G38" s="23">
        <v>2.2000000000000001E-3</v>
      </c>
      <c r="H38" s="23">
        <v>1.8100000000000002E-2</v>
      </c>
      <c r="I38" s="23">
        <v>2.0199999999999999E-2</v>
      </c>
      <c r="J38" s="23">
        <v>4.4000000000000003E-3</v>
      </c>
      <c r="K38" s="23">
        <v>2.4899999999999999E-2</v>
      </c>
      <c r="L38" s="23">
        <v>7.3700000000000002E-2</v>
      </c>
      <c r="M38" s="23">
        <v>7.4999999999999997E-3</v>
      </c>
      <c r="N38" s="23">
        <v>3.3700000000000001E-2</v>
      </c>
      <c r="O38" s="23">
        <v>9.5999999999999992E-3</v>
      </c>
      <c r="P38" s="23">
        <v>4.1000000000000003E-3</v>
      </c>
      <c r="Q38" s="31">
        <v>0</v>
      </c>
      <c r="R38" s="23">
        <v>1.24E-2</v>
      </c>
      <c r="S38" s="23">
        <v>4.07E-2</v>
      </c>
      <c r="T38" s="23">
        <v>5.4000000000000003E-3</v>
      </c>
      <c r="U38" s="23">
        <v>1.7600000000000001E-2</v>
      </c>
      <c r="V38" s="23">
        <v>4.4999999999999997E-3</v>
      </c>
      <c r="W38" s="23">
        <v>2.3400000000000001E-2</v>
      </c>
      <c r="X38" s="23">
        <v>1.41E-2</v>
      </c>
      <c r="Y38" s="23">
        <v>1.1999999999999999E-3</v>
      </c>
      <c r="Z38" s="23">
        <v>5.8299999999999998E-2</v>
      </c>
      <c r="AA38" s="23">
        <v>0.1241</v>
      </c>
      <c r="AB38" s="23">
        <v>9.9099999999999994E-2</v>
      </c>
      <c r="AC38" s="23">
        <v>2.3300000000000001E-2</v>
      </c>
      <c r="AD38" s="23">
        <v>2.1999999999999999E-2</v>
      </c>
      <c r="AE38" s="23">
        <v>1.9300000000000001E-2</v>
      </c>
      <c r="AF38" s="23">
        <v>2.5700000000000001E-2</v>
      </c>
      <c r="AG38" s="23">
        <v>2.93E-2</v>
      </c>
      <c r="AH38" s="23">
        <v>4.7699999999999999E-2</v>
      </c>
      <c r="AI38" s="23">
        <v>3.9E-2</v>
      </c>
      <c r="AJ38" s="23">
        <v>4.4999999999999997E-3</v>
      </c>
      <c r="AK38" s="23">
        <v>9.9000000000000008E-3</v>
      </c>
      <c r="AL38" s="23">
        <v>1.3599999999999999E-2</v>
      </c>
      <c r="AM38" s="23">
        <v>3.44E-2</v>
      </c>
      <c r="AN38" s="23">
        <v>2.7799999999999998E-2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ht="14.25" customHeight="1">
      <c r="A39" s="10"/>
      <c r="B39" s="1" t="s">
        <v>125</v>
      </c>
      <c r="C39" s="23">
        <v>4.9599999999999998E-2</v>
      </c>
      <c r="D39" s="23">
        <v>8.4500000000000006E-2</v>
      </c>
      <c r="E39" s="23">
        <v>9.1600000000000001E-2</v>
      </c>
      <c r="F39" s="23">
        <v>7.2499999999999995E-2</v>
      </c>
      <c r="G39" s="23">
        <v>0.10489999999999999</v>
      </c>
      <c r="H39" s="23">
        <v>5.0599999999999999E-2</v>
      </c>
      <c r="I39" s="23">
        <v>0.1075</v>
      </c>
      <c r="J39" s="23">
        <v>0.13900000000000001</v>
      </c>
      <c r="K39" s="23">
        <v>0.1898</v>
      </c>
      <c r="L39" s="23">
        <v>0.1348</v>
      </c>
      <c r="M39" s="23">
        <v>5.5E-2</v>
      </c>
      <c r="N39" s="23">
        <v>6.8900000000000003E-2</v>
      </c>
      <c r="O39" s="23">
        <v>4.87E-2</v>
      </c>
      <c r="P39" s="23">
        <v>3.7699999999999997E-2</v>
      </c>
      <c r="Q39" s="24">
        <v>7.2300000000000003E-2</v>
      </c>
      <c r="R39" s="23">
        <v>0.13569999999999999</v>
      </c>
      <c r="S39" s="23">
        <v>7.8200000000000006E-2</v>
      </c>
      <c r="T39" s="23">
        <v>0.23699999999999999</v>
      </c>
      <c r="U39" s="23">
        <v>3.7000000000000002E-3</v>
      </c>
      <c r="V39" s="23">
        <v>0.1129</v>
      </c>
      <c r="W39" s="23">
        <v>8.9300000000000004E-2</v>
      </c>
      <c r="X39" s="23">
        <v>0.1202</v>
      </c>
      <c r="Y39" s="23">
        <v>0.1011</v>
      </c>
      <c r="Z39" s="23">
        <v>0.248</v>
      </c>
      <c r="AA39" s="23">
        <v>1.38E-2</v>
      </c>
      <c r="AB39" s="23">
        <v>0.2286</v>
      </c>
      <c r="AC39" s="23">
        <v>0</v>
      </c>
      <c r="AD39" s="23">
        <v>3.32E-2</v>
      </c>
      <c r="AE39" s="23">
        <v>1.32E-2</v>
      </c>
      <c r="AF39" s="23">
        <v>2.4899999999999999E-2</v>
      </c>
      <c r="AG39" s="23">
        <v>5.1999999999999998E-3</v>
      </c>
      <c r="AH39" s="23">
        <v>3.0499999999999999E-2</v>
      </c>
      <c r="AI39" s="23">
        <v>5.1999999999999998E-2</v>
      </c>
      <c r="AJ39" s="23">
        <v>0.1545</v>
      </c>
      <c r="AK39" s="23">
        <v>5.4000000000000003E-3</v>
      </c>
      <c r="AL39" s="23">
        <v>2.2499999999999999E-2</v>
      </c>
      <c r="AM39" s="23">
        <v>3.6900000000000002E-2</v>
      </c>
      <c r="AN39" s="23">
        <v>6.6500000000000004E-2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ht="14.25" customHeight="1">
      <c r="A40" s="10"/>
      <c r="B40" s="10"/>
      <c r="C40" s="23"/>
      <c r="D40" s="28"/>
      <c r="E40" s="29"/>
      <c r="F40" s="29"/>
      <c r="G40" s="23"/>
      <c r="H40" s="23"/>
      <c r="I40" s="23"/>
      <c r="J40" s="23"/>
      <c r="K40" s="23"/>
      <c r="L40" s="23"/>
      <c r="M40" s="23"/>
      <c r="N40" s="23"/>
      <c r="O40" s="23"/>
      <c r="P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ht="14.25" customHeight="1">
      <c r="A41" s="10"/>
      <c r="B41" s="21" t="s">
        <v>126</v>
      </c>
      <c r="C41" s="23"/>
      <c r="D41" s="28"/>
      <c r="E41" s="29"/>
      <c r="F41" s="29"/>
      <c r="G41" s="23"/>
      <c r="H41" s="23"/>
      <c r="I41" s="23"/>
      <c r="J41" s="23"/>
      <c r="K41" s="23"/>
      <c r="L41" s="23"/>
      <c r="M41" s="23"/>
      <c r="N41" s="23"/>
      <c r="O41" s="23"/>
      <c r="P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ht="14.25" customHeight="1">
      <c r="A42" s="23"/>
      <c r="B42" s="23" t="s">
        <v>113</v>
      </c>
      <c r="C42" s="23">
        <v>0.79139999999999999</v>
      </c>
      <c r="D42" s="23">
        <v>0.52890000000000004</v>
      </c>
      <c r="E42" s="23">
        <v>0.43790000000000001</v>
      </c>
      <c r="F42" s="23">
        <v>0.40039999999999998</v>
      </c>
      <c r="G42" s="23">
        <v>0.26669999999999999</v>
      </c>
      <c r="H42" s="23">
        <v>0.62770000000000004</v>
      </c>
      <c r="I42" s="23">
        <v>0.64990000000000003</v>
      </c>
      <c r="J42" s="23">
        <v>0.53100000000000003</v>
      </c>
      <c r="K42" s="23">
        <v>0.38979999999999998</v>
      </c>
      <c r="L42" s="23">
        <v>0.1981</v>
      </c>
      <c r="M42" s="23">
        <v>0.48049999999999998</v>
      </c>
      <c r="N42" s="32"/>
      <c r="O42" s="23">
        <v>0.43959999999999999</v>
      </c>
      <c r="P42" s="23">
        <v>0.3765</v>
      </c>
      <c r="Q42" s="24">
        <v>0.70940000000000003</v>
      </c>
      <c r="R42" s="23">
        <v>0.79659999999999997</v>
      </c>
      <c r="S42" s="23">
        <v>0.55249999999999999</v>
      </c>
      <c r="T42" s="23">
        <v>0.54290000000000005</v>
      </c>
      <c r="U42" s="23">
        <v>0.70030000000000003</v>
      </c>
      <c r="V42" s="23">
        <v>0.52749999999999997</v>
      </c>
      <c r="W42" s="23">
        <v>0.33960000000000001</v>
      </c>
      <c r="X42" s="23">
        <v>0.55289999999999995</v>
      </c>
      <c r="Y42" s="23">
        <v>8.0100000000000005E-2</v>
      </c>
      <c r="Z42" s="23">
        <v>5.6500000000000002E-2</v>
      </c>
      <c r="AA42" s="23">
        <v>0.26169999999999999</v>
      </c>
      <c r="AB42" s="23">
        <v>0.15179999999999999</v>
      </c>
      <c r="AC42" s="23">
        <v>0.53210000000000002</v>
      </c>
      <c r="AD42" s="23">
        <v>0.45079999999999998</v>
      </c>
      <c r="AE42" s="32">
        <v>0</v>
      </c>
      <c r="AF42" s="23">
        <v>0.41049999999999998</v>
      </c>
      <c r="AG42" s="23">
        <v>0.2185</v>
      </c>
      <c r="AH42" s="23">
        <v>0.35020000000000001</v>
      </c>
      <c r="AI42" s="23">
        <v>0.67200000000000004</v>
      </c>
      <c r="AJ42" s="23">
        <v>0.755</v>
      </c>
      <c r="AK42" s="23">
        <v>0.08</v>
      </c>
      <c r="AL42" s="23">
        <v>0.60040000000000004</v>
      </c>
      <c r="AM42" s="23">
        <v>0.19919999999999999</v>
      </c>
      <c r="AN42" s="23">
        <v>0.14269999999999999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ht="14.25" customHeight="1">
      <c r="A43" s="23"/>
      <c r="B43" s="23" t="s">
        <v>114</v>
      </c>
      <c r="C43" s="23">
        <v>8.2299999999999998E-2</v>
      </c>
      <c r="D43" s="23">
        <v>8.9099999999999999E-2</v>
      </c>
      <c r="E43" s="23">
        <v>7.0999999999999994E-2</v>
      </c>
      <c r="F43" s="23">
        <v>6.7699999999999996E-2</v>
      </c>
      <c r="G43" s="23">
        <v>0.19259999999999999</v>
      </c>
      <c r="H43" s="23">
        <v>2.4E-2</v>
      </c>
      <c r="I43" s="23">
        <v>0</v>
      </c>
      <c r="J43" s="23">
        <v>4.9799999999999997E-2</v>
      </c>
      <c r="K43" s="23">
        <v>0.12039999999999999</v>
      </c>
      <c r="L43" s="23">
        <v>0.12770000000000001</v>
      </c>
      <c r="M43" s="23">
        <v>0.17430000000000001</v>
      </c>
      <c r="N43" s="32"/>
      <c r="O43" s="23">
        <v>2.3199999999999998E-2</v>
      </c>
      <c r="P43" s="23">
        <v>1.78E-2</v>
      </c>
      <c r="Q43" s="24">
        <v>0</v>
      </c>
      <c r="R43" s="23">
        <v>0</v>
      </c>
      <c r="S43" s="23">
        <v>0</v>
      </c>
      <c r="T43" s="23">
        <v>0</v>
      </c>
      <c r="U43" s="23">
        <v>0</v>
      </c>
      <c r="V43" s="23">
        <v>3.15E-2</v>
      </c>
      <c r="W43" s="23">
        <v>1.7899999999999999E-2</v>
      </c>
      <c r="X43" s="23">
        <v>6.8999999999999999E-3</v>
      </c>
      <c r="Y43" s="23">
        <v>0.48530000000000001</v>
      </c>
      <c r="Z43" s="23">
        <v>6.5500000000000003E-2</v>
      </c>
      <c r="AA43" s="23">
        <v>0.25850000000000001</v>
      </c>
      <c r="AB43" s="23">
        <v>4.0000000000000001E-3</v>
      </c>
      <c r="AC43" s="23">
        <v>5.4699999999999999E-2</v>
      </c>
      <c r="AD43" s="23">
        <v>7.1499999999999994E-2</v>
      </c>
      <c r="AE43" s="32">
        <v>0</v>
      </c>
      <c r="AF43" s="23">
        <v>0</v>
      </c>
      <c r="AG43" s="23">
        <v>0.28999999999999998</v>
      </c>
      <c r="AH43" s="23">
        <v>2.9999999999999997E-4</v>
      </c>
      <c r="AI43" s="23">
        <v>4.87E-2</v>
      </c>
      <c r="AJ43" s="23">
        <v>4.9700000000000001E-2</v>
      </c>
      <c r="AK43" s="23">
        <v>7.0300000000000001E-2</v>
      </c>
      <c r="AL43" s="23">
        <v>4.5100000000000001E-2</v>
      </c>
      <c r="AM43" s="23">
        <v>0.34129999999999999</v>
      </c>
      <c r="AN43" s="23">
        <v>7.2599999999999998E-2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ht="14.25" customHeight="1">
      <c r="A44" s="23"/>
      <c r="B44" s="23" t="s">
        <v>115</v>
      </c>
      <c r="C44" s="23">
        <v>4.6800000000000001E-2</v>
      </c>
      <c r="D44" s="23">
        <v>5.0900000000000001E-2</v>
      </c>
      <c r="E44" s="23">
        <v>5.8000000000000003E-2</v>
      </c>
      <c r="F44" s="23">
        <v>0.1628</v>
      </c>
      <c r="G44" s="23">
        <v>3.39E-2</v>
      </c>
      <c r="H44" s="23">
        <v>1.72E-2</v>
      </c>
      <c r="I44" s="23">
        <v>0.04</v>
      </c>
      <c r="J44" s="23">
        <v>2.1899999999999999E-2</v>
      </c>
      <c r="K44" s="23">
        <v>4.7199999999999999E-2</v>
      </c>
      <c r="L44" s="23">
        <v>7.1900000000000006E-2</v>
      </c>
      <c r="M44" s="23">
        <v>9.9500000000000005E-2</v>
      </c>
      <c r="N44" s="32"/>
      <c r="O44" s="23">
        <v>8.5099999999999995E-2</v>
      </c>
      <c r="P44" s="23">
        <v>0.2268</v>
      </c>
      <c r="Q44" s="24">
        <v>4.5499999999999999E-2</v>
      </c>
      <c r="R44" s="23">
        <v>4.9200000000000001E-2</v>
      </c>
      <c r="S44" s="23">
        <v>0.1148</v>
      </c>
      <c r="T44" s="23">
        <v>3.0700000000000002E-2</v>
      </c>
      <c r="U44" s="23">
        <v>3.6799999999999999E-2</v>
      </c>
      <c r="V44" s="23">
        <v>6.5699999999999995E-2</v>
      </c>
      <c r="W44" s="23">
        <v>6.3799999999999996E-2</v>
      </c>
      <c r="X44" s="23">
        <v>0</v>
      </c>
      <c r="Y44" s="23">
        <v>7.9200000000000007E-2</v>
      </c>
      <c r="Z44" s="23">
        <v>0.13980000000000001</v>
      </c>
      <c r="AA44" s="23">
        <v>6.4699999999999994E-2</v>
      </c>
      <c r="AB44" s="23">
        <v>8.8499999999999995E-2</v>
      </c>
      <c r="AC44" s="23">
        <v>8.5999999999999993E-2</v>
      </c>
      <c r="AD44" s="23">
        <v>8.8499999999999995E-2</v>
      </c>
      <c r="AE44" s="32">
        <v>0</v>
      </c>
      <c r="AF44" s="23">
        <v>0.1449</v>
      </c>
      <c r="AG44" s="23">
        <v>3.1699999999999999E-2</v>
      </c>
      <c r="AH44" s="23">
        <v>7.9699999999999993E-2</v>
      </c>
      <c r="AI44" s="23">
        <v>8.5699999999999998E-2</v>
      </c>
      <c r="AJ44" s="23">
        <v>2.01E-2</v>
      </c>
      <c r="AK44" s="23">
        <v>4.1300000000000003E-2</v>
      </c>
      <c r="AL44" s="23">
        <v>2.3300000000000001E-2</v>
      </c>
      <c r="AM44" s="23">
        <v>5.9299999999999999E-2</v>
      </c>
      <c r="AN44" s="23">
        <v>9.6600000000000005E-2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ht="14.25" customHeight="1">
      <c r="A45" s="23"/>
      <c r="B45" s="23" t="s">
        <v>116</v>
      </c>
      <c r="C45" s="23">
        <v>3.73E-2</v>
      </c>
      <c r="D45" s="23">
        <v>0.11219999999999999</v>
      </c>
      <c r="E45" s="23">
        <v>0.1837</v>
      </c>
      <c r="F45" s="23">
        <v>0.1235</v>
      </c>
      <c r="G45" s="23">
        <v>4.6300000000000001E-2</v>
      </c>
      <c r="H45" s="23">
        <v>0.1265</v>
      </c>
      <c r="I45" s="23">
        <v>7.9000000000000001E-2</v>
      </c>
      <c r="J45" s="23">
        <v>8.2100000000000006E-2</v>
      </c>
      <c r="K45" s="23">
        <v>6.6600000000000006E-2</v>
      </c>
      <c r="L45" s="23">
        <v>0.17510000000000001</v>
      </c>
      <c r="M45" s="23">
        <v>0.1129</v>
      </c>
      <c r="N45" s="32"/>
      <c r="O45" s="23">
        <v>0.19670000000000001</v>
      </c>
      <c r="P45" s="23">
        <v>0.16159999999999999</v>
      </c>
      <c r="Q45" s="24">
        <v>5.8799999999999998E-2</v>
      </c>
      <c r="R45" s="23">
        <v>2.8299999999999999E-2</v>
      </c>
      <c r="S45" s="23">
        <v>6.4799999999999996E-2</v>
      </c>
      <c r="T45" s="23">
        <v>2.12E-2</v>
      </c>
      <c r="U45" s="23">
        <v>8.4900000000000003E-2</v>
      </c>
      <c r="V45" s="23">
        <v>0.1414</v>
      </c>
      <c r="W45" s="23">
        <v>0.22040000000000001</v>
      </c>
      <c r="X45" s="23">
        <v>0.25409999999999999</v>
      </c>
      <c r="Y45" s="23">
        <v>8.3599999999999994E-2</v>
      </c>
      <c r="Z45" s="23">
        <v>7.2800000000000004E-2</v>
      </c>
      <c r="AA45" s="23">
        <v>4.8000000000000001E-2</v>
      </c>
      <c r="AB45" s="23">
        <v>5.6300000000000003E-2</v>
      </c>
      <c r="AC45" s="23">
        <v>5.2699999999999997E-2</v>
      </c>
      <c r="AD45" s="23">
        <v>0.16039999999999999</v>
      </c>
      <c r="AE45" s="32">
        <v>0</v>
      </c>
      <c r="AF45" s="23">
        <v>0.1173</v>
      </c>
      <c r="AG45" s="23">
        <v>9.64E-2</v>
      </c>
      <c r="AH45" s="23">
        <v>0.1547</v>
      </c>
      <c r="AI45" s="23">
        <v>5.4100000000000002E-2</v>
      </c>
      <c r="AJ45" s="23">
        <v>7.7299999999999994E-2</v>
      </c>
      <c r="AK45" s="23">
        <v>0.30719999999999997</v>
      </c>
      <c r="AL45" s="23">
        <v>0.1424</v>
      </c>
      <c r="AM45" s="23">
        <v>0.157</v>
      </c>
      <c r="AN45" s="23">
        <v>0.13469999999999999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ht="14.25" customHeight="1">
      <c r="A46" s="23"/>
      <c r="B46" s="23" t="s">
        <v>118</v>
      </c>
      <c r="C46" s="23">
        <v>6.0000000000000001E-3</v>
      </c>
      <c r="D46" s="23">
        <v>0.1192</v>
      </c>
      <c r="E46" s="23">
        <v>0.13250000000000001</v>
      </c>
      <c r="F46" s="23">
        <v>7.1499999999999994E-2</v>
      </c>
      <c r="G46" s="23">
        <v>3.2500000000000001E-2</v>
      </c>
      <c r="H46" s="23">
        <v>5.0099999999999999E-2</v>
      </c>
      <c r="I46" s="23">
        <v>1.4999999999999999E-2</v>
      </c>
      <c r="J46" s="23">
        <v>3.1099999999999999E-2</v>
      </c>
      <c r="K46" s="23">
        <v>3.6299999999999999E-2</v>
      </c>
      <c r="L46" s="23">
        <v>4.02E-2</v>
      </c>
      <c r="M46" s="23">
        <v>1.3599999999999999E-2</v>
      </c>
      <c r="N46" s="32"/>
      <c r="O46" s="23">
        <v>2.3199999999999998E-2</v>
      </c>
      <c r="P46" s="23">
        <v>6.4299999999999996E-2</v>
      </c>
      <c r="Q46" s="24">
        <v>2.69E-2</v>
      </c>
      <c r="R46" s="23">
        <v>1.7299999999999999E-2</v>
      </c>
      <c r="S46" s="23">
        <v>2.2700000000000001E-2</v>
      </c>
      <c r="T46" s="23">
        <v>1.61E-2</v>
      </c>
      <c r="U46" s="23">
        <v>4.8599999999999997E-2</v>
      </c>
      <c r="V46" s="23">
        <v>5.5300000000000002E-2</v>
      </c>
      <c r="W46" s="23">
        <v>0.1023</v>
      </c>
      <c r="X46" s="23">
        <v>1.41E-2</v>
      </c>
      <c r="Y46" s="23">
        <v>3.3000000000000002E-2</v>
      </c>
      <c r="Z46" s="23">
        <v>0.13880000000000001</v>
      </c>
      <c r="AA46" s="23">
        <v>3.0800000000000001E-2</v>
      </c>
      <c r="AB46" s="23">
        <v>3.2599999999999997E-2</v>
      </c>
      <c r="AC46" s="23">
        <v>3.49E-2</v>
      </c>
      <c r="AD46" s="23">
        <v>7.3400000000000007E-2</v>
      </c>
      <c r="AE46" s="32">
        <v>0</v>
      </c>
      <c r="AF46" s="23">
        <v>7.6499999999999999E-2</v>
      </c>
      <c r="AG46" s="23">
        <v>0.15079999999999999</v>
      </c>
      <c r="AH46" s="23">
        <v>3.7100000000000001E-2</v>
      </c>
      <c r="AI46" s="23">
        <v>3.3000000000000002E-2</v>
      </c>
      <c r="AJ46" s="23">
        <v>1.5699999999999999E-2</v>
      </c>
      <c r="AK46" s="23">
        <v>6.0400000000000002E-2</v>
      </c>
      <c r="AL46" s="23">
        <v>2.69E-2</v>
      </c>
      <c r="AM46" s="23">
        <v>5.3800000000000001E-2</v>
      </c>
      <c r="AN46" s="23">
        <v>0.14319999999999999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ht="14.25" customHeight="1">
      <c r="A47" s="23"/>
      <c r="B47" s="23" t="s">
        <v>119</v>
      </c>
      <c r="C47" s="23">
        <v>5.9999999999999995E-4</v>
      </c>
      <c r="D47" s="23">
        <v>2.5700000000000001E-2</v>
      </c>
      <c r="E47" s="23">
        <v>2.3400000000000001E-2</v>
      </c>
      <c r="F47" s="23">
        <v>1.77E-2</v>
      </c>
      <c r="G47" s="23">
        <v>2.1700000000000001E-2</v>
      </c>
      <c r="H47" s="23">
        <v>3.7499999999999999E-2</v>
      </c>
      <c r="I47" s="23">
        <v>0</v>
      </c>
      <c r="J47" s="23">
        <v>5.7999999999999996E-3</v>
      </c>
      <c r="K47" s="23">
        <v>1.38E-2</v>
      </c>
      <c r="L47" s="23">
        <v>1.77E-2</v>
      </c>
      <c r="M47" s="23">
        <v>1.6999999999999999E-3</v>
      </c>
      <c r="N47" s="32"/>
      <c r="O47" s="23">
        <v>2.5000000000000001E-3</v>
      </c>
      <c r="P47" s="23">
        <v>5.1999999999999998E-3</v>
      </c>
      <c r="Q47" s="24">
        <v>1.11E-2</v>
      </c>
      <c r="R47" s="23">
        <v>2.3999999999999998E-3</v>
      </c>
      <c r="S47" s="23">
        <v>4.3E-3</v>
      </c>
      <c r="T47" s="23">
        <v>2.8E-3</v>
      </c>
      <c r="U47" s="23">
        <v>1.17E-2</v>
      </c>
      <c r="V47" s="23">
        <v>1.35E-2</v>
      </c>
      <c r="W47" s="23">
        <v>2.12E-2</v>
      </c>
      <c r="X47" s="23">
        <v>0</v>
      </c>
      <c r="Y47" s="23">
        <v>3.04E-2</v>
      </c>
      <c r="Z47" s="23">
        <v>1.06E-2</v>
      </c>
      <c r="AA47" s="23">
        <v>1.38E-2</v>
      </c>
      <c r="AB47" s="23">
        <v>1.44E-2</v>
      </c>
      <c r="AC47" s="23">
        <v>4.8000000000000001E-2</v>
      </c>
      <c r="AD47" s="23">
        <v>6.4000000000000003E-3</v>
      </c>
      <c r="AE47" s="32">
        <v>0</v>
      </c>
      <c r="AF47" s="23">
        <v>1.34E-2</v>
      </c>
      <c r="AG47" s="23">
        <v>4.0599999999999997E-2</v>
      </c>
      <c r="AH47" s="23">
        <v>5.1999999999999998E-3</v>
      </c>
      <c r="AI47" s="23">
        <v>3.5900000000000001E-2</v>
      </c>
      <c r="AJ47" s="23">
        <v>1.8E-3</v>
      </c>
      <c r="AK47" s="23">
        <v>6.6E-3</v>
      </c>
      <c r="AL47" s="23">
        <v>3.5000000000000001E-3</v>
      </c>
      <c r="AM47" s="23">
        <v>1.4800000000000001E-2</v>
      </c>
      <c r="AN47" s="23">
        <v>3.3700000000000001E-2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ht="14.25" customHeight="1">
      <c r="A48" s="23"/>
      <c r="B48" s="23" t="s">
        <v>120</v>
      </c>
      <c r="C48" s="23">
        <v>4.7000000000000002E-3</v>
      </c>
      <c r="D48" s="23">
        <v>2.4500000000000001E-2</v>
      </c>
      <c r="E48" s="23">
        <v>1.8499999999999999E-2</v>
      </c>
      <c r="F48" s="23">
        <v>4.3099999999999999E-2</v>
      </c>
      <c r="G48" s="23">
        <v>5.2499999999999998E-2</v>
      </c>
      <c r="H48" s="23">
        <v>9.1999999999999998E-3</v>
      </c>
      <c r="I48" s="23">
        <v>5.4999999999999997E-3</v>
      </c>
      <c r="J48" s="23">
        <v>1.21E-2</v>
      </c>
      <c r="K48" s="23">
        <v>1.9300000000000001E-2</v>
      </c>
      <c r="L48" s="23">
        <v>5.8999999999999999E-3</v>
      </c>
      <c r="M48" s="23">
        <v>9.7000000000000003E-3</v>
      </c>
      <c r="N48" s="32"/>
      <c r="O48" s="23">
        <v>1.12E-2</v>
      </c>
      <c r="P48" s="23">
        <v>2.2200000000000001E-2</v>
      </c>
      <c r="Q48" s="24">
        <v>3.4299999999999997E-2</v>
      </c>
      <c r="R48" s="23">
        <v>1.2999999999999999E-2</v>
      </c>
      <c r="S48" s="23">
        <v>0.1072</v>
      </c>
      <c r="T48" s="23">
        <v>1.0999999999999999E-2</v>
      </c>
      <c r="U48" s="23">
        <v>1.9199999999999998E-2</v>
      </c>
      <c r="V48" s="23">
        <v>9.1999999999999998E-3</v>
      </c>
      <c r="W48" s="23">
        <v>2.6200000000000001E-2</v>
      </c>
      <c r="X48" s="23">
        <v>1.6000000000000001E-3</v>
      </c>
      <c r="Y48" s="23">
        <v>1.23E-2</v>
      </c>
      <c r="Z48" s="23">
        <v>5.4000000000000003E-3</v>
      </c>
      <c r="AA48" s="23">
        <v>2.6800000000000001E-2</v>
      </c>
      <c r="AB48" s="23">
        <v>1.0800000000000001E-2</v>
      </c>
      <c r="AC48" s="23">
        <v>5.5300000000000002E-2</v>
      </c>
      <c r="AD48" s="23">
        <v>5.5800000000000002E-2</v>
      </c>
      <c r="AE48" s="32">
        <v>0</v>
      </c>
      <c r="AF48" s="23">
        <v>0.01</v>
      </c>
      <c r="AG48" s="23">
        <v>1.09E-2</v>
      </c>
      <c r="AH48" s="23">
        <v>0.1076</v>
      </c>
      <c r="AI48" s="23">
        <v>1.0699999999999999E-2</v>
      </c>
      <c r="AJ48" s="23">
        <v>6.1000000000000004E-3</v>
      </c>
      <c r="AK48" s="23">
        <v>2.3900000000000001E-2</v>
      </c>
      <c r="AL48" s="23">
        <v>1.18E-2</v>
      </c>
      <c r="AM48" s="23">
        <v>2.2599999999999999E-2</v>
      </c>
      <c r="AN48" s="23">
        <v>8.6800000000000002E-2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ht="14.25" customHeight="1">
      <c r="A49" s="23"/>
      <c r="B49" s="23" t="s">
        <v>121</v>
      </c>
      <c r="C49" s="23">
        <v>1.67E-2</v>
      </c>
      <c r="D49" s="23">
        <v>6.1999999999999998E-3</v>
      </c>
      <c r="E49" s="23">
        <v>2.3300000000000001E-2</v>
      </c>
      <c r="F49" s="23">
        <v>4.02E-2</v>
      </c>
      <c r="G49" s="23">
        <v>7.2099999999999997E-2</v>
      </c>
      <c r="H49" s="23">
        <v>5.7500000000000002E-2</v>
      </c>
      <c r="I49" s="23">
        <v>3.73E-2</v>
      </c>
      <c r="J49" s="23">
        <v>4.2500000000000003E-2</v>
      </c>
      <c r="K49" s="23">
        <v>4.9599999999999998E-2</v>
      </c>
      <c r="L49" s="23">
        <v>5.7700000000000001E-2</v>
      </c>
      <c r="M49" s="23">
        <v>4.82E-2</v>
      </c>
      <c r="N49" s="32"/>
      <c r="O49" s="23">
        <v>6.4100000000000004E-2</v>
      </c>
      <c r="P49" s="23">
        <v>1.2800000000000001E-2</v>
      </c>
      <c r="Q49" s="24">
        <v>2.6800000000000001E-2</v>
      </c>
      <c r="R49" s="23">
        <v>4.1500000000000002E-2</v>
      </c>
      <c r="S49" s="23">
        <v>4.1700000000000001E-2</v>
      </c>
      <c r="T49" s="23">
        <v>1.2E-2</v>
      </c>
      <c r="U49" s="23">
        <v>2.1700000000000001E-2</v>
      </c>
      <c r="V49" s="23">
        <v>3.9800000000000002E-2</v>
      </c>
      <c r="W49" s="23">
        <v>8.3099999999999993E-2</v>
      </c>
      <c r="X49" s="23">
        <v>7.7600000000000002E-2</v>
      </c>
      <c r="Y49" s="23">
        <v>6.83E-2</v>
      </c>
      <c r="Z49" s="23">
        <v>6.3899999999999998E-2</v>
      </c>
      <c r="AA49" s="23">
        <v>5.0999999999999997E-2</v>
      </c>
      <c r="AB49" s="23">
        <v>5.8700000000000002E-2</v>
      </c>
      <c r="AC49" s="23">
        <v>5.2200000000000003E-2</v>
      </c>
      <c r="AD49" s="23">
        <v>2.3099999999999999E-2</v>
      </c>
      <c r="AE49" s="32">
        <v>0</v>
      </c>
      <c r="AF49" s="23">
        <v>3.5700000000000003E-2</v>
      </c>
      <c r="AG49" s="23">
        <v>7.4300000000000005E-2</v>
      </c>
      <c r="AH49" s="23">
        <v>2.98E-2</v>
      </c>
      <c r="AI49" s="23">
        <v>5.9900000000000002E-2</v>
      </c>
      <c r="AJ49" s="23">
        <v>2.6100000000000002E-2</v>
      </c>
      <c r="AK49" s="23">
        <v>0.25600000000000001</v>
      </c>
      <c r="AL49" s="23">
        <v>2.53E-2</v>
      </c>
      <c r="AM49" s="23">
        <v>6.9800000000000001E-2</v>
      </c>
      <c r="AN49" s="23">
        <v>8.8000000000000005E-3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ht="14.25" customHeight="1">
      <c r="A50" s="23"/>
      <c r="B50" s="23" t="s">
        <v>122</v>
      </c>
      <c r="C50" s="23">
        <v>4.0000000000000001E-3</v>
      </c>
      <c r="D50" s="23">
        <v>2.8999999999999998E-3</v>
      </c>
      <c r="E50" s="23">
        <v>3.8E-3</v>
      </c>
      <c r="F50" s="23">
        <v>2.6599999999999999E-2</v>
      </c>
      <c r="G50" s="23">
        <v>3.2099999999999997E-2</v>
      </c>
      <c r="H50" s="23">
        <v>0</v>
      </c>
      <c r="I50" s="23">
        <v>9.4999999999999998E-3</v>
      </c>
      <c r="J50" s="23">
        <v>2.5000000000000001E-3</v>
      </c>
      <c r="K50" s="23">
        <v>2.98E-2</v>
      </c>
      <c r="L50" s="23">
        <v>4.5999999999999999E-3</v>
      </c>
      <c r="M50" s="23">
        <v>8.0000000000000004E-4</v>
      </c>
      <c r="N50" s="32"/>
      <c r="O50" s="23">
        <v>5.4999999999999997E-3</v>
      </c>
      <c r="P50" s="23">
        <v>3.1300000000000001E-2</v>
      </c>
      <c r="Q50" s="24">
        <v>4.5999999999999999E-3</v>
      </c>
      <c r="R50" s="23">
        <v>0</v>
      </c>
      <c r="S50" s="23">
        <v>0</v>
      </c>
      <c r="T50" s="23">
        <v>2.3E-3</v>
      </c>
      <c r="U50" s="23">
        <v>0</v>
      </c>
      <c r="V50" s="23">
        <v>5.1999999999999998E-3</v>
      </c>
      <c r="W50" s="23">
        <v>4.4999999999999997E-3</v>
      </c>
      <c r="X50" s="23">
        <v>3.5499999999999997E-2</v>
      </c>
      <c r="Y50" s="23">
        <v>2E-3</v>
      </c>
      <c r="Z50" s="23">
        <v>0</v>
      </c>
      <c r="AA50" s="23">
        <v>3.8E-3</v>
      </c>
      <c r="AB50" s="23">
        <v>1.43E-2</v>
      </c>
      <c r="AC50" s="23">
        <v>5.4999999999999997E-3</v>
      </c>
      <c r="AD50" s="23">
        <v>1.0500000000000001E-2</v>
      </c>
      <c r="AE50" s="32">
        <v>0</v>
      </c>
      <c r="AF50" s="23">
        <v>1.1999999999999999E-3</v>
      </c>
      <c r="AG50" s="23">
        <v>1E-3</v>
      </c>
      <c r="AH50" s="23">
        <v>4.0000000000000001E-3</v>
      </c>
      <c r="AI50" s="23">
        <v>0</v>
      </c>
      <c r="AJ50" s="23">
        <v>7.4999999999999997E-3</v>
      </c>
      <c r="AK50" s="23">
        <v>0.01</v>
      </c>
      <c r="AL50" s="23">
        <v>1.0699999999999999E-2</v>
      </c>
      <c r="AM50" s="23">
        <v>1.3299999999999999E-2</v>
      </c>
      <c r="AN50" s="23">
        <v>3.7000000000000002E-3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ht="14.25" customHeight="1">
      <c r="A51" s="23"/>
      <c r="B51" s="23" t="s">
        <v>123</v>
      </c>
      <c r="C51" s="23">
        <v>6.9999999999999999E-4</v>
      </c>
      <c r="D51" s="23">
        <v>5.0000000000000001E-3</v>
      </c>
      <c r="E51" s="23">
        <v>1.46E-2</v>
      </c>
      <c r="F51" s="23">
        <v>5.1000000000000004E-3</v>
      </c>
      <c r="G51" s="23">
        <v>1.41E-2</v>
      </c>
      <c r="H51" s="23">
        <v>0</v>
      </c>
      <c r="I51" s="23">
        <v>8.9999999999999998E-4</v>
      </c>
      <c r="J51" s="23">
        <v>3.0999999999999999E-3</v>
      </c>
      <c r="K51" s="23">
        <v>6.1999999999999998E-3</v>
      </c>
      <c r="L51" s="23">
        <v>0.1125</v>
      </c>
      <c r="M51" s="23">
        <v>2.0000000000000001E-4</v>
      </c>
      <c r="N51" s="32"/>
      <c r="O51" s="23">
        <v>5.7000000000000002E-3</v>
      </c>
      <c r="P51" s="23">
        <v>1.67E-2</v>
      </c>
      <c r="Q51" s="24">
        <v>1.8E-3</v>
      </c>
      <c r="R51" s="23">
        <v>0</v>
      </c>
      <c r="S51" s="23">
        <v>1.1999999999999999E-3</v>
      </c>
      <c r="T51" s="23">
        <v>5.9999999999999995E-4</v>
      </c>
      <c r="U51" s="23">
        <v>6.4500000000000002E-2</v>
      </c>
      <c r="V51" s="23">
        <v>4.4000000000000003E-3</v>
      </c>
      <c r="W51" s="23">
        <v>7.3000000000000001E-3</v>
      </c>
      <c r="X51" s="23">
        <v>2E-3</v>
      </c>
      <c r="Y51" s="23">
        <v>7.4999999999999997E-3</v>
      </c>
      <c r="Z51" s="23">
        <v>3.9399999999999998E-2</v>
      </c>
      <c r="AA51" s="23">
        <v>7.1999999999999998E-3</v>
      </c>
      <c r="AB51" s="23">
        <v>3.0999999999999999E-3</v>
      </c>
      <c r="AC51" s="23">
        <v>3.61E-2</v>
      </c>
      <c r="AD51" s="23">
        <v>4.1399999999999999E-2</v>
      </c>
      <c r="AE51" s="32">
        <v>0</v>
      </c>
      <c r="AF51" s="23">
        <v>1.8499999999999999E-2</v>
      </c>
      <c r="AG51" s="23">
        <v>1.7000000000000001E-2</v>
      </c>
      <c r="AH51" s="23">
        <v>2.81E-2</v>
      </c>
      <c r="AI51" s="23">
        <v>0</v>
      </c>
      <c r="AJ51" s="23">
        <v>1.3899999999999999E-2</v>
      </c>
      <c r="AK51" s="23">
        <v>1.9E-3</v>
      </c>
      <c r="AL51" s="23">
        <v>4.5999999999999999E-3</v>
      </c>
      <c r="AM51" s="23">
        <v>4.5999999999999999E-3</v>
      </c>
      <c r="AN51" s="23">
        <v>6.2199999999999998E-2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ht="14.25" customHeight="1">
      <c r="A52" s="23"/>
      <c r="B52" s="23" t="s">
        <v>124</v>
      </c>
      <c r="C52" s="23">
        <v>5.1999999999999998E-3</v>
      </c>
      <c r="D52" s="23">
        <v>6.4999999999999997E-3</v>
      </c>
      <c r="E52" s="23">
        <v>4.8999999999999998E-3</v>
      </c>
      <c r="F52" s="23">
        <v>1.43E-2</v>
      </c>
      <c r="G52" s="23">
        <v>1.66E-2</v>
      </c>
      <c r="H52" s="23">
        <v>0</v>
      </c>
      <c r="I52" s="23">
        <v>1.34E-2</v>
      </c>
      <c r="J52" s="23">
        <v>2.3E-3</v>
      </c>
      <c r="K52" s="23">
        <v>4.6899999999999997E-2</v>
      </c>
      <c r="L52" s="23">
        <v>6.6799999999999998E-2</v>
      </c>
      <c r="M52" s="23">
        <v>5.3E-3</v>
      </c>
      <c r="N52" s="32"/>
      <c r="O52" s="23">
        <v>5.5999999999999999E-3</v>
      </c>
      <c r="P52" s="23">
        <v>9.7999999999999997E-3</v>
      </c>
      <c r="Q52" s="24">
        <v>0</v>
      </c>
      <c r="R52" s="23">
        <v>0</v>
      </c>
      <c r="S52" s="23">
        <v>1.4E-3</v>
      </c>
      <c r="T52" s="23">
        <v>1.18E-2</v>
      </c>
      <c r="U52" s="23">
        <v>1.03E-2</v>
      </c>
      <c r="V52" s="23">
        <v>4.1000000000000003E-3</v>
      </c>
      <c r="W52" s="23">
        <v>2.1700000000000001E-2</v>
      </c>
      <c r="X52" s="23">
        <v>9.1999999999999998E-3</v>
      </c>
      <c r="Y52" s="23">
        <v>4.0000000000000002E-4</v>
      </c>
      <c r="Z52" s="23">
        <v>4.7600000000000003E-2</v>
      </c>
      <c r="AA52" s="23">
        <v>3.4799999999999998E-2</v>
      </c>
      <c r="AB52" s="23">
        <v>9.11E-2</v>
      </c>
      <c r="AC52" s="23">
        <v>4.2500000000000003E-2</v>
      </c>
      <c r="AD52" s="23">
        <v>8.6999999999999994E-3</v>
      </c>
      <c r="AE52" s="32">
        <v>0</v>
      </c>
      <c r="AF52" s="23">
        <v>6.5299999999999997E-2</v>
      </c>
      <c r="AG52" s="23">
        <v>1.04E-2</v>
      </c>
      <c r="AH52" s="23">
        <v>3.8E-3</v>
      </c>
      <c r="AI52" s="23">
        <v>0</v>
      </c>
      <c r="AJ52" s="23">
        <v>1.5E-3</v>
      </c>
      <c r="AK52" s="23">
        <v>6.9599999999999995E-2</v>
      </c>
      <c r="AL52" s="23">
        <v>1.1299999999999999E-2</v>
      </c>
      <c r="AM52" s="23">
        <v>1.44E-2</v>
      </c>
      <c r="AN52" s="23">
        <v>2.3599999999999999E-2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ht="14.25" customHeight="1">
      <c r="A53" s="23"/>
      <c r="B53" s="24" t="s">
        <v>125</v>
      </c>
      <c r="C53" s="23">
        <v>4.3E-3</v>
      </c>
      <c r="D53" s="23">
        <v>2.8899999999999999E-2</v>
      </c>
      <c r="E53" s="23">
        <v>2.8400000000000002E-2</v>
      </c>
      <c r="F53" s="23">
        <v>2.7099999999999999E-2</v>
      </c>
      <c r="G53" s="23">
        <v>0.2089</v>
      </c>
      <c r="H53" s="23">
        <v>5.0299999999999997E-2</v>
      </c>
      <c r="I53" s="23">
        <v>0.14949999999999999</v>
      </c>
      <c r="J53" s="23">
        <v>0.21579999999999999</v>
      </c>
      <c r="K53" s="23">
        <v>0.1741</v>
      </c>
      <c r="L53" s="23">
        <v>0.12180000000000001</v>
      </c>
      <c r="M53" s="23">
        <v>5.33E-2</v>
      </c>
      <c r="N53" s="32"/>
      <c r="O53" s="23">
        <v>0.1376</v>
      </c>
      <c r="P53" s="23">
        <v>5.5E-2</v>
      </c>
      <c r="Q53" s="24">
        <v>8.0799999999999997E-2</v>
      </c>
      <c r="R53" s="23">
        <v>5.1700000000000003E-2</v>
      </c>
      <c r="S53" s="23">
        <v>8.9399999999999993E-2</v>
      </c>
      <c r="T53" s="23">
        <v>0.34860000000000002</v>
      </c>
      <c r="U53" s="23">
        <v>2E-3</v>
      </c>
      <c r="V53" s="23">
        <v>0.1024</v>
      </c>
      <c r="W53" s="23">
        <v>9.1999999999999998E-2</v>
      </c>
      <c r="X53" s="23">
        <v>4.6100000000000002E-2</v>
      </c>
      <c r="Y53" s="23">
        <v>0.1179</v>
      </c>
      <c r="Z53" s="23">
        <v>0.35970000000000002</v>
      </c>
      <c r="AA53" s="23">
        <v>0.19889999999999999</v>
      </c>
      <c r="AB53" s="23">
        <v>0.47439999999999999</v>
      </c>
      <c r="AC53" s="23">
        <v>0</v>
      </c>
      <c r="AD53" s="23">
        <v>9.4999999999999998E-3</v>
      </c>
      <c r="AE53" s="32">
        <v>1</v>
      </c>
      <c r="AF53" s="23">
        <v>0.1067</v>
      </c>
      <c r="AG53" s="23">
        <v>5.8400000000000001E-2</v>
      </c>
      <c r="AH53" s="23">
        <v>0.19950000000000001</v>
      </c>
      <c r="AI53" s="23">
        <v>0</v>
      </c>
      <c r="AJ53" s="23">
        <v>2.53E-2</v>
      </c>
      <c r="AK53" s="23">
        <v>7.2800000000000004E-2</v>
      </c>
      <c r="AL53" s="23">
        <v>9.4700000000000006E-2</v>
      </c>
      <c r="AM53" s="23">
        <v>4.99E-2</v>
      </c>
      <c r="AN53" s="23">
        <v>0.19139999999999999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ht="14.25" customHeight="1">
      <c r="A54" s="10"/>
      <c r="B54" s="10"/>
      <c r="C54" s="23"/>
      <c r="D54" s="10"/>
      <c r="E54" s="10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ht="14.25" customHeight="1">
      <c r="A55" s="10"/>
      <c r="B55" s="21" t="s">
        <v>127</v>
      </c>
      <c r="C55" s="23"/>
      <c r="D55" s="10"/>
      <c r="E55" s="10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ht="14.25" customHeight="1">
      <c r="A56" s="10"/>
      <c r="B56" s="10" t="s">
        <v>128</v>
      </c>
      <c r="C56" s="23">
        <v>0.05</v>
      </c>
      <c r="D56" s="23">
        <v>0.05</v>
      </c>
      <c r="E56" s="23">
        <v>6.3799999999999996E-2</v>
      </c>
      <c r="F56" s="23">
        <v>0.15079999999999999</v>
      </c>
      <c r="G56" s="23">
        <v>2.8799999999999999E-2</v>
      </c>
      <c r="H56" s="23">
        <v>3.8863911000000001E-2</v>
      </c>
      <c r="I56" s="23">
        <v>7.1040819000000005E-2</v>
      </c>
      <c r="J56" s="23">
        <v>3.44E-2</v>
      </c>
      <c r="K56" s="23">
        <v>4.4499999999999998E-2</v>
      </c>
      <c r="L56" s="23">
        <v>6.6503771000000003E-2</v>
      </c>
      <c r="M56" s="23">
        <v>0.14410000000000001</v>
      </c>
      <c r="N56" s="33">
        <v>0.13803826799999999</v>
      </c>
      <c r="O56" s="23">
        <v>9.3740000000000004E-2</v>
      </c>
      <c r="P56" s="23">
        <v>0.21465000000000001</v>
      </c>
      <c r="Q56" s="24">
        <v>4.9799999999999997E-2</v>
      </c>
      <c r="R56" s="23">
        <v>8.7437380999999995E-2</v>
      </c>
      <c r="S56" s="23">
        <v>0.14099620800000001</v>
      </c>
      <c r="T56" s="23">
        <v>3.658463E-2</v>
      </c>
      <c r="U56" s="23">
        <v>0.05</v>
      </c>
      <c r="V56" s="23">
        <v>0.107283118</v>
      </c>
      <c r="W56" s="33">
        <v>0.10693900000000001</v>
      </c>
      <c r="X56" s="23">
        <v>8.9535580000000003E-3</v>
      </c>
      <c r="Y56" s="23">
        <v>9.0346395999999995E-2</v>
      </c>
      <c r="Z56" s="23">
        <v>9.4966694000000004E-2</v>
      </c>
      <c r="AA56" s="23">
        <v>9.8880451999999994E-2</v>
      </c>
      <c r="AB56" s="23">
        <v>8.1372914000000005E-2</v>
      </c>
      <c r="AC56" s="23">
        <v>5.1111380999999997E-2</v>
      </c>
      <c r="AD56" s="23">
        <v>0.08</v>
      </c>
      <c r="AE56" s="23">
        <v>0.19</v>
      </c>
      <c r="AF56" s="23">
        <v>0.17317070000000001</v>
      </c>
      <c r="AG56" s="23">
        <v>8.43E-2</v>
      </c>
      <c r="AH56" s="23">
        <v>0.12216287100000001</v>
      </c>
      <c r="AI56" s="23">
        <v>8.6794643000000005E-2</v>
      </c>
      <c r="AJ56" s="23">
        <v>2.07E-2</v>
      </c>
      <c r="AK56" s="23">
        <v>4.4699999999999997E-2</v>
      </c>
      <c r="AL56" s="23">
        <v>3.4000000000000002E-2</v>
      </c>
      <c r="AM56" s="31">
        <v>0.06</v>
      </c>
      <c r="AN56" s="23">
        <v>9.69E-2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ht="14.25" customHeight="1">
      <c r="A57" s="10"/>
      <c r="B57" s="10" t="s">
        <v>129</v>
      </c>
      <c r="C57" s="23">
        <v>0.06</v>
      </c>
      <c r="D57" s="23">
        <v>0.22</v>
      </c>
      <c r="E57" s="23">
        <v>0.31740000000000002</v>
      </c>
      <c r="F57" s="23">
        <v>0.18659999999999999</v>
      </c>
      <c r="G57" s="23">
        <v>6.4699999999999994E-2</v>
      </c>
      <c r="H57" s="23">
        <v>0.15107072799999999</v>
      </c>
      <c r="I57" s="23">
        <v>0.102139152</v>
      </c>
      <c r="J57" s="23">
        <v>0.1168</v>
      </c>
      <c r="K57" s="23">
        <v>0.1179</v>
      </c>
      <c r="L57" s="23">
        <v>0.17897476600000001</v>
      </c>
      <c r="M57" s="23">
        <v>0.16700000000000001</v>
      </c>
      <c r="N57" s="33">
        <v>0.18206699800000001</v>
      </c>
      <c r="O57" s="23">
        <v>0.21987999999999999</v>
      </c>
      <c r="P57" s="23">
        <v>0.22375</v>
      </c>
      <c r="Q57" s="24">
        <v>8.9899999999999994E-2</v>
      </c>
      <c r="R57" s="23">
        <v>7.5065311999999995E-2</v>
      </c>
      <c r="S57" s="23">
        <v>0.131083643</v>
      </c>
      <c r="T57" s="23">
        <v>4.7808612E-2</v>
      </c>
      <c r="U57" s="23">
        <v>0.14000000000000001</v>
      </c>
      <c r="V57" s="23">
        <v>0.234872267</v>
      </c>
      <c r="W57" s="33">
        <v>0.30057099999999998</v>
      </c>
      <c r="X57" s="23">
        <v>0.24265792999999999</v>
      </c>
      <c r="Y57" s="23">
        <v>0.14044926599999999</v>
      </c>
      <c r="Z57" s="23">
        <v>0.150836421</v>
      </c>
      <c r="AA57" s="23">
        <v>0.12570469100000001</v>
      </c>
      <c r="AB57" s="23">
        <v>0.106865909</v>
      </c>
      <c r="AC57" s="23">
        <v>6.4815103999999998E-2</v>
      </c>
      <c r="AD57" s="23">
        <v>0.27</v>
      </c>
      <c r="AE57" s="23">
        <v>0.12</v>
      </c>
      <c r="AF57" s="23">
        <v>0.15664952600000001</v>
      </c>
      <c r="AG57" s="23">
        <v>0.2485</v>
      </c>
      <c r="AH57" s="23">
        <v>0.185120123</v>
      </c>
      <c r="AI57" s="23">
        <v>0.15908350600000001</v>
      </c>
      <c r="AJ57" s="23">
        <v>8.0299999999999996E-2</v>
      </c>
      <c r="AK57" s="23">
        <v>0.25929999999999997</v>
      </c>
      <c r="AL57" s="23">
        <v>0.15240000000000001</v>
      </c>
      <c r="AM57" s="23">
        <v>0.21</v>
      </c>
      <c r="AN57" s="23">
        <v>0.1845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ht="14.25" customHeight="1">
      <c r="A58" s="10"/>
      <c r="B58" s="10" t="s">
        <v>130</v>
      </c>
      <c r="C58" s="23">
        <v>0.01</v>
      </c>
      <c r="D58" s="23">
        <v>0.03</v>
      </c>
      <c r="E58" s="23">
        <v>1.7500000000000002E-2</v>
      </c>
      <c r="F58" s="23">
        <v>4.2599999999999999E-2</v>
      </c>
      <c r="G58" s="23">
        <v>1.4E-2</v>
      </c>
      <c r="H58" s="23">
        <v>1.0479983E-2</v>
      </c>
      <c r="I58" s="23">
        <v>7.052104E-3</v>
      </c>
      <c r="J58" s="23">
        <v>2.1000000000000001E-2</v>
      </c>
      <c r="K58" s="23">
        <v>1.89E-2</v>
      </c>
      <c r="L58" s="23">
        <v>1.0898421E-2</v>
      </c>
      <c r="M58" s="23">
        <v>3.6400000000000002E-2</v>
      </c>
      <c r="N58" s="33">
        <v>3.4315841999999999E-2</v>
      </c>
      <c r="O58" s="23">
        <v>1.0970000000000001E-2</v>
      </c>
      <c r="P58" s="23">
        <v>2.104E-2</v>
      </c>
      <c r="Q58" s="24">
        <v>2.93E-2</v>
      </c>
      <c r="R58" s="23">
        <v>2.6979197999999999E-2</v>
      </c>
      <c r="S58" s="23">
        <v>0.107787958</v>
      </c>
      <c r="T58" s="23">
        <v>1.6484451000000001E-2</v>
      </c>
      <c r="U58" s="23">
        <v>0.04</v>
      </c>
      <c r="V58" s="23">
        <v>8.7523380000000001E-3</v>
      </c>
      <c r="W58" s="33">
        <v>2.3843E-2</v>
      </c>
      <c r="X58" s="23">
        <v>4.0505319999999999E-3</v>
      </c>
      <c r="Y58" s="23">
        <v>1.6056746E-2</v>
      </c>
      <c r="Z58" s="23">
        <v>3.3585861000000002E-2</v>
      </c>
      <c r="AA58" s="23">
        <v>2.7251747E-2</v>
      </c>
      <c r="AB58" s="23">
        <v>1.0361820000000001E-2</v>
      </c>
      <c r="AC58" s="23">
        <v>3.8556200999999998E-2</v>
      </c>
      <c r="AD58" s="23">
        <v>0.05</v>
      </c>
      <c r="AE58" s="23">
        <v>0.05</v>
      </c>
      <c r="AF58" s="23">
        <v>9.0365797999999997E-2</v>
      </c>
      <c r="AG58" s="23">
        <v>2.0299999999999999E-2</v>
      </c>
      <c r="AH58" s="23">
        <v>9.7679565999999995E-2</v>
      </c>
      <c r="AI58" s="23">
        <v>1.3051024E-2</v>
      </c>
      <c r="AJ58" s="23">
        <v>8.0000000000000002E-3</v>
      </c>
      <c r="AK58" s="23">
        <v>1.9300000000000001E-2</v>
      </c>
      <c r="AL58" s="23">
        <v>9.9000000000000008E-3</v>
      </c>
      <c r="AM58" s="23">
        <v>0.03</v>
      </c>
      <c r="AN58" s="23">
        <v>0.12790000000000001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ht="14.25" customHeight="1">
      <c r="A59" s="10"/>
      <c r="B59" s="10" t="s">
        <v>131</v>
      </c>
      <c r="C59" s="23">
        <v>0.01</v>
      </c>
      <c r="D59" s="23">
        <v>0.04</v>
      </c>
      <c r="E59" s="23">
        <v>3.6999999999999998E-2</v>
      </c>
      <c r="F59" s="23">
        <v>2.5100000000000001E-2</v>
      </c>
      <c r="G59" s="23">
        <v>7.4999999999999997E-3</v>
      </c>
      <c r="H59" s="23">
        <v>2.8542932E-2</v>
      </c>
      <c r="I59" s="23">
        <v>1.1510510999999999E-2</v>
      </c>
      <c r="J59" s="23">
        <v>4.3E-3</v>
      </c>
      <c r="K59" s="23">
        <v>1.6400000000000001E-2</v>
      </c>
      <c r="L59" s="23">
        <v>1.7242861000000002E-2</v>
      </c>
      <c r="M59" s="23">
        <v>7.4999999999999997E-3</v>
      </c>
      <c r="N59" s="33">
        <v>4.5184568000000001E-2</v>
      </c>
      <c r="O59" s="23">
        <v>6.4000000000000003E-3</v>
      </c>
      <c r="P59" s="23">
        <v>7.0099999999999997E-3</v>
      </c>
      <c r="Q59" s="24">
        <v>1.04E-2</v>
      </c>
      <c r="R59" s="23">
        <v>9.4336679999999992E-3</v>
      </c>
      <c r="S59" s="23">
        <v>7.2150019999999999E-3</v>
      </c>
      <c r="T59" s="23">
        <v>5.7677400000000004E-3</v>
      </c>
      <c r="U59" s="23">
        <v>0.02</v>
      </c>
      <c r="V59" s="23">
        <v>1.2020714E-2</v>
      </c>
      <c r="W59" s="33">
        <v>5.0152000000000002E-2</v>
      </c>
      <c r="X59" s="23">
        <v>1.4162199999999999E-4</v>
      </c>
      <c r="Y59" s="23">
        <v>3.8607875999999999E-2</v>
      </c>
      <c r="Z59" s="23">
        <v>3.1481620000000002E-2</v>
      </c>
      <c r="AA59" s="23">
        <v>0.168476761</v>
      </c>
      <c r="AB59" s="23">
        <v>6.5758305000000003E-2</v>
      </c>
      <c r="AC59" s="23">
        <v>4.5830436000000002E-2</v>
      </c>
      <c r="AD59" s="23">
        <v>0.01</v>
      </c>
      <c r="AE59" s="23">
        <v>0.04</v>
      </c>
      <c r="AF59" s="23">
        <v>0.104354285</v>
      </c>
      <c r="AG59" s="23">
        <v>5.2600000000000001E-2</v>
      </c>
      <c r="AH59" s="23">
        <v>5.2804666E-2</v>
      </c>
      <c r="AI59" s="23">
        <v>3.2197953000000001E-2</v>
      </c>
      <c r="AJ59" s="23">
        <v>4.5999999999999999E-3</v>
      </c>
      <c r="AK59" s="23">
        <v>8.9999999999999993E-3</v>
      </c>
      <c r="AL59" s="23">
        <v>6.4999999999999997E-3</v>
      </c>
      <c r="AM59" s="23">
        <v>0.02</v>
      </c>
      <c r="AN59" s="23">
        <v>4.0899999999999999E-2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ht="14.25" customHeight="1">
      <c r="A60" s="10"/>
      <c r="B60" s="10" t="s">
        <v>132</v>
      </c>
      <c r="C60" s="23">
        <v>0.05</v>
      </c>
      <c r="D60" s="23">
        <v>0.08</v>
      </c>
      <c r="E60" s="23">
        <v>7.7399999999999997E-2</v>
      </c>
      <c r="F60" s="23">
        <v>0.12230000000000001</v>
      </c>
      <c r="G60" s="23">
        <v>0.24360000000000001</v>
      </c>
      <c r="H60" s="23">
        <v>0.141382279</v>
      </c>
      <c r="I60" s="23">
        <v>0.108797197</v>
      </c>
      <c r="J60" s="23">
        <v>0.39350000000000002</v>
      </c>
      <c r="K60" s="23">
        <v>0.2989</v>
      </c>
      <c r="L60" s="23">
        <v>0.33459084700000002</v>
      </c>
      <c r="M60" s="23">
        <v>8.8599999999999998E-2</v>
      </c>
      <c r="N60" s="33">
        <v>0.119053826</v>
      </c>
      <c r="O60" s="23">
        <v>0.20107</v>
      </c>
      <c r="P60" s="23">
        <v>0.11944</v>
      </c>
      <c r="Q60" s="24">
        <v>0.1336</v>
      </c>
      <c r="R60" s="23">
        <v>0.143103127</v>
      </c>
      <c r="S60" s="23">
        <v>0.13419302699999999</v>
      </c>
      <c r="T60" s="23">
        <v>0.31193380199999998</v>
      </c>
      <c r="U60" s="23">
        <v>7.0000000000000007E-2</v>
      </c>
      <c r="V60" s="23">
        <v>0.13901976999999999</v>
      </c>
      <c r="W60" s="33">
        <v>0.19053300000000001</v>
      </c>
      <c r="X60" s="23">
        <v>0.18196447700000001</v>
      </c>
      <c r="Y60" s="23">
        <v>0.183755166</v>
      </c>
      <c r="Z60" s="23">
        <v>0.35421567799999998</v>
      </c>
      <c r="AA60" s="23">
        <v>0.225457826</v>
      </c>
      <c r="AB60" s="23">
        <v>0.56689503600000002</v>
      </c>
      <c r="AC60" s="23">
        <v>0.13949229699999999</v>
      </c>
      <c r="AD60" s="23">
        <v>0.09</v>
      </c>
      <c r="AE60" s="23">
        <v>0.14000000000000001</v>
      </c>
      <c r="AF60" s="23">
        <v>0.15879626699999999</v>
      </c>
      <c r="AG60" s="23">
        <v>0.13700000000000001</v>
      </c>
      <c r="AH60" s="23">
        <v>0.22871666299999999</v>
      </c>
      <c r="AI60" s="23">
        <v>6.073398E-2</v>
      </c>
      <c r="AJ60" s="23">
        <v>0.21929999999999999</v>
      </c>
      <c r="AK60" s="23">
        <v>0.26479999999999998</v>
      </c>
      <c r="AL60" s="23">
        <v>0.12039999999999999</v>
      </c>
      <c r="AM60" s="23">
        <v>0.15</v>
      </c>
      <c r="AN60" s="23">
        <v>0.19600000000000001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ht="14.25" customHeight="1">
      <c r="A61" s="10"/>
      <c r="B61" s="10" t="s">
        <v>133</v>
      </c>
      <c r="C61" s="23">
        <v>0.82</v>
      </c>
      <c r="D61" s="23">
        <v>0.57999999999999996</v>
      </c>
      <c r="E61" s="23">
        <v>0.4869</v>
      </c>
      <c r="F61" s="23">
        <v>0.47260000000000002</v>
      </c>
      <c r="G61" s="23">
        <v>0.64139999999999997</v>
      </c>
      <c r="H61" s="23">
        <v>0.62966016700000005</v>
      </c>
      <c r="I61" s="23">
        <v>0.69946021800000002</v>
      </c>
      <c r="J61" s="23">
        <v>0.43</v>
      </c>
      <c r="K61" s="23">
        <v>0.50339999999999996</v>
      </c>
      <c r="L61" s="23">
        <v>0.39178933399999999</v>
      </c>
      <c r="M61" s="23">
        <v>0.55640000000000001</v>
      </c>
      <c r="N61" s="33">
        <v>0.48134049800000001</v>
      </c>
      <c r="O61" s="23">
        <v>0.46794000000000002</v>
      </c>
      <c r="P61" s="23">
        <v>0.41411999999999999</v>
      </c>
      <c r="Q61" s="24">
        <v>0.68700000000000006</v>
      </c>
      <c r="R61" s="23">
        <v>0.65798131500000001</v>
      </c>
      <c r="S61" s="23">
        <v>0.47872416299999998</v>
      </c>
      <c r="T61" s="23">
        <v>0.58142076399999998</v>
      </c>
      <c r="U61" s="23">
        <v>0.68</v>
      </c>
      <c r="V61" s="23">
        <v>0.49805179399999999</v>
      </c>
      <c r="W61" s="33">
        <v>0.327961</v>
      </c>
      <c r="X61" s="24">
        <v>0.56223188099999999</v>
      </c>
      <c r="Y61" s="23">
        <v>0.53078455000000002</v>
      </c>
      <c r="Z61" s="23">
        <v>0.33491372600000002</v>
      </c>
      <c r="AA61" s="23">
        <v>0.35422852300000002</v>
      </c>
      <c r="AB61" s="23">
        <v>0.168746017</v>
      </c>
      <c r="AC61" s="23">
        <v>0.66019458200000003</v>
      </c>
      <c r="AD61" s="23">
        <v>0.5</v>
      </c>
      <c r="AE61" s="23">
        <v>0.46</v>
      </c>
      <c r="AF61" s="23">
        <v>0.31666342400000003</v>
      </c>
      <c r="AG61" s="23">
        <v>0.45729999999999998</v>
      </c>
      <c r="AH61" s="23">
        <v>0.31351611200000001</v>
      </c>
      <c r="AI61" s="23">
        <v>0.64813889400000002</v>
      </c>
      <c r="AJ61" s="23">
        <v>0.66710000000000003</v>
      </c>
      <c r="AK61" s="23">
        <v>0.40289999999999998</v>
      </c>
      <c r="AL61" s="23">
        <v>0.67689999999999995</v>
      </c>
      <c r="AM61" s="23">
        <v>0.53</v>
      </c>
      <c r="AN61" s="23">
        <v>0.3538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ht="14.25" customHeight="1">
      <c r="A62" s="34"/>
      <c r="B62" s="35" t="s">
        <v>134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</row>
    <row r="63" spans="1:50" s="5" customFormat="1" ht="30" customHeight="1">
      <c r="A63" s="49"/>
      <c r="B63" s="48" t="s">
        <v>135</v>
      </c>
      <c r="C63" s="36">
        <v>0.03</v>
      </c>
      <c r="D63" s="36">
        <v>0.03</v>
      </c>
      <c r="E63" s="36">
        <v>0.04</v>
      </c>
      <c r="F63" s="36">
        <v>0.01</v>
      </c>
      <c r="G63" s="36">
        <v>0</v>
      </c>
      <c r="H63" s="50">
        <f>(1100-180)/5134</f>
        <v>0.17919750681729646</v>
      </c>
      <c r="I63" s="51">
        <f>(2283-215.5)/4854</f>
        <v>0.42593737124021425</v>
      </c>
      <c r="J63" s="50">
        <f>(517-426)/2086</f>
        <v>4.3624161073825503E-2</v>
      </c>
      <c r="K63" s="36">
        <v>0.02</v>
      </c>
      <c r="L63" s="36">
        <v>0.01</v>
      </c>
      <c r="M63" s="36">
        <v>0.24</v>
      </c>
      <c r="N63" s="36">
        <v>0.55000000000000004</v>
      </c>
      <c r="O63" s="36">
        <v>0.02</v>
      </c>
      <c r="P63" s="36">
        <v>0.02</v>
      </c>
      <c r="Q63" s="36">
        <v>0.03</v>
      </c>
      <c r="R63" s="36">
        <v>0.05</v>
      </c>
      <c r="S63" s="36">
        <v>0.15</v>
      </c>
      <c r="T63" s="36">
        <v>0.01</v>
      </c>
      <c r="U63" s="36">
        <v>0.04</v>
      </c>
      <c r="V63" s="36">
        <v>0.11</v>
      </c>
      <c r="W63" s="36">
        <v>0.08</v>
      </c>
      <c r="X63" s="36">
        <v>0</v>
      </c>
      <c r="Y63" s="36">
        <v>0.05</v>
      </c>
      <c r="Z63" s="36">
        <v>0.17</v>
      </c>
      <c r="AA63" s="36">
        <v>0.18</v>
      </c>
      <c r="AB63" s="36">
        <v>7.0000000000000007E-2</v>
      </c>
      <c r="AC63" s="36">
        <v>0.01</v>
      </c>
      <c r="AD63" s="36">
        <f>(620-457)/2418</f>
        <v>6.7411083540115796E-2</v>
      </c>
      <c r="AE63" s="50">
        <f>(189-185.72)/203</f>
        <v>1.61576354679803E-2</v>
      </c>
      <c r="AF63" s="36">
        <v>0.27</v>
      </c>
      <c r="AG63" s="36">
        <v>0.11</v>
      </c>
      <c r="AH63" s="36">
        <v>0.12</v>
      </c>
      <c r="AI63" s="36">
        <v>0.08</v>
      </c>
      <c r="AJ63" s="36">
        <v>0.04</v>
      </c>
      <c r="AK63" s="52">
        <v>0.35</v>
      </c>
      <c r="AL63" s="52">
        <v>0.21</v>
      </c>
      <c r="AM63" s="36">
        <v>0.01</v>
      </c>
      <c r="AN63" s="37">
        <v>0.05</v>
      </c>
      <c r="AO63" s="49"/>
      <c r="AP63" s="49"/>
      <c r="AQ63" s="49"/>
      <c r="AR63" s="49"/>
      <c r="AS63" s="49"/>
      <c r="AT63" s="49"/>
      <c r="AU63" s="49"/>
      <c r="AV63" s="49"/>
      <c r="AW63" s="49"/>
      <c r="AX63" s="49"/>
    </row>
    <row r="64" spans="1:50" ht="13.5" customHeight="1">
      <c r="A64" s="5"/>
      <c r="B64" s="5" t="s">
        <v>136</v>
      </c>
      <c r="C64" s="36">
        <v>0.03</v>
      </c>
      <c r="D64" s="36">
        <v>0.03</v>
      </c>
      <c r="E64" s="36">
        <v>0.04</v>
      </c>
      <c r="F64" s="36">
        <v>0.01</v>
      </c>
      <c r="G64" s="36">
        <v>0</v>
      </c>
      <c r="H64" s="36">
        <v>0.21</v>
      </c>
      <c r="I64" s="36">
        <v>0.47</v>
      </c>
      <c r="J64" s="36">
        <v>0.25</v>
      </c>
      <c r="K64" s="36">
        <v>0.02</v>
      </c>
      <c r="L64" s="36">
        <v>0.01</v>
      </c>
      <c r="M64" s="36">
        <v>0.24</v>
      </c>
      <c r="N64" s="36">
        <v>0.55000000000000004</v>
      </c>
      <c r="O64" s="36">
        <v>0.02</v>
      </c>
      <c r="P64" s="36">
        <v>0.02</v>
      </c>
      <c r="Q64" s="36">
        <v>0.03</v>
      </c>
      <c r="R64" s="36">
        <v>0.05</v>
      </c>
      <c r="S64" s="36">
        <v>0.15</v>
      </c>
      <c r="T64" s="36">
        <v>0.01</v>
      </c>
      <c r="U64" s="36">
        <v>0.04</v>
      </c>
      <c r="V64" s="36">
        <v>0.11</v>
      </c>
      <c r="W64" s="36">
        <v>0.08</v>
      </c>
      <c r="X64" s="36">
        <v>0</v>
      </c>
      <c r="Y64" s="36">
        <v>0.05</v>
      </c>
      <c r="Z64" s="36">
        <v>0.17</v>
      </c>
      <c r="AA64" s="36">
        <v>0.18</v>
      </c>
      <c r="AB64" s="36">
        <v>7.0000000000000007E-2</v>
      </c>
      <c r="AC64" s="36">
        <v>0.01</v>
      </c>
      <c r="AD64" s="36">
        <v>0.26</v>
      </c>
      <c r="AE64" s="36">
        <v>0.93</v>
      </c>
      <c r="AF64" s="36">
        <v>0.27</v>
      </c>
      <c r="AG64" s="36">
        <v>0.11</v>
      </c>
      <c r="AH64" s="36">
        <v>0.12</v>
      </c>
      <c r="AI64" s="36">
        <v>0.08</v>
      </c>
      <c r="AJ64" s="36">
        <v>0.04</v>
      </c>
      <c r="AK64" s="36">
        <v>0.35</v>
      </c>
      <c r="AL64" s="36">
        <v>0.21</v>
      </c>
      <c r="AM64" s="36">
        <v>0.01</v>
      </c>
      <c r="AN64" s="37">
        <v>0.05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ht="29.25" customHeight="1">
      <c r="A65" s="21"/>
      <c r="B65" s="21" t="s">
        <v>137</v>
      </c>
      <c r="C65" s="21">
        <v>21.59</v>
      </c>
      <c r="D65" s="21">
        <v>0.96</v>
      </c>
      <c r="E65" s="21">
        <v>17.71</v>
      </c>
      <c r="F65" s="21">
        <v>19.86</v>
      </c>
      <c r="G65" s="21">
        <v>1.01</v>
      </c>
      <c r="H65" s="21">
        <v>1375</v>
      </c>
      <c r="I65" s="21">
        <v>2685</v>
      </c>
      <c r="J65" s="21">
        <v>573.24</v>
      </c>
      <c r="K65" s="21">
        <v>3.58</v>
      </c>
      <c r="L65" s="21">
        <v>2</v>
      </c>
      <c r="M65" s="21">
        <v>110.22</v>
      </c>
      <c r="N65" s="21">
        <v>259.25</v>
      </c>
      <c r="O65" s="21">
        <v>11.11</v>
      </c>
      <c r="P65" s="21">
        <v>27.01</v>
      </c>
      <c r="Q65" s="21">
        <v>44.21</v>
      </c>
      <c r="R65" s="21">
        <v>40.53</v>
      </c>
      <c r="S65" s="21">
        <v>502.59</v>
      </c>
      <c r="T65" s="21">
        <v>3.18</v>
      </c>
      <c r="U65" s="21">
        <v>5.15</v>
      </c>
      <c r="V65" s="21">
        <v>61.6</v>
      </c>
      <c r="W65" s="21">
        <v>986.01</v>
      </c>
      <c r="X65" s="21">
        <v>8.3000000000000007</v>
      </c>
      <c r="Y65" s="21">
        <v>15.71</v>
      </c>
      <c r="Z65" s="21">
        <v>15.04</v>
      </c>
      <c r="AA65" s="21">
        <v>14.54</v>
      </c>
      <c r="AB65" s="21">
        <v>61</v>
      </c>
      <c r="AC65" s="21">
        <v>61.38</v>
      </c>
      <c r="AD65" s="21">
        <v>705.2</v>
      </c>
      <c r="AE65" s="21">
        <v>198.71</v>
      </c>
      <c r="AF65" s="21">
        <v>32.71</v>
      </c>
      <c r="AG65" s="21">
        <v>11.44</v>
      </c>
      <c r="AH65" s="21">
        <v>21.84</v>
      </c>
      <c r="AI65" s="21">
        <v>25.78</v>
      </c>
      <c r="AJ65" s="21">
        <v>178.54</v>
      </c>
      <c r="AK65" s="21">
        <v>23.79</v>
      </c>
      <c r="AL65" s="21">
        <v>93.59</v>
      </c>
      <c r="AM65" s="21">
        <v>1.68</v>
      </c>
      <c r="AN65" s="21">
        <v>44.68</v>
      </c>
      <c r="AO65" s="21"/>
      <c r="AP65" s="21"/>
      <c r="AQ65" s="21"/>
      <c r="AR65" s="21"/>
      <c r="AS65" s="21"/>
      <c r="AT65" s="21"/>
      <c r="AU65" s="21"/>
      <c r="AV65" s="21"/>
      <c r="AW65" s="21"/>
      <c r="AX65" s="21"/>
    </row>
    <row r="66" spans="1:50" ht="14.25" customHeight="1">
      <c r="A66" s="10"/>
      <c r="B66" s="10" t="s">
        <v>138</v>
      </c>
      <c r="C66" s="10">
        <v>4.6399999999999997</v>
      </c>
      <c r="D66" s="10">
        <v>0.31</v>
      </c>
      <c r="E66" s="10">
        <v>6.92</v>
      </c>
      <c r="F66" s="10">
        <v>0.1</v>
      </c>
      <c r="G66" s="10">
        <v>0</v>
      </c>
      <c r="H66" s="10">
        <v>0</v>
      </c>
      <c r="I66" s="10">
        <v>0</v>
      </c>
      <c r="J66" s="10">
        <v>69.8</v>
      </c>
      <c r="K66" s="10">
        <v>0.32</v>
      </c>
      <c r="L66" s="10">
        <v>0</v>
      </c>
      <c r="M66" s="10">
        <v>10.6</v>
      </c>
      <c r="N66" s="10">
        <v>15.78</v>
      </c>
      <c r="O66" s="10">
        <v>3.56</v>
      </c>
      <c r="P66" s="10">
        <v>0.4</v>
      </c>
      <c r="Q66" s="10">
        <v>1.26</v>
      </c>
      <c r="R66" s="10">
        <v>4</v>
      </c>
      <c r="S66" s="10">
        <v>99.33</v>
      </c>
      <c r="T66" s="10">
        <v>0.17</v>
      </c>
      <c r="U66" s="10">
        <v>3.15</v>
      </c>
      <c r="V66" s="10">
        <v>8</v>
      </c>
      <c r="W66" s="10">
        <v>45.9</v>
      </c>
      <c r="X66" s="10">
        <v>0.2</v>
      </c>
      <c r="Y66" s="10">
        <v>1.1499999999999999</v>
      </c>
      <c r="Z66" s="10">
        <v>0.48</v>
      </c>
      <c r="AA66" s="10">
        <v>0.35</v>
      </c>
      <c r="AB66" s="10">
        <v>0</v>
      </c>
      <c r="AC66" s="10">
        <v>14.45</v>
      </c>
      <c r="AD66" s="10">
        <v>1.42</v>
      </c>
      <c r="AE66" s="10">
        <v>2.12</v>
      </c>
      <c r="AF66" s="10">
        <v>1.22</v>
      </c>
      <c r="AG66" s="10">
        <v>3.09</v>
      </c>
      <c r="AH66" s="10">
        <v>1.46</v>
      </c>
      <c r="AI66" s="10">
        <v>13.78</v>
      </c>
      <c r="AJ66" s="10">
        <v>31.3</v>
      </c>
      <c r="AK66" s="10">
        <v>0.1</v>
      </c>
      <c r="AL66" s="10">
        <v>0</v>
      </c>
      <c r="AM66" s="10">
        <v>0.14000000000000001</v>
      </c>
      <c r="AN66" s="10">
        <v>8.01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ht="14.25" customHeight="1">
      <c r="A67" s="10"/>
      <c r="B67" s="10" t="s">
        <v>139</v>
      </c>
      <c r="C67" s="38">
        <f t="shared" ref="C67:AN67" si="4">C66/C65</f>
        <v>0.21491431218156554</v>
      </c>
      <c r="D67" s="38">
        <f t="shared" si="4"/>
        <v>0.32291666666666669</v>
      </c>
      <c r="E67" s="38">
        <f t="shared" si="4"/>
        <v>0.39073969508752115</v>
      </c>
      <c r="F67" s="38">
        <f t="shared" si="4"/>
        <v>5.0352467270896274E-3</v>
      </c>
      <c r="G67" s="38">
        <f t="shared" si="4"/>
        <v>0</v>
      </c>
      <c r="H67" s="38">
        <f t="shared" si="4"/>
        <v>0</v>
      </c>
      <c r="I67" s="38">
        <f t="shared" si="4"/>
        <v>0</v>
      </c>
      <c r="J67" s="38">
        <f t="shared" si="4"/>
        <v>0.12176400809434093</v>
      </c>
      <c r="K67" s="38">
        <f t="shared" si="4"/>
        <v>8.9385474860335198E-2</v>
      </c>
      <c r="L67" s="38">
        <f t="shared" si="4"/>
        <v>0</v>
      </c>
      <c r="M67" s="38">
        <f t="shared" si="4"/>
        <v>9.6171293776084188E-2</v>
      </c>
      <c r="N67" s="38">
        <f t="shared" si="4"/>
        <v>6.0867888138862097E-2</v>
      </c>
      <c r="O67" s="38">
        <f t="shared" si="4"/>
        <v>0.32043204320432045</v>
      </c>
      <c r="P67" s="38">
        <f t="shared" si="4"/>
        <v>1.4809329877823029E-2</v>
      </c>
      <c r="Q67" s="38">
        <f t="shared" si="4"/>
        <v>2.850033928975345E-2</v>
      </c>
      <c r="R67" s="38">
        <f t="shared" si="4"/>
        <v>9.8692326671601285E-2</v>
      </c>
      <c r="S67" s="38">
        <f t="shared" si="4"/>
        <v>0.19763624425476034</v>
      </c>
      <c r="T67" s="38">
        <f t="shared" si="4"/>
        <v>5.3459119496855348E-2</v>
      </c>
      <c r="U67" s="38">
        <f t="shared" si="4"/>
        <v>0.61165048543689315</v>
      </c>
      <c r="V67" s="38">
        <f t="shared" si="4"/>
        <v>0.12987012987012986</v>
      </c>
      <c r="W67" s="38">
        <f t="shared" si="4"/>
        <v>4.6551252015699637E-2</v>
      </c>
      <c r="X67" s="38">
        <f t="shared" si="4"/>
        <v>2.4096385542168672E-2</v>
      </c>
      <c r="Y67" s="38">
        <f t="shared" si="4"/>
        <v>7.3201782304264787E-2</v>
      </c>
      <c r="Z67" s="38">
        <f t="shared" si="4"/>
        <v>3.1914893617021274E-2</v>
      </c>
      <c r="AA67" s="38">
        <f t="shared" si="4"/>
        <v>2.4071526822558458E-2</v>
      </c>
      <c r="AB67" s="38">
        <f t="shared" si="4"/>
        <v>0</v>
      </c>
      <c r="AC67" s="38">
        <f t="shared" si="4"/>
        <v>0.23541870316063862</v>
      </c>
      <c r="AD67" s="38">
        <f t="shared" si="4"/>
        <v>2.0136131593874074E-3</v>
      </c>
      <c r="AE67" s="38">
        <f t="shared" si="4"/>
        <v>1.0668813849328166E-2</v>
      </c>
      <c r="AF67" s="38">
        <f t="shared" si="4"/>
        <v>3.7297462549678993E-2</v>
      </c>
      <c r="AG67" s="38">
        <f t="shared" si="4"/>
        <v>0.2701048951048951</v>
      </c>
      <c r="AH67" s="38">
        <f t="shared" si="4"/>
        <v>6.6849816849816848E-2</v>
      </c>
      <c r="AI67" s="38">
        <f t="shared" si="4"/>
        <v>0.53452288595810704</v>
      </c>
      <c r="AJ67" s="38">
        <f t="shared" si="4"/>
        <v>0.17531085471042904</v>
      </c>
      <c r="AK67" s="38">
        <f t="shared" si="4"/>
        <v>4.2034468263976461E-3</v>
      </c>
      <c r="AL67" s="38">
        <f t="shared" si="4"/>
        <v>0</v>
      </c>
      <c r="AM67" s="38">
        <f t="shared" si="4"/>
        <v>8.3333333333333343E-2</v>
      </c>
      <c r="AN67" s="38">
        <f t="shared" si="4"/>
        <v>0.17927484333034915</v>
      </c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 ht="14.25" customHeight="1">
      <c r="A68" s="10"/>
      <c r="B68" s="10" t="s">
        <v>140</v>
      </c>
      <c r="C68" s="10">
        <v>2.5299999999999998</v>
      </c>
      <c r="D68" s="10">
        <v>0</v>
      </c>
      <c r="E68" s="10">
        <v>0</v>
      </c>
      <c r="F68" s="10">
        <v>0.1</v>
      </c>
      <c r="G68" s="10">
        <v>0</v>
      </c>
      <c r="H68" s="10">
        <v>0</v>
      </c>
      <c r="I68" s="10">
        <v>0</v>
      </c>
      <c r="J68" s="10">
        <v>0.24</v>
      </c>
      <c r="K68" s="10">
        <v>0.76</v>
      </c>
      <c r="L68" s="10">
        <v>0.5</v>
      </c>
      <c r="M68" s="10">
        <v>8.49</v>
      </c>
      <c r="N68" s="10">
        <v>15.28</v>
      </c>
      <c r="O68" s="10">
        <v>0.06</v>
      </c>
      <c r="P68" s="10">
        <v>5.19</v>
      </c>
      <c r="Q68" s="10">
        <v>2.33</v>
      </c>
      <c r="R68" s="10">
        <v>5.42</v>
      </c>
      <c r="S68" s="10">
        <v>17</v>
      </c>
      <c r="T68" s="10">
        <v>0.45</v>
      </c>
      <c r="U68" s="10">
        <v>0</v>
      </c>
      <c r="V68" s="10">
        <v>0</v>
      </c>
      <c r="W68" s="10">
        <v>21.6</v>
      </c>
      <c r="X68" s="10">
        <v>0</v>
      </c>
      <c r="Y68" s="10">
        <v>3.9</v>
      </c>
      <c r="Z68" s="10">
        <v>0.39</v>
      </c>
      <c r="AA68" s="10">
        <v>0.55000000000000004</v>
      </c>
      <c r="AB68" s="10">
        <v>0</v>
      </c>
      <c r="AC68" s="10">
        <v>2.4500000000000002</v>
      </c>
      <c r="AD68" s="10">
        <v>0</v>
      </c>
      <c r="AE68" s="10">
        <v>0.09</v>
      </c>
      <c r="AF68" s="10">
        <v>0.05</v>
      </c>
      <c r="AG68" s="10">
        <v>0.03</v>
      </c>
      <c r="AH68" s="10">
        <v>0.36</v>
      </c>
      <c r="AI68" s="10">
        <v>3</v>
      </c>
      <c r="AJ68" s="10">
        <v>5.3900000000000006</v>
      </c>
      <c r="AK68" s="10">
        <v>0.1</v>
      </c>
      <c r="AL68" s="10">
        <v>0</v>
      </c>
      <c r="AM68" s="10">
        <v>0.16</v>
      </c>
      <c r="AN68" s="10">
        <v>2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ht="14.25" customHeight="1">
      <c r="A69" s="10"/>
      <c r="B69" s="10" t="s">
        <v>141</v>
      </c>
      <c r="C69" s="38">
        <f t="shared" ref="C69:AN69" si="5">C68/C65</f>
        <v>0.11718388142658638</v>
      </c>
      <c r="D69" s="38">
        <f t="shared" si="5"/>
        <v>0</v>
      </c>
      <c r="E69" s="38">
        <f t="shared" si="5"/>
        <v>0</v>
      </c>
      <c r="F69" s="38">
        <f t="shared" si="5"/>
        <v>5.0352467270896274E-3</v>
      </c>
      <c r="G69" s="38">
        <f t="shared" si="5"/>
        <v>0</v>
      </c>
      <c r="H69" s="38">
        <f t="shared" si="5"/>
        <v>0</v>
      </c>
      <c r="I69" s="38">
        <f t="shared" si="5"/>
        <v>0</v>
      </c>
      <c r="J69" s="38">
        <f t="shared" si="5"/>
        <v>4.1867280720117226E-4</v>
      </c>
      <c r="K69" s="38">
        <f t="shared" si="5"/>
        <v>0.21229050279329609</v>
      </c>
      <c r="L69" s="38">
        <f t="shared" si="5"/>
        <v>0.25</v>
      </c>
      <c r="M69" s="38">
        <f t="shared" si="5"/>
        <v>7.7027762656505169E-2</v>
      </c>
      <c r="N69" s="38">
        <f t="shared" si="5"/>
        <v>5.8939247830279651E-2</v>
      </c>
      <c r="O69" s="38">
        <f t="shared" si="5"/>
        <v>5.4005400540054005E-3</v>
      </c>
      <c r="P69" s="38">
        <f t="shared" si="5"/>
        <v>0.19215105516475381</v>
      </c>
      <c r="Q69" s="38">
        <f t="shared" si="5"/>
        <v>5.270300836914725E-2</v>
      </c>
      <c r="R69" s="38">
        <f t="shared" si="5"/>
        <v>0.13372810264001972</v>
      </c>
      <c r="S69" s="38">
        <f t="shared" si="5"/>
        <v>3.3824787600230805E-2</v>
      </c>
      <c r="T69" s="38">
        <f t="shared" si="5"/>
        <v>0.14150943396226415</v>
      </c>
      <c r="U69" s="38">
        <f t="shared" si="5"/>
        <v>0</v>
      </c>
      <c r="V69" s="38">
        <f t="shared" si="5"/>
        <v>0</v>
      </c>
      <c r="W69" s="38">
        <f t="shared" si="5"/>
        <v>2.1906471536799831E-2</v>
      </c>
      <c r="X69" s="38">
        <f t="shared" si="5"/>
        <v>0</v>
      </c>
      <c r="Y69" s="38">
        <f t="shared" si="5"/>
        <v>0.24824952259707192</v>
      </c>
      <c r="Z69" s="38">
        <f t="shared" si="5"/>
        <v>2.593085106382979E-2</v>
      </c>
      <c r="AA69" s="38">
        <f t="shared" si="5"/>
        <v>3.7826685006877588E-2</v>
      </c>
      <c r="AB69" s="38">
        <f t="shared" si="5"/>
        <v>0</v>
      </c>
      <c r="AC69" s="38">
        <f t="shared" si="5"/>
        <v>3.9915281850765726E-2</v>
      </c>
      <c r="AD69" s="38">
        <f t="shared" si="5"/>
        <v>0</v>
      </c>
      <c r="AE69" s="38">
        <f t="shared" si="5"/>
        <v>4.5292134266015796E-4</v>
      </c>
      <c r="AF69" s="38">
        <f t="shared" si="5"/>
        <v>1.5285845307245491E-3</v>
      </c>
      <c r="AG69" s="38">
        <f t="shared" si="5"/>
        <v>2.6223776223776225E-3</v>
      </c>
      <c r="AH69" s="38">
        <f t="shared" si="5"/>
        <v>1.6483516483516484E-2</v>
      </c>
      <c r="AI69" s="38">
        <f t="shared" si="5"/>
        <v>0.11636927851047323</v>
      </c>
      <c r="AJ69" s="38">
        <f t="shared" si="5"/>
        <v>3.0189313319144175E-2</v>
      </c>
      <c r="AK69" s="38">
        <f t="shared" si="5"/>
        <v>4.2034468263976461E-3</v>
      </c>
      <c r="AL69" s="38">
        <f t="shared" si="5"/>
        <v>0</v>
      </c>
      <c r="AM69" s="38">
        <f t="shared" si="5"/>
        <v>9.5238095238095247E-2</v>
      </c>
      <c r="AN69" s="38">
        <f t="shared" si="5"/>
        <v>4.4762757385854966E-2</v>
      </c>
      <c r="AO69" s="38"/>
      <c r="AP69" s="38"/>
      <c r="AQ69" s="38"/>
      <c r="AR69" s="38"/>
      <c r="AS69" s="38"/>
      <c r="AT69" s="38"/>
      <c r="AU69" s="38"/>
      <c r="AV69" s="38"/>
      <c r="AW69" s="38"/>
      <c r="AX69" s="38"/>
    </row>
    <row r="70" spans="1:50" ht="14.25" customHeight="1">
      <c r="A70" s="10"/>
      <c r="B70" s="10" t="s">
        <v>142</v>
      </c>
      <c r="C70" s="10">
        <v>0.17</v>
      </c>
      <c r="D70" s="10">
        <v>0</v>
      </c>
      <c r="E70" s="10">
        <v>0</v>
      </c>
      <c r="F70" s="10">
        <v>7.0000000000000007E-2</v>
      </c>
      <c r="G70" s="10">
        <v>0</v>
      </c>
      <c r="H70" s="10">
        <v>0</v>
      </c>
      <c r="I70" s="10">
        <v>0</v>
      </c>
      <c r="J70" s="10">
        <v>1.5</v>
      </c>
      <c r="K70" s="10">
        <v>0.11</v>
      </c>
      <c r="L70" s="10">
        <v>0</v>
      </c>
      <c r="M70" s="10">
        <v>0</v>
      </c>
      <c r="N70" s="10">
        <v>15.31</v>
      </c>
      <c r="O70" s="10">
        <v>0</v>
      </c>
      <c r="P70" s="10">
        <v>0</v>
      </c>
      <c r="Q70" s="10">
        <v>0.77</v>
      </c>
      <c r="R70" s="10">
        <v>0.33</v>
      </c>
      <c r="S70" s="10">
        <v>18</v>
      </c>
      <c r="T70" s="10">
        <v>0</v>
      </c>
      <c r="U70" s="10">
        <v>0</v>
      </c>
      <c r="V70" s="10">
        <v>0</v>
      </c>
      <c r="W70" s="10">
        <v>6.7</v>
      </c>
      <c r="X70" s="10">
        <v>5</v>
      </c>
      <c r="Y70" s="10">
        <v>2.64</v>
      </c>
      <c r="Z70" s="10">
        <v>0.23</v>
      </c>
      <c r="AA70" s="10">
        <v>0.19</v>
      </c>
      <c r="AB70" s="10">
        <v>0</v>
      </c>
      <c r="AC70" s="10">
        <v>2.4</v>
      </c>
      <c r="AD70" s="10">
        <v>0</v>
      </c>
      <c r="AE70" s="10">
        <v>0.05</v>
      </c>
      <c r="AF70" s="10">
        <v>0.05</v>
      </c>
      <c r="AG70" s="10">
        <v>0</v>
      </c>
      <c r="AH70" s="10">
        <v>0.12</v>
      </c>
      <c r="AI70" s="10">
        <v>2</v>
      </c>
      <c r="AJ70" s="10">
        <v>0.35</v>
      </c>
      <c r="AK70" s="10">
        <v>0.1</v>
      </c>
      <c r="AL70" s="10">
        <v>0</v>
      </c>
      <c r="AM70" s="10">
        <v>0.21</v>
      </c>
      <c r="AN70" s="10">
        <v>0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ht="14.25" customHeight="1">
      <c r="A71" s="10"/>
      <c r="B71" s="10" t="s">
        <v>143</v>
      </c>
      <c r="C71" s="38">
        <f t="shared" ref="C71:AN71" si="6">C70/C65</f>
        <v>7.874015748031496E-3</v>
      </c>
      <c r="D71" s="38">
        <f t="shared" si="6"/>
        <v>0</v>
      </c>
      <c r="E71" s="38">
        <f t="shared" si="6"/>
        <v>0</v>
      </c>
      <c r="F71" s="38">
        <f t="shared" si="6"/>
        <v>3.5246727089627396E-3</v>
      </c>
      <c r="G71" s="38">
        <f t="shared" si="6"/>
        <v>0</v>
      </c>
      <c r="H71" s="38">
        <f t="shared" si="6"/>
        <v>0</v>
      </c>
      <c r="I71" s="38">
        <f t="shared" si="6"/>
        <v>0</v>
      </c>
      <c r="J71" s="38">
        <f t="shared" si="6"/>
        <v>2.6167050450073268E-3</v>
      </c>
      <c r="K71" s="38">
        <f t="shared" si="6"/>
        <v>3.0726256983240222E-2</v>
      </c>
      <c r="L71" s="38">
        <f t="shared" si="6"/>
        <v>0</v>
      </c>
      <c r="M71" s="38">
        <f t="shared" si="6"/>
        <v>0</v>
      </c>
      <c r="N71" s="38">
        <f t="shared" si="6"/>
        <v>5.9054966248794603E-2</v>
      </c>
      <c r="O71" s="38">
        <f t="shared" si="6"/>
        <v>0</v>
      </c>
      <c r="P71" s="38">
        <f t="shared" si="6"/>
        <v>0</v>
      </c>
      <c r="Q71" s="38">
        <f t="shared" si="6"/>
        <v>1.7416874010404884E-2</v>
      </c>
      <c r="R71" s="38">
        <f t="shared" si="6"/>
        <v>8.1421169504071068E-3</v>
      </c>
      <c r="S71" s="38">
        <f t="shared" si="6"/>
        <v>3.5814480988479676E-2</v>
      </c>
      <c r="T71" s="38">
        <f t="shared" si="6"/>
        <v>0</v>
      </c>
      <c r="U71" s="38">
        <f t="shared" si="6"/>
        <v>0</v>
      </c>
      <c r="V71" s="38">
        <f t="shared" si="6"/>
        <v>0</v>
      </c>
      <c r="W71" s="38">
        <f t="shared" si="6"/>
        <v>6.7950629303962437E-3</v>
      </c>
      <c r="X71" s="38">
        <f t="shared" si="6"/>
        <v>0.60240963855421681</v>
      </c>
      <c r="Y71" s="38">
        <f t="shared" si="6"/>
        <v>0.16804583068109485</v>
      </c>
      <c r="Z71" s="38">
        <f t="shared" si="6"/>
        <v>1.5292553191489363E-2</v>
      </c>
      <c r="AA71" s="38">
        <f t="shared" si="6"/>
        <v>1.3067400275103164E-2</v>
      </c>
      <c r="AB71" s="38">
        <f t="shared" si="6"/>
        <v>0</v>
      </c>
      <c r="AC71" s="38">
        <f t="shared" si="6"/>
        <v>3.9100684261974585E-2</v>
      </c>
      <c r="AD71" s="38">
        <f t="shared" si="6"/>
        <v>0</v>
      </c>
      <c r="AE71" s="38">
        <f t="shared" si="6"/>
        <v>2.5162296814453222E-4</v>
      </c>
      <c r="AF71" s="38">
        <f t="shared" si="6"/>
        <v>1.5285845307245491E-3</v>
      </c>
      <c r="AG71" s="38">
        <f t="shared" si="6"/>
        <v>0</v>
      </c>
      <c r="AH71" s="38">
        <f t="shared" si="6"/>
        <v>5.4945054945054941E-3</v>
      </c>
      <c r="AI71" s="38">
        <f t="shared" si="6"/>
        <v>7.7579519006982151E-2</v>
      </c>
      <c r="AJ71" s="38">
        <f t="shared" si="6"/>
        <v>1.9603450207236472E-3</v>
      </c>
      <c r="AK71" s="38">
        <f t="shared" si="6"/>
        <v>4.2034468263976461E-3</v>
      </c>
      <c r="AL71" s="38">
        <f t="shared" si="6"/>
        <v>0</v>
      </c>
      <c r="AM71" s="38">
        <f t="shared" si="6"/>
        <v>0.125</v>
      </c>
      <c r="AN71" s="38">
        <f t="shared" si="6"/>
        <v>0</v>
      </c>
      <c r="AO71" s="38"/>
      <c r="AP71" s="38"/>
      <c r="AQ71" s="38"/>
      <c r="AR71" s="38"/>
      <c r="AS71" s="38"/>
      <c r="AT71" s="38"/>
      <c r="AU71" s="38"/>
      <c r="AV71" s="38"/>
      <c r="AW71" s="38"/>
      <c r="AX71" s="38"/>
    </row>
    <row r="72" spans="1:50" ht="14.25" customHeight="1">
      <c r="A72" s="10"/>
      <c r="B72" s="10" t="s">
        <v>144</v>
      </c>
      <c r="C72" s="10">
        <v>0.7</v>
      </c>
      <c r="D72" s="10">
        <v>0</v>
      </c>
      <c r="E72" s="10">
        <v>0.01</v>
      </c>
      <c r="F72" s="10">
        <v>0</v>
      </c>
      <c r="G72" s="10">
        <v>0</v>
      </c>
      <c r="H72" s="10">
        <v>0</v>
      </c>
      <c r="I72" s="10">
        <v>0</v>
      </c>
      <c r="J72" s="10">
        <v>0.02</v>
      </c>
      <c r="K72" s="10">
        <v>7.0000000000000007E-2</v>
      </c>
      <c r="L72" s="10">
        <v>0</v>
      </c>
      <c r="M72" s="10">
        <v>0</v>
      </c>
      <c r="N72" s="10">
        <v>7.18</v>
      </c>
      <c r="O72" s="10">
        <v>0</v>
      </c>
      <c r="P72" s="10">
        <v>0</v>
      </c>
      <c r="Q72" s="10">
        <v>0.15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0.5</v>
      </c>
      <c r="X72" s="10">
        <v>0</v>
      </c>
      <c r="Y72" s="10">
        <v>0.02</v>
      </c>
      <c r="Z72" s="10">
        <v>0</v>
      </c>
      <c r="AA72" s="10">
        <v>0</v>
      </c>
      <c r="AB72" s="10">
        <v>19</v>
      </c>
      <c r="AC72" s="10">
        <v>2.4500000000000002</v>
      </c>
      <c r="AD72" s="10">
        <v>0</v>
      </c>
      <c r="AE72" s="10">
        <v>0.18</v>
      </c>
      <c r="AF72" s="10">
        <v>0.72</v>
      </c>
      <c r="AG72" s="10">
        <v>0.04</v>
      </c>
      <c r="AH72" s="10">
        <v>0.21</v>
      </c>
      <c r="AI72" s="10">
        <v>0</v>
      </c>
      <c r="AJ72" s="10">
        <v>0</v>
      </c>
      <c r="AK72" s="10">
        <v>0.1</v>
      </c>
      <c r="AL72" s="10">
        <v>0</v>
      </c>
      <c r="AM72" s="10">
        <v>0.16</v>
      </c>
      <c r="AN72" s="10">
        <v>0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ht="14.25" customHeight="1">
      <c r="A73" s="10"/>
      <c r="B73" s="10" t="s">
        <v>145</v>
      </c>
      <c r="C73" s="38">
        <f t="shared" ref="C73:AN73" si="7">C72/C65</f>
        <v>3.2422417786012042E-2</v>
      </c>
      <c r="D73" s="38">
        <f t="shared" si="7"/>
        <v>0</v>
      </c>
      <c r="E73" s="38">
        <f t="shared" si="7"/>
        <v>5.6465273856578201E-4</v>
      </c>
      <c r="F73" s="38">
        <f t="shared" si="7"/>
        <v>0</v>
      </c>
      <c r="G73" s="38">
        <f t="shared" si="7"/>
        <v>0</v>
      </c>
      <c r="H73" s="38">
        <f t="shared" si="7"/>
        <v>0</v>
      </c>
      <c r="I73" s="38">
        <f t="shared" si="7"/>
        <v>0</v>
      </c>
      <c r="J73" s="38">
        <f t="shared" si="7"/>
        <v>3.4889400600097688E-5</v>
      </c>
      <c r="K73" s="38">
        <f t="shared" si="7"/>
        <v>1.9553072625698324E-2</v>
      </c>
      <c r="L73" s="38">
        <f t="shared" si="7"/>
        <v>0</v>
      </c>
      <c r="M73" s="38">
        <f t="shared" si="7"/>
        <v>0</v>
      </c>
      <c r="N73" s="38">
        <f t="shared" si="7"/>
        <v>2.7695274831243972E-2</v>
      </c>
      <c r="O73" s="38">
        <f t="shared" si="7"/>
        <v>0</v>
      </c>
      <c r="P73" s="38">
        <f t="shared" si="7"/>
        <v>0</v>
      </c>
      <c r="Q73" s="38">
        <f t="shared" si="7"/>
        <v>3.392897534494458E-3</v>
      </c>
      <c r="R73" s="38">
        <f t="shared" si="7"/>
        <v>0</v>
      </c>
      <c r="S73" s="38">
        <f t="shared" si="7"/>
        <v>0</v>
      </c>
      <c r="T73" s="38">
        <f t="shared" si="7"/>
        <v>0</v>
      </c>
      <c r="U73" s="38">
        <f t="shared" si="7"/>
        <v>0</v>
      </c>
      <c r="V73" s="38">
        <f t="shared" si="7"/>
        <v>0</v>
      </c>
      <c r="W73" s="38">
        <f t="shared" si="7"/>
        <v>5.0709424853703311E-4</v>
      </c>
      <c r="X73" s="38">
        <f t="shared" si="7"/>
        <v>0</v>
      </c>
      <c r="Y73" s="38">
        <f t="shared" si="7"/>
        <v>1.273074474856779E-3</v>
      </c>
      <c r="Z73" s="38">
        <f t="shared" si="7"/>
        <v>0</v>
      </c>
      <c r="AA73" s="38">
        <f t="shared" si="7"/>
        <v>0</v>
      </c>
      <c r="AB73" s="38">
        <f t="shared" si="7"/>
        <v>0.31147540983606559</v>
      </c>
      <c r="AC73" s="38">
        <f t="shared" si="7"/>
        <v>3.9915281850765726E-2</v>
      </c>
      <c r="AD73" s="38">
        <f t="shared" si="7"/>
        <v>0</v>
      </c>
      <c r="AE73" s="38">
        <f t="shared" si="7"/>
        <v>9.0584268532031592E-4</v>
      </c>
      <c r="AF73" s="38">
        <f t="shared" si="7"/>
        <v>2.2011617242433505E-2</v>
      </c>
      <c r="AG73" s="38">
        <f t="shared" si="7"/>
        <v>3.4965034965034969E-3</v>
      </c>
      <c r="AH73" s="38">
        <f t="shared" si="7"/>
        <v>9.6153846153846159E-3</v>
      </c>
      <c r="AI73" s="38">
        <f t="shared" si="7"/>
        <v>0</v>
      </c>
      <c r="AJ73" s="38">
        <f t="shared" si="7"/>
        <v>0</v>
      </c>
      <c r="AK73" s="38">
        <f t="shared" si="7"/>
        <v>4.2034468263976461E-3</v>
      </c>
      <c r="AL73" s="38">
        <f t="shared" si="7"/>
        <v>0</v>
      </c>
      <c r="AM73" s="38">
        <f t="shared" si="7"/>
        <v>9.5238095238095247E-2</v>
      </c>
      <c r="AN73" s="38">
        <f t="shared" si="7"/>
        <v>0</v>
      </c>
      <c r="AO73" s="38"/>
      <c r="AP73" s="38"/>
      <c r="AQ73" s="38"/>
      <c r="AR73" s="38"/>
      <c r="AS73" s="38"/>
      <c r="AT73" s="38"/>
      <c r="AU73" s="38"/>
      <c r="AV73" s="38"/>
      <c r="AW73" s="38"/>
      <c r="AX73" s="38"/>
    </row>
    <row r="74" spans="1:50" ht="14.25" customHeight="1">
      <c r="A74" s="10"/>
      <c r="B74" s="10" t="s">
        <v>146</v>
      </c>
      <c r="C74" s="10">
        <v>2.17</v>
      </c>
      <c r="D74" s="10">
        <v>0.01</v>
      </c>
      <c r="E74" s="10">
        <v>0.63</v>
      </c>
      <c r="F74" s="10">
        <v>0</v>
      </c>
      <c r="G74" s="10">
        <v>0</v>
      </c>
      <c r="H74" s="10">
        <v>0</v>
      </c>
      <c r="I74" s="10">
        <v>0</v>
      </c>
      <c r="J74" s="10">
        <v>2.06</v>
      </c>
      <c r="K74" s="10">
        <v>0.03</v>
      </c>
      <c r="L74" s="10">
        <v>0</v>
      </c>
      <c r="M74" s="10">
        <v>6.36</v>
      </c>
      <c r="N74" s="10">
        <v>1.53</v>
      </c>
      <c r="O74" s="10">
        <v>0.01</v>
      </c>
      <c r="P74" s="10">
        <v>0</v>
      </c>
      <c r="Q74" s="10">
        <v>1.1200000000000001</v>
      </c>
      <c r="R74" s="10">
        <v>1</v>
      </c>
      <c r="S74" s="10">
        <v>10</v>
      </c>
      <c r="T74" s="10">
        <v>0.13</v>
      </c>
      <c r="U74" s="10">
        <v>0</v>
      </c>
      <c r="V74" s="10">
        <v>26.2</v>
      </c>
      <c r="W74" s="10">
        <v>16.3</v>
      </c>
      <c r="X74" s="10">
        <v>0</v>
      </c>
      <c r="Y74" s="10">
        <v>0</v>
      </c>
      <c r="Z74" s="10">
        <v>0.03</v>
      </c>
      <c r="AA74" s="10">
        <v>0.05</v>
      </c>
      <c r="AB74" s="10">
        <v>0</v>
      </c>
      <c r="AC74" s="10">
        <v>2</v>
      </c>
      <c r="AD74" s="10">
        <v>0</v>
      </c>
      <c r="AE74" s="10">
        <v>0</v>
      </c>
      <c r="AF74" s="10">
        <v>0.02</v>
      </c>
      <c r="AG74" s="10">
        <v>0</v>
      </c>
      <c r="AH74" s="10">
        <v>0.63</v>
      </c>
      <c r="AI74" s="10">
        <v>3</v>
      </c>
      <c r="AJ74" s="10">
        <v>7.33</v>
      </c>
      <c r="AK74" s="10">
        <v>0.1</v>
      </c>
      <c r="AL74" s="10">
        <v>0</v>
      </c>
      <c r="AM74" s="10">
        <v>0.08</v>
      </c>
      <c r="AN74" s="10">
        <v>1.49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ht="14.25" customHeight="1">
      <c r="A75" s="10"/>
      <c r="B75" s="10" t="s">
        <v>147</v>
      </c>
      <c r="C75" s="38">
        <f t="shared" ref="C75:AN75" si="8">C74/C65</f>
        <v>0.10050949513663733</v>
      </c>
      <c r="D75" s="38">
        <f t="shared" si="8"/>
        <v>1.0416666666666668E-2</v>
      </c>
      <c r="E75" s="38">
        <f t="shared" si="8"/>
        <v>3.5573122529644265E-2</v>
      </c>
      <c r="F75" s="38">
        <f t="shared" si="8"/>
        <v>0</v>
      </c>
      <c r="G75" s="38">
        <f t="shared" si="8"/>
        <v>0</v>
      </c>
      <c r="H75" s="38">
        <f t="shared" si="8"/>
        <v>0</v>
      </c>
      <c r="I75" s="38">
        <f t="shared" si="8"/>
        <v>0</v>
      </c>
      <c r="J75" s="38">
        <f t="shared" si="8"/>
        <v>3.5936082618100622E-3</v>
      </c>
      <c r="K75" s="38">
        <f t="shared" si="8"/>
        <v>8.3798882681564244E-3</v>
      </c>
      <c r="L75" s="38">
        <f t="shared" si="8"/>
        <v>0</v>
      </c>
      <c r="M75" s="38">
        <f t="shared" si="8"/>
        <v>5.770277626565052E-2</v>
      </c>
      <c r="N75" s="38">
        <f t="shared" si="8"/>
        <v>5.9016393442622951E-3</v>
      </c>
      <c r="O75" s="38">
        <f t="shared" si="8"/>
        <v>9.0009000900090016E-4</v>
      </c>
      <c r="P75" s="38">
        <f t="shared" si="8"/>
        <v>0</v>
      </c>
      <c r="Q75" s="38">
        <f t="shared" si="8"/>
        <v>2.5333634924225291E-2</v>
      </c>
      <c r="R75" s="38">
        <f t="shared" si="8"/>
        <v>2.4673081667900321E-2</v>
      </c>
      <c r="S75" s="38">
        <f t="shared" si="8"/>
        <v>1.9896933882488709E-2</v>
      </c>
      <c r="T75" s="38">
        <f t="shared" si="8"/>
        <v>4.0880503144654086E-2</v>
      </c>
      <c r="U75" s="38">
        <f t="shared" si="8"/>
        <v>0</v>
      </c>
      <c r="V75" s="38">
        <f t="shared" si="8"/>
        <v>0.42532467532467533</v>
      </c>
      <c r="W75" s="38">
        <f t="shared" si="8"/>
        <v>1.6531272502307279E-2</v>
      </c>
      <c r="X75" s="38">
        <f t="shared" si="8"/>
        <v>0</v>
      </c>
      <c r="Y75" s="38">
        <f t="shared" si="8"/>
        <v>0</v>
      </c>
      <c r="Z75" s="38">
        <f t="shared" si="8"/>
        <v>1.9946808510638296E-3</v>
      </c>
      <c r="AA75" s="38">
        <f t="shared" si="8"/>
        <v>3.4387895460797802E-3</v>
      </c>
      <c r="AB75" s="38">
        <f t="shared" si="8"/>
        <v>0</v>
      </c>
      <c r="AC75" s="38">
        <f t="shared" si="8"/>
        <v>3.2583903551645484E-2</v>
      </c>
      <c r="AD75" s="38">
        <f t="shared" si="8"/>
        <v>0</v>
      </c>
      <c r="AE75" s="38">
        <f t="shared" si="8"/>
        <v>0</v>
      </c>
      <c r="AF75" s="38">
        <f t="shared" si="8"/>
        <v>6.1143381228981959E-4</v>
      </c>
      <c r="AG75" s="38">
        <f t="shared" si="8"/>
        <v>0</v>
      </c>
      <c r="AH75" s="38">
        <f t="shared" si="8"/>
        <v>2.8846153846153848E-2</v>
      </c>
      <c r="AI75" s="38">
        <f t="shared" si="8"/>
        <v>0.11636927851047323</v>
      </c>
      <c r="AJ75" s="38">
        <f t="shared" si="8"/>
        <v>4.1055225719726675E-2</v>
      </c>
      <c r="AK75" s="38">
        <f t="shared" si="8"/>
        <v>4.2034468263976461E-3</v>
      </c>
      <c r="AL75" s="38">
        <f t="shared" si="8"/>
        <v>0</v>
      </c>
      <c r="AM75" s="38">
        <f t="shared" si="8"/>
        <v>4.7619047619047623E-2</v>
      </c>
      <c r="AN75" s="38">
        <f t="shared" si="8"/>
        <v>3.3348254252461955E-2</v>
      </c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 spans="1:50" ht="14.25" customHeight="1">
      <c r="A76" s="10"/>
      <c r="B76" s="10" t="s">
        <v>148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0.04</v>
      </c>
      <c r="L76" s="10">
        <v>0</v>
      </c>
      <c r="M76" s="10">
        <v>0</v>
      </c>
      <c r="N76" s="10">
        <v>0.01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0.4</v>
      </c>
      <c r="AD76" s="10">
        <v>3.25</v>
      </c>
      <c r="AE76" s="10">
        <v>0.02</v>
      </c>
      <c r="AF76" s="10">
        <v>0</v>
      </c>
      <c r="AG76" s="10">
        <v>0</v>
      </c>
      <c r="AH76" s="10">
        <v>0.09</v>
      </c>
      <c r="AI76" s="10">
        <v>0</v>
      </c>
      <c r="AJ76" s="10">
        <v>0</v>
      </c>
      <c r="AK76" s="10">
        <v>0.1</v>
      </c>
      <c r="AL76" s="10">
        <v>0</v>
      </c>
      <c r="AM76" s="10">
        <v>0</v>
      </c>
      <c r="AN76" s="10">
        <v>0.2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ht="14.25" customHeight="1">
      <c r="A77" s="10"/>
      <c r="B77" s="10" t="s">
        <v>149</v>
      </c>
      <c r="C77" s="38">
        <f t="shared" ref="C77:AN77" si="9">C76/C65</f>
        <v>0</v>
      </c>
      <c r="D77" s="38">
        <f t="shared" si="9"/>
        <v>0</v>
      </c>
      <c r="E77" s="38">
        <f t="shared" si="9"/>
        <v>0</v>
      </c>
      <c r="F77" s="38">
        <f t="shared" si="9"/>
        <v>0</v>
      </c>
      <c r="G77" s="38">
        <f t="shared" si="9"/>
        <v>0</v>
      </c>
      <c r="H77" s="38">
        <f t="shared" si="9"/>
        <v>0</v>
      </c>
      <c r="I77" s="38">
        <f t="shared" si="9"/>
        <v>0</v>
      </c>
      <c r="J77" s="38">
        <f t="shared" si="9"/>
        <v>0</v>
      </c>
      <c r="K77" s="38">
        <f t="shared" si="9"/>
        <v>1.11731843575419E-2</v>
      </c>
      <c r="L77" s="38">
        <f t="shared" si="9"/>
        <v>0</v>
      </c>
      <c r="M77" s="38">
        <f t="shared" si="9"/>
        <v>0</v>
      </c>
      <c r="N77" s="38">
        <f t="shared" si="9"/>
        <v>3.8572806171648991E-5</v>
      </c>
      <c r="O77" s="38">
        <f t="shared" si="9"/>
        <v>0</v>
      </c>
      <c r="P77" s="38">
        <f t="shared" si="9"/>
        <v>0</v>
      </c>
      <c r="Q77" s="38">
        <f t="shared" si="9"/>
        <v>0</v>
      </c>
      <c r="R77" s="38">
        <f t="shared" si="9"/>
        <v>0</v>
      </c>
      <c r="S77" s="38">
        <f t="shared" si="9"/>
        <v>0</v>
      </c>
      <c r="T77" s="38">
        <f t="shared" si="9"/>
        <v>0</v>
      </c>
      <c r="U77" s="38">
        <f t="shared" si="9"/>
        <v>0</v>
      </c>
      <c r="V77" s="38">
        <f t="shared" si="9"/>
        <v>0</v>
      </c>
      <c r="W77" s="38">
        <f t="shared" si="9"/>
        <v>0</v>
      </c>
      <c r="X77" s="38">
        <f t="shared" si="9"/>
        <v>0</v>
      </c>
      <c r="Y77" s="38">
        <f t="shared" si="9"/>
        <v>0</v>
      </c>
      <c r="Z77" s="38">
        <f t="shared" si="9"/>
        <v>0</v>
      </c>
      <c r="AA77" s="38">
        <f t="shared" si="9"/>
        <v>0</v>
      </c>
      <c r="AB77" s="38">
        <f t="shared" si="9"/>
        <v>0</v>
      </c>
      <c r="AC77" s="38">
        <f t="shared" si="9"/>
        <v>6.5167807103290974E-3</v>
      </c>
      <c r="AD77" s="38">
        <f t="shared" si="9"/>
        <v>4.6086216676120249E-3</v>
      </c>
      <c r="AE77" s="38">
        <f t="shared" si="9"/>
        <v>1.0064918725781288E-4</v>
      </c>
      <c r="AF77" s="38">
        <f t="shared" si="9"/>
        <v>0</v>
      </c>
      <c r="AG77" s="38">
        <f t="shared" si="9"/>
        <v>0</v>
      </c>
      <c r="AH77" s="38">
        <f t="shared" si="9"/>
        <v>4.120879120879121E-3</v>
      </c>
      <c r="AI77" s="38">
        <f t="shared" si="9"/>
        <v>0</v>
      </c>
      <c r="AJ77" s="38">
        <f t="shared" si="9"/>
        <v>0</v>
      </c>
      <c r="AK77" s="38">
        <f t="shared" si="9"/>
        <v>4.2034468263976461E-3</v>
      </c>
      <c r="AL77" s="38">
        <f t="shared" si="9"/>
        <v>0</v>
      </c>
      <c r="AM77" s="38">
        <f t="shared" si="9"/>
        <v>0</v>
      </c>
      <c r="AN77" s="38">
        <f t="shared" si="9"/>
        <v>4.4762757385854975E-3</v>
      </c>
      <c r="AO77" s="38"/>
      <c r="AP77" s="38"/>
      <c r="AQ77" s="38"/>
      <c r="AR77" s="38"/>
      <c r="AS77" s="38"/>
      <c r="AT77" s="38"/>
      <c r="AU77" s="38"/>
      <c r="AV77" s="38"/>
      <c r="AW77" s="38"/>
      <c r="AX77" s="38"/>
    </row>
    <row r="78" spans="1:50" ht="14.25" customHeight="1">
      <c r="A78" s="10"/>
      <c r="B78" s="10" t="s">
        <v>150</v>
      </c>
      <c r="C78" s="10">
        <v>1.58</v>
      </c>
      <c r="D78" s="10">
        <v>0</v>
      </c>
      <c r="E78" s="10">
        <v>1.88</v>
      </c>
      <c r="F78" s="10">
        <v>8.23</v>
      </c>
      <c r="G78" s="10">
        <v>0</v>
      </c>
      <c r="H78" s="10">
        <v>119</v>
      </c>
      <c r="I78" s="10">
        <v>206</v>
      </c>
      <c r="J78" s="10">
        <v>0</v>
      </c>
      <c r="K78" s="10">
        <v>1.1100000000000001</v>
      </c>
      <c r="L78" s="10">
        <v>0</v>
      </c>
      <c r="M78" s="10">
        <v>8.6</v>
      </c>
      <c r="N78" s="10">
        <v>5.8</v>
      </c>
      <c r="O78" s="10">
        <v>0.62</v>
      </c>
      <c r="P78" s="10">
        <v>1.07</v>
      </c>
      <c r="Q78" s="10">
        <v>0.2</v>
      </c>
      <c r="R78" s="10">
        <v>0</v>
      </c>
      <c r="S78" s="10">
        <v>27</v>
      </c>
      <c r="T78" s="10">
        <v>0</v>
      </c>
      <c r="U78" s="10">
        <v>0</v>
      </c>
      <c r="V78" s="10">
        <v>0</v>
      </c>
      <c r="W78" s="10">
        <v>0</v>
      </c>
      <c r="X78" s="10">
        <v>0.8</v>
      </c>
      <c r="Y78" s="10">
        <v>0.36</v>
      </c>
      <c r="Z78" s="10">
        <v>0</v>
      </c>
      <c r="AA78" s="10">
        <v>7.0000000000000007E-2</v>
      </c>
      <c r="AB78" s="10">
        <v>0</v>
      </c>
      <c r="AC78" s="10">
        <v>0</v>
      </c>
      <c r="AD78" s="10">
        <v>314.8</v>
      </c>
      <c r="AE78" s="10">
        <v>0</v>
      </c>
      <c r="AF78" s="10">
        <v>0</v>
      </c>
      <c r="AG78" s="10">
        <v>0.2</v>
      </c>
      <c r="AH78" s="10">
        <v>0</v>
      </c>
      <c r="AI78" s="10">
        <v>0</v>
      </c>
      <c r="AJ78" s="10">
        <v>17</v>
      </c>
      <c r="AK78" s="10">
        <v>0.6</v>
      </c>
      <c r="AL78" s="10">
        <v>11.25</v>
      </c>
      <c r="AM78" s="10">
        <v>0.05</v>
      </c>
      <c r="AN78" s="10">
        <v>0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ht="14.25" customHeight="1">
      <c r="A79" s="10"/>
      <c r="B79" s="10" t="s">
        <v>151</v>
      </c>
      <c r="C79" s="38">
        <f t="shared" ref="C79:AN79" si="10">C78/C65</f>
        <v>7.3182028716998609E-2</v>
      </c>
      <c r="D79" s="38">
        <f t="shared" si="10"/>
        <v>0</v>
      </c>
      <c r="E79" s="38">
        <f t="shared" si="10"/>
        <v>0.10615471485036701</v>
      </c>
      <c r="F79" s="38">
        <f t="shared" si="10"/>
        <v>0.41440080563947634</v>
      </c>
      <c r="G79" s="38">
        <f t="shared" si="10"/>
        <v>0</v>
      </c>
      <c r="H79" s="38">
        <f t="shared" si="10"/>
        <v>8.654545454545455E-2</v>
      </c>
      <c r="I79" s="38">
        <f t="shared" si="10"/>
        <v>7.6722532588454379E-2</v>
      </c>
      <c r="J79" s="38">
        <f t="shared" si="10"/>
        <v>0</v>
      </c>
      <c r="K79" s="38">
        <f t="shared" si="10"/>
        <v>0.31005586592178774</v>
      </c>
      <c r="L79" s="38">
        <f t="shared" si="10"/>
        <v>0</v>
      </c>
      <c r="M79" s="38">
        <f t="shared" si="10"/>
        <v>7.8025766648521136E-2</v>
      </c>
      <c r="N79" s="38">
        <f t="shared" si="10"/>
        <v>2.2372227579556411E-2</v>
      </c>
      <c r="O79" s="38">
        <f t="shared" si="10"/>
        <v>5.580558055805581E-2</v>
      </c>
      <c r="P79" s="38">
        <f t="shared" si="10"/>
        <v>3.9614957423176604E-2</v>
      </c>
      <c r="Q79" s="38">
        <f t="shared" si="10"/>
        <v>4.5238633793259443E-3</v>
      </c>
      <c r="R79" s="38">
        <f t="shared" si="10"/>
        <v>0</v>
      </c>
      <c r="S79" s="38">
        <f t="shared" si="10"/>
        <v>5.3721721482719517E-2</v>
      </c>
      <c r="T79" s="38">
        <f t="shared" si="10"/>
        <v>0</v>
      </c>
      <c r="U79" s="38">
        <f t="shared" si="10"/>
        <v>0</v>
      </c>
      <c r="V79" s="38">
        <f t="shared" si="10"/>
        <v>0</v>
      </c>
      <c r="W79" s="38">
        <f t="shared" si="10"/>
        <v>0</v>
      </c>
      <c r="X79" s="38">
        <f t="shared" si="10"/>
        <v>9.638554216867469E-2</v>
      </c>
      <c r="Y79" s="38">
        <f t="shared" si="10"/>
        <v>2.2915340547422024E-2</v>
      </c>
      <c r="Z79" s="38">
        <f t="shared" si="10"/>
        <v>0</v>
      </c>
      <c r="AA79" s="38">
        <f t="shared" si="10"/>
        <v>4.814305364511693E-3</v>
      </c>
      <c r="AB79" s="38">
        <f t="shared" si="10"/>
        <v>0</v>
      </c>
      <c r="AC79" s="38">
        <f t="shared" si="10"/>
        <v>0</v>
      </c>
      <c r="AD79" s="38">
        <f t="shared" si="10"/>
        <v>0.44639818491208166</v>
      </c>
      <c r="AE79" s="38">
        <f t="shared" si="10"/>
        <v>0</v>
      </c>
      <c r="AF79" s="38">
        <f t="shared" si="10"/>
        <v>0</v>
      </c>
      <c r="AG79" s="38">
        <f t="shared" si="10"/>
        <v>1.7482517482517484E-2</v>
      </c>
      <c r="AH79" s="38">
        <f t="shared" si="10"/>
        <v>0</v>
      </c>
      <c r="AI79" s="38">
        <f t="shared" si="10"/>
        <v>0</v>
      </c>
      <c r="AJ79" s="38">
        <f t="shared" si="10"/>
        <v>9.5216758149434311E-2</v>
      </c>
      <c r="AK79" s="38">
        <f t="shared" si="10"/>
        <v>2.5220680958385876E-2</v>
      </c>
      <c r="AL79" s="38">
        <f t="shared" si="10"/>
        <v>0.12020515012287637</v>
      </c>
      <c r="AM79" s="38">
        <f t="shared" si="10"/>
        <v>2.9761904761904764E-2</v>
      </c>
      <c r="AN79" s="38">
        <f t="shared" si="10"/>
        <v>0</v>
      </c>
      <c r="AO79" s="38"/>
      <c r="AP79" s="38"/>
      <c r="AQ79" s="38"/>
      <c r="AR79" s="38"/>
      <c r="AS79" s="38"/>
      <c r="AT79" s="38"/>
      <c r="AU79" s="38"/>
      <c r="AV79" s="38"/>
      <c r="AW79" s="38"/>
      <c r="AX79" s="38"/>
    </row>
    <row r="80" spans="1:50" ht="14.25" customHeight="1">
      <c r="A80" s="10"/>
      <c r="B80" s="10" t="s">
        <v>152</v>
      </c>
      <c r="C80" s="10">
        <v>7.16</v>
      </c>
      <c r="D80" s="10">
        <v>0.23</v>
      </c>
      <c r="E80" s="10">
        <v>2.89</v>
      </c>
      <c r="F80" s="10">
        <v>0.56000000000000005</v>
      </c>
      <c r="G80" s="10">
        <v>0.1</v>
      </c>
      <c r="H80" s="10">
        <v>83</v>
      </c>
      <c r="I80" s="10">
        <v>230</v>
      </c>
      <c r="J80" s="10">
        <v>38.79</v>
      </c>
      <c r="K80" s="10">
        <v>0</v>
      </c>
      <c r="L80" s="10">
        <v>1.5</v>
      </c>
      <c r="M80" s="10">
        <v>32.590000000000003</v>
      </c>
      <c r="N80" s="10">
        <v>52.36</v>
      </c>
      <c r="O80" s="10">
        <v>5.23</v>
      </c>
      <c r="P80" s="10">
        <v>2</v>
      </c>
      <c r="Q80" s="10">
        <v>3.48</v>
      </c>
      <c r="R80" s="10">
        <v>24.3</v>
      </c>
      <c r="S80" s="10">
        <v>160</v>
      </c>
      <c r="T80" s="10">
        <v>0.83</v>
      </c>
      <c r="U80" s="10">
        <v>0.8</v>
      </c>
      <c r="V80" s="10">
        <v>27.4</v>
      </c>
      <c r="W80" s="10">
        <v>545</v>
      </c>
      <c r="X80" s="10">
        <v>1</v>
      </c>
      <c r="Y80" s="10">
        <v>3.83</v>
      </c>
      <c r="Z80" s="10">
        <v>0.46</v>
      </c>
      <c r="AA80" s="10">
        <v>1.5</v>
      </c>
      <c r="AB80" s="10">
        <v>2</v>
      </c>
      <c r="AC80" s="10">
        <v>0.16</v>
      </c>
      <c r="AD80" s="10">
        <v>13.21</v>
      </c>
      <c r="AE80" s="10">
        <v>3.78</v>
      </c>
      <c r="AF80" s="10">
        <v>8.57</v>
      </c>
      <c r="AG80" s="10">
        <v>5.29</v>
      </c>
      <c r="AH80" s="10">
        <v>9.0500000000000007</v>
      </c>
      <c r="AI80" s="10">
        <v>3</v>
      </c>
      <c r="AJ80" s="10">
        <v>27.39</v>
      </c>
      <c r="AK80" s="10">
        <v>1.08</v>
      </c>
      <c r="AL80" s="10">
        <v>7.1</v>
      </c>
      <c r="AM80" s="10">
        <v>0.36</v>
      </c>
      <c r="AN80" s="10">
        <v>22.4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ht="14.25" customHeight="1">
      <c r="A81" s="10"/>
      <c r="B81" s="10" t="s">
        <v>153</v>
      </c>
      <c r="C81" s="38">
        <f t="shared" ref="C81:AN81" si="11">C80/C65</f>
        <v>0.33163501621120889</v>
      </c>
      <c r="D81" s="38">
        <f t="shared" si="11"/>
        <v>0.23958333333333334</v>
      </c>
      <c r="E81" s="38">
        <f t="shared" si="11"/>
        <v>0.16318464144551101</v>
      </c>
      <c r="F81" s="38">
        <f t="shared" si="11"/>
        <v>2.8197381671701917E-2</v>
      </c>
      <c r="G81" s="38">
        <f t="shared" si="11"/>
        <v>9.9009900990099015E-2</v>
      </c>
      <c r="H81" s="38">
        <f t="shared" si="11"/>
        <v>6.0363636363636362E-2</v>
      </c>
      <c r="I81" s="38">
        <f t="shared" si="11"/>
        <v>8.5661080074487903E-2</v>
      </c>
      <c r="J81" s="38">
        <f t="shared" si="11"/>
        <v>6.7667992463889465E-2</v>
      </c>
      <c r="K81" s="38">
        <f t="shared" si="11"/>
        <v>0</v>
      </c>
      <c r="L81" s="38">
        <f t="shared" si="11"/>
        <v>0.75</v>
      </c>
      <c r="M81" s="38">
        <f t="shared" si="11"/>
        <v>0.29568136454364002</v>
      </c>
      <c r="N81" s="38">
        <f t="shared" si="11"/>
        <v>0.2019672131147541</v>
      </c>
      <c r="O81" s="38">
        <f t="shared" si="11"/>
        <v>0.47074707470747079</v>
      </c>
      <c r="P81" s="38">
        <f t="shared" si="11"/>
        <v>7.4046649389115135E-2</v>
      </c>
      <c r="Q81" s="38">
        <f t="shared" si="11"/>
        <v>7.8715222800271434E-2</v>
      </c>
      <c r="R81" s="38">
        <f t="shared" si="11"/>
        <v>0.59955588452997777</v>
      </c>
      <c r="S81" s="38">
        <f t="shared" si="11"/>
        <v>0.31835094211981935</v>
      </c>
      <c r="T81" s="38">
        <f t="shared" si="11"/>
        <v>0.2610062893081761</v>
      </c>
      <c r="U81" s="38">
        <f t="shared" si="11"/>
        <v>0.1553398058252427</v>
      </c>
      <c r="V81" s="38">
        <f t="shared" si="11"/>
        <v>0.44480519480519476</v>
      </c>
      <c r="W81" s="38">
        <f t="shared" si="11"/>
        <v>0.55273273090536612</v>
      </c>
      <c r="X81" s="38">
        <f t="shared" si="11"/>
        <v>0.12048192771084336</v>
      </c>
      <c r="Y81" s="38">
        <f t="shared" si="11"/>
        <v>0.24379376193507318</v>
      </c>
      <c r="Z81" s="38">
        <f t="shared" si="11"/>
        <v>3.0585106382978726E-2</v>
      </c>
      <c r="AA81" s="38">
        <f t="shared" si="11"/>
        <v>0.1031636863823934</v>
      </c>
      <c r="AB81" s="38">
        <f t="shared" si="11"/>
        <v>3.2786885245901641E-2</v>
      </c>
      <c r="AC81" s="38">
        <f t="shared" si="11"/>
        <v>2.606712284131639E-3</v>
      </c>
      <c r="AD81" s="38">
        <f t="shared" si="11"/>
        <v>1.8732274532047646E-2</v>
      </c>
      <c r="AE81" s="38">
        <f t="shared" si="11"/>
        <v>1.9022696391726636E-2</v>
      </c>
      <c r="AF81" s="38">
        <f t="shared" si="11"/>
        <v>0.26199938856618771</v>
      </c>
      <c r="AG81" s="38">
        <f t="shared" si="11"/>
        <v>0.46241258741258745</v>
      </c>
      <c r="AH81" s="38">
        <f t="shared" si="11"/>
        <v>0.4143772893772894</v>
      </c>
      <c r="AI81" s="38">
        <f t="shared" si="11"/>
        <v>0.11636927851047323</v>
      </c>
      <c r="AJ81" s="38">
        <f t="shared" si="11"/>
        <v>0.15341100033605914</v>
      </c>
      <c r="AK81" s="38">
        <f t="shared" si="11"/>
        <v>4.5397225725094581E-2</v>
      </c>
      <c r="AL81" s="38">
        <f t="shared" si="11"/>
        <v>7.5862805855326412E-2</v>
      </c>
      <c r="AM81" s="38">
        <f t="shared" si="11"/>
        <v>0.21428571428571427</v>
      </c>
      <c r="AN81" s="38">
        <f t="shared" si="11"/>
        <v>0.50134288272157557</v>
      </c>
      <c r="AO81" s="38"/>
      <c r="AP81" s="38"/>
      <c r="AQ81" s="38"/>
      <c r="AR81" s="38"/>
      <c r="AS81" s="38"/>
      <c r="AT81" s="38"/>
      <c r="AU81" s="38"/>
      <c r="AV81" s="38"/>
      <c r="AW81" s="38"/>
      <c r="AX81" s="38"/>
    </row>
    <row r="82" spans="1:50" ht="14.25" customHeight="1">
      <c r="A82" s="10"/>
      <c r="B82" s="10" t="s">
        <v>154</v>
      </c>
      <c r="C82" s="10">
        <v>0.08</v>
      </c>
      <c r="D82" s="10">
        <v>0</v>
      </c>
      <c r="E82" s="10">
        <v>0</v>
      </c>
      <c r="F82" s="10">
        <v>3.32</v>
      </c>
      <c r="G82" s="10">
        <v>0</v>
      </c>
      <c r="H82" s="10">
        <v>14</v>
      </c>
      <c r="I82" s="10">
        <v>0</v>
      </c>
      <c r="J82" s="10">
        <v>26</v>
      </c>
      <c r="K82" s="10">
        <v>0</v>
      </c>
      <c r="L82" s="10">
        <v>0</v>
      </c>
      <c r="M82" s="10">
        <v>12.7</v>
      </c>
      <c r="N82" s="10">
        <v>6.76</v>
      </c>
      <c r="O82" s="10">
        <v>0.01</v>
      </c>
      <c r="P82" s="10">
        <v>0</v>
      </c>
      <c r="Q82" s="10">
        <v>2.09</v>
      </c>
      <c r="R82" s="10">
        <v>5</v>
      </c>
      <c r="S82" s="10">
        <v>118.3</v>
      </c>
      <c r="T82" s="10">
        <v>1.2</v>
      </c>
      <c r="U82" s="10">
        <v>0</v>
      </c>
      <c r="V82" s="10">
        <v>0</v>
      </c>
      <c r="W82" s="10">
        <v>0</v>
      </c>
      <c r="X82" s="10">
        <v>0</v>
      </c>
      <c r="Y82" s="10">
        <v>0.84</v>
      </c>
      <c r="Z82" s="10">
        <v>1.43</v>
      </c>
      <c r="AA82" s="10">
        <v>0.22</v>
      </c>
      <c r="AB82" s="10">
        <v>0</v>
      </c>
      <c r="AC82" s="10">
        <v>0</v>
      </c>
      <c r="AD82" s="10">
        <v>16.38</v>
      </c>
      <c r="AE82" s="10">
        <v>1</v>
      </c>
      <c r="AF82" s="10">
        <v>9.66</v>
      </c>
      <c r="AG82" s="10">
        <v>1.01</v>
      </c>
      <c r="AH82" s="10">
        <v>0.65</v>
      </c>
      <c r="AI82" s="10">
        <v>1</v>
      </c>
      <c r="AJ82" s="10">
        <v>1.7000000000000001E-2</v>
      </c>
      <c r="AK82" s="10">
        <v>0.22</v>
      </c>
      <c r="AL82" s="10">
        <v>0.05</v>
      </c>
      <c r="AM82" s="10">
        <v>0</v>
      </c>
      <c r="AN82" s="10">
        <v>5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ht="14.25" customHeight="1">
      <c r="A83" s="10"/>
      <c r="B83" s="10" t="s">
        <v>120</v>
      </c>
      <c r="C83" s="38">
        <f t="shared" ref="C83:AN83" si="12">C82/C65</f>
        <v>3.7054191755442334E-3</v>
      </c>
      <c r="D83" s="38">
        <f t="shared" si="12"/>
        <v>0</v>
      </c>
      <c r="E83" s="38">
        <f t="shared" si="12"/>
        <v>0</v>
      </c>
      <c r="F83" s="38">
        <f t="shared" si="12"/>
        <v>0.16717019133937563</v>
      </c>
      <c r="G83" s="38">
        <f t="shared" si="12"/>
        <v>0</v>
      </c>
      <c r="H83" s="38">
        <f t="shared" si="12"/>
        <v>1.0181818181818183E-2</v>
      </c>
      <c r="I83" s="38">
        <f t="shared" si="12"/>
        <v>0</v>
      </c>
      <c r="J83" s="38">
        <f t="shared" si="12"/>
        <v>4.5356220780126993E-2</v>
      </c>
      <c r="K83" s="38">
        <f t="shared" si="12"/>
        <v>0</v>
      </c>
      <c r="L83" s="38">
        <f t="shared" si="12"/>
        <v>0</v>
      </c>
      <c r="M83" s="38">
        <f t="shared" si="12"/>
        <v>0.1152240972600254</v>
      </c>
      <c r="N83" s="38">
        <f t="shared" si="12"/>
        <v>2.6075216972034715E-2</v>
      </c>
      <c r="O83" s="38">
        <f t="shared" si="12"/>
        <v>9.0009000900090016E-4</v>
      </c>
      <c r="P83" s="38">
        <f t="shared" si="12"/>
        <v>0</v>
      </c>
      <c r="Q83" s="38">
        <f t="shared" si="12"/>
        <v>4.7274372313956113E-2</v>
      </c>
      <c r="R83" s="38">
        <f t="shared" si="12"/>
        <v>0.1233654083395016</v>
      </c>
      <c r="S83" s="38">
        <f t="shared" si="12"/>
        <v>0.23538072782984143</v>
      </c>
      <c r="T83" s="38">
        <f t="shared" si="12"/>
        <v>0.37735849056603771</v>
      </c>
      <c r="U83" s="38">
        <f t="shared" si="12"/>
        <v>0</v>
      </c>
      <c r="V83" s="38">
        <f t="shared" si="12"/>
        <v>0</v>
      </c>
      <c r="W83" s="38">
        <f t="shared" si="12"/>
        <v>0</v>
      </c>
      <c r="X83" s="38">
        <f t="shared" si="12"/>
        <v>0</v>
      </c>
      <c r="Y83" s="38">
        <f t="shared" si="12"/>
        <v>5.3469127943984715E-2</v>
      </c>
      <c r="Z83" s="38">
        <f t="shared" si="12"/>
        <v>9.5079787234042548E-2</v>
      </c>
      <c r="AA83" s="38">
        <f t="shared" si="12"/>
        <v>1.5130674002751032E-2</v>
      </c>
      <c r="AB83" s="38">
        <f t="shared" si="12"/>
        <v>0</v>
      </c>
      <c r="AC83" s="38">
        <f t="shared" si="12"/>
        <v>0</v>
      </c>
      <c r="AD83" s="38">
        <f t="shared" si="12"/>
        <v>2.3227453204764603E-2</v>
      </c>
      <c r="AE83" s="38">
        <f t="shared" si="12"/>
        <v>5.0324593628906442E-3</v>
      </c>
      <c r="AF83" s="38">
        <f t="shared" si="12"/>
        <v>0.29532253133598285</v>
      </c>
      <c r="AG83" s="38">
        <f t="shared" si="12"/>
        <v>8.8286713286713295E-2</v>
      </c>
      <c r="AH83" s="38">
        <f t="shared" si="12"/>
        <v>2.9761904761904764E-2</v>
      </c>
      <c r="AI83" s="38">
        <f t="shared" si="12"/>
        <v>3.8789759503491075E-2</v>
      </c>
      <c r="AJ83" s="38">
        <f t="shared" si="12"/>
        <v>9.5216758149434309E-5</v>
      </c>
      <c r="AK83" s="38">
        <f t="shared" si="12"/>
        <v>9.2475830180748213E-3</v>
      </c>
      <c r="AL83" s="38">
        <f t="shared" si="12"/>
        <v>5.3424511165722831E-4</v>
      </c>
      <c r="AM83" s="38">
        <f t="shared" si="12"/>
        <v>0</v>
      </c>
      <c r="AN83" s="38">
        <f t="shared" si="12"/>
        <v>0.11190689346463742</v>
      </c>
      <c r="AO83" s="38"/>
      <c r="AP83" s="38"/>
      <c r="AQ83" s="38"/>
      <c r="AR83" s="38"/>
      <c r="AS83" s="38"/>
      <c r="AT83" s="38"/>
      <c r="AU83" s="38"/>
      <c r="AV83" s="38"/>
      <c r="AW83" s="38"/>
      <c r="AX83" s="38"/>
    </row>
    <row r="84" spans="1:50" ht="14.25" customHeight="1">
      <c r="A84" s="10"/>
      <c r="B84" s="10" t="s">
        <v>155</v>
      </c>
      <c r="C84" s="10">
        <v>2.5099999999999998</v>
      </c>
      <c r="D84" s="10">
        <v>0.41</v>
      </c>
      <c r="E84" s="10">
        <v>5.4</v>
      </c>
      <c r="F84" s="10">
        <v>7.07</v>
      </c>
      <c r="G84" s="10">
        <v>0</v>
      </c>
      <c r="H84" s="10">
        <v>29</v>
      </c>
      <c r="I84" s="10">
        <v>43</v>
      </c>
      <c r="J84" s="10">
        <v>0.03</v>
      </c>
      <c r="K84" s="10">
        <v>0.38</v>
      </c>
      <c r="L84" s="10">
        <v>0</v>
      </c>
      <c r="M84" s="10">
        <v>2.5099999999999998</v>
      </c>
      <c r="N84" s="10">
        <v>17</v>
      </c>
      <c r="O84" s="10">
        <v>1.62</v>
      </c>
      <c r="P84" s="10">
        <v>1.82</v>
      </c>
      <c r="Q84" s="10">
        <v>2.85</v>
      </c>
      <c r="R84" s="10">
        <v>0.44</v>
      </c>
      <c r="S84" s="10">
        <v>2</v>
      </c>
      <c r="T84" s="10">
        <v>0.1</v>
      </c>
      <c r="U84" s="10">
        <v>1.2</v>
      </c>
      <c r="V84" s="10">
        <v>0</v>
      </c>
      <c r="W84" s="10">
        <v>130.01</v>
      </c>
      <c r="X84" s="10">
        <v>0.8</v>
      </c>
      <c r="Y84" s="10">
        <v>2.78</v>
      </c>
      <c r="Z84" s="10">
        <v>1.56</v>
      </c>
      <c r="AA84" s="10">
        <v>11.1</v>
      </c>
      <c r="AB84" s="10">
        <v>40</v>
      </c>
      <c r="AC84" s="10">
        <v>37.07</v>
      </c>
      <c r="AD84" s="10">
        <v>14.91</v>
      </c>
      <c r="AE84" s="10">
        <v>5.74</v>
      </c>
      <c r="AF84" s="10">
        <v>11.24</v>
      </c>
      <c r="AG84" s="10">
        <v>1.78</v>
      </c>
      <c r="AH84" s="10">
        <v>8.27</v>
      </c>
      <c r="AI84" s="10">
        <v>0</v>
      </c>
      <c r="AJ84" s="10">
        <v>5.8140000000000001</v>
      </c>
      <c r="AK84" s="10">
        <v>0.28999999999999998</v>
      </c>
      <c r="AL84" s="10">
        <v>1.81</v>
      </c>
      <c r="AM84" s="10">
        <v>0.49</v>
      </c>
      <c r="AN84" s="10">
        <v>0.1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ht="14.25" customHeight="1">
      <c r="A85" s="10"/>
      <c r="B85" s="10" t="s">
        <v>156</v>
      </c>
      <c r="C85" s="38">
        <f t="shared" ref="C85:AN85" si="13">C84/C65</f>
        <v>0.11625752663270031</v>
      </c>
      <c r="D85" s="38">
        <f t="shared" si="13"/>
        <v>0.42708333333333331</v>
      </c>
      <c r="E85" s="38">
        <f t="shared" si="13"/>
        <v>0.3049124788255223</v>
      </c>
      <c r="F85" s="38">
        <f t="shared" si="13"/>
        <v>0.35599194360523667</v>
      </c>
      <c r="G85" s="38">
        <f t="shared" si="13"/>
        <v>0</v>
      </c>
      <c r="H85" s="38">
        <f t="shared" si="13"/>
        <v>2.1090909090909091E-2</v>
      </c>
      <c r="I85" s="38">
        <f t="shared" si="13"/>
        <v>1.601489757914339E-2</v>
      </c>
      <c r="J85" s="38">
        <f t="shared" si="13"/>
        <v>5.2334100900146532E-5</v>
      </c>
      <c r="K85" s="38">
        <f t="shared" si="13"/>
        <v>0.10614525139664804</v>
      </c>
      <c r="L85" s="38">
        <f t="shared" si="13"/>
        <v>0</v>
      </c>
      <c r="M85" s="38">
        <f t="shared" si="13"/>
        <v>2.2772636545091634E-2</v>
      </c>
      <c r="N85" s="38">
        <f t="shared" si="13"/>
        <v>6.5573770491803282E-2</v>
      </c>
      <c r="O85" s="38">
        <f t="shared" si="13"/>
        <v>0.14581458145814583</v>
      </c>
      <c r="P85" s="38">
        <f t="shared" si="13"/>
        <v>6.7382450944094785E-2</v>
      </c>
      <c r="Q85" s="38">
        <f t="shared" si="13"/>
        <v>6.4465053155394705E-2</v>
      </c>
      <c r="R85" s="38">
        <f t="shared" si="13"/>
        <v>1.0856155933876141E-2</v>
      </c>
      <c r="S85" s="38">
        <f t="shared" si="13"/>
        <v>3.9793867764977417E-3</v>
      </c>
      <c r="T85" s="38">
        <f t="shared" si="13"/>
        <v>3.1446540880503145E-2</v>
      </c>
      <c r="U85" s="38">
        <f t="shared" si="13"/>
        <v>0.23300970873786406</v>
      </c>
      <c r="V85" s="38">
        <f t="shared" si="13"/>
        <v>0</v>
      </c>
      <c r="W85" s="38">
        <f t="shared" si="13"/>
        <v>0.13185464650459933</v>
      </c>
      <c r="X85" s="38">
        <f t="shared" si="13"/>
        <v>9.638554216867469E-2</v>
      </c>
      <c r="Y85" s="38">
        <f t="shared" si="13"/>
        <v>0.17695735200509227</v>
      </c>
      <c r="Z85" s="38">
        <f t="shared" si="13"/>
        <v>0.10372340425531916</v>
      </c>
      <c r="AA85" s="38">
        <f t="shared" si="13"/>
        <v>0.76341127922971119</v>
      </c>
      <c r="AB85" s="38">
        <f t="shared" si="13"/>
        <v>0.65573770491803274</v>
      </c>
      <c r="AC85" s="38">
        <f t="shared" si="13"/>
        <v>0.60394265232974909</v>
      </c>
      <c r="AD85" s="38">
        <f t="shared" si="13"/>
        <v>2.1142938173567782E-2</v>
      </c>
      <c r="AE85" s="38">
        <f t="shared" si="13"/>
        <v>2.8886316742992302E-2</v>
      </c>
      <c r="AF85" s="38">
        <f t="shared" si="13"/>
        <v>0.34362580250687863</v>
      </c>
      <c r="AG85" s="38">
        <f t="shared" si="13"/>
        <v>0.1555944055944056</v>
      </c>
      <c r="AH85" s="38">
        <f t="shared" si="13"/>
        <v>0.37866300366300365</v>
      </c>
      <c r="AI85" s="38">
        <f t="shared" si="13"/>
        <v>0</v>
      </c>
      <c r="AJ85" s="38">
        <f t="shared" si="13"/>
        <v>3.2564131287106529E-2</v>
      </c>
      <c r="AK85" s="38">
        <f t="shared" si="13"/>
        <v>1.2189995796553173E-2</v>
      </c>
      <c r="AL85" s="38">
        <f t="shared" si="13"/>
        <v>1.9339673041991665E-2</v>
      </c>
      <c r="AM85" s="38">
        <f t="shared" si="13"/>
        <v>0.29166666666666669</v>
      </c>
      <c r="AN85" s="38">
        <f t="shared" si="13"/>
        <v>2.2381378692927487E-3</v>
      </c>
      <c r="AO85" s="38"/>
      <c r="AP85" s="38"/>
      <c r="AQ85" s="38"/>
      <c r="AR85" s="38"/>
      <c r="AS85" s="38"/>
      <c r="AT85" s="38"/>
      <c r="AU85" s="38"/>
      <c r="AV85" s="38"/>
      <c r="AW85" s="38"/>
      <c r="AX85" s="38"/>
    </row>
    <row r="86" spans="1:50" ht="14.25" customHeight="1">
      <c r="A86" s="10"/>
      <c r="B86" s="10" t="s">
        <v>157</v>
      </c>
      <c r="C86" s="10">
        <v>0</v>
      </c>
      <c r="D86" s="10">
        <v>0</v>
      </c>
      <c r="E86" s="10">
        <v>0</v>
      </c>
      <c r="F86" s="10">
        <v>0</v>
      </c>
      <c r="G86" s="10">
        <v>0.91</v>
      </c>
      <c r="H86" s="10">
        <v>784</v>
      </c>
      <c r="I86" s="10">
        <v>1580</v>
      </c>
      <c r="J86" s="10">
        <v>6.5</v>
      </c>
      <c r="K86" s="10">
        <v>0.7</v>
      </c>
      <c r="L86" s="10">
        <v>0</v>
      </c>
      <c r="M86" s="10">
        <v>26.6</v>
      </c>
      <c r="N86" s="10">
        <v>118.5</v>
      </c>
      <c r="O86" s="10">
        <v>0</v>
      </c>
      <c r="P86" s="10">
        <v>16.52</v>
      </c>
      <c r="Q86" s="10">
        <v>27.17</v>
      </c>
      <c r="R86" s="10">
        <v>0</v>
      </c>
      <c r="S86" s="10">
        <v>50</v>
      </c>
      <c r="T86" s="10">
        <v>0.3</v>
      </c>
      <c r="U86" s="10">
        <v>0</v>
      </c>
      <c r="V86" s="10">
        <v>0</v>
      </c>
      <c r="W86" s="10">
        <v>0</v>
      </c>
      <c r="X86" s="10">
        <v>0.5</v>
      </c>
      <c r="Y86" s="10">
        <v>0.1</v>
      </c>
      <c r="Z86" s="10">
        <v>10.43</v>
      </c>
      <c r="AA86" s="10">
        <v>0.4</v>
      </c>
      <c r="AB86" s="10">
        <v>0</v>
      </c>
      <c r="AC86" s="10">
        <v>0</v>
      </c>
      <c r="AD86" s="10">
        <v>198.67</v>
      </c>
      <c r="AE86" s="10">
        <v>0</v>
      </c>
      <c r="AF86" s="10">
        <v>1.2</v>
      </c>
      <c r="AG86" s="10">
        <v>0</v>
      </c>
      <c r="AH86" s="10">
        <v>1</v>
      </c>
      <c r="AI86" s="10">
        <v>0</v>
      </c>
      <c r="AJ86" s="10">
        <v>83.944999999999993</v>
      </c>
      <c r="AK86" s="10">
        <v>21</v>
      </c>
      <c r="AL86" s="10">
        <v>72.11</v>
      </c>
      <c r="AM86" s="10">
        <v>0</v>
      </c>
      <c r="AN86" s="10">
        <v>5.48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ht="14.25" customHeight="1">
      <c r="A87" s="10"/>
      <c r="B87" s="10" t="s">
        <v>158</v>
      </c>
      <c r="C87" s="38">
        <f t="shared" ref="C87:AN87" si="14">C86/C65</f>
        <v>0</v>
      </c>
      <c r="D87" s="38">
        <f t="shared" si="14"/>
        <v>0</v>
      </c>
      <c r="E87" s="38">
        <f t="shared" si="14"/>
        <v>0</v>
      </c>
      <c r="F87" s="38">
        <f t="shared" si="14"/>
        <v>0</v>
      </c>
      <c r="G87" s="38">
        <f t="shared" si="14"/>
        <v>0.90099009900990101</v>
      </c>
      <c r="H87" s="38">
        <f t="shared" si="14"/>
        <v>0.57018181818181823</v>
      </c>
      <c r="I87" s="38">
        <f t="shared" si="14"/>
        <v>0.58845437616387342</v>
      </c>
      <c r="J87" s="38">
        <f t="shared" si="14"/>
        <v>1.1339055195031748E-2</v>
      </c>
      <c r="K87" s="38">
        <f t="shared" si="14"/>
        <v>0.19553072625698323</v>
      </c>
      <c r="L87" s="38">
        <f t="shared" si="14"/>
        <v>0</v>
      </c>
      <c r="M87" s="38">
        <f t="shared" si="14"/>
        <v>0.24133551079658866</v>
      </c>
      <c r="N87" s="38">
        <f t="shared" si="14"/>
        <v>0.45708775313404049</v>
      </c>
      <c r="O87" s="38">
        <f t="shared" si="14"/>
        <v>0</v>
      </c>
      <c r="P87" s="38">
        <f t="shared" si="14"/>
        <v>0.61162532395409097</v>
      </c>
      <c r="Q87" s="38">
        <f t="shared" si="14"/>
        <v>0.61456684008142959</v>
      </c>
      <c r="R87" s="38">
        <f t="shared" si="14"/>
        <v>0</v>
      </c>
      <c r="S87" s="38">
        <f t="shared" si="14"/>
        <v>9.9484669412443549E-2</v>
      </c>
      <c r="T87" s="38">
        <f t="shared" si="14"/>
        <v>9.4339622641509427E-2</v>
      </c>
      <c r="U87" s="38">
        <f t="shared" si="14"/>
        <v>0</v>
      </c>
      <c r="V87" s="38">
        <f t="shared" si="14"/>
        <v>0</v>
      </c>
      <c r="W87" s="38">
        <f t="shared" si="14"/>
        <v>0</v>
      </c>
      <c r="X87" s="38">
        <f t="shared" si="14"/>
        <v>6.0240963855421679E-2</v>
      </c>
      <c r="Y87" s="38">
        <f t="shared" si="14"/>
        <v>6.3653723742838958E-3</v>
      </c>
      <c r="Z87" s="38">
        <f t="shared" si="14"/>
        <v>0.69348404255319152</v>
      </c>
      <c r="AA87" s="38">
        <f t="shared" si="14"/>
        <v>2.7510316368638241E-2</v>
      </c>
      <c r="AB87" s="38">
        <f t="shared" si="14"/>
        <v>0</v>
      </c>
      <c r="AC87" s="38">
        <f t="shared" si="14"/>
        <v>0</v>
      </c>
      <c r="AD87" s="38">
        <f t="shared" si="14"/>
        <v>0.28172149744753255</v>
      </c>
      <c r="AE87" s="38">
        <f t="shared" si="14"/>
        <v>0</v>
      </c>
      <c r="AF87" s="38">
        <f t="shared" si="14"/>
        <v>3.6686028737389173E-2</v>
      </c>
      <c r="AG87" s="38">
        <f t="shared" si="14"/>
        <v>0</v>
      </c>
      <c r="AH87" s="38">
        <f t="shared" si="14"/>
        <v>4.5787545787545784E-2</v>
      </c>
      <c r="AI87" s="38">
        <f t="shared" si="14"/>
        <v>0</v>
      </c>
      <c r="AJ87" s="38">
        <f t="shared" si="14"/>
        <v>0.47017475075613308</v>
      </c>
      <c r="AK87" s="38">
        <f t="shared" si="14"/>
        <v>0.8827238335435057</v>
      </c>
      <c r="AL87" s="38">
        <f t="shared" si="14"/>
        <v>0.77048830003205471</v>
      </c>
      <c r="AM87" s="38">
        <f t="shared" si="14"/>
        <v>0</v>
      </c>
      <c r="AN87" s="38">
        <f t="shared" si="14"/>
        <v>0.12264995523724262</v>
      </c>
      <c r="AO87" s="38"/>
      <c r="AP87" s="38"/>
      <c r="AQ87" s="38"/>
      <c r="AR87" s="38"/>
      <c r="AS87" s="38"/>
      <c r="AT87" s="38"/>
      <c r="AU87" s="38"/>
      <c r="AV87" s="38"/>
      <c r="AW87" s="38"/>
      <c r="AX87" s="38"/>
    </row>
    <row r="88" spans="1:50" ht="14.25" customHeight="1">
      <c r="A88" s="10"/>
      <c r="B88" s="10" t="s">
        <v>159</v>
      </c>
      <c r="C88" s="10">
        <v>0.01</v>
      </c>
      <c r="D88" s="10">
        <v>0</v>
      </c>
      <c r="E88" s="10">
        <v>0</v>
      </c>
      <c r="F88" s="10">
        <v>0</v>
      </c>
      <c r="G88" s="10">
        <v>0</v>
      </c>
      <c r="H88" s="10">
        <v>346</v>
      </c>
      <c r="I88" s="10">
        <v>626</v>
      </c>
      <c r="J88" s="10">
        <v>426</v>
      </c>
      <c r="K88" s="10">
        <v>0</v>
      </c>
      <c r="L88" s="10">
        <v>0</v>
      </c>
      <c r="M88" s="10">
        <v>0.5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0.11</v>
      </c>
      <c r="Z88" s="10">
        <v>0</v>
      </c>
      <c r="AA88" s="10">
        <v>0</v>
      </c>
      <c r="AB88" s="10">
        <v>0</v>
      </c>
      <c r="AC88" s="10">
        <v>0</v>
      </c>
      <c r="AD88" s="10">
        <v>99.4</v>
      </c>
      <c r="AE88" s="10">
        <v>185.72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ht="14.25" customHeight="1">
      <c r="A89" s="10"/>
      <c r="B89" s="10" t="s">
        <v>160</v>
      </c>
      <c r="C89" s="38">
        <f t="shared" ref="C89:AN89" si="15">C88/C65</f>
        <v>4.6317739694302917E-4</v>
      </c>
      <c r="D89" s="38">
        <f t="shared" si="15"/>
        <v>0</v>
      </c>
      <c r="E89" s="38">
        <f t="shared" si="15"/>
        <v>0</v>
      </c>
      <c r="F89" s="38">
        <f t="shared" si="15"/>
        <v>0</v>
      </c>
      <c r="G89" s="38">
        <f t="shared" si="15"/>
        <v>0</v>
      </c>
      <c r="H89" s="38">
        <f t="shared" si="15"/>
        <v>0.25163636363636366</v>
      </c>
      <c r="I89" s="38">
        <f t="shared" si="15"/>
        <v>0.23314711359404097</v>
      </c>
      <c r="J89" s="38">
        <f t="shared" si="15"/>
        <v>0.74314423278208075</v>
      </c>
      <c r="K89" s="38">
        <f t="shared" si="15"/>
        <v>0</v>
      </c>
      <c r="L89" s="38">
        <f t="shared" si="15"/>
        <v>0</v>
      </c>
      <c r="M89" s="38">
        <f t="shared" si="15"/>
        <v>4.5363817818907639E-3</v>
      </c>
      <c r="N89" s="38">
        <f t="shared" si="15"/>
        <v>0</v>
      </c>
      <c r="O89" s="38">
        <f t="shared" si="15"/>
        <v>0</v>
      </c>
      <c r="P89" s="38">
        <f t="shared" si="15"/>
        <v>0</v>
      </c>
      <c r="Q89" s="38">
        <f t="shared" si="15"/>
        <v>0</v>
      </c>
      <c r="R89" s="38">
        <f t="shared" si="15"/>
        <v>0</v>
      </c>
      <c r="S89" s="38">
        <f t="shared" si="15"/>
        <v>0</v>
      </c>
      <c r="T89" s="38">
        <f t="shared" si="15"/>
        <v>0</v>
      </c>
      <c r="U89" s="38">
        <f t="shared" si="15"/>
        <v>0</v>
      </c>
      <c r="V89" s="38">
        <f t="shared" si="15"/>
        <v>0</v>
      </c>
      <c r="W89" s="38">
        <f t="shared" si="15"/>
        <v>0</v>
      </c>
      <c r="X89" s="38">
        <f t="shared" si="15"/>
        <v>0</v>
      </c>
      <c r="Y89" s="38">
        <f t="shared" si="15"/>
        <v>7.0019096117122847E-3</v>
      </c>
      <c r="Z89" s="38">
        <f t="shared" si="15"/>
        <v>0</v>
      </c>
      <c r="AA89" s="38">
        <f t="shared" si="15"/>
        <v>0</v>
      </c>
      <c r="AB89" s="38">
        <f t="shared" si="15"/>
        <v>0</v>
      </c>
      <c r="AC89" s="38">
        <f t="shared" si="15"/>
        <v>0</v>
      </c>
      <c r="AD89" s="38">
        <f t="shared" si="15"/>
        <v>0.14095292115711855</v>
      </c>
      <c r="AE89" s="38">
        <f t="shared" si="15"/>
        <v>0.93462835287605051</v>
      </c>
      <c r="AF89" s="38">
        <f t="shared" si="15"/>
        <v>0</v>
      </c>
      <c r="AG89" s="38">
        <f t="shared" si="15"/>
        <v>0</v>
      </c>
      <c r="AH89" s="38">
        <f t="shared" si="15"/>
        <v>0</v>
      </c>
      <c r="AI89" s="38">
        <f t="shared" si="15"/>
        <v>0</v>
      </c>
      <c r="AJ89" s="38">
        <f t="shared" si="15"/>
        <v>0</v>
      </c>
      <c r="AK89" s="38">
        <f t="shared" si="15"/>
        <v>0</v>
      </c>
      <c r="AL89" s="38">
        <f t="shared" si="15"/>
        <v>0</v>
      </c>
      <c r="AM89" s="38">
        <f t="shared" si="15"/>
        <v>0</v>
      </c>
      <c r="AN89" s="38">
        <f t="shared" si="15"/>
        <v>0</v>
      </c>
      <c r="AO89" s="38"/>
      <c r="AP89" s="38"/>
      <c r="AQ89" s="38"/>
      <c r="AR89" s="38"/>
      <c r="AS89" s="38"/>
      <c r="AT89" s="38"/>
      <c r="AU89" s="38"/>
      <c r="AV89" s="38"/>
      <c r="AW89" s="38"/>
      <c r="AX89" s="38"/>
    </row>
    <row r="90" spans="1:50" ht="14.25" customHeight="1">
      <c r="A90" s="10"/>
      <c r="B90" s="10" t="s">
        <v>161</v>
      </c>
      <c r="C90" s="10">
        <v>0.04</v>
      </c>
      <c r="D90" s="10">
        <v>0</v>
      </c>
      <c r="E90" s="10">
        <v>0</v>
      </c>
      <c r="F90" s="10">
        <v>0.43</v>
      </c>
      <c r="G90" s="10">
        <v>0</v>
      </c>
      <c r="H90" s="10">
        <v>0</v>
      </c>
      <c r="I90" s="10">
        <v>0</v>
      </c>
      <c r="J90" s="10">
        <v>2.2999999999999998</v>
      </c>
      <c r="K90" s="10">
        <v>7.0000000000000007E-2</v>
      </c>
      <c r="L90" s="10">
        <v>0</v>
      </c>
      <c r="M90" s="10">
        <v>1.27</v>
      </c>
      <c r="N90" s="10">
        <v>3.75</v>
      </c>
      <c r="O90" s="10">
        <v>0</v>
      </c>
      <c r="P90" s="10">
        <v>0.01</v>
      </c>
      <c r="Q90" s="10">
        <v>2.81</v>
      </c>
      <c r="R90" s="10">
        <v>0.04</v>
      </c>
      <c r="S90" s="10">
        <v>0.96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0.01</v>
      </c>
      <c r="AA90" s="10">
        <v>0.12</v>
      </c>
      <c r="AB90" s="10">
        <v>0</v>
      </c>
      <c r="AC90" s="10">
        <v>0</v>
      </c>
      <c r="AD90" s="10">
        <v>43.15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1.27</v>
      </c>
      <c r="AM90" s="10">
        <v>0.03</v>
      </c>
      <c r="AN90" s="10">
        <v>0</v>
      </c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ht="14.25" customHeight="1">
      <c r="A91" s="10"/>
      <c r="B91" s="10" t="s">
        <v>162</v>
      </c>
      <c r="C91" s="38">
        <f t="shared" ref="C91:AN91" si="16">C90/C65</f>
        <v>1.8527095877721167E-3</v>
      </c>
      <c r="D91" s="38">
        <f t="shared" si="16"/>
        <v>0</v>
      </c>
      <c r="E91" s="38">
        <f t="shared" si="16"/>
        <v>0</v>
      </c>
      <c r="F91" s="38">
        <f t="shared" si="16"/>
        <v>2.1651560926485399E-2</v>
      </c>
      <c r="G91" s="38">
        <f t="shared" si="16"/>
        <v>0</v>
      </c>
      <c r="H91" s="38">
        <f t="shared" si="16"/>
        <v>0</v>
      </c>
      <c r="I91" s="38">
        <f t="shared" si="16"/>
        <v>0</v>
      </c>
      <c r="J91" s="38">
        <f t="shared" si="16"/>
        <v>4.0122810690112337E-3</v>
      </c>
      <c r="K91" s="38">
        <f t="shared" si="16"/>
        <v>1.9553072625698324E-2</v>
      </c>
      <c r="L91" s="38">
        <f t="shared" si="16"/>
        <v>0</v>
      </c>
      <c r="M91" s="38">
        <f t="shared" si="16"/>
        <v>1.152240972600254E-2</v>
      </c>
      <c r="N91" s="38">
        <f t="shared" si="16"/>
        <v>1.446480231436837E-2</v>
      </c>
      <c r="O91" s="38">
        <f t="shared" si="16"/>
        <v>0</v>
      </c>
      <c r="P91" s="38">
        <f t="shared" si="16"/>
        <v>3.7023324694557567E-4</v>
      </c>
      <c r="Q91" s="38">
        <f t="shared" si="16"/>
        <v>6.3560280479529524E-2</v>
      </c>
      <c r="R91" s="38">
        <f t="shared" si="16"/>
        <v>9.8692326671601278E-4</v>
      </c>
      <c r="S91" s="38">
        <f t="shared" si="16"/>
        <v>1.9101056527189161E-3</v>
      </c>
      <c r="T91" s="38">
        <f t="shared" si="16"/>
        <v>0</v>
      </c>
      <c r="U91" s="38">
        <f t="shared" si="16"/>
        <v>0</v>
      </c>
      <c r="V91" s="38">
        <f t="shared" si="16"/>
        <v>0</v>
      </c>
      <c r="W91" s="38">
        <f t="shared" si="16"/>
        <v>0</v>
      </c>
      <c r="X91" s="38">
        <f t="shared" si="16"/>
        <v>0</v>
      </c>
      <c r="Y91" s="38">
        <f t="shared" si="16"/>
        <v>0</v>
      </c>
      <c r="Z91" s="38">
        <f t="shared" si="16"/>
        <v>6.6489361702127669E-4</v>
      </c>
      <c r="AA91" s="38">
        <f t="shared" si="16"/>
        <v>8.2530949105914728E-3</v>
      </c>
      <c r="AB91" s="38">
        <f t="shared" si="16"/>
        <v>0</v>
      </c>
      <c r="AC91" s="38">
        <f t="shared" si="16"/>
        <v>0</v>
      </c>
      <c r="AD91" s="38">
        <f t="shared" si="16"/>
        <v>6.1188315371525803E-2</v>
      </c>
      <c r="AE91" s="38">
        <f t="shared" si="16"/>
        <v>0</v>
      </c>
      <c r="AF91" s="38">
        <f t="shared" si="16"/>
        <v>0</v>
      </c>
      <c r="AG91" s="38">
        <f t="shared" si="16"/>
        <v>0</v>
      </c>
      <c r="AH91" s="38">
        <f t="shared" si="16"/>
        <v>0</v>
      </c>
      <c r="AI91" s="38">
        <f t="shared" si="16"/>
        <v>0</v>
      </c>
      <c r="AJ91" s="38">
        <f t="shared" si="16"/>
        <v>0</v>
      </c>
      <c r="AK91" s="38">
        <f t="shared" si="16"/>
        <v>0</v>
      </c>
      <c r="AL91" s="38">
        <f t="shared" si="16"/>
        <v>1.35698258360936E-2</v>
      </c>
      <c r="AM91" s="38">
        <f t="shared" si="16"/>
        <v>1.7857142857142856E-2</v>
      </c>
      <c r="AN91" s="38">
        <f t="shared" si="16"/>
        <v>0</v>
      </c>
      <c r="AO91" s="38"/>
      <c r="AP91" s="38"/>
      <c r="AQ91" s="38"/>
      <c r="AR91" s="38"/>
      <c r="AS91" s="38"/>
      <c r="AT91" s="38"/>
      <c r="AU91" s="38"/>
      <c r="AV91" s="38"/>
      <c r="AW91" s="38"/>
      <c r="AX91" s="38"/>
    </row>
    <row r="92" spans="1:50" ht="14.25" customHeight="1">
      <c r="A92" s="10"/>
      <c r="B92" s="10" t="s">
        <v>163</v>
      </c>
      <c r="C92" s="10">
        <f t="shared" ref="C92:AN92" si="17">C66+C68+C70+C72+C74+C76+C78</f>
        <v>11.79</v>
      </c>
      <c r="D92" s="10">
        <f t="shared" si="17"/>
        <v>0.32</v>
      </c>
      <c r="E92" s="10">
        <f t="shared" si="17"/>
        <v>9.44</v>
      </c>
      <c r="F92" s="10">
        <f t="shared" si="17"/>
        <v>8.5</v>
      </c>
      <c r="G92" s="10">
        <f t="shared" si="17"/>
        <v>0</v>
      </c>
      <c r="H92" s="10">
        <f t="shared" si="17"/>
        <v>119</v>
      </c>
      <c r="I92" s="10">
        <f t="shared" si="17"/>
        <v>206</v>
      </c>
      <c r="J92" s="10">
        <f t="shared" si="17"/>
        <v>73.61999999999999</v>
      </c>
      <c r="K92" s="10">
        <f t="shared" si="17"/>
        <v>2.4400000000000004</v>
      </c>
      <c r="L92" s="10">
        <f t="shared" si="17"/>
        <v>0.5</v>
      </c>
      <c r="M92" s="10">
        <f t="shared" si="17"/>
        <v>34.049999999999997</v>
      </c>
      <c r="N92" s="10">
        <f t="shared" si="17"/>
        <v>60.889999999999993</v>
      </c>
      <c r="O92" s="10">
        <f t="shared" si="17"/>
        <v>4.25</v>
      </c>
      <c r="P92" s="10">
        <f t="shared" si="17"/>
        <v>6.660000000000001</v>
      </c>
      <c r="Q92" s="10">
        <f t="shared" si="17"/>
        <v>5.83</v>
      </c>
      <c r="R92" s="10">
        <f t="shared" si="17"/>
        <v>10.75</v>
      </c>
      <c r="S92" s="10">
        <f t="shared" si="17"/>
        <v>171.32999999999998</v>
      </c>
      <c r="T92" s="10">
        <f t="shared" si="17"/>
        <v>0.75</v>
      </c>
      <c r="U92" s="10">
        <f t="shared" si="17"/>
        <v>3.15</v>
      </c>
      <c r="V92" s="10">
        <f t="shared" si="17"/>
        <v>34.200000000000003</v>
      </c>
      <c r="W92" s="10">
        <f t="shared" si="17"/>
        <v>91</v>
      </c>
      <c r="X92" s="10">
        <f t="shared" si="17"/>
        <v>6</v>
      </c>
      <c r="Y92" s="10">
        <f t="shared" si="17"/>
        <v>8.0699999999999985</v>
      </c>
      <c r="Z92" s="10">
        <f t="shared" si="17"/>
        <v>1.1300000000000001</v>
      </c>
      <c r="AA92" s="10">
        <f t="shared" si="17"/>
        <v>1.2100000000000002</v>
      </c>
      <c r="AB92" s="10">
        <f t="shared" si="17"/>
        <v>19</v>
      </c>
      <c r="AC92" s="10">
        <f t="shared" si="17"/>
        <v>24.149999999999995</v>
      </c>
      <c r="AD92" s="10">
        <f t="shared" si="17"/>
        <v>319.47000000000003</v>
      </c>
      <c r="AE92" s="10">
        <f t="shared" si="17"/>
        <v>2.46</v>
      </c>
      <c r="AF92" s="10">
        <f t="shared" si="17"/>
        <v>2.06</v>
      </c>
      <c r="AG92" s="10">
        <f t="shared" si="17"/>
        <v>3.36</v>
      </c>
      <c r="AH92" s="10">
        <f t="shared" si="17"/>
        <v>2.8699999999999997</v>
      </c>
      <c r="AI92" s="10">
        <f t="shared" si="17"/>
        <v>21.78</v>
      </c>
      <c r="AJ92" s="10">
        <f t="shared" si="17"/>
        <v>61.37</v>
      </c>
      <c r="AK92" s="10">
        <f t="shared" si="17"/>
        <v>1.2</v>
      </c>
      <c r="AL92" s="10">
        <f t="shared" si="17"/>
        <v>11.25</v>
      </c>
      <c r="AM92" s="10">
        <f t="shared" si="17"/>
        <v>0.8</v>
      </c>
      <c r="AN92" s="10">
        <f t="shared" si="17"/>
        <v>11.7</v>
      </c>
      <c r="AO92" s="10"/>
      <c r="AP92" s="10">
        <f t="shared" ref="AP92:AP93" si="18">SUM(D92:AN92)/39</f>
        <v>34.373333333333328</v>
      </c>
      <c r="AQ92" s="10"/>
      <c r="AR92" s="30" t="s">
        <v>164</v>
      </c>
      <c r="AS92" s="10"/>
      <c r="AT92" s="10"/>
      <c r="AU92" s="10"/>
      <c r="AV92" s="10"/>
      <c r="AW92" s="10"/>
      <c r="AX92" s="10"/>
    </row>
    <row r="93" spans="1:50" ht="14.25" customHeight="1">
      <c r="A93" s="10"/>
      <c r="B93" s="10" t="s">
        <v>165</v>
      </c>
      <c r="C93" s="38">
        <f t="shared" ref="C93:AN93" si="19">C67+C69+C71+C73+C75+C77+C79</f>
        <v>0.54608615099583135</v>
      </c>
      <c r="D93" s="38">
        <f t="shared" si="19"/>
        <v>0.33333333333333337</v>
      </c>
      <c r="E93" s="38">
        <f t="shared" si="19"/>
        <v>0.53303218520609819</v>
      </c>
      <c r="F93" s="38">
        <f t="shared" si="19"/>
        <v>0.42799597180261834</v>
      </c>
      <c r="G93" s="38">
        <f t="shared" si="19"/>
        <v>0</v>
      </c>
      <c r="H93" s="38">
        <f t="shared" si="19"/>
        <v>8.654545454545455E-2</v>
      </c>
      <c r="I93" s="38">
        <f t="shared" si="19"/>
        <v>7.6722532588454379E-2</v>
      </c>
      <c r="J93" s="38">
        <f t="shared" si="19"/>
        <v>0.1284278836089596</v>
      </c>
      <c r="K93" s="38">
        <f t="shared" si="19"/>
        <v>0.68156424581005592</v>
      </c>
      <c r="L93" s="38">
        <f t="shared" si="19"/>
        <v>0.25</v>
      </c>
      <c r="M93" s="38">
        <f t="shared" si="19"/>
        <v>0.30892759934676101</v>
      </c>
      <c r="N93" s="38">
        <f t="shared" si="19"/>
        <v>0.23486981677917068</v>
      </c>
      <c r="O93" s="38">
        <f t="shared" si="19"/>
        <v>0.38253825382538253</v>
      </c>
      <c r="P93" s="38">
        <f t="shared" si="19"/>
        <v>0.24657534246575344</v>
      </c>
      <c r="Q93" s="38">
        <f t="shared" si="19"/>
        <v>0.13187061750735127</v>
      </c>
      <c r="R93" s="38">
        <f t="shared" si="19"/>
        <v>0.26523562792992844</v>
      </c>
      <c r="S93" s="38">
        <f t="shared" si="19"/>
        <v>0.34089416820867907</v>
      </c>
      <c r="T93" s="38">
        <f t="shared" si="19"/>
        <v>0.23584905660377359</v>
      </c>
      <c r="U93" s="38">
        <f t="shared" si="19"/>
        <v>0.61165048543689315</v>
      </c>
      <c r="V93" s="38">
        <f t="shared" si="19"/>
        <v>0.55519480519480524</v>
      </c>
      <c r="W93" s="38">
        <f t="shared" si="19"/>
        <v>9.2291153233740028E-2</v>
      </c>
      <c r="X93" s="38">
        <f t="shared" si="19"/>
        <v>0.72289156626506013</v>
      </c>
      <c r="Y93" s="38">
        <f t="shared" si="19"/>
        <v>0.51368555060471044</v>
      </c>
      <c r="Z93" s="38">
        <f t="shared" si="19"/>
        <v>7.5132978723404256E-2</v>
      </c>
      <c r="AA93" s="38">
        <f t="shared" si="19"/>
        <v>8.3218707015130677E-2</v>
      </c>
      <c r="AB93" s="38">
        <f t="shared" si="19"/>
        <v>0.31147540983606559</v>
      </c>
      <c r="AC93" s="38">
        <f t="shared" si="19"/>
        <v>0.39345063538611919</v>
      </c>
      <c r="AD93" s="38">
        <f t="shared" si="19"/>
        <v>0.45302041973908108</v>
      </c>
      <c r="AE93" s="38">
        <f t="shared" si="19"/>
        <v>1.2379850032710984E-2</v>
      </c>
      <c r="AF93" s="38">
        <f t="shared" si="19"/>
        <v>6.2977682665851409E-2</v>
      </c>
      <c r="AG93" s="38">
        <f t="shared" si="19"/>
        <v>0.2937062937062937</v>
      </c>
      <c r="AH93" s="38">
        <f t="shared" si="19"/>
        <v>0.13141025641025642</v>
      </c>
      <c r="AI93" s="38">
        <f t="shared" si="19"/>
        <v>0.84484096198603553</v>
      </c>
      <c r="AJ93" s="38">
        <f t="shared" si="19"/>
        <v>0.34373249691945784</v>
      </c>
      <c r="AK93" s="38">
        <f t="shared" si="19"/>
        <v>5.0441361916771746E-2</v>
      </c>
      <c r="AL93" s="38">
        <f t="shared" si="19"/>
        <v>0.12020515012287637</v>
      </c>
      <c r="AM93" s="38">
        <f t="shared" si="19"/>
        <v>0.47619047619047622</v>
      </c>
      <c r="AN93" s="38">
        <f t="shared" si="19"/>
        <v>0.26186213070725156</v>
      </c>
      <c r="AO93" s="10"/>
      <c r="AP93" s="23">
        <f t="shared" si="18"/>
        <v>0.28395231952960931</v>
      </c>
      <c r="AQ93" s="10"/>
      <c r="AR93" s="23">
        <f>AP92/AR32</f>
        <v>0.15636320993896433</v>
      </c>
      <c r="AS93" s="10"/>
      <c r="AT93" s="10"/>
      <c r="AU93" s="10"/>
      <c r="AV93" s="10"/>
      <c r="AW93" s="10"/>
      <c r="AX93" s="10"/>
    </row>
    <row r="94" spans="1:50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23"/>
      <c r="AQ94" s="10"/>
      <c r="AR94" s="10"/>
      <c r="AS94" s="10"/>
      <c r="AT94" s="10"/>
      <c r="AU94" s="10"/>
      <c r="AV94" s="10"/>
      <c r="AW94" s="10"/>
      <c r="AX94" s="10"/>
    </row>
    <row r="95" spans="1:50" ht="43.5" customHeight="1">
      <c r="A95" s="10"/>
      <c r="B95" s="39" t="s">
        <v>166</v>
      </c>
      <c r="C95" s="43" t="s">
        <v>167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23"/>
      <c r="AQ95" s="10"/>
      <c r="AR95" s="10"/>
      <c r="AS95" s="10"/>
      <c r="AT95" s="10"/>
      <c r="AU95" s="10"/>
      <c r="AV95" s="10"/>
      <c r="AW95" s="10"/>
      <c r="AX95" s="10"/>
    </row>
    <row r="96" spans="1:50" ht="30" customHeight="1">
      <c r="A96" s="10"/>
      <c r="B96" s="10" t="s">
        <v>168</v>
      </c>
      <c r="C96" s="40">
        <f t="shared" ref="C96:G96" si="20">(C61)*C8-0.1*(C61)*C8</f>
        <v>540.21600000000001</v>
      </c>
      <c r="D96" s="40">
        <f t="shared" si="20"/>
        <v>13.049999999999999</v>
      </c>
      <c r="E96" s="40">
        <f t="shared" si="20"/>
        <v>160.38486</v>
      </c>
      <c r="F96" s="40">
        <f t="shared" si="20"/>
        <v>643.11407999999994</v>
      </c>
      <c r="G96" s="40">
        <f t="shared" si="20"/>
        <v>518.37947999999994</v>
      </c>
      <c r="H96" s="40">
        <f>(H61)*H8-0.2*(H61)*H8</f>
        <v>2586.1402379024003</v>
      </c>
      <c r="I96" s="40">
        <f>(I61)*I8-0.2*(I61)*I8</f>
        <v>2716.1439185376003</v>
      </c>
      <c r="J96" s="40">
        <f t="shared" ref="J96:AB96" si="21">(J61)*J8-0.1*(J61)*J8</f>
        <v>807.28200000000004</v>
      </c>
      <c r="K96" s="40">
        <f t="shared" si="21"/>
        <v>72.036540000000002</v>
      </c>
      <c r="L96" s="40">
        <f t="shared" si="21"/>
        <v>58.533326499599994</v>
      </c>
      <c r="M96" s="40">
        <f t="shared" si="21"/>
        <v>202.80780000000001</v>
      </c>
      <c r="N96" s="40">
        <f t="shared" si="21"/>
        <v>183.2463275886</v>
      </c>
      <c r="O96" s="40">
        <f t="shared" si="21"/>
        <v>224.47081800000001</v>
      </c>
      <c r="P96" s="40">
        <f t="shared" si="21"/>
        <v>364.135716</v>
      </c>
      <c r="Q96" s="40">
        <f t="shared" si="21"/>
        <v>797.60699999999997</v>
      </c>
      <c r="R96" s="40">
        <f t="shared" si="21"/>
        <v>419.26569391800001</v>
      </c>
      <c r="S96" s="40">
        <f t="shared" si="21"/>
        <v>1329.1776385695</v>
      </c>
      <c r="T96" s="40">
        <f t="shared" si="21"/>
        <v>102.039344082</v>
      </c>
      <c r="U96" s="40">
        <f t="shared" ref="U96" si="22">(U61)*U8-0.1*(U61)*U8</f>
        <v>69.156000000000006</v>
      </c>
      <c r="V96" s="40">
        <f t="shared" si="21"/>
        <v>249.2251177176</v>
      </c>
      <c r="W96" s="40">
        <f t="shared" si="21"/>
        <v>3349.8264500999999</v>
      </c>
      <c r="X96" s="40">
        <f t="shared" si="21"/>
        <v>6106.0068972242998</v>
      </c>
      <c r="Y96" s="40">
        <f t="shared" si="21"/>
        <v>141.87871021499998</v>
      </c>
      <c r="Z96" s="40">
        <f t="shared" si="21"/>
        <v>23.812365918600001</v>
      </c>
      <c r="AA96" s="40">
        <f t="shared" si="21"/>
        <v>23.910425302500002</v>
      </c>
      <c r="AB96" s="40">
        <f t="shared" si="21"/>
        <v>114.9666613821</v>
      </c>
      <c r="AC96" s="40">
        <f>(AC61)*AC8-0.05*(AC61)*AC8</f>
        <v>3595.6507616757003</v>
      </c>
      <c r="AD96" s="40">
        <f>(AD61)*AD8-0.12*(AD61)*AD8</f>
        <v>1063.92</v>
      </c>
      <c r="AE96" s="40">
        <f>(AE61)*AE8-0.05*(AE61)*AE8</f>
        <v>88.711000000000013</v>
      </c>
      <c r="AF96" s="40">
        <f>(AF61)*AF8-0.03*(AF61)*AF8</f>
        <v>36.245295511040005</v>
      </c>
      <c r="AG96" s="40">
        <f>(AG61)*AG8-0.05*(AG61)*AG8</f>
        <v>41.271324999999997</v>
      </c>
      <c r="AH96" s="40">
        <f>(AH61)*AH8-0.03*(AH61)*AH8</f>
        <v>52.307028126079999</v>
      </c>
      <c r="AI96" s="40">
        <f>(AI61)*AI8-0.1*(AI61)*AI8</f>
        <v>172.08087635700002</v>
      </c>
      <c r="AJ96" s="40">
        <f>(AJ61)*AJ8-0.05*(AJ61)*AJ8</f>
        <v>2934.8730950000004</v>
      </c>
      <c r="AK96" s="40">
        <f t="shared" ref="AK96:AN96" si="23">(AK61)*AK8-0.1*(AK61)*AK8</f>
        <v>22.481819999999999</v>
      </c>
      <c r="AL96" s="40">
        <f t="shared" si="23"/>
        <v>248.55767999999995</v>
      </c>
      <c r="AM96" s="40">
        <f t="shared" si="23"/>
        <v>53.900999999999996</v>
      </c>
      <c r="AN96" s="40">
        <f t="shared" si="23"/>
        <v>254.09916000000001</v>
      </c>
      <c r="AO96" s="10"/>
      <c r="AP96" s="23"/>
      <c r="AQ96" s="10"/>
      <c r="AR96" s="10"/>
      <c r="AS96" s="10"/>
      <c r="AT96" s="10"/>
      <c r="AU96" s="10"/>
      <c r="AV96" s="10"/>
      <c r="AW96" s="10"/>
      <c r="AX96" s="10"/>
    </row>
    <row r="97" spans="1:50" ht="14.25" customHeight="1">
      <c r="A97" s="10"/>
      <c r="B97" s="10" t="s">
        <v>169</v>
      </c>
      <c r="C97" s="10">
        <f t="shared" ref="C97:AN97" si="24">C86</f>
        <v>0</v>
      </c>
      <c r="D97" s="10">
        <f t="shared" si="24"/>
        <v>0</v>
      </c>
      <c r="E97" s="10">
        <f t="shared" si="24"/>
        <v>0</v>
      </c>
      <c r="F97" s="10">
        <f t="shared" si="24"/>
        <v>0</v>
      </c>
      <c r="G97" s="10">
        <f t="shared" si="24"/>
        <v>0.91</v>
      </c>
      <c r="H97" s="10">
        <f t="shared" si="24"/>
        <v>784</v>
      </c>
      <c r="I97" s="10">
        <f t="shared" ref="I97" si="25">I86</f>
        <v>1580</v>
      </c>
      <c r="J97" s="10">
        <f t="shared" si="24"/>
        <v>6.5</v>
      </c>
      <c r="K97" s="10">
        <f t="shared" si="24"/>
        <v>0.7</v>
      </c>
      <c r="L97" s="10">
        <f t="shared" si="24"/>
        <v>0</v>
      </c>
      <c r="M97" s="10">
        <f t="shared" si="24"/>
        <v>26.6</v>
      </c>
      <c r="N97" s="10">
        <f t="shared" si="24"/>
        <v>118.5</v>
      </c>
      <c r="O97" s="10">
        <f t="shared" si="24"/>
        <v>0</v>
      </c>
      <c r="P97" s="10">
        <f t="shared" si="24"/>
        <v>16.52</v>
      </c>
      <c r="Q97" s="10">
        <f t="shared" si="24"/>
        <v>27.17</v>
      </c>
      <c r="R97" s="10">
        <f t="shared" si="24"/>
        <v>0</v>
      </c>
      <c r="S97" s="10">
        <f t="shared" si="24"/>
        <v>50</v>
      </c>
      <c r="T97" s="10">
        <f t="shared" si="24"/>
        <v>0.3</v>
      </c>
      <c r="U97" s="10">
        <f t="shared" ref="U97" si="26">U86</f>
        <v>0</v>
      </c>
      <c r="V97" s="10">
        <f t="shared" si="24"/>
        <v>0</v>
      </c>
      <c r="W97" s="10">
        <f t="shared" si="24"/>
        <v>0</v>
      </c>
      <c r="X97" s="10">
        <f t="shared" si="24"/>
        <v>0.5</v>
      </c>
      <c r="Y97" s="10">
        <f t="shared" si="24"/>
        <v>0.1</v>
      </c>
      <c r="Z97" s="10">
        <f t="shared" si="24"/>
        <v>10.43</v>
      </c>
      <c r="AA97" s="10">
        <f t="shared" si="24"/>
        <v>0.4</v>
      </c>
      <c r="AB97" s="10">
        <f t="shared" si="24"/>
        <v>0</v>
      </c>
      <c r="AC97" s="10">
        <f t="shared" si="24"/>
        <v>0</v>
      </c>
      <c r="AD97" s="10">
        <f t="shared" si="24"/>
        <v>198.67</v>
      </c>
      <c r="AE97" s="10">
        <f t="shared" si="24"/>
        <v>0</v>
      </c>
      <c r="AF97" s="10">
        <f t="shared" si="24"/>
        <v>1.2</v>
      </c>
      <c r="AG97" s="10">
        <f t="shared" si="24"/>
        <v>0</v>
      </c>
      <c r="AH97" s="10">
        <f t="shared" si="24"/>
        <v>1</v>
      </c>
      <c r="AI97" s="10">
        <f t="shared" si="24"/>
        <v>0</v>
      </c>
      <c r="AJ97" s="10">
        <f t="shared" si="24"/>
        <v>83.944999999999993</v>
      </c>
      <c r="AK97" s="10">
        <f t="shared" si="24"/>
        <v>21</v>
      </c>
      <c r="AL97" s="10">
        <f t="shared" si="24"/>
        <v>72.11</v>
      </c>
      <c r="AM97" s="10">
        <f t="shared" si="24"/>
        <v>0</v>
      </c>
      <c r="AN97" s="10">
        <f t="shared" si="24"/>
        <v>5.48</v>
      </c>
      <c r="AO97" s="10"/>
      <c r="AP97" s="23"/>
      <c r="AQ97" s="10"/>
      <c r="AR97" s="10"/>
      <c r="AS97" s="10"/>
      <c r="AT97" s="10"/>
      <c r="AU97" s="10"/>
      <c r="AV97" s="10"/>
      <c r="AW97" s="10"/>
      <c r="AX97" s="10"/>
    </row>
    <row r="98" spans="1:50" ht="14.25" customHeight="1">
      <c r="A98" s="10"/>
      <c r="B98" s="10" t="s">
        <v>170</v>
      </c>
      <c r="C98" s="23">
        <f t="shared" ref="C98:AN98" si="27">C97/C96</f>
        <v>0</v>
      </c>
      <c r="D98" s="23">
        <f t="shared" si="27"/>
        <v>0</v>
      </c>
      <c r="E98" s="23">
        <f t="shared" si="27"/>
        <v>0</v>
      </c>
      <c r="F98" s="23">
        <f t="shared" si="27"/>
        <v>0</v>
      </c>
      <c r="G98" s="23">
        <f t="shared" si="27"/>
        <v>1.7554707219506454E-3</v>
      </c>
      <c r="H98" s="23">
        <f t="shared" si="27"/>
        <v>0.30315448037570336</v>
      </c>
      <c r="I98" s="23">
        <f t="shared" ref="I98" si="28">I97/I96</f>
        <v>0.58170702561692245</v>
      </c>
      <c r="J98" s="23">
        <f t="shared" si="27"/>
        <v>8.0517093159515503E-3</v>
      </c>
      <c r="K98" s="23">
        <f t="shared" si="27"/>
        <v>9.717290697193395E-3</v>
      </c>
      <c r="L98" s="23">
        <f t="shared" si="27"/>
        <v>0</v>
      </c>
      <c r="M98" s="23">
        <f t="shared" si="27"/>
        <v>0.13115866352280336</v>
      </c>
      <c r="N98" s="23">
        <f t="shared" si="27"/>
        <v>0.64667053118816253</v>
      </c>
      <c r="O98" s="23">
        <f t="shared" si="27"/>
        <v>0</v>
      </c>
      <c r="P98" s="23">
        <f t="shared" si="27"/>
        <v>4.536770021208246E-2</v>
      </c>
      <c r="Q98" s="23">
        <f t="shared" si="27"/>
        <v>3.4064395121908411E-2</v>
      </c>
      <c r="R98" s="23">
        <f t="shared" si="27"/>
        <v>0</v>
      </c>
      <c r="S98" s="23">
        <f t="shared" si="27"/>
        <v>3.7617244338997054E-2</v>
      </c>
      <c r="T98" s="23">
        <f t="shared" si="27"/>
        <v>2.9400424189214361E-3</v>
      </c>
      <c r="U98" s="23">
        <f t="shared" ref="U98" si="29">U97/U96</f>
        <v>0</v>
      </c>
      <c r="V98" s="23">
        <f t="shared" si="27"/>
        <v>0</v>
      </c>
      <c r="W98" s="23">
        <f t="shared" si="27"/>
        <v>0</v>
      </c>
      <c r="X98" s="23">
        <f t="shared" si="27"/>
        <v>8.188657635275397E-5</v>
      </c>
      <c r="Y98" s="23">
        <f t="shared" si="27"/>
        <v>7.0482738282905252E-4</v>
      </c>
      <c r="Z98" s="23">
        <f t="shared" si="27"/>
        <v>0.43800771564042934</v>
      </c>
      <c r="AA98" s="23">
        <f t="shared" si="27"/>
        <v>1.6729104352576164E-2</v>
      </c>
      <c r="AB98" s="23">
        <f t="shared" si="27"/>
        <v>0</v>
      </c>
      <c r="AC98" s="23">
        <f t="shared" si="27"/>
        <v>0</v>
      </c>
      <c r="AD98" s="23">
        <f t="shared" si="27"/>
        <v>0.18673396495977138</v>
      </c>
      <c r="AE98" s="23">
        <f t="shared" si="27"/>
        <v>0</v>
      </c>
      <c r="AF98" s="23">
        <f t="shared" si="27"/>
        <v>3.3107744966087815E-2</v>
      </c>
      <c r="AG98" s="23">
        <f t="shared" si="27"/>
        <v>0</v>
      </c>
      <c r="AH98" s="23">
        <f t="shared" si="27"/>
        <v>1.9117889809943254E-2</v>
      </c>
      <c r="AI98" s="23">
        <f t="shared" si="27"/>
        <v>0</v>
      </c>
      <c r="AJ98" s="23">
        <f t="shared" si="27"/>
        <v>2.8602599595537192E-2</v>
      </c>
      <c r="AK98" s="23">
        <f t="shared" si="27"/>
        <v>0.93408807649914471</v>
      </c>
      <c r="AL98" s="23">
        <f t="shared" si="27"/>
        <v>0.29011374744083551</v>
      </c>
      <c r="AM98" s="23">
        <f t="shared" si="27"/>
        <v>0</v>
      </c>
      <c r="AN98" s="23">
        <f t="shared" si="27"/>
        <v>2.1566383769234029E-2</v>
      </c>
      <c r="AO98" s="10"/>
      <c r="AP98" s="23"/>
      <c r="AQ98" s="10"/>
      <c r="AR98" s="10"/>
      <c r="AS98" s="10"/>
      <c r="AT98" s="10"/>
      <c r="AU98" s="10"/>
      <c r="AV98" s="10"/>
      <c r="AW98" s="10"/>
      <c r="AX98" s="10"/>
    </row>
    <row r="99" spans="1:50" ht="14.25" customHeight="1">
      <c r="A99" s="10"/>
      <c r="B99" s="10" t="s">
        <v>171</v>
      </c>
      <c r="C99" s="40">
        <f t="shared" ref="C99:G99" si="30">C56*C8-0.1*C56*C8</f>
        <v>32.94</v>
      </c>
      <c r="D99" s="40">
        <f t="shared" si="30"/>
        <v>1.125</v>
      </c>
      <c r="E99" s="40">
        <f t="shared" si="30"/>
        <v>21.015719999999998</v>
      </c>
      <c r="F99" s="40">
        <f t="shared" si="30"/>
        <v>205.20863999999997</v>
      </c>
      <c r="G99" s="40">
        <f t="shared" si="30"/>
        <v>23.276160000000001</v>
      </c>
      <c r="H99" s="40">
        <f>H56*H8-0.2*H56*H8</f>
        <v>159.6218552592</v>
      </c>
      <c r="I99" s="40">
        <f>I56*I8-0.2*I56*I8</f>
        <v>275.86570834080004</v>
      </c>
      <c r="J99" s="40">
        <f t="shared" ref="J99:AB99" si="31">J56*J8-0.1*J56*J8</f>
        <v>64.582560000000001</v>
      </c>
      <c r="K99" s="40">
        <f t="shared" si="31"/>
        <v>6.3679499999999996</v>
      </c>
      <c r="L99" s="40">
        <f t="shared" si="31"/>
        <v>9.9356633874</v>
      </c>
      <c r="M99" s="40">
        <f t="shared" si="31"/>
        <v>52.524450000000002</v>
      </c>
      <c r="N99" s="40">
        <f t="shared" si="31"/>
        <v>52.551168627599999</v>
      </c>
      <c r="O99" s="40">
        <f t="shared" si="31"/>
        <v>44.967078000000001</v>
      </c>
      <c r="P99" s="40">
        <f t="shared" si="31"/>
        <v>188.74174500000001</v>
      </c>
      <c r="Q99" s="40">
        <f t="shared" si="31"/>
        <v>57.817799999999991</v>
      </c>
      <c r="R99" s="40">
        <f t="shared" si="31"/>
        <v>55.715099173199995</v>
      </c>
      <c r="S99" s="40">
        <f t="shared" si="31"/>
        <v>391.475971512</v>
      </c>
      <c r="T99" s="40">
        <f t="shared" si="31"/>
        <v>6.4206025649999994</v>
      </c>
      <c r="U99" s="40">
        <f t="shared" ref="U99" si="32">U56*U8-0.1*U56*U8</f>
        <v>5.085</v>
      </c>
      <c r="V99" s="40">
        <f t="shared" si="31"/>
        <v>53.684472247199992</v>
      </c>
      <c r="W99" s="40">
        <f t="shared" si="31"/>
        <v>1092.2856399</v>
      </c>
      <c r="X99" s="40">
        <f t="shared" si="31"/>
        <v>97.2383259474</v>
      </c>
      <c r="Y99" s="40">
        <f t="shared" si="31"/>
        <v>24.149591650799998</v>
      </c>
      <c r="Z99" s="40">
        <f t="shared" si="31"/>
        <v>6.7521319434000002</v>
      </c>
      <c r="AA99" s="40">
        <f t="shared" si="31"/>
        <v>6.6744305099999997</v>
      </c>
      <c r="AB99" s="40">
        <f t="shared" si="31"/>
        <v>55.4393663082</v>
      </c>
      <c r="AC99" s="40">
        <f>AC56*AC8-0.05*AC56*AC8</f>
        <v>278.37046990934999</v>
      </c>
      <c r="AD99" s="40">
        <f>AD56*AD8-0.12*AD56*AD8</f>
        <v>170.22720000000001</v>
      </c>
      <c r="AE99" s="40">
        <f>AE56*AE8-0.05*AE56*AE8</f>
        <v>36.641500000000001</v>
      </c>
      <c r="AF99" s="40">
        <f>AF56*AF8-0.03*AF56*AF8</f>
        <v>19.821118322</v>
      </c>
      <c r="AG99" s="40">
        <f>AG56*AG8-0.05*AG56*AG8</f>
        <v>7.6080749999999995</v>
      </c>
      <c r="AH99" s="40">
        <f>AH56*AH8-0.03*AH56*AH8</f>
        <v>20.381653397640001</v>
      </c>
      <c r="AI99" s="40">
        <f>AI56*AI8-0.1*AI56*AI8</f>
        <v>23.043977716499999</v>
      </c>
      <c r="AJ99" s="40">
        <f>AJ56*AJ8-0.05*AJ56*AJ8</f>
        <v>91.068614999999994</v>
      </c>
      <c r="AK99" s="40">
        <f t="shared" ref="AK99:AN99" si="33">AK56*AK8-0.1*AK56*AK8</f>
        <v>2.4942599999999997</v>
      </c>
      <c r="AL99" s="40">
        <f t="shared" si="33"/>
        <v>12.484800000000002</v>
      </c>
      <c r="AM99" s="40">
        <f t="shared" si="33"/>
        <v>6.1019999999999994</v>
      </c>
      <c r="AN99" s="40">
        <f t="shared" si="33"/>
        <v>69.593580000000003</v>
      </c>
      <c r="AO99" s="10"/>
      <c r="AP99" s="23"/>
      <c r="AQ99" s="10"/>
      <c r="AR99" s="10"/>
      <c r="AS99" s="10"/>
      <c r="AT99" s="10"/>
      <c r="AU99" s="10"/>
      <c r="AV99" s="10"/>
      <c r="AW99" s="10"/>
      <c r="AX99" s="10"/>
    </row>
    <row r="100" spans="1:50" ht="14.25" customHeight="1">
      <c r="A100" s="10"/>
      <c r="B100" s="10" t="s">
        <v>172</v>
      </c>
      <c r="C100" s="10">
        <f t="shared" ref="C100:AN100" si="34">C80</f>
        <v>7.16</v>
      </c>
      <c r="D100" s="10">
        <f t="shared" si="34"/>
        <v>0.23</v>
      </c>
      <c r="E100" s="10">
        <f t="shared" si="34"/>
        <v>2.89</v>
      </c>
      <c r="F100" s="10">
        <f t="shared" si="34"/>
        <v>0.56000000000000005</v>
      </c>
      <c r="G100" s="10">
        <f t="shared" si="34"/>
        <v>0.1</v>
      </c>
      <c r="H100" s="10">
        <f t="shared" si="34"/>
        <v>83</v>
      </c>
      <c r="I100" s="10">
        <f t="shared" ref="I100" si="35">I80</f>
        <v>230</v>
      </c>
      <c r="J100" s="10">
        <f t="shared" si="34"/>
        <v>38.79</v>
      </c>
      <c r="K100" s="10">
        <f t="shared" si="34"/>
        <v>0</v>
      </c>
      <c r="L100" s="10">
        <f t="shared" si="34"/>
        <v>1.5</v>
      </c>
      <c r="M100" s="10">
        <f t="shared" si="34"/>
        <v>32.590000000000003</v>
      </c>
      <c r="N100" s="10">
        <f t="shared" si="34"/>
        <v>52.36</v>
      </c>
      <c r="O100" s="10">
        <f t="shared" si="34"/>
        <v>5.23</v>
      </c>
      <c r="P100" s="10">
        <f t="shared" si="34"/>
        <v>2</v>
      </c>
      <c r="Q100" s="10">
        <f t="shared" si="34"/>
        <v>3.48</v>
      </c>
      <c r="R100" s="10">
        <f t="shared" si="34"/>
        <v>24.3</v>
      </c>
      <c r="S100" s="10">
        <f t="shared" si="34"/>
        <v>160</v>
      </c>
      <c r="T100" s="10">
        <f t="shared" si="34"/>
        <v>0.83</v>
      </c>
      <c r="U100" s="10">
        <f t="shared" ref="U100" si="36">U80</f>
        <v>0.8</v>
      </c>
      <c r="V100" s="10">
        <f t="shared" si="34"/>
        <v>27.4</v>
      </c>
      <c r="W100" s="10">
        <f t="shared" si="34"/>
        <v>545</v>
      </c>
      <c r="X100" s="10">
        <f t="shared" si="34"/>
        <v>1</v>
      </c>
      <c r="Y100" s="10">
        <f t="shared" si="34"/>
        <v>3.83</v>
      </c>
      <c r="Z100" s="10">
        <f t="shared" si="34"/>
        <v>0.46</v>
      </c>
      <c r="AA100" s="10">
        <f t="shared" si="34"/>
        <v>1.5</v>
      </c>
      <c r="AB100" s="10">
        <f t="shared" si="34"/>
        <v>2</v>
      </c>
      <c r="AC100" s="10">
        <f t="shared" si="34"/>
        <v>0.16</v>
      </c>
      <c r="AD100" s="10">
        <f t="shared" si="34"/>
        <v>13.21</v>
      </c>
      <c r="AE100" s="10">
        <f t="shared" si="34"/>
        <v>3.78</v>
      </c>
      <c r="AF100" s="10">
        <f t="shared" si="34"/>
        <v>8.57</v>
      </c>
      <c r="AG100" s="10">
        <f t="shared" si="34"/>
        <v>5.29</v>
      </c>
      <c r="AH100" s="10">
        <f t="shared" si="34"/>
        <v>9.0500000000000007</v>
      </c>
      <c r="AI100" s="10">
        <f t="shared" si="34"/>
        <v>3</v>
      </c>
      <c r="AJ100" s="10">
        <f t="shared" si="34"/>
        <v>27.39</v>
      </c>
      <c r="AK100" s="10">
        <f t="shared" si="34"/>
        <v>1.08</v>
      </c>
      <c r="AL100" s="10">
        <f t="shared" si="34"/>
        <v>7.1</v>
      </c>
      <c r="AM100" s="10">
        <f t="shared" si="34"/>
        <v>0.36</v>
      </c>
      <c r="AN100" s="10">
        <f t="shared" si="34"/>
        <v>22.4</v>
      </c>
      <c r="AO100" s="10"/>
      <c r="AP100" s="23"/>
      <c r="AQ100" s="10"/>
      <c r="AR100" s="10"/>
      <c r="AS100" s="10"/>
      <c r="AT100" s="10"/>
      <c r="AU100" s="10"/>
      <c r="AV100" s="10"/>
      <c r="AW100" s="10"/>
      <c r="AX100" s="10"/>
    </row>
    <row r="101" spans="1:50" ht="14.25" customHeight="1">
      <c r="A101" s="10"/>
      <c r="B101" s="10" t="s">
        <v>173</v>
      </c>
      <c r="C101" s="23">
        <f t="shared" ref="C101:AN101" si="37">C100/C99</f>
        <v>0.21736490588949609</v>
      </c>
      <c r="D101" s="23">
        <f t="shared" si="37"/>
        <v>0.20444444444444446</v>
      </c>
      <c r="E101" s="23">
        <f t="shared" si="37"/>
        <v>0.13751610699038627</v>
      </c>
      <c r="F101" s="23">
        <f t="shared" si="37"/>
        <v>2.7289299319950668E-3</v>
      </c>
      <c r="G101" s="23">
        <f t="shared" si="37"/>
        <v>4.2962413044075999E-3</v>
      </c>
      <c r="H101" s="23">
        <f t="shared" si="37"/>
        <v>0.5199789205884211</v>
      </c>
      <c r="I101" s="23">
        <f t="shared" ref="I101" si="38">I100/I99</f>
        <v>0.83373900070197093</v>
      </c>
      <c r="J101" s="23">
        <f t="shared" si="37"/>
        <v>0.60062654685723205</v>
      </c>
      <c r="K101" s="23">
        <f t="shared" si="37"/>
        <v>0</v>
      </c>
      <c r="L101" s="23">
        <f t="shared" si="37"/>
        <v>0.15097129819255334</v>
      </c>
      <c r="M101" s="23">
        <f t="shared" si="37"/>
        <v>0.62047294164907962</v>
      </c>
      <c r="N101" s="23">
        <f t="shared" si="37"/>
        <v>0.99636223831757764</v>
      </c>
      <c r="O101" s="23">
        <f t="shared" si="37"/>
        <v>0.11630731265215855</v>
      </c>
      <c r="P101" s="23">
        <f t="shared" si="37"/>
        <v>1.0596489928605884E-2</v>
      </c>
      <c r="Q101" s="23">
        <f t="shared" si="37"/>
        <v>6.0189076720317973E-2</v>
      </c>
      <c r="R101" s="23">
        <f t="shared" si="37"/>
        <v>0.43614747816313237</v>
      </c>
      <c r="S101" s="23">
        <f t="shared" si="37"/>
        <v>0.40870963135242</v>
      </c>
      <c r="T101" s="23">
        <f t="shared" si="37"/>
        <v>0.12927135601329656</v>
      </c>
      <c r="U101" s="23">
        <f t="shared" ref="U101" si="39">U100/U99</f>
        <v>0.15732546705998035</v>
      </c>
      <c r="V101" s="23">
        <f t="shared" si="37"/>
        <v>0.51038966861463553</v>
      </c>
      <c r="W101" s="23">
        <f t="shared" si="37"/>
        <v>0.49895373526094822</v>
      </c>
      <c r="X101" s="23">
        <f t="shared" si="37"/>
        <v>1.0284010859472621E-2</v>
      </c>
      <c r="Y101" s="23">
        <f t="shared" si="37"/>
        <v>0.15859481416420243</v>
      </c>
      <c r="Z101" s="23">
        <f t="shared" si="37"/>
        <v>6.8126630796904938E-2</v>
      </c>
      <c r="AA101" s="23">
        <f t="shared" si="37"/>
        <v>0.2247382750861841</v>
      </c>
      <c r="AB101" s="23">
        <f t="shared" si="37"/>
        <v>3.6075448425610543E-2</v>
      </c>
      <c r="AC101" s="23">
        <f t="shared" si="37"/>
        <v>5.7477361033339222E-4</v>
      </c>
      <c r="AD101" s="23">
        <f t="shared" si="37"/>
        <v>7.7602169336040305E-2</v>
      </c>
      <c r="AE101" s="23">
        <f t="shared" si="37"/>
        <v>0.1031617155411214</v>
      </c>
      <c r="AF101" s="23">
        <f t="shared" si="37"/>
        <v>0.43236712786724668</v>
      </c>
      <c r="AG101" s="23">
        <f t="shared" si="37"/>
        <v>0.69531386060205769</v>
      </c>
      <c r="AH101" s="23">
        <f t="shared" si="37"/>
        <v>0.44402678347223312</v>
      </c>
      <c r="AI101" s="23">
        <f t="shared" si="37"/>
        <v>0.13018585753326489</v>
      </c>
      <c r="AJ101" s="23">
        <f t="shared" si="37"/>
        <v>0.30076223296027949</v>
      </c>
      <c r="AK101" s="23">
        <f t="shared" si="37"/>
        <v>0.43299415457891327</v>
      </c>
      <c r="AL101" s="23">
        <f t="shared" si="37"/>
        <v>0.56869152889914121</v>
      </c>
      <c r="AM101" s="23">
        <f t="shared" si="37"/>
        <v>5.8997050147492631E-2</v>
      </c>
      <c r="AN101" s="23">
        <f t="shared" si="37"/>
        <v>0.3218687700790791</v>
      </c>
      <c r="AO101" s="10"/>
      <c r="AP101" s="23"/>
      <c r="AQ101" s="10"/>
      <c r="AR101" s="10"/>
      <c r="AS101" s="10"/>
      <c r="AT101" s="10"/>
      <c r="AU101" s="10"/>
      <c r="AV101" s="10"/>
      <c r="AW101" s="10"/>
      <c r="AX101" s="10"/>
    </row>
    <row r="102" spans="1:50" ht="14.25" customHeight="1">
      <c r="A102" s="10"/>
      <c r="B102" s="10" t="s">
        <v>174</v>
      </c>
      <c r="C102" s="40">
        <f t="shared" ref="C102:G102" si="40">C57*C8-0.1*C57*C8</f>
        <v>39.527999999999999</v>
      </c>
      <c r="D102" s="40">
        <f t="shared" si="40"/>
        <v>4.95</v>
      </c>
      <c r="E102" s="40">
        <f t="shared" si="40"/>
        <v>104.55156000000001</v>
      </c>
      <c r="F102" s="40">
        <f t="shared" si="40"/>
        <v>253.92527999999996</v>
      </c>
      <c r="G102" s="40">
        <f t="shared" si="40"/>
        <v>52.290539999999993</v>
      </c>
      <c r="H102" s="40">
        <f>H57*H8-0.2*H57*H8</f>
        <v>620.47769404159999</v>
      </c>
      <c r="I102" s="40">
        <f>I57*I8-0.2*I57*I8</f>
        <v>396.62675504639998</v>
      </c>
      <c r="J102" s="40">
        <f t="shared" ref="J102:AB102" si="41">J57*J8-0.1*J57*J8</f>
        <v>219.28031999999999</v>
      </c>
      <c r="K102" s="40">
        <f t="shared" si="41"/>
        <v>16.871490000000001</v>
      </c>
      <c r="L102" s="40">
        <f t="shared" si="41"/>
        <v>26.7388300404</v>
      </c>
      <c r="M102" s="40">
        <f t="shared" si="41"/>
        <v>60.871500000000005</v>
      </c>
      <c r="N102" s="40">
        <f t="shared" si="41"/>
        <v>69.312906138600013</v>
      </c>
      <c r="O102" s="40">
        <f t="shared" si="41"/>
        <v>105.47643599999999</v>
      </c>
      <c r="P102" s="40">
        <f t="shared" si="41"/>
        <v>196.74337499999999</v>
      </c>
      <c r="Q102" s="40">
        <f t="shared" si="41"/>
        <v>104.37389999999999</v>
      </c>
      <c r="R102" s="40">
        <f t="shared" si="41"/>
        <v>47.831616806399992</v>
      </c>
      <c r="S102" s="40">
        <f t="shared" si="41"/>
        <v>363.9537347895</v>
      </c>
      <c r="T102" s="40">
        <f t="shared" si="41"/>
        <v>8.3904114060000001</v>
      </c>
      <c r="U102" s="40">
        <f t="shared" ref="U102" si="42">U57*U8-0.1*U57*U8</f>
        <v>14.238000000000001</v>
      </c>
      <c r="V102" s="40">
        <f t="shared" si="41"/>
        <v>117.53008240679999</v>
      </c>
      <c r="W102" s="40">
        <f t="shared" si="41"/>
        <v>3070.0622510999997</v>
      </c>
      <c r="X102" s="40">
        <f t="shared" si="41"/>
        <v>2635.3379171789998</v>
      </c>
      <c r="Y102" s="40">
        <f t="shared" si="41"/>
        <v>37.542088801799999</v>
      </c>
      <c r="Z102" s="40">
        <f t="shared" si="41"/>
        <v>10.724469533099999</v>
      </c>
      <c r="AA102" s="40">
        <f t="shared" si="41"/>
        <v>8.4850666425000014</v>
      </c>
      <c r="AB102" s="40">
        <f t="shared" si="41"/>
        <v>72.807743801699999</v>
      </c>
      <c r="AC102" s="40">
        <f>AC57*AC8-0.05*AC57*AC8</f>
        <v>353.00574167039997</v>
      </c>
      <c r="AD102" s="40">
        <f>AD57*AD8-0.12*AD57*AD8</f>
        <v>574.51679999999999</v>
      </c>
      <c r="AE102" s="40">
        <f>AE57*AE8-0.05*AE57*AE8</f>
        <v>23.141999999999999</v>
      </c>
      <c r="AF102" s="40">
        <f>AF57*AF8-0.03*AF57*AF8</f>
        <v>17.930104745960001</v>
      </c>
      <c r="AG102" s="40">
        <f>AG57*AG8-0.05*AG57*AG8</f>
        <v>22.427124999999997</v>
      </c>
      <c r="AH102" s="40">
        <f>AH57*AH8-0.03*AH57*AH8</f>
        <v>30.885441321319998</v>
      </c>
      <c r="AI102" s="40">
        <f>AI57*AI8-0.1*AI57*AI8</f>
        <v>42.236670842999999</v>
      </c>
      <c r="AJ102" s="40">
        <f>AJ57*AJ8-0.05*AJ57*AJ8</f>
        <v>353.27583500000003</v>
      </c>
      <c r="AK102" s="40">
        <f t="shared" ref="AK102:AN102" si="43">AK57*AK8-0.1*AK57*AK8</f>
        <v>14.46894</v>
      </c>
      <c r="AL102" s="40">
        <f t="shared" si="43"/>
        <v>55.961280000000002</v>
      </c>
      <c r="AM102" s="40">
        <f t="shared" si="43"/>
        <v>21.356999999999999</v>
      </c>
      <c r="AN102" s="40">
        <f t="shared" si="43"/>
        <v>132.50790000000001</v>
      </c>
      <c r="AO102" s="10"/>
      <c r="AP102" s="23"/>
      <c r="AQ102" s="10"/>
      <c r="AR102" s="10"/>
      <c r="AS102" s="10"/>
      <c r="AT102" s="10"/>
      <c r="AU102" s="10"/>
      <c r="AV102" s="10"/>
      <c r="AW102" s="10"/>
      <c r="AX102" s="10"/>
    </row>
    <row r="103" spans="1:50" ht="14.25" customHeight="1">
      <c r="A103" s="10"/>
      <c r="B103" s="10" t="s">
        <v>175</v>
      </c>
      <c r="C103" s="10">
        <f t="shared" ref="C103:AN103" si="44">C66+C68+C70+C72+C76+C78+C74</f>
        <v>11.79</v>
      </c>
      <c r="D103" s="10">
        <f t="shared" si="44"/>
        <v>0.32</v>
      </c>
      <c r="E103" s="10">
        <f t="shared" si="44"/>
        <v>9.44</v>
      </c>
      <c r="F103" s="10">
        <f t="shared" si="44"/>
        <v>8.5</v>
      </c>
      <c r="G103" s="10">
        <f t="shared" si="44"/>
        <v>0</v>
      </c>
      <c r="H103" s="10">
        <f t="shared" si="44"/>
        <v>119</v>
      </c>
      <c r="I103" s="10">
        <f t="shared" ref="I103" si="45">I66+I68+I70+I72+I76+I78+I74</f>
        <v>206</v>
      </c>
      <c r="J103" s="10">
        <f t="shared" si="44"/>
        <v>73.61999999999999</v>
      </c>
      <c r="K103" s="10">
        <f t="shared" si="44"/>
        <v>2.44</v>
      </c>
      <c r="L103" s="10">
        <f t="shared" si="44"/>
        <v>0.5</v>
      </c>
      <c r="M103" s="10">
        <f t="shared" si="44"/>
        <v>34.049999999999997</v>
      </c>
      <c r="N103" s="10">
        <f t="shared" si="44"/>
        <v>60.889999999999993</v>
      </c>
      <c r="O103" s="10">
        <f t="shared" si="44"/>
        <v>4.25</v>
      </c>
      <c r="P103" s="10">
        <f t="shared" si="44"/>
        <v>6.660000000000001</v>
      </c>
      <c r="Q103" s="10">
        <f t="shared" si="44"/>
        <v>5.83</v>
      </c>
      <c r="R103" s="10">
        <f t="shared" si="44"/>
        <v>10.75</v>
      </c>
      <c r="S103" s="10">
        <f t="shared" si="44"/>
        <v>171.32999999999998</v>
      </c>
      <c r="T103" s="10">
        <f t="shared" si="44"/>
        <v>0.75</v>
      </c>
      <c r="U103" s="10">
        <f t="shared" ref="U103" si="46">U66+U68+U70+U72+U76+U78+U74</f>
        <v>3.15</v>
      </c>
      <c r="V103" s="10">
        <f t="shared" si="44"/>
        <v>34.200000000000003</v>
      </c>
      <c r="W103" s="10">
        <f t="shared" si="44"/>
        <v>91</v>
      </c>
      <c r="X103" s="10">
        <f t="shared" si="44"/>
        <v>6</v>
      </c>
      <c r="Y103" s="10">
        <f t="shared" si="44"/>
        <v>8.0699999999999985</v>
      </c>
      <c r="Z103" s="10">
        <f t="shared" si="44"/>
        <v>1.1300000000000001</v>
      </c>
      <c r="AA103" s="10">
        <f t="shared" si="44"/>
        <v>1.2100000000000002</v>
      </c>
      <c r="AB103" s="10">
        <f t="shared" si="44"/>
        <v>19</v>
      </c>
      <c r="AC103" s="10">
        <f t="shared" si="44"/>
        <v>24.149999999999995</v>
      </c>
      <c r="AD103" s="10">
        <f t="shared" si="44"/>
        <v>319.47000000000003</v>
      </c>
      <c r="AE103" s="10">
        <f t="shared" si="44"/>
        <v>2.46</v>
      </c>
      <c r="AF103" s="10">
        <f t="shared" si="44"/>
        <v>2.06</v>
      </c>
      <c r="AG103" s="10">
        <f t="shared" si="44"/>
        <v>3.36</v>
      </c>
      <c r="AH103" s="10">
        <f t="shared" si="44"/>
        <v>2.8699999999999997</v>
      </c>
      <c r="AI103" s="10">
        <f t="shared" si="44"/>
        <v>21.78</v>
      </c>
      <c r="AJ103" s="10">
        <f t="shared" si="44"/>
        <v>61.37</v>
      </c>
      <c r="AK103" s="10">
        <f t="shared" si="44"/>
        <v>1.2000000000000002</v>
      </c>
      <c r="AL103" s="10">
        <f t="shared" si="44"/>
        <v>11.25</v>
      </c>
      <c r="AM103" s="10">
        <f t="shared" si="44"/>
        <v>0.8</v>
      </c>
      <c r="AN103" s="10">
        <f t="shared" si="44"/>
        <v>11.7</v>
      </c>
      <c r="AO103" s="10"/>
      <c r="AP103" s="23"/>
      <c r="AQ103" s="10"/>
      <c r="AR103" s="10"/>
      <c r="AS103" s="10"/>
      <c r="AT103" s="10"/>
      <c r="AU103" s="10"/>
      <c r="AV103" s="10"/>
      <c r="AW103" s="10"/>
      <c r="AX103" s="10"/>
    </row>
    <row r="104" spans="1:50" ht="31.5" customHeight="1">
      <c r="A104" s="10"/>
      <c r="B104" s="10" t="s">
        <v>176</v>
      </c>
      <c r="C104" s="23">
        <f t="shared" ref="C104:AN104" si="47">C103/C102</f>
        <v>0.29826958105646628</v>
      </c>
      <c r="D104" s="23">
        <f t="shared" si="47"/>
        <v>6.4646464646464646E-2</v>
      </c>
      <c r="E104" s="23">
        <f t="shared" si="47"/>
        <v>9.0290379215766825E-2</v>
      </c>
      <c r="F104" s="23">
        <f t="shared" si="47"/>
        <v>3.3474414205627738E-2</v>
      </c>
      <c r="G104" s="23">
        <f t="shared" si="47"/>
        <v>0</v>
      </c>
      <c r="H104" s="23">
        <f t="shared" si="47"/>
        <v>0.19178771637199521</v>
      </c>
      <c r="I104" s="23">
        <f t="shared" ref="I104" si="48">I103/I102</f>
        <v>0.5193799898241882</v>
      </c>
      <c r="J104" s="23">
        <f t="shared" si="47"/>
        <v>0.33573464321832436</v>
      </c>
      <c r="K104" s="23">
        <f t="shared" si="47"/>
        <v>0.14462267410880722</v>
      </c>
      <c r="L104" s="23">
        <f t="shared" si="47"/>
        <v>1.8699397065785765E-2</v>
      </c>
      <c r="M104" s="23">
        <f t="shared" si="47"/>
        <v>0.55937507700648081</v>
      </c>
      <c r="N104" s="23">
        <f t="shared" si="47"/>
        <v>0.8784799742524525</v>
      </c>
      <c r="O104" s="23">
        <f t="shared" si="47"/>
        <v>4.0293359931122437E-2</v>
      </c>
      <c r="P104" s="23">
        <f t="shared" si="47"/>
        <v>3.3851203375971368E-2</v>
      </c>
      <c r="Q104" s="23">
        <f t="shared" si="47"/>
        <v>5.5856876096418748E-2</v>
      </c>
      <c r="R104" s="23">
        <f t="shared" si="47"/>
        <v>0.22474674112545623</v>
      </c>
      <c r="S104" s="23">
        <f t="shared" si="47"/>
        <v>0.47074664613372397</v>
      </c>
      <c r="T104" s="23">
        <f t="shared" si="47"/>
        <v>8.9387750338877719E-2</v>
      </c>
      <c r="U104" s="23">
        <f t="shared" ref="U104" si="49">U103/U102</f>
        <v>0.22123893805309733</v>
      </c>
      <c r="V104" s="23">
        <f t="shared" si="47"/>
        <v>0.29098933055815912</v>
      </c>
      <c r="W104" s="23">
        <f t="shared" si="47"/>
        <v>2.9641092771781681E-2</v>
      </c>
      <c r="X104" s="23">
        <f t="shared" si="47"/>
        <v>2.2767478739207404E-3</v>
      </c>
      <c r="Y104" s="23">
        <f t="shared" si="47"/>
        <v>0.21495873718174874</v>
      </c>
      <c r="Z104" s="23">
        <f t="shared" si="47"/>
        <v>0.10536651687175469</v>
      </c>
      <c r="AA104" s="23">
        <f t="shared" si="47"/>
        <v>0.14260347631677425</v>
      </c>
      <c r="AB104" s="23">
        <f t="shared" si="47"/>
        <v>0.26096125230509293</v>
      </c>
      <c r="AC104" s="23">
        <f t="shared" si="47"/>
        <v>6.841248498033993E-2</v>
      </c>
      <c r="AD104" s="23">
        <f t="shared" si="47"/>
        <v>0.55606728993825771</v>
      </c>
      <c r="AE104" s="23">
        <f t="shared" si="47"/>
        <v>0.10630023334197564</v>
      </c>
      <c r="AF104" s="23">
        <f t="shared" si="47"/>
        <v>0.11489057254192325</v>
      </c>
      <c r="AG104" s="23">
        <f t="shared" si="47"/>
        <v>0.1498185790644142</v>
      </c>
      <c r="AH104" s="23">
        <f t="shared" si="47"/>
        <v>9.292404049343661E-2</v>
      </c>
      <c r="AI104" s="23">
        <f t="shared" si="47"/>
        <v>0.51566564232677115</v>
      </c>
      <c r="AJ104" s="23">
        <f t="shared" si="47"/>
        <v>0.17371694840095697</v>
      </c>
      <c r="AK104" s="23">
        <f t="shared" si="47"/>
        <v>8.2936275912402713E-2</v>
      </c>
      <c r="AL104" s="23">
        <f t="shared" si="47"/>
        <v>0.20103185631207862</v>
      </c>
      <c r="AM104" s="23">
        <f t="shared" si="47"/>
        <v>3.7458444538090559E-2</v>
      </c>
      <c r="AN104" s="23">
        <f t="shared" si="47"/>
        <v>8.8296622314594064E-2</v>
      </c>
      <c r="AO104" s="10"/>
      <c r="AP104" s="23"/>
      <c r="AQ104" s="10"/>
      <c r="AR104" s="10"/>
      <c r="AS104" s="10"/>
      <c r="AT104" s="10"/>
      <c r="AU104" s="10"/>
      <c r="AV104" s="10"/>
      <c r="AW104" s="10"/>
      <c r="AX104" s="10"/>
    </row>
    <row r="105" spans="1:50" ht="14.25" customHeight="1">
      <c r="A105" s="10"/>
      <c r="B105" s="10" t="s">
        <v>177</v>
      </c>
      <c r="C105" s="40">
        <f t="shared" ref="C105:G105" si="50">C59*C8-0.1*C59*C8</f>
        <v>6.5880000000000001</v>
      </c>
      <c r="D105" s="40">
        <f t="shared" si="50"/>
        <v>0.9</v>
      </c>
      <c r="E105" s="40">
        <f t="shared" si="50"/>
        <v>12.187799999999999</v>
      </c>
      <c r="F105" s="40">
        <f t="shared" si="50"/>
        <v>34.156080000000003</v>
      </c>
      <c r="G105" s="40">
        <f t="shared" si="50"/>
        <v>6.0614999999999997</v>
      </c>
      <c r="H105" s="40">
        <f>H59*H8-0.2*H59*H8</f>
        <v>117.23153031039999</v>
      </c>
      <c r="I105" s="40">
        <f>I59*I8-0.2*I59*I8</f>
        <v>44.697616315199994</v>
      </c>
      <c r="J105" s="40">
        <f t="shared" ref="J105:AB105" si="51">J59*J8-0.1*J59*J8</f>
        <v>8.0728200000000001</v>
      </c>
      <c r="K105" s="40">
        <f t="shared" si="51"/>
        <v>2.3468400000000003</v>
      </c>
      <c r="L105" s="40">
        <f t="shared" si="51"/>
        <v>2.5760834334</v>
      </c>
      <c r="M105" s="40">
        <f t="shared" si="51"/>
        <v>2.7337500000000001</v>
      </c>
      <c r="N105" s="40">
        <f t="shared" si="51"/>
        <v>17.201765037599998</v>
      </c>
      <c r="O105" s="40">
        <f t="shared" si="51"/>
        <v>3.0700799999999999</v>
      </c>
      <c r="P105" s="40">
        <f t="shared" si="51"/>
        <v>6.1638929999999998</v>
      </c>
      <c r="Q105" s="40">
        <f t="shared" si="51"/>
        <v>12.074399999999999</v>
      </c>
      <c r="R105" s="40">
        <f t="shared" si="51"/>
        <v>6.0111332495999994</v>
      </c>
      <c r="S105" s="40">
        <f t="shared" si="51"/>
        <v>20.032453053000001</v>
      </c>
      <c r="T105" s="40">
        <f t="shared" si="51"/>
        <v>1.0122383700000002</v>
      </c>
      <c r="U105" s="40">
        <f t="shared" ref="U105" si="52">U59*U8-0.1*U59*U8</f>
        <v>2.0340000000000003</v>
      </c>
      <c r="V105" s="40">
        <f t="shared" si="51"/>
        <v>6.0151652856000002</v>
      </c>
      <c r="W105" s="40">
        <f t="shared" si="51"/>
        <v>512.2575432000001</v>
      </c>
      <c r="X105" s="40">
        <f t="shared" si="51"/>
        <v>1.5380574065999999</v>
      </c>
      <c r="Y105" s="40">
        <f t="shared" si="51"/>
        <v>10.319885254799999</v>
      </c>
      <c r="Z105" s="40">
        <f t="shared" si="51"/>
        <v>2.2383431820000004</v>
      </c>
      <c r="AA105" s="40">
        <f t="shared" si="51"/>
        <v>11.372181367500001</v>
      </c>
      <c r="AB105" s="40">
        <f t="shared" si="51"/>
        <v>44.801133196500004</v>
      </c>
      <c r="AC105" s="40">
        <f>AC59*AC8-0.05*AC59*AC8</f>
        <v>249.60859510860001</v>
      </c>
      <c r="AD105" s="40">
        <f>AD59*AD8-0.12*AD59*AD8</f>
        <v>21.278400000000001</v>
      </c>
      <c r="AE105" s="40">
        <f>AE59*AE8-0.05*AE59*AE8</f>
        <v>7.7140000000000013</v>
      </c>
      <c r="AF105" s="40">
        <f>AF59*AF8-0.03*AF59*AF8</f>
        <v>11.9443914611</v>
      </c>
      <c r="AG105" s="40">
        <f>AG59*AG8-0.05*AG59*AG8</f>
        <v>4.7471499999999995</v>
      </c>
      <c r="AH105" s="40">
        <f>AH59*AH8-0.03*AH59*AH8</f>
        <v>8.8099304754399999</v>
      </c>
      <c r="AI105" s="40">
        <f>AI59*AI8-0.1*AI59*AI8</f>
        <v>8.5485565215000001</v>
      </c>
      <c r="AJ105" s="40">
        <f>AJ59*AJ8-0.05*AJ59*AJ8</f>
        <v>20.237469999999998</v>
      </c>
      <c r="AK105" s="40">
        <f t="shared" ref="AK105:AN105" si="53">AK59*AK8-0.1*AK59*AK8</f>
        <v>0.50219999999999998</v>
      </c>
      <c r="AL105" s="40">
        <f t="shared" si="53"/>
        <v>2.3867999999999996</v>
      </c>
      <c r="AM105" s="40">
        <f t="shared" si="53"/>
        <v>2.0340000000000003</v>
      </c>
      <c r="AN105" s="40">
        <f t="shared" si="53"/>
        <v>29.374379999999999</v>
      </c>
      <c r="AO105" s="10"/>
      <c r="AP105" s="23"/>
      <c r="AQ105" s="10"/>
      <c r="AR105" s="10"/>
      <c r="AS105" s="10"/>
      <c r="AT105" s="10"/>
      <c r="AU105" s="10"/>
      <c r="AV105" s="10"/>
      <c r="AW105" s="10"/>
      <c r="AX105" s="10"/>
    </row>
    <row r="106" spans="1:50" ht="14.25" customHeight="1">
      <c r="A106" s="10"/>
      <c r="B106" s="10" t="s">
        <v>178</v>
      </c>
      <c r="C106" s="10">
        <f t="shared" ref="C106:AN106" si="54">C84</f>
        <v>2.5099999999999998</v>
      </c>
      <c r="D106" s="10">
        <f t="shared" si="54"/>
        <v>0.41</v>
      </c>
      <c r="E106" s="10">
        <f t="shared" si="54"/>
        <v>5.4</v>
      </c>
      <c r="F106" s="10">
        <f t="shared" si="54"/>
        <v>7.07</v>
      </c>
      <c r="G106" s="10">
        <f t="shared" si="54"/>
        <v>0</v>
      </c>
      <c r="H106" s="10">
        <f t="shared" si="54"/>
        <v>29</v>
      </c>
      <c r="I106" s="10">
        <f t="shared" ref="I106" si="55">I84</f>
        <v>43</v>
      </c>
      <c r="J106" s="10">
        <f t="shared" si="54"/>
        <v>0.03</v>
      </c>
      <c r="K106" s="10">
        <f t="shared" si="54"/>
        <v>0.38</v>
      </c>
      <c r="L106" s="10">
        <f t="shared" si="54"/>
        <v>0</v>
      </c>
      <c r="M106" s="10">
        <f t="shared" si="54"/>
        <v>2.5099999999999998</v>
      </c>
      <c r="N106" s="10">
        <f t="shared" si="54"/>
        <v>17</v>
      </c>
      <c r="O106" s="10">
        <f t="shared" si="54"/>
        <v>1.62</v>
      </c>
      <c r="P106" s="10">
        <f t="shared" si="54"/>
        <v>1.82</v>
      </c>
      <c r="Q106" s="10">
        <f t="shared" si="54"/>
        <v>2.85</v>
      </c>
      <c r="R106" s="10">
        <f t="shared" si="54"/>
        <v>0.44</v>
      </c>
      <c r="S106" s="10">
        <f t="shared" si="54"/>
        <v>2</v>
      </c>
      <c r="T106" s="10">
        <f t="shared" si="54"/>
        <v>0.1</v>
      </c>
      <c r="U106" s="10">
        <f t="shared" ref="U106" si="56">U84</f>
        <v>1.2</v>
      </c>
      <c r="V106" s="10">
        <f t="shared" si="54"/>
        <v>0</v>
      </c>
      <c r="W106" s="10">
        <f t="shared" si="54"/>
        <v>130.01</v>
      </c>
      <c r="X106" s="10">
        <f t="shared" si="54"/>
        <v>0.8</v>
      </c>
      <c r="Y106" s="10">
        <f t="shared" si="54"/>
        <v>2.78</v>
      </c>
      <c r="Z106" s="10">
        <f t="shared" si="54"/>
        <v>1.56</v>
      </c>
      <c r="AA106" s="10">
        <f t="shared" si="54"/>
        <v>11.1</v>
      </c>
      <c r="AB106" s="10">
        <f t="shared" si="54"/>
        <v>40</v>
      </c>
      <c r="AC106" s="10">
        <f t="shared" si="54"/>
        <v>37.07</v>
      </c>
      <c r="AD106" s="10">
        <f t="shared" si="54"/>
        <v>14.91</v>
      </c>
      <c r="AE106" s="10">
        <f t="shared" si="54"/>
        <v>5.74</v>
      </c>
      <c r="AF106" s="10">
        <f t="shared" si="54"/>
        <v>11.24</v>
      </c>
      <c r="AG106" s="10">
        <f t="shared" si="54"/>
        <v>1.78</v>
      </c>
      <c r="AH106" s="10">
        <f t="shared" si="54"/>
        <v>8.27</v>
      </c>
      <c r="AI106" s="10">
        <f t="shared" si="54"/>
        <v>0</v>
      </c>
      <c r="AJ106" s="10">
        <f t="shared" si="54"/>
        <v>5.8140000000000001</v>
      </c>
      <c r="AK106" s="10">
        <f t="shared" si="54"/>
        <v>0.28999999999999998</v>
      </c>
      <c r="AL106" s="10">
        <f t="shared" si="54"/>
        <v>1.81</v>
      </c>
      <c r="AM106" s="10">
        <f t="shared" si="54"/>
        <v>0.49</v>
      </c>
      <c r="AN106" s="10">
        <f t="shared" si="54"/>
        <v>0.1</v>
      </c>
      <c r="AO106" s="10"/>
      <c r="AP106" s="23"/>
      <c r="AQ106" s="10"/>
      <c r="AR106" s="10"/>
      <c r="AS106" s="10"/>
      <c r="AT106" s="10"/>
      <c r="AU106" s="10"/>
      <c r="AV106" s="10"/>
      <c r="AW106" s="10"/>
      <c r="AX106" s="10"/>
    </row>
    <row r="107" spans="1:50" ht="14.25" customHeight="1">
      <c r="A107" s="10"/>
      <c r="B107" s="10" t="s">
        <v>179</v>
      </c>
      <c r="C107" s="23">
        <f t="shared" ref="C107:AN107" si="57">C106/C105</f>
        <v>0.38099574984820883</v>
      </c>
      <c r="D107" s="23">
        <f t="shared" si="57"/>
        <v>0.45555555555555549</v>
      </c>
      <c r="E107" s="23">
        <f t="shared" si="57"/>
        <v>0.4430660168365087</v>
      </c>
      <c r="F107" s="23">
        <f t="shared" si="57"/>
        <v>0.20699096617644647</v>
      </c>
      <c r="G107" s="23">
        <f t="shared" si="57"/>
        <v>0</v>
      </c>
      <c r="H107" s="23">
        <f t="shared" si="57"/>
        <v>0.24737372209690686</v>
      </c>
      <c r="I107" s="23">
        <f t="shared" ref="I107" si="58">I106/I105</f>
        <v>0.96201998103816788</v>
      </c>
      <c r="J107" s="23">
        <f t="shared" si="57"/>
        <v>3.7161735304391771E-3</v>
      </c>
      <c r="K107" s="23">
        <f t="shared" si="57"/>
        <v>0.1619198581922926</v>
      </c>
      <c r="L107" s="23">
        <f t="shared" si="57"/>
        <v>0</v>
      </c>
      <c r="M107" s="23">
        <f t="shared" si="57"/>
        <v>0.91815272062185627</v>
      </c>
      <c r="N107" s="23">
        <f t="shared" si="57"/>
        <v>0.9882706782031393</v>
      </c>
      <c r="O107" s="23">
        <f t="shared" si="57"/>
        <v>0.52767354596622895</v>
      </c>
      <c r="P107" s="23">
        <f t="shared" si="57"/>
        <v>0.29526794186725824</v>
      </c>
      <c r="Q107" s="23">
        <f t="shared" si="57"/>
        <v>0.2360365732458756</v>
      </c>
      <c r="R107" s="23">
        <f t="shared" si="57"/>
        <v>7.3197512304236323E-2</v>
      </c>
      <c r="S107" s="23">
        <f t="shared" si="57"/>
        <v>9.9837997608609688E-2</v>
      </c>
      <c r="T107" s="23">
        <f t="shared" si="57"/>
        <v>9.879095968274744E-2</v>
      </c>
      <c r="U107" s="23">
        <f t="shared" ref="U107" si="59">U106/U105</f>
        <v>0.58997050147492613</v>
      </c>
      <c r="V107" s="23">
        <f t="shared" si="57"/>
        <v>0</v>
      </c>
      <c r="W107" s="23">
        <f t="shared" si="57"/>
        <v>0.25379811722799822</v>
      </c>
      <c r="X107" s="23">
        <f t="shared" si="57"/>
        <v>0.52013663246059494</v>
      </c>
      <c r="Y107" s="23">
        <f t="shared" si="57"/>
        <v>0.26938284015386338</v>
      </c>
      <c r="Z107" s="23">
        <f t="shared" si="57"/>
        <v>0.69694406672979947</v>
      </c>
      <c r="AA107" s="23">
        <f t="shared" si="57"/>
        <v>0.97606603705091655</v>
      </c>
      <c r="AB107" s="23">
        <f t="shared" si="57"/>
        <v>0.89283455899559516</v>
      </c>
      <c r="AC107" s="23">
        <f t="shared" si="57"/>
        <v>0.14851251409780797</v>
      </c>
      <c r="AD107" s="23">
        <f t="shared" si="57"/>
        <v>0.70071057974283779</v>
      </c>
      <c r="AE107" s="23">
        <f t="shared" si="57"/>
        <v>0.74410163339382929</v>
      </c>
      <c r="AF107" s="23">
        <f t="shared" si="57"/>
        <v>0.94102743003743361</v>
      </c>
      <c r="AG107" s="23">
        <f t="shared" si="57"/>
        <v>0.37496181919678129</v>
      </c>
      <c r="AH107" s="23">
        <f t="shared" si="57"/>
        <v>0.93871342379543188</v>
      </c>
      <c r="AI107" s="23">
        <f t="shared" si="57"/>
        <v>0</v>
      </c>
      <c r="AJ107" s="23">
        <f t="shared" si="57"/>
        <v>0.28728887553631954</v>
      </c>
      <c r="AK107" s="23">
        <f t="shared" si="57"/>
        <v>0.57745917960971727</v>
      </c>
      <c r="AL107" s="23">
        <f t="shared" si="57"/>
        <v>0.75833752304340551</v>
      </c>
      <c r="AM107" s="23">
        <f t="shared" si="57"/>
        <v>0.24090462143559485</v>
      </c>
      <c r="AN107" s="23">
        <f t="shared" si="57"/>
        <v>3.4043271721820173E-3</v>
      </c>
      <c r="AO107" s="10"/>
      <c r="AP107" s="23"/>
      <c r="AQ107" s="10"/>
      <c r="AR107" s="10"/>
      <c r="AS107" s="10"/>
      <c r="AT107" s="10"/>
      <c r="AU107" s="10"/>
      <c r="AV107" s="10"/>
      <c r="AW107" s="10"/>
      <c r="AX107" s="10"/>
    </row>
    <row r="108" spans="1:50" ht="14.25" customHeight="1">
      <c r="A108" s="10"/>
      <c r="B108" s="10" t="s">
        <v>180</v>
      </c>
      <c r="C108" s="40">
        <f t="shared" ref="C108:G108" si="60">C58*C8-0.1*C58*C8</f>
        <v>6.5880000000000001</v>
      </c>
      <c r="D108" s="40">
        <f t="shared" si="60"/>
        <v>0.67500000000000004</v>
      </c>
      <c r="E108" s="40">
        <f t="shared" si="60"/>
        <v>5.7645</v>
      </c>
      <c r="F108" s="40">
        <f t="shared" si="60"/>
        <v>57.970079999999996</v>
      </c>
      <c r="G108" s="40">
        <f t="shared" si="60"/>
        <v>11.314800000000002</v>
      </c>
      <c r="H108" s="40">
        <f>H58*H8-0.2*H58*H8</f>
        <v>43.043386177599999</v>
      </c>
      <c r="I108" s="40">
        <f>I58*I8-0.2*I58*I8</f>
        <v>27.384730252799997</v>
      </c>
      <c r="J108" s="40">
        <f t="shared" ref="J108:AB108" si="61">J58*J8-0.1*J58*J8</f>
        <v>39.425400000000003</v>
      </c>
      <c r="K108" s="40">
        <f t="shared" si="61"/>
        <v>2.70459</v>
      </c>
      <c r="L108" s="40">
        <f t="shared" si="61"/>
        <v>1.6282240974</v>
      </c>
      <c r="M108" s="40">
        <f t="shared" si="61"/>
        <v>13.267800000000001</v>
      </c>
      <c r="N108" s="40">
        <f t="shared" si="61"/>
        <v>13.0640410494</v>
      </c>
      <c r="O108" s="40">
        <f t="shared" si="61"/>
        <v>5.2623090000000001</v>
      </c>
      <c r="P108" s="40">
        <f t="shared" si="61"/>
        <v>18.500471999999998</v>
      </c>
      <c r="Q108" s="40">
        <f t="shared" si="61"/>
        <v>34.017299999999999</v>
      </c>
      <c r="R108" s="40">
        <f t="shared" si="61"/>
        <v>17.191144965599999</v>
      </c>
      <c r="S108" s="40">
        <f t="shared" si="61"/>
        <v>299.27326538699998</v>
      </c>
      <c r="T108" s="40">
        <f t="shared" si="61"/>
        <v>2.8930211505000001</v>
      </c>
      <c r="U108" s="40">
        <f t="shared" ref="U108" si="62">U58*U8-0.1*U58*U8</f>
        <v>4.0680000000000005</v>
      </c>
      <c r="V108" s="40">
        <f t="shared" si="61"/>
        <v>4.3796699351999999</v>
      </c>
      <c r="W108" s="40">
        <f t="shared" si="61"/>
        <v>243.53478629999998</v>
      </c>
      <c r="X108" s="40">
        <f t="shared" si="61"/>
        <v>43.989992679599993</v>
      </c>
      <c r="Y108" s="40">
        <f t="shared" si="61"/>
        <v>4.2919682057999999</v>
      </c>
      <c r="Z108" s="40">
        <f t="shared" si="61"/>
        <v>2.3879547171000004</v>
      </c>
      <c r="AA108" s="40">
        <f t="shared" si="61"/>
        <v>1.8394929225000001</v>
      </c>
      <c r="AB108" s="40">
        <f t="shared" si="61"/>
        <v>7.0595079660000009</v>
      </c>
      <c r="AC108" s="40">
        <f>AC58*AC8-0.05*AC58*AC8</f>
        <v>209.99056531635</v>
      </c>
      <c r="AD108" s="40">
        <f>AD58*AD8-0.12*AD58*AD8</f>
        <v>106.39200000000001</v>
      </c>
      <c r="AE108" s="40">
        <f>AE58*AE8-0.05*AE58*AE8</f>
        <v>9.6425000000000001</v>
      </c>
      <c r="AF108" s="40">
        <f>AF58*AF8-0.03*AF58*AF8</f>
        <v>10.34326923908</v>
      </c>
      <c r="AG108" s="40">
        <f>AG58*AG8-0.05*AG58*AG8</f>
        <v>1.8320749999999999</v>
      </c>
      <c r="AH108" s="40">
        <f>AH58*AH8-0.03*AH58*AH8</f>
        <v>16.296858791439998</v>
      </c>
      <c r="AI108" s="40">
        <f>AI58*AI8-0.1*AI58*AI8</f>
        <v>3.4650468719999998</v>
      </c>
      <c r="AJ108" s="40">
        <f>AJ58*AJ8-0.05*AJ58*AJ8</f>
        <v>35.195599999999999</v>
      </c>
      <c r="AK108" s="40">
        <f t="shared" ref="AK108:AN108" si="63">AK58*AK8-0.1*AK58*AK8</f>
        <v>1.07694</v>
      </c>
      <c r="AL108" s="40">
        <f t="shared" si="63"/>
        <v>3.6352799999999998</v>
      </c>
      <c r="AM108" s="40">
        <f t="shared" si="63"/>
        <v>3.0509999999999997</v>
      </c>
      <c r="AN108" s="40">
        <f t="shared" si="63"/>
        <v>91.85778000000002</v>
      </c>
      <c r="AO108" s="10"/>
      <c r="AP108" s="23"/>
      <c r="AQ108" s="10"/>
      <c r="AR108" s="10"/>
      <c r="AS108" s="10"/>
      <c r="AT108" s="10"/>
      <c r="AU108" s="10"/>
      <c r="AV108" s="10"/>
      <c r="AW108" s="10"/>
      <c r="AX108" s="10"/>
    </row>
    <row r="109" spans="1:50" ht="14.25" customHeight="1">
      <c r="A109" s="10"/>
      <c r="B109" s="10" t="s">
        <v>181</v>
      </c>
      <c r="C109" s="10">
        <f t="shared" ref="C109:AN109" si="64">C82</f>
        <v>0.08</v>
      </c>
      <c r="D109" s="10">
        <f t="shared" si="64"/>
        <v>0</v>
      </c>
      <c r="E109" s="10">
        <f t="shared" si="64"/>
        <v>0</v>
      </c>
      <c r="F109" s="10">
        <f t="shared" si="64"/>
        <v>3.32</v>
      </c>
      <c r="G109" s="10">
        <f t="shared" si="64"/>
        <v>0</v>
      </c>
      <c r="H109" s="10">
        <f t="shared" si="64"/>
        <v>14</v>
      </c>
      <c r="I109" s="10">
        <f t="shared" ref="I109" si="65">I82</f>
        <v>0</v>
      </c>
      <c r="J109" s="10">
        <f t="shared" si="64"/>
        <v>26</v>
      </c>
      <c r="K109" s="10">
        <f t="shared" si="64"/>
        <v>0</v>
      </c>
      <c r="L109" s="10">
        <f t="shared" si="64"/>
        <v>0</v>
      </c>
      <c r="M109" s="10">
        <f t="shared" si="64"/>
        <v>12.7</v>
      </c>
      <c r="N109" s="10">
        <f t="shared" si="64"/>
        <v>6.76</v>
      </c>
      <c r="O109" s="10">
        <f t="shared" si="64"/>
        <v>0.01</v>
      </c>
      <c r="P109" s="10">
        <f t="shared" si="64"/>
        <v>0</v>
      </c>
      <c r="Q109" s="10">
        <f t="shared" si="64"/>
        <v>2.09</v>
      </c>
      <c r="R109" s="10">
        <f t="shared" si="64"/>
        <v>5</v>
      </c>
      <c r="S109" s="10">
        <f t="shared" si="64"/>
        <v>118.3</v>
      </c>
      <c r="T109" s="10">
        <f t="shared" si="64"/>
        <v>1.2</v>
      </c>
      <c r="U109" s="10">
        <f t="shared" ref="U109" si="66">U82</f>
        <v>0</v>
      </c>
      <c r="V109" s="10">
        <f t="shared" si="64"/>
        <v>0</v>
      </c>
      <c r="W109" s="10">
        <f t="shared" si="64"/>
        <v>0</v>
      </c>
      <c r="X109" s="10">
        <f t="shared" si="64"/>
        <v>0</v>
      </c>
      <c r="Y109" s="10">
        <f t="shared" si="64"/>
        <v>0.84</v>
      </c>
      <c r="Z109" s="10">
        <f t="shared" si="64"/>
        <v>1.43</v>
      </c>
      <c r="AA109" s="10">
        <f t="shared" si="64"/>
        <v>0.22</v>
      </c>
      <c r="AB109" s="10">
        <f t="shared" si="64"/>
        <v>0</v>
      </c>
      <c r="AC109" s="10">
        <f t="shared" si="64"/>
        <v>0</v>
      </c>
      <c r="AD109" s="10">
        <f t="shared" si="64"/>
        <v>16.38</v>
      </c>
      <c r="AE109" s="10">
        <f t="shared" si="64"/>
        <v>1</v>
      </c>
      <c r="AF109" s="10">
        <f t="shared" si="64"/>
        <v>9.66</v>
      </c>
      <c r="AG109" s="10">
        <f t="shared" si="64"/>
        <v>1.01</v>
      </c>
      <c r="AH109" s="10">
        <f t="shared" si="64"/>
        <v>0.65</v>
      </c>
      <c r="AI109" s="10">
        <f t="shared" si="64"/>
        <v>1</v>
      </c>
      <c r="AJ109" s="10">
        <f t="shared" si="64"/>
        <v>1.7000000000000001E-2</v>
      </c>
      <c r="AK109" s="10">
        <f t="shared" si="64"/>
        <v>0.22</v>
      </c>
      <c r="AL109" s="10">
        <f t="shared" si="64"/>
        <v>0.05</v>
      </c>
      <c r="AM109" s="10">
        <f t="shared" si="64"/>
        <v>0</v>
      </c>
      <c r="AN109" s="10">
        <f t="shared" si="64"/>
        <v>5</v>
      </c>
      <c r="AO109" s="10"/>
      <c r="AP109" s="23"/>
      <c r="AQ109" s="10"/>
      <c r="AR109" s="10"/>
      <c r="AS109" s="10"/>
      <c r="AT109" s="10"/>
      <c r="AU109" s="10"/>
      <c r="AV109" s="10"/>
      <c r="AW109" s="10"/>
      <c r="AX109" s="10"/>
    </row>
    <row r="110" spans="1:50" ht="14.25" customHeight="1">
      <c r="A110" s="10"/>
      <c r="B110" s="10" t="s">
        <v>182</v>
      </c>
      <c r="C110" s="23">
        <f t="shared" ref="C110:AN110" si="67">C109/C108</f>
        <v>1.2143290831815421E-2</v>
      </c>
      <c r="D110" s="23">
        <f t="shared" si="67"/>
        <v>0</v>
      </c>
      <c r="E110" s="23">
        <f t="shared" si="67"/>
        <v>0</v>
      </c>
      <c r="F110" s="23">
        <f t="shared" si="67"/>
        <v>5.7270923207282103E-2</v>
      </c>
      <c r="G110" s="23">
        <f t="shared" si="67"/>
        <v>0</v>
      </c>
      <c r="H110" s="23">
        <f t="shared" si="67"/>
        <v>0.32525322106943511</v>
      </c>
      <c r="I110" s="23">
        <f t="shared" ref="I110" si="68">I109/I108</f>
        <v>0</v>
      </c>
      <c r="J110" s="23">
        <f t="shared" si="67"/>
        <v>0.65947333444936507</v>
      </c>
      <c r="K110" s="23">
        <f t="shared" si="67"/>
        <v>0</v>
      </c>
      <c r="L110" s="23">
        <f t="shared" si="67"/>
        <v>0</v>
      </c>
      <c r="M110" s="23">
        <f t="shared" si="67"/>
        <v>0.95720466090836442</v>
      </c>
      <c r="N110" s="23">
        <f t="shared" si="67"/>
        <v>0.51745091541261423</v>
      </c>
      <c r="O110" s="23">
        <f t="shared" si="67"/>
        <v>1.9003065004354553E-3</v>
      </c>
      <c r="P110" s="23">
        <f t="shared" si="67"/>
        <v>0</v>
      </c>
      <c r="Q110" s="23">
        <f t="shared" si="67"/>
        <v>6.1439326460359871E-2</v>
      </c>
      <c r="R110" s="23">
        <f t="shared" si="67"/>
        <v>0.29084741068760406</v>
      </c>
      <c r="S110" s="23">
        <f t="shared" si="67"/>
        <v>0.39529090527689609</v>
      </c>
      <c r="T110" s="23">
        <f t="shared" si="67"/>
        <v>0.41479129863692987</v>
      </c>
      <c r="U110" s="23">
        <f t="shared" ref="U110" si="69">U109/U108</f>
        <v>0</v>
      </c>
      <c r="V110" s="23">
        <f t="shared" si="67"/>
        <v>0</v>
      </c>
      <c r="W110" s="23">
        <f t="shared" si="67"/>
        <v>0</v>
      </c>
      <c r="X110" s="23">
        <f t="shared" si="67"/>
        <v>0</v>
      </c>
      <c r="Y110" s="23">
        <f t="shared" si="67"/>
        <v>0.19571440414326846</v>
      </c>
      <c r="Z110" s="23">
        <f t="shared" si="67"/>
        <v>0.59883882628085694</v>
      </c>
      <c r="AA110" s="23">
        <f t="shared" si="67"/>
        <v>0.11959817692639152</v>
      </c>
      <c r="AB110" s="23">
        <f t="shared" si="67"/>
        <v>0</v>
      </c>
      <c r="AC110" s="23">
        <f t="shared" si="67"/>
        <v>0</v>
      </c>
      <c r="AD110" s="23">
        <f t="shared" si="67"/>
        <v>0.1539589442815249</v>
      </c>
      <c r="AE110" s="23">
        <f t="shared" si="67"/>
        <v>0.10370754472387866</v>
      </c>
      <c r="AF110" s="23">
        <f t="shared" si="67"/>
        <v>0.93394068903297989</v>
      </c>
      <c r="AG110" s="23">
        <f t="shared" si="67"/>
        <v>0.55128747458482874</v>
      </c>
      <c r="AH110" s="23">
        <f t="shared" si="67"/>
        <v>3.9884986936342334E-2</v>
      </c>
      <c r="AI110" s="23">
        <f t="shared" si="67"/>
        <v>0.28859638467828497</v>
      </c>
      <c r="AJ110" s="23">
        <f t="shared" si="67"/>
        <v>4.830149223198355E-4</v>
      </c>
      <c r="AK110" s="23">
        <f t="shared" si="67"/>
        <v>0.20428250413207794</v>
      </c>
      <c r="AL110" s="23">
        <f t="shared" si="67"/>
        <v>1.3754098721418985E-2</v>
      </c>
      <c r="AM110" s="23">
        <f t="shared" si="67"/>
        <v>0</v>
      </c>
      <c r="AN110" s="23">
        <f t="shared" si="67"/>
        <v>5.4431970814012694E-2</v>
      </c>
      <c r="AO110" s="10"/>
      <c r="AP110" s="23"/>
      <c r="AQ110" s="10"/>
      <c r="AR110" s="10"/>
      <c r="AS110" s="10"/>
      <c r="AT110" s="10"/>
      <c r="AU110" s="10"/>
      <c r="AV110" s="10"/>
      <c r="AW110" s="10"/>
      <c r="AX110" s="10"/>
    </row>
    <row r="111" spans="1:50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23"/>
      <c r="AQ111" s="10"/>
      <c r="AR111" s="10"/>
      <c r="AS111" s="10"/>
      <c r="AT111" s="10"/>
      <c r="AU111" s="10"/>
      <c r="AV111" s="10"/>
      <c r="AW111" s="10"/>
      <c r="AX111" s="10"/>
    </row>
    <row r="112" spans="1:50" ht="14.25" customHeight="1">
      <c r="A112" s="10"/>
      <c r="B112" s="10" t="s">
        <v>183</v>
      </c>
      <c r="C112" s="10">
        <f t="shared" ref="C112:G112" si="70">C65-0.1*C65</f>
        <v>19.431000000000001</v>
      </c>
      <c r="D112" s="10">
        <f t="shared" si="70"/>
        <v>0.86399999999999999</v>
      </c>
      <c r="E112" s="10">
        <f t="shared" si="70"/>
        <v>15.939</v>
      </c>
      <c r="F112" s="10">
        <f t="shared" si="70"/>
        <v>17.873999999999999</v>
      </c>
      <c r="G112" s="10">
        <f t="shared" si="70"/>
        <v>0.90900000000000003</v>
      </c>
      <c r="H112" s="10">
        <f>H65-0.2*H65</f>
        <v>1100</v>
      </c>
      <c r="I112" s="10">
        <f>I65-0.2*I65</f>
        <v>2148</v>
      </c>
      <c r="J112" s="10">
        <f t="shared" ref="J112:U112" si="71">J65-0.1*J65</f>
        <v>515.91600000000005</v>
      </c>
      <c r="K112" s="10">
        <f t="shared" si="71"/>
        <v>3.222</v>
      </c>
      <c r="L112" s="10">
        <f t="shared" si="71"/>
        <v>1.8</v>
      </c>
      <c r="M112" s="10">
        <f t="shared" si="71"/>
        <v>99.197999999999993</v>
      </c>
      <c r="N112" s="10">
        <f t="shared" si="71"/>
        <v>233.32499999999999</v>
      </c>
      <c r="O112" s="10">
        <f t="shared" si="71"/>
        <v>9.9989999999999988</v>
      </c>
      <c r="P112" s="10">
        <f t="shared" si="71"/>
        <v>24.309000000000001</v>
      </c>
      <c r="Q112" s="10">
        <f t="shared" si="71"/>
        <v>39.789000000000001</v>
      </c>
      <c r="R112" s="10">
        <f t="shared" si="71"/>
        <v>36.477000000000004</v>
      </c>
      <c r="S112" s="10">
        <f t="shared" si="71"/>
        <v>452.33099999999996</v>
      </c>
      <c r="T112" s="10">
        <f t="shared" si="71"/>
        <v>2.8620000000000001</v>
      </c>
      <c r="U112" s="10">
        <f t="shared" si="71"/>
        <v>4.6350000000000007</v>
      </c>
      <c r="V112" s="10">
        <f>V65-0.03*V65</f>
        <v>59.752000000000002</v>
      </c>
      <c r="W112" s="10">
        <f t="shared" ref="W112:AB112" si="72">W65-0.1*W65</f>
        <v>887.40899999999999</v>
      </c>
      <c r="X112" s="10">
        <f t="shared" si="72"/>
        <v>7.4700000000000006</v>
      </c>
      <c r="Y112" s="10">
        <f t="shared" si="72"/>
        <v>14.139000000000001</v>
      </c>
      <c r="Z112" s="10">
        <f t="shared" si="72"/>
        <v>13.536</v>
      </c>
      <c r="AA112" s="10">
        <f t="shared" si="72"/>
        <v>13.085999999999999</v>
      </c>
      <c r="AB112" s="10">
        <f t="shared" si="72"/>
        <v>54.9</v>
      </c>
      <c r="AC112" s="10">
        <f>AC65-0.05*AC65</f>
        <v>58.311</v>
      </c>
      <c r="AD112" s="10">
        <f>AD65-0.12*AD65</f>
        <v>620.57600000000002</v>
      </c>
      <c r="AE112" s="10">
        <f>AE65-0.05*AE65</f>
        <v>188.77450000000002</v>
      </c>
      <c r="AF112" s="10">
        <f>AF65-0.03*AF65</f>
        <v>31.7287</v>
      </c>
      <c r="AG112" s="10">
        <f>AG65-0.05*AG65</f>
        <v>10.868</v>
      </c>
      <c r="AH112" s="10">
        <f>AH65-0.03*AH65</f>
        <v>21.184799999999999</v>
      </c>
      <c r="AI112" s="10">
        <f>AI65-0.1*AI65</f>
        <v>23.202000000000002</v>
      </c>
      <c r="AJ112" s="10">
        <f>AJ65-0.05*AJ65</f>
        <v>169.613</v>
      </c>
      <c r="AK112" s="10">
        <f t="shared" ref="AK112:AN112" si="73">AK65-0.1*AK65</f>
        <v>21.410999999999998</v>
      </c>
      <c r="AL112" s="10">
        <f t="shared" si="73"/>
        <v>84.231000000000009</v>
      </c>
      <c r="AM112" s="10">
        <f t="shared" si="73"/>
        <v>1.512</v>
      </c>
      <c r="AN112" s="10">
        <f t="shared" si="73"/>
        <v>40.212000000000003</v>
      </c>
      <c r="AO112" s="10"/>
      <c r="AP112" s="23"/>
      <c r="AQ112" s="10"/>
      <c r="AR112" s="10"/>
      <c r="AS112" s="10"/>
      <c r="AT112" s="10"/>
      <c r="AU112" s="10"/>
      <c r="AV112" s="10"/>
      <c r="AW112" s="10"/>
      <c r="AX112" s="10"/>
    </row>
    <row r="113" spans="1:50" ht="14.25" customHeight="1">
      <c r="A113" s="10"/>
      <c r="B113" s="10" t="s">
        <v>184</v>
      </c>
      <c r="C113" s="10">
        <v>2</v>
      </c>
      <c r="D113" s="10">
        <v>0</v>
      </c>
      <c r="E113" s="10">
        <v>0</v>
      </c>
      <c r="F113" s="10">
        <v>4</v>
      </c>
      <c r="G113" s="10">
        <v>0.9</v>
      </c>
      <c r="H113" s="10">
        <v>948</v>
      </c>
      <c r="I113" s="10">
        <v>1984</v>
      </c>
      <c r="J113" s="10">
        <v>484</v>
      </c>
      <c r="K113" s="10">
        <v>1</v>
      </c>
      <c r="L113" s="10">
        <v>0</v>
      </c>
      <c r="M113" s="10">
        <v>52</v>
      </c>
      <c r="N113" s="10">
        <v>209</v>
      </c>
      <c r="O113" s="10">
        <v>4</v>
      </c>
      <c r="P113" s="10">
        <v>24</v>
      </c>
      <c r="Q113" s="10">
        <v>39</v>
      </c>
      <c r="R113" s="10">
        <v>36</v>
      </c>
      <c r="S113" s="10">
        <v>452</v>
      </c>
      <c r="T113" s="10">
        <f>T112</f>
        <v>2.8620000000000001</v>
      </c>
      <c r="U113" s="10">
        <v>0</v>
      </c>
      <c r="V113" s="10">
        <v>59.752000000000002</v>
      </c>
      <c r="W113" s="10">
        <v>887</v>
      </c>
      <c r="X113" s="10">
        <v>7</v>
      </c>
      <c r="Y113" s="10">
        <v>12</v>
      </c>
      <c r="Z113" s="10">
        <v>9</v>
      </c>
      <c r="AA113" s="10">
        <v>9</v>
      </c>
      <c r="AB113" s="10">
        <v>19</v>
      </c>
      <c r="AC113" s="10">
        <v>56</v>
      </c>
      <c r="AD113" s="10">
        <v>489</v>
      </c>
      <c r="AE113" s="10">
        <f>AE112-0.05*AE112</f>
        <v>179.33577500000001</v>
      </c>
      <c r="AF113" s="10">
        <v>31</v>
      </c>
      <c r="AG113" s="10">
        <v>9</v>
      </c>
      <c r="AH113" s="10">
        <v>21</v>
      </c>
      <c r="AI113" s="10">
        <v>23</v>
      </c>
      <c r="AJ113" s="10">
        <v>91</v>
      </c>
      <c r="AK113" s="10">
        <v>21</v>
      </c>
      <c r="AL113" s="10">
        <v>0</v>
      </c>
      <c r="AM113" s="10">
        <v>0</v>
      </c>
      <c r="AN113" s="10">
        <v>14</v>
      </c>
      <c r="AO113" s="10"/>
      <c r="AP113" s="23"/>
      <c r="AQ113" s="10"/>
      <c r="AR113" s="10"/>
      <c r="AS113" s="10"/>
      <c r="AT113" s="10"/>
      <c r="AU113" s="10"/>
      <c r="AV113" s="10"/>
      <c r="AW113" s="10"/>
      <c r="AX113" s="10"/>
    </row>
    <row r="114" spans="1:50" ht="14.25" customHeight="1">
      <c r="A114" s="21"/>
      <c r="B114" s="21" t="s">
        <v>185</v>
      </c>
      <c r="C114" s="41">
        <f t="shared" ref="C114:AN114" si="74">C113/C112</f>
        <v>0.10292831043178426</v>
      </c>
      <c r="D114" s="41">
        <f t="shared" si="74"/>
        <v>0</v>
      </c>
      <c r="E114" s="41">
        <f t="shared" si="74"/>
        <v>0</v>
      </c>
      <c r="F114" s="41">
        <f t="shared" si="74"/>
        <v>0.22378874342620567</v>
      </c>
      <c r="G114" s="41">
        <f t="shared" si="74"/>
        <v>0.99009900990099009</v>
      </c>
      <c r="H114" s="41">
        <f t="shared" si="74"/>
        <v>0.86181818181818182</v>
      </c>
      <c r="I114" s="41">
        <f t="shared" si="74"/>
        <v>0.92364990689013038</v>
      </c>
      <c r="J114" s="41">
        <f t="shared" si="74"/>
        <v>0.93813721613596002</v>
      </c>
      <c r="K114" s="41">
        <f t="shared" si="74"/>
        <v>0.31036623215394166</v>
      </c>
      <c r="L114" s="41">
        <f t="shared" si="74"/>
        <v>0</v>
      </c>
      <c r="M114" s="41">
        <f t="shared" si="74"/>
        <v>0.52420411701848835</v>
      </c>
      <c r="N114" s="41">
        <f t="shared" si="74"/>
        <v>0.89574627665273765</v>
      </c>
      <c r="O114" s="41">
        <f t="shared" si="74"/>
        <v>0.40004000400040007</v>
      </c>
      <c r="P114" s="41">
        <f t="shared" si="74"/>
        <v>0.98728865852153525</v>
      </c>
      <c r="Q114" s="41">
        <f t="shared" si="74"/>
        <v>0.98017039885395463</v>
      </c>
      <c r="R114" s="41">
        <f t="shared" si="74"/>
        <v>0.98692326671601271</v>
      </c>
      <c r="S114" s="41">
        <f t="shared" si="74"/>
        <v>0.99926823498721074</v>
      </c>
      <c r="T114" s="41">
        <f t="shared" si="74"/>
        <v>1</v>
      </c>
      <c r="U114" s="41">
        <f t="shared" si="74"/>
        <v>0</v>
      </c>
      <c r="V114" s="41">
        <f t="shared" si="74"/>
        <v>1</v>
      </c>
      <c r="W114" s="41">
        <f t="shared" si="74"/>
        <v>0.99953910767188525</v>
      </c>
      <c r="X114" s="41">
        <f t="shared" si="74"/>
        <v>0.93708165997322612</v>
      </c>
      <c r="Y114" s="41">
        <f t="shared" si="74"/>
        <v>0.84871631657118607</v>
      </c>
      <c r="Z114" s="41">
        <f t="shared" si="74"/>
        <v>0.66489361702127658</v>
      </c>
      <c r="AA114" s="41">
        <f t="shared" si="74"/>
        <v>0.68775790921595603</v>
      </c>
      <c r="AB114" s="41">
        <f t="shared" si="74"/>
        <v>0.34608378870673956</v>
      </c>
      <c r="AC114" s="41">
        <f t="shared" si="74"/>
        <v>0.96036768362744596</v>
      </c>
      <c r="AD114" s="41">
        <f t="shared" si="74"/>
        <v>0.78797762079100708</v>
      </c>
      <c r="AE114" s="41">
        <f t="shared" si="74"/>
        <v>0.95</v>
      </c>
      <c r="AF114" s="41">
        <f t="shared" si="74"/>
        <v>0.9770334113909489</v>
      </c>
      <c r="AG114" s="41">
        <f t="shared" si="74"/>
        <v>0.82811924917188073</v>
      </c>
      <c r="AH114" s="41">
        <f t="shared" si="74"/>
        <v>0.99127676447264079</v>
      </c>
      <c r="AI114" s="41">
        <f t="shared" si="74"/>
        <v>0.99129385397810521</v>
      </c>
      <c r="AJ114" s="41">
        <f t="shared" si="74"/>
        <v>0.53651547935594557</v>
      </c>
      <c r="AK114" s="41">
        <f t="shared" si="74"/>
        <v>0.98080425949278416</v>
      </c>
      <c r="AL114" s="41">
        <f t="shared" si="74"/>
        <v>0</v>
      </c>
      <c r="AM114" s="41">
        <f t="shared" si="74"/>
        <v>0</v>
      </c>
      <c r="AN114" s="41">
        <f t="shared" si="74"/>
        <v>0.34815477966776082</v>
      </c>
      <c r="AO114" s="41"/>
      <c r="AP114" s="23"/>
      <c r="AQ114" s="41"/>
      <c r="AR114" s="41"/>
      <c r="AS114" s="41"/>
      <c r="AT114" s="41"/>
      <c r="AU114" s="41"/>
      <c r="AV114" s="41"/>
      <c r="AW114" s="41"/>
      <c r="AX114" s="41"/>
    </row>
    <row r="115" spans="1:50" ht="14.25" customHeight="1">
      <c r="A115" s="10"/>
      <c r="B115" s="10" t="s">
        <v>186</v>
      </c>
      <c r="C115" s="10"/>
      <c r="D115" s="10"/>
      <c r="E115" s="10"/>
      <c r="F115" s="10"/>
      <c r="G115" s="10" t="s">
        <v>187</v>
      </c>
      <c r="H115" s="10" t="s">
        <v>187</v>
      </c>
      <c r="I115" s="10"/>
      <c r="J115" s="10"/>
      <c r="K115" s="10"/>
      <c r="L115" s="10"/>
      <c r="M115" s="10"/>
      <c r="N115" s="10"/>
      <c r="O115" s="10"/>
      <c r="P115" s="10" t="s">
        <v>187</v>
      </c>
      <c r="Q115" s="10" t="s">
        <v>187</v>
      </c>
      <c r="R115" s="10" t="s">
        <v>188</v>
      </c>
      <c r="S115" s="10" t="s">
        <v>188</v>
      </c>
      <c r="T115" s="10" t="s">
        <v>189</v>
      </c>
      <c r="U115" s="10"/>
      <c r="V115" s="10" t="s">
        <v>188</v>
      </c>
      <c r="W115" s="10" t="s">
        <v>188</v>
      </c>
      <c r="X115" s="10" t="s">
        <v>190</v>
      </c>
      <c r="Y115" s="10"/>
      <c r="Z115" s="10"/>
      <c r="AA115" s="10" t="s">
        <v>191</v>
      </c>
      <c r="AB115" s="10"/>
      <c r="AC115" s="10" t="s">
        <v>191</v>
      </c>
      <c r="AD115" s="10"/>
      <c r="AE115" s="10" t="s">
        <v>192</v>
      </c>
      <c r="AF115" s="10" t="s">
        <v>191</v>
      </c>
      <c r="AG115" s="10" t="s">
        <v>188</v>
      </c>
      <c r="AH115" s="10" t="s">
        <v>188</v>
      </c>
      <c r="AI115" s="10" t="s">
        <v>193</v>
      </c>
      <c r="AJ115" s="10"/>
      <c r="AK115" s="10" t="s">
        <v>187</v>
      </c>
      <c r="AL115" s="10"/>
      <c r="AM115" s="10"/>
      <c r="AN115" s="10"/>
      <c r="AO115" s="10"/>
      <c r="AP115" s="23"/>
      <c r="AQ115" s="10"/>
      <c r="AR115" s="10"/>
      <c r="AS115" s="10"/>
      <c r="AT115" s="10"/>
      <c r="AU115" s="10"/>
      <c r="AV115" s="10"/>
      <c r="AW115" s="10"/>
      <c r="AX115" s="10"/>
    </row>
    <row r="116" spans="1:50" ht="31.5" customHeight="1">
      <c r="A116" s="10"/>
      <c r="B116" s="10" t="s">
        <v>194</v>
      </c>
      <c r="C116" s="10">
        <f t="shared" ref="C116:AN116" si="75">C112-C113</f>
        <v>17.431000000000001</v>
      </c>
      <c r="D116" s="10">
        <f t="shared" si="75"/>
        <v>0.86399999999999999</v>
      </c>
      <c r="E116" s="10">
        <f t="shared" si="75"/>
        <v>15.939</v>
      </c>
      <c r="F116" s="10">
        <f t="shared" si="75"/>
        <v>13.873999999999999</v>
      </c>
      <c r="G116" s="10">
        <f t="shared" si="75"/>
        <v>9.000000000000008E-3</v>
      </c>
      <c r="H116" s="10">
        <f t="shared" si="75"/>
        <v>152</v>
      </c>
      <c r="I116" s="10">
        <f t="shared" si="75"/>
        <v>164</v>
      </c>
      <c r="J116" s="10">
        <f t="shared" si="75"/>
        <v>31.916000000000054</v>
      </c>
      <c r="K116" s="10">
        <f t="shared" si="75"/>
        <v>2.222</v>
      </c>
      <c r="L116" s="10">
        <f t="shared" si="75"/>
        <v>1.8</v>
      </c>
      <c r="M116" s="10">
        <f t="shared" si="75"/>
        <v>47.197999999999993</v>
      </c>
      <c r="N116" s="10">
        <f t="shared" si="75"/>
        <v>24.324999999999989</v>
      </c>
      <c r="O116" s="10">
        <f t="shared" si="75"/>
        <v>5.9989999999999988</v>
      </c>
      <c r="P116" s="10">
        <f t="shared" si="75"/>
        <v>0.30900000000000105</v>
      </c>
      <c r="Q116" s="10">
        <f t="shared" si="75"/>
        <v>0.78900000000000148</v>
      </c>
      <c r="R116" s="10">
        <f t="shared" si="75"/>
        <v>0.47700000000000387</v>
      </c>
      <c r="S116" s="10">
        <f t="shared" si="75"/>
        <v>0.33099999999996044</v>
      </c>
      <c r="T116" s="10">
        <f t="shared" si="75"/>
        <v>0</v>
      </c>
      <c r="U116" s="10">
        <f>U112</f>
        <v>4.6350000000000007</v>
      </c>
      <c r="V116" s="10">
        <f t="shared" si="75"/>
        <v>0</v>
      </c>
      <c r="W116" s="10">
        <f t="shared" si="75"/>
        <v>0.40899999999999181</v>
      </c>
      <c r="X116" s="10">
        <f t="shared" si="75"/>
        <v>0.47000000000000064</v>
      </c>
      <c r="Y116" s="10">
        <f t="shared" si="75"/>
        <v>2.1390000000000011</v>
      </c>
      <c r="Z116" s="10">
        <f t="shared" si="75"/>
        <v>4.5359999999999996</v>
      </c>
      <c r="AA116" s="10">
        <f t="shared" si="75"/>
        <v>4.0859999999999985</v>
      </c>
      <c r="AB116" s="10">
        <f t="shared" si="75"/>
        <v>35.9</v>
      </c>
      <c r="AC116" s="10">
        <f t="shared" si="75"/>
        <v>2.3109999999999999</v>
      </c>
      <c r="AD116" s="10">
        <f t="shared" si="75"/>
        <v>131.57600000000002</v>
      </c>
      <c r="AE116" s="10">
        <f t="shared" si="75"/>
        <v>9.4387250000000051</v>
      </c>
      <c r="AF116" s="10">
        <f t="shared" si="75"/>
        <v>0.7286999999999999</v>
      </c>
      <c r="AG116" s="10">
        <f t="shared" si="75"/>
        <v>1.8680000000000003</v>
      </c>
      <c r="AH116" s="10">
        <f t="shared" si="75"/>
        <v>0.18479999999999919</v>
      </c>
      <c r="AI116" s="10">
        <f t="shared" si="75"/>
        <v>0.20200000000000173</v>
      </c>
      <c r="AJ116" s="10">
        <f t="shared" si="75"/>
        <v>78.613</v>
      </c>
      <c r="AK116" s="10">
        <f t="shared" si="75"/>
        <v>0.41099999999999781</v>
      </c>
      <c r="AL116" s="10">
        <f t="shared" si="75"/>
        <v>84.231000000000009</v>
      </c>
      <c r="AM116" s="10">
        <f t="shared" si="75"/>
        <v>1.512</v>
      </c>
      <c r="AN116" s="10">
        <f t="shared" si="75"/>
        <v>26.212000000000003</v>
      </c>
      <c r="AO116" s="10"/>
      <c r="AP116" s="23"/>
      <c r="AQ116" s="10"/>
      <c r="AR116" s="10"/>
      <c r="AS116" s="10"/>
      <c r="AT116" s="10"/>
      <c r="AU116" s="10"/>
      <c r="AV116" s="10"/>
      <c r="AW116" s="10"/>
      <c r="AX116" s="10"/>
    </row>
    <row r="117" spans="1:50" ht="14.25" customHeight="1">
      <c r="A117" s="10"/>
      <c r="B117" s="10" t="s">
        <v>195</v>
      </c>
      <c r="C117" s="25">
        <f t="shared" ref="C117:AN117" si="76">C116/C112</f>
        <v>0.8970716895682157</v>
      </c>
      <c r="D117" s="25">
        <f t="shared" si="76"/>
        <v>1</v>
      </c>
      <c r="E117" s="25">
        <f t="shared" si="76"/>
        <v>1</v>
      </c>
      <c r="F117" s="25">
        <f t="shared" si="76"/>
        <v>0.77621125657379431</v>
      </c>
      <c r="G117" s="25">
        <f t="shared" si="76"/>
        <v>9.9009900990099098E-3</v>
      </c>
      <c r="H117" s="25">
        <f t="shared" si="76"/>
        <v>0.13818181818181818</v>
      </c>
      <c r="I117" s="25">
        <f t="shared" si="76"/>
        <v>7.6350093109869649E-2</v>
      </c>
      <c r="J117" s="25">
        <f t="shared" si="76"/>
        <v>6.1862783864039983E-2</v>
      </c>
      <c r="K117" s="25">
        <f t="shared" si="76"/>
        <v>0.68963376784605834</v>
      </c>
      <c r="L117" s="25">
        <f t="shared" si="76"/>
        <v>1</v>
      </c>
      <c r="M117" s="25">
        <f t="shared" si="76"/>
        <v>0.47579588298151171</v>
      </c>
      <c r="N117" s="25">
        <f t="shared" si="76"/>
        <v>0.10425372334726236</v>
      </c>
      <c r="O117" s="25">
        <f t="shared" si="76"/>
        <v>0.59995999599959993</v>
      </c>
      <c r="P117" s="25">
        <f t="shared" si="76"/>
        <v>1.2711341478464809E-2</v>
      </c>
      <c r="Q117" s="25">
        <f t="shared" si="76"/>
        <v>1.9829601146045425E-2</v>
      </c>
      <c r="R117" s="25">
        <f t="shared" si="76"/>
        <v>1.3076733283987275E-2</v>
      </c>
      <c r="S117" s="25">
        <f t="shared" si="76"/>
        <v>7.3176501278921955E-4</v>
      </c>
      <c r="T117" s="25">
        <f t="shared" si="76"/>
        <v>0</v>
      </c>
      <c r="U117" s="25">
        <f t="shared" si="76"/>
        <v>1</v>
      </c>
      <c r="V117" s="25">
        <f t="shared" si="76"/>
        <v>0</v>
      </c>
      <c r="W117" s="25">
        <f t="shared" si="76"/>
        <v>4.6089232811476086E-4</v>
      </c>
      <c r="X117" s="25">
        <f t="shared" si="76"/>
        <v>6.2918340026773836E-2</v>
      </c>
      <c r="Y117" s="25">
        <f t="shared" si="76"/>
        <v>0.15128368342881399</v>
      </c>
      <c r="Z117" s="25">
        <f t="shared" si="76"/>
        <v>0.33510638297872336</v>
      </c>
      <c r="AA117" s="25">
        <f t="shared" si="76"/>
        <v>0.31224209078404391</v>
      </c>
      <c r="AB117" s="25">
        <f t="shared" si="76"/>
        <v>0.6539162112932605</v>
      </c>
      <c r="AC117" s="25">
        <f t="shared" si="76"/>
        <v>3.9632316372554065E-2</v>
      </c>
      <c r="AD117" s="25">
        <f t="shared" si="76"/>
        <v>0.21202237920899297</v>
      </c>
      <c r="AE117" s="25">
        <f t="shared" si="76"/>
        <v>5.0000000000000024E-2</v>
      </c>
      <c r="AF117" s="25">
        <f t="shared" si="76"/>
        <v>2.2966588609051108E-2</v>
      </c>
      <c r="AG117" s="25">
        <f t="shared" si="76"/>
        <v>0.17188075082811927</v>
      </c>
      <c r="AH117" s="25">
        <f t="shared" si="76"/>
        <v>8.7232355273592008E-3</v>
      </c>
      <c r="AI117" s="25">
        <f t="shared" si="76"/>
        <v>8.7061460218947392E-3</v>
      </c>
      <c r="AJ117" s="25">
        <f t="shared" si="76"/>
        <v>0.46348452064405443</v>
      </c>
      <c r="AK117" s="25">
        <f t="shared" si="76"/>
        <v>1.9195740507215817E-2</v>
      </c>
      <c r="AL117" s="25">
        <f t="shared" si="76"/>
        <v>1</v>
      </c>
      <c r="AM117" s="25">
        <f t="shared" si="76"/>
        <v>1</v>
      </c>
      <c r="AN117" s="25">
        <f t="shared" si="76"/>
        <v>0.65184522033223913</v>
      </c>
      <c r="AO117" s="25"/>
      <c r="AP117" s="23"/>
      <c r="AQ117" s="25"/>
      <c r="AR117" s="25"/>
      <c r="AS117" s="25"/>
      <c r="AT117" s="25"/>
      <c r="AU117" s="25"/>
      <c r="AV117" s="25"/>
      <c r="AW117" s="25"/>
      <c r="AX117" s="25"/>
    </row>
    <row r="118" spans="1:50" ht="13.5" customHeight="1">
      <c r="A118" s="10"/>
      <c r="B118" s="10" t="s">
        <v>196</v>
      </c>
      <c r="C118" s="10"/>
      <c r="D118" s="10" t="s">
        <v>197</v>
      </c>
      <c r="E118" s="10" t="s">
        <v>193</v>
      </c>
      <c r="F118" s="10" t="s">
        <v>198</v>
      </c>
      <c r="G118" s="10" t="s">
        <v>187</v>
      </c>
      <c r="H118" s="10" t="s">
        <v>198</v>
      </c>
      <c r="I118" s="10"/>
      <c r="J118" s="10"/>
      <c r="K118" s="10"/>
      <c r="L118" s="10" t="s">
        <v>188</v>
      </c>
      <c r="M118" s="10"/>
      <c r="N118" s="10"/>
      <c r="O118" s="10"/>
      <c r="P118" s="10"/>
      <c r="Q118" s="10"/>
      <c r="R118" s="10"/>
      <c r="S118" s="10"/>
      <c r="T118" s="10"/>
      <c r="U118" s="10" t="s">
        <v>193</v>
      </c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 t="s">
        <v>187</v>
      </c>
      <c r="AM118" s="10" t="s">
        <v>191</v>
      </c>
      <c r="AN118" s="10"/>
      <c r="AO118" s="10"/>
      <c r="AP118" s="23"/>
      <c r="AQ118" s="10"/>
      <c r="AR118" s="10"/>
      <c r="AS118" s="10"/>
      <c r="AT118" s="10"/>
      <c r="AU118" s="10"/>
      <c r="AV118" s="10"/>
      <c r="AW118" s="10"/>
      <c r="AX118" s="10"/>
    </row>
    <row r="119" spans="1:50" ht="27.75" customHeight="1">
      <c r="B119" s="10" t="s">
        <v>199</v>
      </c>
      <c r="C119" s="42">
        <f t="shared" ref="C119:AN119" si="77">C137</f>
        <v>1</v>
      </c>
      <c r="D119" s="42">
        <f t="shared" si="77"/>
        <v>1</v>
      </c>
      <c r="E119" s="42">
        <f t="shared" si="77"/>
        <v>1</v>
      </c>
      <c r="F119" s="42">
        <f t="shared" si="77"/>
        <v>0.43575418994413412</v>
      </c>
      <c r="G119" s="42">
        <f t="shared" si="77"/>
        <v>0</v>
      </c>
      <c r="H119" s="42">
        <f t="shared" si="77"/>
        <v>3.5949367088607589E-2</v>
      </c>
      <c r="I119" s="42">
        <f t="shared" si="77"/>
        <v>0.31463874162029531</v>
      </c>
      <c r="J119" s="42">
        <f t="shared" si="77"/>
        <v>0.26525821596244137</v>
      </c>
      <c r="K119" s="42">
        <f t="shared" si="77"/>
        <v>0.25</v>
      </c>
      <c r="L119" s="42">
        <f t="shared" si="77"/>
        <v>1</v>
      </c>
      <c r="M119" s="42">
        <f t="shared" si="77"/>
        <v>0.45519604878540471</v>
      </c>
      <c r="N119" s="42">
        <f t="shared" si="77"/>
        <v>0.34361610968294776</v>
      </c>
      <c r="O119" s="42">
        <f t="shared" si="77"/>
        <v>0.96119171764601752</v>
      </c>
      <c r="P119" s="42">
        <f t="shared" si="77"/>
        <v>0.40669185394681351</v>
      </c>
      <c r="Q119" s="42">
        <f t="shared" si="77"/>
        <v>0.17590361445783129</v>
      </c>
      <c r="R119" s="42">
        <f t="shared" si="77"/>
        <v>0.83123612139156178</v>
      </c>
      <c r="S119" s="42">
        <f t="shared" si="77"/>
        <v>0.89655172413793116</v>
      </c>
      <c r="T119" s="42">
        <f t="shared" si="77"/>
        <v>0.78787878787878785</v>
      </c>
      <c r="U119" s="42">
        <f t="shared" si="77"/>
        <v>1</v>
      </c>
      <c r="V119" s="42">
        <f t="shared" si="77"/>
        <v>0</v>
      </c>
      <c r="W119" s="42">
        <f t="shared" si="77"/>
        <v>0.90770791075050716</v>
      </c>
      <c r="X119" s="42">
        <f t="shared" si="77"/>
        <v>1</v>
      </c>
      <c r="Y119" s="42">
        <f t="shared" si="77"/>
        <v>0.49650349650349646</v>
      </c>
      <c r="Z119" s="42">
        <f t="shared" si="77"/>
        <v>0</v>
      </c>
      <c r="AA119" s="42">
        <f t="shared" si="77"/>
        <v>0.19696969696969699</v>
      </c>
      <c r="AB119" s="42">
        <f t="shared" si="77"/>
        <v>0</v>
      </c>
      <c r="AC119" s="42">
        <f t="shared" si="77"/>
        <v>1</v>
      </c>
      <c r="AD119" s="42">
        <f t="shared" si="77"/>
        <v>5.2390307793058295E-3</v>
      </c>
      <c r="AE119" s="42">
        <f t="shared" si="77"/>
        <v>0</v>
      </c>
      <c r="AF119" s="42">
        <f t="shared" si="77"/>
        <v>0</v>
      </c>
      <c r="AG119" s="42">
        <f t="shared" si="77"/>
        <v>7.7669902912621352E-2</v>
      </c>
      <c r="AH119" s="42">
        <f t="shared" si="77"/>
        <v>0</v>
      </c>
      <c r="AI119" s="42">
        <f t="shared" si="77"/>
        <v>0</v>
      </c>
      <c r="AJ119" s="42">
        <f t="shared" si="77"/>
        <v>0.92255236239649296</v>
      </c>
      <c r="AK119" s="42">
        <f t="shared" si="77"/>
        <v>0.12804038549793487</v>
      </c>
      <c r="AL119" s="42">
        <f t="shared" si="77"/>
        <v>1</v>
      </c>
      <c r="AM119" s="42">
        <f t="shared" si="77"/>
        <v>1</v>
      </c>
      <c r="AN119" s="42">
        <f t="shared" si="77"/>
        <v>0.18656716417910446</v>
      </c>
      <c r="AP119" s="23">
        <f>SUM(D119:AN119)/34</f>
        <v>0.50238577772152748</v>
      </c>
    </row>
    <row r="120" spans="1:50" ht="14.25" customHeight="1"/>
    <row r="121" spans="1:50" ht="14.25" customHeight="1">
      <c r="B121" s="5" t="s">
        <v>200</v>
      </c>
      <c r="C121" s="1">
        <v>30</v>
      </c>
      <c r="D121" s="1">
        <v>10</v>
      </c>
      <c r="E121" s="1">
        <v>240</v>
      </c>
      <c r="F121" s="1">
        <v>315</v>
      </c>
      <c r="G121" s="1">
        <v>12</v>
      </c>
      <c r="H121" s="1">
        <v>0</v>
      </c>
      <c r="I121" s="1">
        <v>50</v>
      </c>
      <c r="J121" s="1">
        <v>1500</v>
      </c>
      <c r="K121" s="1">
        <v>45</v>
      </c>
      <c r="L121" s="1">
        <v>45</v>
      </c>
      <c r="M121" s="1">
        <v>35</v>
      </c>
      <c r="N121" s="1">
        <v>0</v>
      </c>
      <c r="O121" s="1">
        <v>75</v>
      </c>
      <c r="P121" s="1">
        <v>125</v>
      </c>
      <c r="Q121" s="1">
        <v>350</v>
      </c>
      <c r="R121" s="1">
        <v>12</v>
      </c>
      <c r="S121" s="1">
        <v>2000</v>
      </c>
      <c r="T121" s="1">
        <v>16</v>
      </c>
      <c r="U121" s="1">
        <v>8</v>
      </c>
      <c r="V121" s="1">
        <v>0</v>
      </c>
      <c r="W121" s="1">
        <v>1820</v>
      </c>
      <c r="X121" s="1">
        <v>80</v>
      </c>
      <c r="Y121" s="1">
        <v>0</v>
      </c>
      <c r="Z121" s="1">
        <v>0</v>
      </c>
      <c r="AA121" s="1">
        <v>50</v>
      </c>
      <c r="AB121" s="1">
        <v>1500</v>
      </c>
      <c r="AC121" s="1">
        <v>600</v>
      </c>
      <c r="AD121" s="1">
        <v>213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805</v>
      </c>
      <c r="AK121" s="1">
        <v>0</v>
      </c>
      <c r="AL121" s="1">
        <v>30</v>
      </c>
      <c r="AM121" s="1">
        <v>0</v>
      </c>
      <c r="AN121" s="1">
        <v>180</v>
      </c>
    </row>
    <row r="122" spans="1:50" ht="14.25" customHeight="1"/>
    <row r="123" spans="1:50" ht="14.25" customHeight="1">
      <c r="B123" s="43" t="s">
        <v>201</v>
      </c>
    </row>
    <row r="124" spans="1:50" ht="14.25" customHeight="1">
      <c r="B124" s="1" t="s">
        <v>128</v>
      </c>
      <c r="C124" s="1">
        <v>0</v>
      </c>
      <c r="D124" s="1">
        <v>0</v>
      </c>
      <c r="E124" s="1">
        <v>0</v>
      </c>
      <c r="F124" s="1">
        <v>0.3</v>
      </c>
      <c r="G124" s="1">
        <v>0.1</v>
      </c>
      <c r="H124" s="1">
        <v>11.4</v>
      </c>
      <c r="I124" s="1">
        <v>47</v>
      </c>
      <c r="J124" s="1">
        <v>24.9</v>
      </c>
      <c r="K124" s="1">
        <v>0</v>
      </c>
      <c r="L124" s="1">
        <v>0</v>
      </c>
      <c r="M124" s="1">
        <v>11.74</v>
      </c>
      <c r="N124" s="1">
        <v>34.5</v>
      </c>
      <c r="O124" s="1">
        <v>0</v>
      </c>
      <c r="P124" s="1">
        <v>0</v>
      </c>
      <c r="Q124" s="1">
        <v>0.2</v>
      </c>
      <c r="R124" s="1">
        <v>4.3</v>
      </c>
      <c r="S124" s="1">
        <v>16</v>
      </c>
      <c r="T124" s="1">
        <v>0.2</v>
      </c>
      <c r="U124" s="1">
        <v>0</v>
      </c>
      <c r="V124" s="1">
        <v>26.6</v>
      </c>
      <c r="W124" s="1">
        <v>0</v>
      </c>
      <c r="X124" s="1">
        <v>0</v>
      </c>
      <c r="Y124" s="1">
        <v>0.4</v>
      </c>
      <c r="Z124" s="1">
        <v>0.4</v>
      </c>
      <c r="AA124" s="1">
        <v>0</v>
      </c>
      <c r="AB124" s="1">
        <v>1.8</v>
      </c>
      <c r="AC124" s="1">
        <v>0</v>
      </c>
      <c r="AD124" s="1">
        <v>11.8</v>
      </c>
      <c r="AE124" s="1">
        <v>3.6</v>
      </c>
      <c r="AF124" s="1">
        <v>8.3000000000000007</v>
      </c>
      <c r="AG124" s="1">
        <v>4.5999999999999996</v>
      </c>
      <c r="AH124" s="1">
        <v>8.8000000000000007</v>
      </c>
      <c r="AI124" s="1">
        <v>2.7</v>
      </c>
      <c r="AJ124" s="1" t="s">
        <v>202</v>
      </c>
      <c r="AK124" s="1">
        <v>0</v>
      </c>
      <c r="AL124" s="1">
        <v>0</v>
      </c>
      <c r="AM124" s="1">
        <v>0</v>
      </c>
      <c r="AN124" s="1">
        <v>17.2</v>
      </c>
    </row>
    <row r="125" spans="1:50" ht="14.25" customHeight="1">
      <c r="B125" s="1" t="s">
        <v>129</v>
      </c>
      <c r="C125" s="1">
        <v>0</v>
      </c>
      <c r="D125" s="1">
        <v>0</v>
      </c>
      <c r="E125" s="1">
        <v>0</v>
      </c>
      <c r="F125" s="1">
        <v>4.3</v>
      </c>
      <c r="G125" s="1">
        <v>0</v>
      </c>
      <c r="H125" s="1">
        <v>19</v>
      </c>
      <c r="I125" s="1">
        <v>52.3</v>
      </c>
      <c r="J125" s="1">
        <v>8.1</v>
      </c>
      <c r="K125" s="1">
        <v>1.8</v>
      </c>
      <c r="L125" s="1">
        <v>0</v>
      </c>
      <c r="M125" s="1">
        <v>12.26</v>
      </c>
      <c r="N125" s="1">
        <v>13.8</v>
      </c>
      <c r="O125" s="1">
        <v>0</v>
      </c>
      <c r="P125" s="1">
        <v>0</v>
      </c>
      <c r="Q125" s="1">
        <v>2.5</v>
      </c>
      <c r="R125" s="1">
        <v>0</v>
      </c>
      <c r="S125" s="1">
        <v>17.100000000000001</v>
      </c>
      <c r="T125" s="1">
        <v>0.2</v>
      </c>
      <c r="U125" s="1">
        <v>0</v>
      </c>
      <c r="V125" s="1">
        <v>33.200000000000003</v>
      </c>
      <c r="W125" s="1">
        <v>81.900000000000006</v>
      </c>
      <c r="X125" s="1">
        <v>0</v>
      </c>
      <c r="Y125" s="1">
        <v>5.3</v>
      </c>
      <c r="Z125" s="1">
        <v>1</v>
      </c>
      <c r="AA125" s="1">
        <v>0</v>
      </c>
      <c r="AB125" s="1">
        <v>17.100000000000001</v>
      </c>
      <c r="AC125" s="1">
        <v>0</v>
      </c>
      <c r="AD125" s="1">
        <v>30.2</v>
      </c>
      <c r="AE125" s="1">
        <v>2.2999999999999998</v>
      </c>
      <c r="AF125" s="1">
        <v>2</v>
      </c>
      <c r="AG125" s="1">
        <v>2.6</v>
      </c>
      <c r="AH125" s="1">
        <v>2.8</v>
      </c>
      <c r="AI125" s="1">
        <v>19.600000000000001</v>
      </c>
      <c r="AJ125" s="1">
        <v>1.59</v>
      </c>
      <c r="AK125" s="1">
        <v>0</v>
      </c>
      <c r="AL125" s="1">
        <v>0</v>
      </c>
      <c r="AM125" s="1">
        <v>0</v>
      </c>
      <c r="AN125" s="1">
        <v>6.3</v>
      </c>
    </row>
    <row r="126" spans="1:50" ht="14.25" customHeight="1">
      <c r="B126" s="1" t="s">
        <v>130</v>
      </c>
      <c r="C126" s="1">
        <v>0</v>
      </c>
      <c r="D126" s="1">
        <v>0</v>
      </c>
      <c r="E126" s="1">
        <v>0</v>
      </c>
      <c r="F126" s="1">
        <v>1.7</v>
      </c>
      <c r="G126" s="1">
        <v>0</v>
      </c>
      <c r="H126" s="1">
        <v>8</v>
      </c>
      <c r="I126" s="1">
        <v>0</v>
      </c>
      <c r="J126" s="1">
        <v>14.1</v>
      </c>
      <c r="K126" s="1">
        <v>0</v>
      </c>
      <c r="L126" s="1">
        <v>0</v>
      </c>
      <c r="M126" s="1">
        <v>4.57</v>
      </c>
      <c r="N126" s="1">
        <v>0.7</v>
      </c>
      <c r="O126" s="1">
        <v>5.0000000000000001E-3</v>
      </c>
      <c r="P126" s="1">
        <v>0</v>
      </c>
      <c r="Q126" s="1">
        <v>1.6</v>
      </c>
      <c r="R126" s="1">
        <v>2.5</v>
      </c>
      <c r="S126" s="1">
        <v>8.5</v>
      </c>
      <c r="T126" s="1">
        <v>0.2</v>
      </c>
      <c r="U126" s="1">
        <v>0</v>
      </c>
      <c r="V126" s="1">
        <v>0</v>
      </c>
      <c r="W126" s="1">
        <v>0</v>
      </c>
      <c r="X126" s="1">
        <v>0</v>
      </c>
      <c r="Y126" s="1">
        <v>0.2</v>
      </c>
      <c r="Z126" s="1">
        <v>1.3</v>
      </c>
      <c r="AA126" s="1">
        <v>0.2</v>
      </c>
      <c r="AB126" s="1">
        <v>0</v>
      </c>
      <c r="AC126" s="1">
        <v>0</v>
      </c>
      <c r="AD126" s="1">
        <v>21.4</v>
      </c>
      <c r="AE126" s="1">
        <v>0.9</v>
      </c>
      <c r="AF126" s="1">
        <v>9.4</v>
      </c>
      <c r="AG126" s="1">
        <v>0.9</v>
      </c>
      <c r="AH126" s="1">
        <v>0.6</v>
      </c>
      <c r="AI126" s="1">
        <v>0.9</v>
      </c>
      <c r="AJ126" s="1" t="s">
        <v>202</v>
      </c>
      <c r="AK126" s="1">
        <v>0</v>
      </c>
      <c r="AL126" s="1">
        <v>0</v>
      </c>
      <c r="AM126" s="1">
        <v>0</v>
      </c>
      <c r="AN126" s="1">
        <v>4.2</v>
      </c>
    </row>
    <row r="127" spans="1:50" ht="14.25" customHeight="1">
      <c r="B127" s="1" t="s">
        <v>131</v>
      </c>
      <c r="C127" s="1">
        <v>0</v>
      </c>
      <c r="D127" s="1">
        <v>0</v>
      </c>
      <c r="E127" s="1">
        <v>0</v>
      </c>
      <c r="F127" s="1">
        <v>3.6</v>
      </c>
      <c r="G127" s="1">
        <v>0</v>
      </c>
      <c r="H127" s="1">
        <v>6</v>
      </c>
      <c r="I127" s="1">
        <v>9.8000000000000007</v>
      </c>
      <c r="J127" s="1">
        <v>0</v>
      </c>
      <c r="K127" s="1">
        <v>0.3</v>
      </c>
      <c r="L127" s="1">
        <v>0</v>
      </c>
      <c r="M127" s="1">
        <v>0.9</v>
      </c>
      <c r="N127" s="1">
        <v>0.5</v>
      </c>
      <c r="O127" s="1">
        <v>2.1499999999999998E-2</v>
      </c>
      <c r="P127" s="1">
        <v>0</v>
      </c>
      <c r="Q127" s="1">
        <v>0.4</v>
      </c>
      <c r="R127" s="1">
        <v>0</v>
      </c>
      <c r="S127" s="1">
        <v>0.2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1.3</v>
      </c>
      <c r="Z127" s="1">
        <v>1.4</v>
      </c>
      <c r="AA127" s="1">
        <v>10</v>
      </c>
      <c r="AB127" s="1">
        <v>36</v>
      </c>
      <c r="AC127" s="1">
        <v>0</v>
      </c>
      <c r="AD127" s="1">
        <v>8.1</v>
      </c>
      <c r="AE127" s="1">
        <v>5.0999999999999996</v>
      </c>
      <c r="AF127" s="1">
        <v>10.9</v>
      </c>
      <c r="AG127" s="1">
        <v>1.4</v>
      </c>
      <c r="AH127" s="1">
        <v>8</v>
      </c>
      <c r="AI127" s="1">
        <v>0</v>
      </c>
      <c r="AJ127" s="1" t="s">
        <v>202</v>
      </c>
      <c r="AK127" s="1">
        <v>0</v>
      </c>
      <c r="AL127" s="1">
        <v>0</v>
      </c>
      <c r="AM127" s="1">
        <v>0</v>
      </c>
      <c r="AN127" s="1">
        <v>0.1</v>
      </c>
    </row>
    <row r="128" spans="1:50" ht="14.25" customHeight="1">
      <c r="B128" s="1" t="s">
        <v>132</v>
      </c>
      <c r="C128" s="1">
        <v>0</v>
      </c>
      <c r="D128" s="1">
        <v>0</v>
      </c>
      <c r="E128" s="1">
        <v>0</v>
      </c>
      <c r="F128" s="1">
        <v>0.2</v>
      </c>
      <c r="G128" s="1">
        <v>0</v>
      </c>
      <c r="H128" s="1">
        <v>200</v>
      </c>
      <c r="I128" s="1">
        <v>112.1</v>
      </c>
      <c r="J128" s="1">
        <v>15.5</v>
      </c>
      <c r="K128" s="1">
        <v>0.1</v>
      </c>
      <c r="L128" s="1">
        <v>0</v>
      </c>
      <c r="M128" s="1">
        <v>0.64</v>
      </c>
      <c r="N128" s="1">
        <v>1.2</v>
      </c>
      <c r="O128" s="1">
        <v>0</v>
      </c>
      <c r="P128" s="1">
        <v>0</v>
      </c>
      <c r="Q128" s="1">
        <v>2.8</v>
      </c>
      <c r="R128" s="1">
        <v>0.04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11.8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 t="s">
        <v>202</v>
      </c>
      <c r="AK128" s="1">
        <v>0</v>
      </c>
      <c r="AL128" s="1">
        <v>0</v>
      </c>
      <c r="AM128" s="1">
        <v>0</v>
      </c>
      <c r="AN128" s="1">
        <v>0</v>
      </c>
    </row>
    <row r="129" spans="1:50" ht="14.25" customHeight="1">
      <c r="B129" s="1" t="s">
        <v>133</v>
      </c>
      <c r="C129" s="1">
        <v>0</v>
      </c>
      <c r="D129" s="1">
        <v>0</v>
      </c>
      <c r="E129" s="1">
        <v>0</v>
      </c>
      <c r="F129" s="1">
        <v>0</v>
      </c>
      <c r="G129" s="1">
        <v>0.8</v>
      </c>
      <c r="H129" s="1">
        <v>517.20000000000005</v>
      </c>
      <c r="I129" s="1">
        <v>1343</v>
      </c>
      <c r="J129" s="1">
        <v>0</v>
      </c>
      <c r="K129" s="1">
        <v>0.2</v>
      </c>
      <c r="L129" s="1">
        <v>0</v>
      </c>
      <c r="M129" s="1">
        <v>23.94</v>
      </c>
      <c r="N129" s="1">
        <v>102.5</v>
      </c>
      <c r="O129" s="1">
        <v>0.39570112497132942</v>
      </c>
      <c r="P129" s="1">
        <v>15.755001164369341</v>
      </c>
      <c r="Q129" s="1">
        <v>26.7</v>
      </c>
      <c r="R129" s="1">
        <v>0</v>
      </c>
      <c r="S129" s="1">
        <v>5</v>
      </c>
      <c r="T129" s="1">
        <v>0.1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9.4</v>
      </c>
      <c r="AA129" s="1">
        <v>0.4</v>
      </c>
      <c r="AB129" s="1">
        <v>0</v>
      </c>
      <c r="AC129" s="1">
        <v>0</v>
      </c>
      <c r="AD129" s="1">
        <v>68.599999999999994</v>
      </c>
      <c r="AE129" s="1">
        <v>0</v>
      </c>
      <c r="AF129" s="1">
        <v>1.2</v>
      </c>
      <c r="AG129" s="1">
        <v>0</v>
      </c>
      <c r="AH129" s="1">
        <v>1</v>
      </c>
      <c r="AI129" s="1">
        <v>0</v>
      </c>
      <c r="AJ129" s="1" t="s">
        <v>202</v>
      </c>
      <c r="AK129" s="1">
        <v>19</v>
      </c>
      <c r="AL129" s="1">
        <v>0</v>
      </c>
      <c r="AM129" s="1">
        <v>0</v>
      </c>
      <c r="AN129" s="1">
        <v>4.9000000000000004</v>
      </c>
    </row>
    <row r="130" spans="1:50" ht="14.25" customHeight="1">
      <c r="B130" s="1" t="s">
        <v>128</v>
      </c>
      <c r="C130" s="1">
        <v>6.4</v>
      </c>
      <c r="D130" s="1">
        <v>0.2</v>
      </c>
      <c r="E130" s="1">
        <v>3.3</v>
      </c>
      <c r="F130" s="1">
        <v>0.2</v>
      </c>
      <c r="G130" s="1">
        <v>0</v>
      </c>
      <c r="H130" s="1">
        <v>0</v>
      </c>
      <c r="I130" s="1">
        <v>169.8</v>
      </c>
      <c r="J130" s="1">
        <v>1.5</v>
      </c>
      <c r="K130" s="1">
        <v>0</v>
      </c>
      <c r="L130" s="1">
        <v>1.5</v>
      </c>
      <c r="M130" s="1">
        <v>17.600000000000001</v>
      </c>
      <c r="N130" s="1">
        <v>12.6</v>
      </c>
      <c r="O130" s="1">
        <v>4.7770605201513714</v>
      </c>
      <c r="P130" s="1">
        <v>2.3104124841152824</v>
      </c>
      <c r="Q130" s="1">
        <v>3.2</v>
      </c>
      <c r="R130" s="1">
        <v>20</v>
      </c>
      <c r="S130" s="1">
        <v>128</v>
      </c>
      <c r="T130" s="1">
        <v>0.7</v>
      </c>
      <c r="U130" s="1">
        <v>0.8</v>
      </c>
      <c r="V130" s="1">
        <v>0</v>
      </c>
      <c r="W130" s="1">
        <v>490.5</v>
      </c>
      <c r="X130" s="1">
        <v>0.9</v>
      </c>
      <c r="Y130" s="1">
        <v>3</v>
      </c>
      <c r="Z130" s="1">
        <v>0</v>
      </c>
      <c r="AA130" s="1">
        <v>1.4</v>
      </c>
      <c r="AB130" s="1">
        <v>0</v>
      </c>
      <c r="AC130" s="1">
        <v>0.2</v>
      </c>
      <c r="AD130" s="1">
        <v>0.1</v>
      </c>
      <c r="AE130" s="1">
        <v>0</v>
      </c>
      <c r="AF130" s="1">
        <v>0</v>
      </c>
      <c r="AG130" s="1">
        <v>0.3</v>
      </c>
      <c r="AH130" s="1">
        <v>0</v>
      </c>
      <c r="AI130" s="1">
        <v>0</v>
      </c>
      <c r="AJ130" s="1" t="s">
        <v>202</v>
      </c>
      <c r="AK130" s="1">
        <v>1.08</v>
      </c>
      <c r="AL130" s="1">
        <v>7.1</v>
      </c>
      <c r="AM130" s="1">
        <v>0.4</v>
      </c>
      <c r="AN130" s="1">
        <v>3</v>
      </c>
    </row>
    <row r="131" spans="1:50" ht="14.25" customHeight="1">
      <c r="B131" s="1" t="s">
        <v>129</v>
      </c>
      <c r="C131" s="1">
        <v>10.6</v>
      </c>
      <c r="D131" s="1">
        <v>0.3</v>
      </c>
      <c r="E131" s="1">
        <v>12.2</v>
      </c>
      <c r="F131" s="1">
        <v>3.3</v>
      </c>
      <c r="G131" s="1">
        <v>0</v>
      </c>
      <c r="H131" s="1">
        <v>1.2</v>
      </c>
      <c r="I131" s="1">
        <v>172.8</v>
      </c>
      <c r="J131" s="1">
        <v>8.1</v>
      </c>
      <c r="K131" s="1">
        <v>0.4</v>
      </c>
      <c r="L131" s="1">
        <v>0.5</v>
      </c>
      <c r="M131" s="1">
        <v>18.39</v>
      </c>
      <c r="N131" s="1">
        <v>41</v>
      </c>
      <c r="O131" s="1">
        <v>4.0112250659559265</v>
      </c>
      <c r="P131" s="1">
        <v>6.5023131971879602</v>
      </c>
      <c r="Q131" s="1">
        <v>3</v>
      </c>
      <c r="R131" s="1">
        <v>10.75</v>
      </c>
      <c r="S131" s="1">
        <v>137.1</v>
      </c>
      <c r="T131" s="1">
        <v>0.6</v>
      </c>
      <c r="U131" s="1">
        <v>3.2</v>
      </c>
      <c r="V131" s="1">
        <v>0</v>
      </c>
      <c r="W131" s="1">
        <v>0</v>
      </c>
      <c r="X131" s="1">
        <v>5.4</v>
      </c>
      <c r="Y131" s="1">
        <v>2</v>
      </c>
      <c r="Z131" s="1">
        <v>0</v>
      </c>
      <c r="AA131" s="1">
        <v>1.1000000000000001</v>
      </c>
      <c r="AB131" s="1">
        <v>0</v>
      </c>
      <c r="AC131" s="1">
        <v>22.9</v>
      </c>
      <c r="AD131" s="1">
        <v>0.3</v>
      </c>
      <c r="AE131" s="1">
        <v>0</v>
      </c>
      <c r="AF131" s="1">
        <v>0</v>
      </c>
      <c r="AG131" s="1">
        <v>0.3</v>
      </c>
      <c r="AH131" s="1">
        <v>0</v>
      </c>
      <c r="AI131" s="1">
        <v>0</v>
      </c>
      <c r="AJ131" s="1">
        <v>18.940000000000001</v>
      </c>
      <c r="AK131" s="1">
        <v>1.2</v>
      </c>
      <c r="AL131" s="1">
        <v>8.36</v>
      </c>
      <c r="AM131" s="1">
        <v>0.8</v>
      </c>
      <c r="AN131" s="1">
        <v>4.2</v>
      </c>
    </row>
    <row r="132" spans="1:50" ht="14.25" customHeight="1">
      <c r="B132" s="1" t="s">
        <v>130</v>
      </c>
      <c r="C132" s="1">
        <v>0.1</v>
      </c>
      <c r="D132" s="1">
        <v>0</v>
      </c>
      <c r="E132" s="1">
        <v>0.2</v>
      </c>
      <c r="F132" s="1">
        <v>1.3</v>
      </c>
      <c r="G132" s="1">
        <v>0</v>
      </c>
      <c r="H132" s="1">
        <v>3.2</v>
      </c>
      <c r="I132" s="1">
        <v>2.9</v>
      </c>
      <c r="J132" s="1">
        <v>5</v>
      </c>
      <c r="K132" s="1">
        <v>0</v>
      </c>
      <c r="L132" s="1">
        <v>0</v>
      </c>
      <c r="M132" s="1">
        <v>6.86</v>
      </c>
      <c r="N132" s="1">
        <v>5.4</v>
      </c>
      <c r="O132" s="1">
        <v>1.8549392416849064E-2</v>
      </c>
      <c r="P132" s="1">
        <v>4.9920930773834249E-2</v>
      </c>
      <c r="Q132" s="1">
        <v>0.8</v>
      </c>
      <c r="R132" s="1">
        <v>2.5</v>
      </c>
      <c r="S132" s="1">
        <v>98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0.6</v>
      </c>
      <c r="Z132" s="1">
        <v>0</v>
      </c>
      <c r="AA132" s="1">
        <v>0</v>
      </c>
      <c r="AB132" s="1">
        <v>0</v>
      </c>
      <c r="AC132" s="1">
        <v>0</v>
      </c>
      <c r="AD132" s="1">
        <v>0.4</v>
      </c>
      <c r="AE132" s="1">
        <v>0</v>
      </c>
      <c r="AF132" s="1">
        <v>0</v>
      </c>
      <c r="AG132" s="1">
        <v>0.1</v>
      </c>
      <c r="AH132" s="1">
        <v>0</v>
      </c>
      <c r="AI132" s="1">
        <v>0</v>
      </c>
      <c r="AJ132" s="1" t="s">
        <v>202</v>
      </c>
      <c r="AK132" s="1">
        <v>0.22</v>
      </c>
      <c r="AL132" s="1">
        <v>0.04</v>
      </c>
      <c r="AM132" s="1">
        <v>0</v>
      </c>
      <c r="AN132" s="1">
        <v>0.3</v>
      </c>
    </row>
    <row r="133" spans="1:50" ht="14.25" customHeight="1">
      <c r="B133" s="1" t="s">
        <v>131</v>
      </c>
      <c r="C133" s="1">
        <v>2.2999999999999998</v>
      </c>
      <c r="D133" s="1">
        <v>0.4</v>
      </c>
      <c r="E133" s="1">
        <v>5.0999999999999996</v>
      </c>
      <c r="F133" s="1">
        <v>2.8</v>
      </c>
      <c r="G133" s="1">
        <v>0</v>
      </c>
      <c r="H133" s="1">
        <v>17.2</v>
      </c>
      <c r="I133" s="1">
        <v>26.8</v>
      </c>
      <c r="J133" s="1">
        <v>0</v>
      </c>
      <c r="K133" s="1">
        <v>0</v>
      </c>
      <c r="L133" s="1">
        <v>0</v>
      </c>
      <c r="M133" s="1">
        <v>1.36</v>
      </c>
      <c r="N133" s="1">
        <v>14.8</v>
      </c>
      <c r="O133" s="1">
        <v>1.4605774160930671</v>
      </c>
      <c r="P133" s="1">
        <v>1.6451258945456984</v>
      </c>
      <c r="Q133" s="1">
        <v>0.1</v>
      </c>
      <c r="R133" s="1">
        <v>0.44</v>
      </c>
      <c r="S133" s="1">
        <v>1.6</v>
      </c>
      <c r="T133" s="1">
        <v>0.1</v>
      </c>
      <c r="U133" s="1">
        <v>1.2</v>
      </c>
      <c r="V133" s="1">
        <v>0</v>
      </c>
      <c r="W133" s="1">
        <v>315</v>
      </c>
      <c r="X133" s="1">
        <v>0.7</v>
      </c>
      <c r="Y133" s="1">
        <v>1.3</v>
      </c>
      <c r="Z133" s="1">
        <v>0</v>
      </c>
      <c r="AA133" s="1">
        <v>0</v>
      </c>
      <c r="AB133" s="1">
        <v>0</v>
      </c>
      <c r="AC133" s="1">
        <v>35.200000000000003</v>
      </c>
      <c r="AD133" s="1">
        <v>0</v>
      </c>
      <c r="AE133" s="1">
        <v>0</v>
      </c>
      <c r="AF133" s="1">
        <v>0</v>
      </c>
      <c r="AG133" s="1">
        <v>0.1</v>
      </c>
      <c r="AH133" s="1">
        <v>0</v>
      </c>
      <c r="AI133" s="1">
        <v>0</v>
      </c>
      <c r="AJ133" s="1" t="s">
        <v>202</v>
      </c>
      <c r="AK133" s="1">
        <v>0.28999999999999998</v>
      </c>
      <c r="AL133" s="1">
        <v>1.66</v>
      </c>
      <c r="AM133" s="1">
        <v>0.5</v>
      </c>
      <c r="AN133" s="1">
        <v>0</v>
      </c>
    </row>
    <row r="134" spans="1:50" ht="14.25" customHeight="1">
      <c r="B134" s="1" t="s">
        <v>132</v>
      </c>
      <c r="C134" s="1">
        <v>0</v>
      </c>
      <c r="D134" s="1">
        <v>0</v>
      </c>
      <c r="E134" s="1">
        <v>0.9</v>
      </c>
      <c r="F134" s="1">
        <v>0.2</v>
      </c>
      <c r="G134" s="1">
        <v>0</v>
      </c>
      <c r="H134" s="1">
        <v>6.8</v>
      </c>
      <c r="I134" s="1">
        <v>0</v>
      </c>
      <c r="J134" s="1">
        <v>8</v>
      </c>
      <c r="K134" s="1">
        <v>0</v>
      </c>
      <c r="L134" s="1">
        <v>0</v>
      </c>
      <c r="M134" s="1">
        <v>0.95</v>
      </c>
      <c r="N134" s="1">
        <v>2.2000000000000002</v>
      </c>
      <c r="O134" s="1">
        <v>0.1895364804114455</v>
      </c>
      <c r="P134" s="1">
        <v>0.29172632900788054</v>
      </c>
      <c r="Q134" s="1">
        <v>0</v>
      </c>
      <c r="R134" s="1">
        <v>0</v>
      </c>
      <c r="S134" s="1">
        <v>0.9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0.1</v>
      </c>
      <c r="Z134" s="1">
        <v>0</v>
      </c>
      <c r="AA134" s="1">
        <v>0.1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 t="s">
        <v>202</v>
      </c>
      <c r="AK134" s="1">
        <v>0</v>
      </c>
      <c r="AL134" s="1">
        <v>1.27</v>
      </c>
      <c r="AM134" s="1">
        <v>0</v>
      </c>
      <c r="AN134" s="1">
        <v>0</v>
      </c>
    </row>
    <row r="135" spans="1:50" ht="14.25" customHeight="1">
      <c r="B135" s="1" t="s">
        <v>133</v>
      </c>
      <c r="C135" s="1">
        <v>0</v>
      </c>
      <c r="D135" s="1">
        <v>0</v>
      </c>
      <c r="E135" s="1">
        <v>5.9</v>
      </c>
      <c r="F135" s="1">
        <v>0</v>
      </c>
      <c r="G135" s="1">
        <v>0</v>
      </c>
      <c r="H135" s="1">
        <v>0</v>
      </c>
      <c r="I135" s="1">
        <v>345.8</v>
      </c>
      <c r="J135" s="1">
        <v>0</v>
      </c>
      <c r="K135" s="1">
        <v>0.4</v>
      </c>
      <c r="L135" s="1">
        <v>0</v>
      </c>
      <c r="M135" s="1">
        <v>0</v>
      </c>
      <c r="N135" s="1">
        <v>4.2</v>
      </c>
      <c r="O135" s="1">
        <v>0</v>
      </c>
      <c r="P135" s="1">
        <v>0</v>
      </c>
      <c r="Q135" s="1">
        <v>0.2</v>
      </c>
      <c r="R135" s="1">
        <v>0</v>
      </c>
      <c r="S135" s="1">
        <v>40</v>
      </c>
      <c r="T135" s="1">
        <v>0.2</v>
      </c>
      <c r="U135" s="1">
        <v>0</v>
      </c>
      <c r="V135" s="1">
        <v>0</v>
      </c>
      <c r="W135" s="1">
        <v>0</v>
      </c>
      <c r="X135" s="1">
        <v>0.5</v>
      </c>
      <c r="Y135" s="1">
        <v>0.1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 t="s">
        <v>202</v>
      </c>
      <c r="AK135" s="1">
        <v>0</v>
      </c>
      <c r="AL135" s="1">
        <v>65.55</v>
      </c>
      <c r="AM135" s="1">
        <v>0</v>
      </c>
      <c r="AN135" s="1">
        <v>0</v>
      </c>
    </row>
    <row r="136" spans="1:50" ht="14.25" customHeight="1">
      <c r="B136" s="1" t="s">
        <v>203</v>
      </c>
      <c r="C136" s="42">
        <f t="shared" ref="C136:AN136" si="78">SUM(C124:C129)/SUM(C124:C135)</f>
        <v>0</v>
      </c>
      <c r="D136" s="42">
        <f t="shared" si="78"/>
        <v>0</v>
      </c>
      <c r="E136" s="42">
        <f t="shared" si="78"/>
        <v>0</v>
      </c>
      <c r="F136" s="42">
        <f t="shared" si="78"/>
        <v>0.56424581005586594</v>
      </c>
      <c r="G136" s="42">
        <f t="shared" si="78"/>
        <v>1</v>
      </c>
      <c r="H136" s="42">
        <f t="shared" si="78"/>
        <v>0.96405063291139226</v>
      </c>
      <c r="I136" s="42">
        <f t="shared" ref="I136" si="79">SUM(I124:I129)/SUM(I124:I135)</f>
        <v>0.68536125837970463</v>
      </c>
      <c r="J136" s="42">
        <f t="shared" si="78"/>
        <v>0.73474178403755885</v>
      </c>
      <c r="K136" s="42">
        <f t="shared" si="78"/>
        <v>0.75000000000000011</v>
      </c>
      <c r="L136" s="42">
        <f t="shared" si="78"/>
        <v>0</v>
      </c>
      <c r="M136" s="42">
        <f t="shared" si="78"/>
        <v>0.54480395121459524</v>
      </c>
      <c r="N136" s="42">
        <f t="shared" si="78"/>
        <v>0.65638389031705224</v>
      </c>
      <c r="O136" s="42">
        <f t="shared" si="78"/>
        <v>3.8808282353982607E-2</v>
      </c>
      <c r="P136" s="42">
        <f t="shared" si="78"/>
        <v>0.5933081460531866</v>
      </c>
      <c r="Q136" s="42">
        <f t="shared" si="78"/>
        <v>0.82409638554216857</v>
      </c>
      <c r="R136" s="42">
        <f t="shared" si="78"/>
        <v>0.16876387860843819</v>
      </c>
      <c r="S136" s="42">
        <f t="shared" si="78"/>
        <v>0.10344827586206898</v>
      </c>
      <c r="T136" s="42">
        <f t="shared" si="78"/>
        <v>0.21212121212121213</v>
      </c>
      <c r="U136" s="42">
        <f t="shared" ref="U136" si="80">SUM(U124:U129)/SUM(U124:U135)</f>
        <v>0</v>
      </c>
      <c r="V136" s="42">
        <f t="shared" si="78"/>
        <v>1</v>
      </c>
      <c r="W136" s="42">
        <f t="shared" si="78"/>
        <v>9.2292089249492906E-2</v>
      </c>
      <c r="X136" s="42">
        <f t="shared" si="78"/>
        <v>0</v>
      </c>
      <c r="Y136" s="42">
        <f t="shared" si="78"/>
        <v>0.50349650349650354</v>
      </c>
      <c r="Z136" s="42">
        <f t="shared" si="78"/>
        <v>1</v>
      </c>
      <c r="AA136" s="42">
        <f t="shared" si="78"/>
        <v>0.80303030303030309</v>
      </c>
      <c r="AB136" s="42">
        <f t="shared" si="78"/>
        <v>1</v>
      </c>
      <c r="AC136" s="42">
        <f t="shared" si="78"/>
        <v>0</v>
      </c>
      <c r="AD136" s="42">
        <f t="shared" si="78"/>
        <v>0.99476096922069412</v>
      </c>
      <c r="AE136" s="42">
        <f t="shared" si="78"/>
        <v>1</v>
      </c>
      <c r="AF136" s="42">
        <f t="shared" si="78"/>
        <v>1</v>
      </c>
      <c r="AG136" s="42">
        <f t="shared" si="78"/>
        <v>0.92233009708737856</v>
      </c>
      <c r="AH136" s="42">
        <f t="shared" si="78"/>
        <v>1</v>
      </c>
      <c r="AI136" s="42">
        <f t="shared" si="78"/>
        <v>1</v>
      </c>
      <c r="AJ136" s="42">
        <f t="shared" si="78"/>
        <v>7.7447637603507063E-2</v>
      </c>
      <c r="AK136" s="42">
        <f t="shared" si="78"/>
        <v>0.87195961450206538</v>
      </c>
      <c r="AL136" s="42">
        <f t="shared" si="78"/>
        <v>0</v>
      </c>
      <c r="AM136" s="42">
        <f t="shared" si="78"/>
        <v>0</v>
      </c>
      <c r="AN136" s="42">
        <f t="shared" si="78"/>
        <v>0.81343283582089554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</row>
    <row r="137" spans="1:50" ht="14.25" customHeight="1">
      <c r="B137" s="1" t="s">
        <v>204</v>
      </c>
      <c r="C137" s="42">
        <f t="shared" ref="C137:AN137" si="81">SUM(C130:C135)/SUM(C124:C135)</f>
        <v>1</v>
      </c>
      <c r="D137" s="42">
        <f t="shared" si="81"/>
        <v>1</v>
      </c>
      <c r="E137" s="42">
        <f t="shared" si="81"/>
        <v>1</v>
      </c>
      <c r="F137" s="42">
        <f t="shared" si="81"/>
        <v>0.43575418994413412</v>
      </c>
      <c r="G137" s="42">
        <f t="shared" si="81"/>
        <v>0</v>
      </c>
      <c r="H137" s="42">
        <f t="shared" si="81"/>
        <v>3.5949367088607589E-2</v>
      </c>
      <c r="I137" s="42">
        <f t="shared" ref="I137" si="82">SUM(I130:I135)/SUM(I124:I135)</f>
        <v>0.31463874162029531</v>
      </c>
      <c r="J137" s="42">
        <f t="shared" si="81"/>
        <v>0.26525821596244137</v>
      </c>
      <c r="K137" s="42">
        <f t="shared" si="81"/>
        <v>0.25</v>
      </c>
      <c r="L137" s="42">
        <f t="shared" si="81"/>
        <v>1</v>
      </c>
      <c r="M137" s="42">
        <f t="shared" si="81"/>
        <v>0.45519604878540471</v>
      </c>
      <c r="N137" s="42">
        <f t="shared" si="81"/>
        <v>0.34361610968294776</v>
      </c>
      <c r="O137" s="42">
        <f t="shared" si="81"/>
        <v>0.96119171764601752</v>
      </c>
      <c r="P137" s="42">
        <f t="shared" si="81"/>
        <v>0.40669185394681351</v>
      </c>
      <c r="Q137" s="42">
        <f t="shared" si="81"/>
        <v>0.17590361445783129</v>
      </c>
      <c r="R137" s="42">
        <f t="shared" si="81"/>
        <v>0.83123612139156178</v>
      </c>
      <c r="S137" s="42">
        <f t="shared" si="81"/>
        <v>0.89655172413793116</v>
      </c>
      <c r="T137" s="42">
        <f t="shared" si="81"/>
        <v>0.78787878787878785</v>
      </c>
      <c r="U137" s="42">
        <f t="shared" ref="U137" si="83">SUM(U130:U135)/SUM(U124:U135)</f>
        <v>1</v>
      </c>
      <c r="V137" s="42">
        <f t="shared" si="81"/>
        <v>0</v>
      </c>
      <c r="W137" s="42">
        <f t="shared" si="81"/>
        <v>0.90770791075050716</v>
      </c>
      <c r="X137" s="42">
        <f t="shared" si="81"/>
        <v>1</v>
      </c>
      <c r="Y137" s="42">
        <f t="shared" si="81"/>
        <v>0.49650349650349646</v>
      </c>
      <c r="Z137" s="42">
        <f t="shared" si="81"/>
        <v>0</v>
      </c>
      <c r="AA137" s="42">
        <f t="shared" si="81"/>
        <v>0.19696969696969699</v>
      </c>
      <c r="AB137" s="42">
        <f t="shared" si="81"/>
        <v>0</v>
      </c>
      <c r="AC137" s="42">
        <f t="shared" si="81"/>
        <v>1</v>
      </c>
      <c r="AD137" s="42">
        <f t="shared" si="81"/>
        <v>5.2390307793058295E-3</v>
      </c>
      <c r="AE137" s="42">
        <f t="shared" si="81"/>
        <v>0</v>
      </c>
      <c r="AF137" s="42">
        <f t="shared" si="81"/>
        <v>0</v>
      </c>
      <c r="AG137" s="42">
        <f t="shared" si="81"/>
        <v>7.7669902912621352E-2</v>
      </c>
      <c r="AH137" s="42">
        <f t="shared" si="81"/>
        <v>0</v>
      </c>
      <c r="AI137" s="42">
        <f t="shared" si="81"/>
        <v>0</v>
      </c>
      <c r="AJ137" s="42">
        <f t="shared" si="81"/>
        <v>0.92255236239649296</v>
      </c>
      <c r="AK137" s="42">
        <f t="shared" si="81"/>
        <v>0.12804038549793487</v>
      </c>
      <c r="AL137" s="42">
        <f t="shared" si="81"/>
        <v>1</v>
      </c>
      <c r="AM137" s="42">
        <f t="shared" si="81"/>
        <v>1</v>
      </c>
      <c r="AN137" s="42">
        <f t="shared" si="81"/>
        <v>0.18656716417910446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</row>
    <row r="138" spans="1:50" ht="14.25" customHeight="1"/>
    <row r="139" spans="1:50" ht="14.25" customHeight="1">
      <c r="A139" s="34"/>
      <c r="B139" s="35" t="s">
        <v>205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</row>
    <row r="140" spans="1:50" ht="14.25" customHeight="1">
      <c r="B140" s="44" t="s">
        <v>206</v>
      </c>
      <c r="C140" s="13">
        <v>5931</v>
      </c>
      <c r="D140" s="1">
        <v>709</v>
      </c>
      <c r="E140" s="13">
        <v>2463</v>
      </c>
      <c r="F140" s="13">
        <v>13697</v>
      </c>
      <c r="G140" s="13">
        <v>20198</v>
      </c>
      <c r="H140" s="13">
        <v>26383</v>
      </c>
      <c r="I140" s="13">
        <v>76304</v>
      </c>
      <c r="J140" s="13">
        <v>11083</v>
      </c>
      <c r="K140" s="13">
        <v>1624</v>
      </c>
      <c r="L140" s="13">
        <v>3477</v>
      </c>
      <c r="M140" s="13">
        <v>6357</v>
      </c>
      <c r="N140" s="13">
        <v>6411</v>
      </c>
      <c r="O140" s="13">
        <v>19097</v>
      </c>
      <c r="P140" s="13">
        <v>11566</v>
      </c>
      <c r="Q140" s="13">
        <v>15608</v>
      </c>
      <c r="R140" s="13">
        <v>9961</v>
      </c>
      <c r="S140" s="13">
        <v>42077</v>
      </c>
      <c r="T140" s="13">
        <v>2368</v>
      </c>
      <c r="U140" s="13">
        <v>562</v>
      </c>
      <c r="V140" s="13">
        <v>1314</v>
      </c>
      <c r="W140" s="13">
        <v>732604</v>
      </c>
      <c r="X140" s="13">
        <v>194189</v>
      </c>
      <c r="Y140" s="13">
        <v>1426</v>
      </c>
      <c r="Z140" s="13">
        <v>1255</v>
      </c>
      <c r="AA140" s="13">
        <v>2238</v>
      </c>
      <c r="AB140" s="13">
        <v>11199</v>
      </c>
      <c r="AC140" s="13">
        <v>89830</v>
      </c>
      <c r="AD140" s="13">
        <v>12609</v>
      </c>
      <c r="AE140" s="1">
        <v>774</v>
      </c>
      <c r="AF140" s="1">
        <v>506</v>
      </c>
      <c r="AG140" s="1">
        <v>311</v>
      </c>
      <c r="AH140" s="13">
        <v>1347</v>
      </c>
      <c r="AI140" s="13">
        <v>2190</v>
      </c>
      <c r="AJ140" s="19">
        <v>72107.376669999998</v>
      </c>
      <c r="AK140" s="1">
        <v>45</v>
      </c>
      <c r="AL140" s="1">
        <v>716</v>
      </c>
      <c r="AM140" s="1">
        <v>357</v>
      </c>
      <c r="AN140" s="13">
        <v>33279</v>
      </c>
    </row>
    <row r="141" spans="1:50" ht="14.25" customHeight="1">
      <c r="B141" s="44" t="s">
        <v>207</v>
      </c>
      <c r="C141" s="31">
        <v>0.37</v>
      </c>
      <c r="D141" s="31">
        <v>0.35</v>
      </c>
      <c r="E141" s="31">
        <v>0.06</v>
      </c>
      <c r="F141" s="31">
        <v>0.13</v>
      </c>
      <c r="G141" s="31">
        <v>0.95</v>
      </c>
      <c r="H141" s="31">
        <v>0.1</v>
      </c>
      <c r="I141" s="31">
        <v>0.42</v>
      </c>
      <c r="J141" s="31">
        <v>0.12</v>
      </c>
      <c r="K141" s="31">
        <v>0.24</v>
      </c>
      <c r="L141" s="31">
        <v>0.32</v>
      </c>
      <c r="M141" s="31">
        <v>0.26</v>
      </c>
      <c r="N141" s="31">
        <v>0.23</v>
      </c>
      <c r="O141" s="31">
        <v>0.45</v>
      </c>
      <c r="P141" s="31">
        <v>0.14000000000000001</v>
      </c>
      <c r="Q141" s="31">
        <v>0.42</v>
      </c>
      <c r="R141" s="31">
        <v>0.51</v>
      </c>
      <c r="S141" s="31">
        <v>0.28999999999999998</v>
      </c>
      <c r="T141" s="31">
        <v>0.71</v>
      </c>
      <c r="U141" s="31">
        <v>0.1</v>
      </c>
      <c r="V141" s="31">
        <v>0.03</v>
      </c>
      <c r="W141" s="31">
        <v>0.59</v>
      </c>
      <c r="X141" s="31">
        <v>0.18</v>
      </c>
      <c r="Y141" s="31">
        <v>0.09</v>
      </c>
      <c r="Z141" s="31">
        <v>0.28999999999999998</v>
      </c>
      <c r="AA141" s="31">
        <v>0.64</v>
      </c>
      <c r="AB141" s="31">
        <v>0.38</v>
      </c>
      <c r="AC141" s="31">
        <v>0.66</v>
      </c>
      <c r="AD141" s="31">
        <v>0.05</v>
      </c>
      <c r="AE141" s="31">
        <v>0.09</v>
      </c>
      <c r="AF141" s="31">
        <v>7.0000000000000007E-2</v>
      </c>
      <c r="AG141" s="31">
        <v>0.04</v>
      </c>
      <c r="AH141" s="31">
        <v>0.12</v>
      </c>
      <c r="AI141" s="31">
        <v>0.13</v>
      </c>
      <c r="AJ141" s="24">
        <v>0.49790000000000001</v>
      </c>
      <c r="AK141" s="31">
        <v>0.01</v>
      </c>
      <c r="AL141" s="31">
        <v>0.03</v>
      </c>
      <c r="AM141" s="31">
        <v>0.04</v>
      </c>
      <c r="AN141" s="31">
        <v>0.62</v>
      </c>
    </row>
    <row r="142" spans="1:50" ht="14.25" customHeight="1">
      <c r="B142" s="44"/>
    </row>
    <row r="143" spans="1:50" ht="29.25" customHeight="1">
      <c r="B143" s="44" t="s">
        <v>208</v>
      </c>
      <c r="C143" s="24">
        <v>0.64410000000000001</v>
      </c>
      <c r="D143" s="24">
        <v>0.97870000000000001</v>
      </c>
      <c r="E143" s="24">
        <v>0.26329999999999998</v>
      </c>
      <c r="F143" s="24">
        <v>0.49020000000000002</v>
      </c>
      <c r="G143" s="24">
        <v>0.95720000000000005</v>
      </c>
      <c r="H143" s="24">
        <v>0.54459999999999997</v>
      </c>
      <c r="I143" s="24">
        <v>0.9748</v>
      </c>
      <c r="J143" s="24">
        <v>2.8000000000000001E-2</v>
      </c>
      <c r="K143" s="24">
        <v>0.46579999999999999</v>
      </c>
      <c r="L143" s="24">
        <v>0.75449999999999995</v>
      </c>
      <c r="M143" s="24">
        <v>2.5100000000000001E-2</v>
      </c>
      <c r="N143" s="24">
        <v>0.7792</v>
      </c>
      <c r="O143" s="24">
        <v>5.28E-2</v>
      </c>
      <c r="P143" s="24">
        <v>0.21360000000000001</v>
      </c>
      <c r="Q143" s="24">
        <v>0.88170000000000004</v>
      </c>
      <c r="R143" s="24">
        <v>0.94040000000000001</v>
      </c>
      <c r="S143" s="24">
        <v>0.56140000000000001</v>
      </c>
      <c r="T143" s="24">
        <v>0.93210000000000004</v>
      </c>
      <c r="U143" s="24">
        <v>0.86029999999999995</v>
      </c>
      <c r="V143" s="24">
        <v>0.94130000000000003</v>
      </c>
      <c r="W143" s="24">
        <v>0.85719999999999996</v>
      </c>
      <c r="X143" s="24">
        <v>0.21590000000000001</v>
      </c>
      <c r="Y143" s="24">
        <v>0.72299999999999998</v>
      </c>
      <c r="Z143" s="24">
        <v>0.90900000000000003</v>
      </c>
      <c r="AA143" s="24">
        <v>0.98280000000000001</v>
      </c>
      <c r="AB143" s="24">
        <v>0.1706</v>
      </c>
      <c r="AC143" s="24">
        <v>0.67279999999999995</v>
      </c>
      <c r="AD143" s="24">
        <v>0.18590000000000001</v>
      </c>
      <c r="AE143" s="24">
        <v>0.67290000000000005</v>
      </c>
      <c r="AF143" s="24">
        <v>0.54400000000000004</v>
      </c>
      <c r="AG143" s="24">
        <v>0.15740000000000001</v>
      </c>
      <c r="AH143" s="24">
        <v>0.11169999999999999</v>
      </c>
      <c r="AI143" s="24">
        <v>0.23380000000000001</v>
      </c>
      <c r="AJ143" s="24">
        <v>0.84389999999999998</v>
      </c>
      <c r="AK143" s="24">
        <v>0.24349999999999999</v>
      </c>
      <c r="AL143" s="24">
        <v>0.72199999999999998</v>
      </c>
      <c r="AM143" s="24">
        <v>0.85729999999999995</v>
      </c>
      <c r="AN143" s="24">
        <v>0.95599999999999996</v>
      </c>
    </row>
    <row r="144" spans="1:50" ht="28.5" customHeight="1">
      <c r="B144" s="44" t="s">
        <v>209</v>
      </c>
      <c r="C144" s="24">
        <v>0.10349999999999999</v>
      </c>
      <c r="D144" s="24">
        <v>1.89E-2</v>
      </c>
      <c r="E144" s="24">
        <v>0.39660000000000001</v>
      </c>
      <c r="F144" s="24">
        <v>0.35289999999999999</v>
      </c>
      <c r="G144" s="24">
        <v>6.4999999999999997E-3</v>
      </c>
      <c r="H144" s="24">
        <v>0.2823</v>
      </c>
      <c r="I144" s="24">
        <v>2.2200000000000001E-2</v>
      </c>
      <c r="J144" s="24">
        <v>0.39090000000000003</v>
      </c>
      <c r="K144" s="24">
        <v>0.1658</v>
      </c>
      <c r="L144" s="24">
        <v>1.3899999999999999E-2</v>
      </c>
      <c r="M144" s="24">
        <v>0.158</v>
      </c>
      <c r="N144" s="24">
        <v>2.0400000000000001E-2</v>
      </c>
      <c r="O144" s="24">
        <v>0.1706</v>
      </c>
      <c r="P144" s="24">
        <v>0.13250000000000001</v>
      </c>
      <c r="Q144" s="24">
        <v>0.1072</v>
      </c>
      <c r="R144" s="24">
        <v>4.2200000000000001E-2</v>
      </c>
      <c r="S144" s="24">
        <v>0.15720000000000001</v>
      </c>
      <c r="T144" s="24">
        <v>3.0200000000000001E-2</v>
      </c>
      <c r="U144" s="24">
        <v>0.121</v>
      </c>
      <c r="V144" s="24">
        <v>3.5200000000000002E-2</v>
      </c>
      <c r="W144" s="24">
        <v>6.3200000000000006E-2</v>
      </c>
      <c r="X144" s="24">
        <v>0.28739999999999999</v>
      </c>
      <c r="Y144" s="24">
        <v>0.10639999999999999</v>
      </c>
      <c r="Z144" s="24">
        <v>0.09</v>
      </c>
      <c r="AA144" s="24">
        <v>8.0000000000000002E-3</v>
      </c>
      <c r="AB144" s="24">
        <v>7.4399999999999994E-2</v>
      </c>
      <c r="AC144" s="24">
        <v>3.2500000000000001E-2</v>
      </c>
      <c r="AD144" s="24">
        <v>0.56189999999999996</v>
      </c>
      <c r="AE144" s="24">
        <v>0.32419999999999999</v>
      </c>
      <c r="AF144" s="24">
        <v>0.19209999999999999</v>
      </c>
      <c r="AG144" s="24">
        <v>0.81969999999999998</v>
      </c>
      <c r="AH144" s="24">
        <v>9.4299999999999995E-2</v>
      </c>
      <c r="AI144" s="24">
        <v>0.47610000000000002</v>
      </c>
      <c r="AJ144" s="24">
        <v>2.8400000000000002E-2</v>
      </c>
      <c r="AK144" s="24">
        <v>0.71830000000000005</v>
      </c>
      <c r="AL144" s="24">
        <v>0.26569999999999999</v>
      </c>
      <c r="AM144" s="24">
        <v>0.13639999999999999</v>
      </c>
      <c r="AN144" s="24">
        <v>3.2899999999999999E-2</v>
      </c>
    </row>
    <row r="145" spans="2:40" ht="27.75" customHeight="1">
      <c r="B145" s="44" t="s">
        <v>210</v>
      </c>
      <c r="C145" s="24">
        <v>1.5E-3</v>
      </c>
      <c r="D145" s="24">
        <v>1.4E-3</v>
      </c>
      <c r="E145" s="24">
        <v>1.5900000000000001E-2</v>
      </c>
      <c r="F145" s="24">
        <v>8.0000000000000004E-4</v>
      </c>
      <c r="G145" s="24">
        <v>0</v>
      </c>
      <c r="H145" s="24">
        <v>4.0000000000000002E-4</v>
      </c>
      <c r="I145" s="24">
        <v>8.0000000000000004E-4</v>
      </c>
      <c r="J145" s="24">
        <v>5.5999999999999999E-3</v>
      </c>
      <c r="K145" s="24">
        <v>8.9999999999999998E-4</v>
      </c>
      <c r="L145" s="24">
        <v>1E-4</v>
      </c>
      <c r="M145" s="24">
        <v>9.5999999999999992E-3</v>
      </c>
      <c r="N145" s="24">
        <v>1.61E-2</v>
      </c>
      <c r="O145" s="24">
        <v>4.0000000000000002E-4</v>
      </c>
      <c r="P145" s="24">
        <v>1E-3</v>
      </c>
      <c r="Q145" s="24">
        <v>1.5E-3</v>
      </c>
      <c r="R145" s="24">
        <v>3.2000000000000002E-3</v>
      </c>
      <c r="S145" s="24">
        <v>8.0999999999999996E-3</v>
      </c>
      <c r="T145" s="24">
        <v>1.8E-3</v>
      </c>
      <c r="U145" s="24">
        <v>1.7399999999999999E-2</v>
      </c>
      <c r="V145" s="24">
        <v>0</v>
      </c>
      <c r="W145" s="24">
        <v>0</v>
      </c>
      <c r="X145" s="24">
        <v>1E-4</v>
      </c>
      <c r="Y145" s="24">
        <v>2.3999999999999998E-3</v>
      </c>
      <c r="Z145" s="24">
        <v>0</v>
      </c>
      <c r="AA145" s="24">
        <v>2.0000000000000001E-4</v>
      </c>
      <c r="AB145" s="24">
        <v>0</v>
      </c>
      <c r="AC145" s="24">
        <v>5.0000000000000001E-4</v>
      </c>
      <c r="AD145" s="24">
        <v>0</v>
      </c>
      <c r="AE145" s="24">
        <v>0</v>
      </c>
      <c r="AF145" s="24">
        <v>0</v>
      </c>
      <c r="AG145" s="24">
        <v>3.0999999999999999E-3</v>
      </c>
      <c r="AH145" s="24">
        <v>0</v>
      </c>
      <c r="AI145" s="24">
        <v>0</v>
      </c>
      <c r="AJ145" s="24">
        <v>6.7000000000000002E-3</v>
      </c>
      <c r="AK145" s="24">
        <v>9.7000000000000003E-3</v>
      </c>
      <c r="AL145" s="24">
        <v>5.4999999999999997E-3</v>
      </c>
      <c r="AM145" s="24">
        <v>8.0000000000000004E-4</v>
      </c>
      <c r="AN145" s="24">
        <v>1E-3</v>
      </c>
    </row>
    <row r="146" spans="2:40" ht="34.5" customHeight="1">
      <c r="B146" s="44" t="s">
        <v>211</v>
      </c>
      <c r="C146" s="24">
        <v>0</v>
      </c>
      <c r="D146" s="24">
        <v>0</v>
      </c>
      <c r="E146" s="24">
        <v>0</v>
      </c>
      <c r="F146" s="24">
        <v>4.7999999999999996E-3</v>
      </c>
      <c r="G146" s="24">
        <v>0</v>
      </c>
      <c r="H146" s="24">
        <v>2E-3</v>
      </c>
      <c r="I146" s="24">
        <v>1.2999999999999999E-3</v>
      </c>
      <c r="J146" s="24">
        <v>1.11E-2</v>
      </c>
      <c r="K146" s="24">
        <v>3.2599999999999997E-2</v>
      </c>
      <c r="L146" s="24">
        <v>0</v>
      </c>
      <c r="M146" s="24">
        <v>2.93E-2</v>
      </c>
      <c r="N146" s="24">
        <v>8.7300000000000003E-2</v>
      </c>
      <c r="O146" s="24">
        <v>0</v>
      </c>
      <c r="P146" s="24">
        <v>0</v>
      </c>
      <c r="Q146" s="24">
        <v>5.9999999999999995E-4</v>
      </c>
      <c r="R146" s="24">
        <v>0</v>
      </c>
      <c r="S146" s="24">
        <v>6.9999999999999999E-4</v>
      </c>
      <c r="T146" s="24">
        <v>1E-3</v>
      </c>
      <c r="U146" s="24">
        <v>0</v>
      </c>
      <c r="V146" s="24">
        <v>2.3099999999999999E-2</v>
      </c>
      <c r="W146" s="24">
        <v>4.8999999999999998E-3</v>
      </c>
      <c r="X146" s="24">
        <v>0</v>
      </c>
      <c r="Y146" s="24">
        <v>6.7999999999999996E-3</v>
      </c>
      <c r="Z146" s="24">
        <v>0</v>
      </c>
      <c r="AA146" s="24">
        <v>0</v>
      </c>
      <c r="AB146" s="24">
        <v>2.3199999999999998E-2</v>
      </c>
      <c r="AC146" s="24">
        <v>0</v>
      </c>
      <c r="AD146" s="24">
        <v>1.11E-2</v>
      </c>
      <c r="AE146" s="24">
        <v>2.8E-3</v>
      </c>
      <c r="AF146" s="24">
        <v>2.2000000000000001E-3</v>
      </c>
      <c r="AG146" s="24">
        <v>6.1000000000000004E-3</v>
      </c>
      <c r="AH146" s="24">
        <v>1.1000000000000001E-3</v>
      </c>
      <c r="AI146" s="24">
        <v>0.28410000000000002</v>
      </c>
      <c r="AJ146" s="24">
        <v>6.9999999999999999E-4</v>
      </c>
      <c r="AK146" s="24">
        <v>0</v>
      </c>
      <c r="AL146" s="24">
        <v>0</v>
      </c>
      <c r="AM146" s="24">
        <v>0</v>
      </c>
      <c r="AN146" s="24">
        <v>0</v>
      </c>
    </row>
    <row r="147" spans="2:40" ht="30.75" customHeight="1">
      <c r="B147" s="44" t="s">
        <v>212</v>
      </c>
      <c r="C147" s="24">
        <v>0.13270000000000001</v>
      </c>
      <c r="D147" s="24">
        <v>0</v>
      </c>
      <c r="E147" s="24">
        <v>2.9999999999999997E-4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5.0000000000000001E-4</v>
      </c>
      <c r="L147" s="24">
        <v>0</v>
      </c>
      <c r="M147" s="24">
        <v>0</v>
      </c>
      <c r="N147" s="24">
        <v>6.2199999999999998E-2</v>
      </c>
      <c r="O147" s="24">
        <v>1.1000000000000001E-3</v>
      </c>
      <c r="P147" s="24">
        <v>6.1000000000000004E-3</v>
      </c>
      <c r="Q147" s="24">
        <v>1.1000000000000001E-3</v>
      </c>
      <c r="R147" s="24">
        <v>0</v>
      </c>
      <c r="S147" s="24">
        <v>0.24229999999999999</v>
      </c>
      <c r="T147" s="24">
        <v>8.0000000000000004E-4</v>
      </c>
      <c r="U147" s="24">
        <v>8.0000000000000004E-4</v>
      </c>
      <c r="V147" s="24">
        <v>0</v>
      </c>
      <c r="W147" s="24">
        <v>0</v>
      </c>
      <c r="X147" s="24">
        <v>6.9999999999999999E-4</v>
      </c>
      <c r="Y147" s="24">
        <v>1.1999999999999999E-3</v>
      </c>
      <c r="Z147" s="24">
        <v>0</v>
      </c>
      <c r="AA147" s="24">
        <v>0</v>
      </c>
      <c r="AB147" s="24">
        <v>0</v>
      </c>
      <c r="AC147" s="24">
        <v>4.0000000000000001E-3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8.6E-3</v>
      </c>
      <c r="AK147" s="24">
        <v>0</v>
      </c>
      <c r="AL147" s="24">
        <v>0</v>
      </c>
      <c r="AM147" s="24">
        <v>0</v>
      </c>
      <c r="AN147" s="24">
        <v>0</v>
      </c>
    </row>
    <row r="148" spans="2:40" ht="27.75" customHeight="1">
      <c r="B148" s="44" t="s">
        <v>213</v>
      </c>
      <c r="C148" s="24">
        <v>0</v>
      </c>
      <c r="D148" s="24">
        <v>0</v>
      </c>
      <c r="E148" s="24">
        <v>1E-4</v>
      </c>
      <c r="F148" s="24">
        <v>2.9999999999999997E-4</v>
      </c>
      <c r="G148" s="24">
        <v>4.0000000000000002E-4</v>
      </c>
      <c r="H148" s="24">
        <v>9.7999999999999997E-3</v>
      </c>
      <c r="I148" s="24">
        <v>6.9999999999999999E-4</v>
      </c>
      <c r="J148" s="24">
        <v>1.4E-3</v>
      </c>
      <c r="K148" s="24">
        <v>7.7000000000000002E-3</v>
      </c>
      <c r="L148" s="24">
        <v>0</v>
      </c>
      <c r="M148" s="24">
        <v>5.7999999999999996E-3</v>
      </c>
      <c r="N148" s="24">
        <v>0</v>
      </c>
      <c r="O148" s="24">
        <v>2.9999999999999997E-4</v>
      </c>
      <c r="P148" s="24">
        <v>1E-3</v>
      </c>
      <c r="Q148" s="24">
        <v>1.9E-3</v>
      </c>
      <c r="R148" s="24">
        <v>2.9999999999999997E-4</v>
      </c>
      <c r="S148" s="24">
        <v>6.0000000000000001E-3</v>
      </c>
      <c r="T148" s="24">
        <v>1E-3</v>
      </c>
      <c r="U148" s="24">
        <v>4.0000000000000002E-4</v>
      </c>
      <c r="V148" s="24">
        <v>0</v>
      </c>
      <c r="W148" s="24">
        <v>1.1000000000000001E-3</v>
      </c>
      <c r="X148" s="24">
        <v>0</v>
      </c>
      <c r="Y148" s="24">
        <v>2.0000000000000001E-4</v>
      </c>
      <c r="Z148" s="24">
        <v>6.9999999999999999E-4</v>
      </c>
      <c r="AA148" s="24">
        <v>1E-4</v>
      </c>
      <c r="AB148" s="24">
        <v>0</v>
      </c>
      <c r="AC148" s="24">
        <v>2.0999999999999999E-3</v>
      </c>
      <c r="AD148" s="24">
        <v>0</v>
      </c>
      <c r="AE148" s="24">
        <v>0</v>
      </c>
      <c r="AF148" s="24">
        <v>5.9999999999999995E-4</v>
      </c>
      <c r="AG148" s="24">
        <v>1.1999999999999999E-3</v>
      </c>
      <c r="AH148" s="24">
        <v>1E-4</v>
      </c>
      <c r="AI148" s="24">
        <v>5.3E-3</v>
      </c>
      <c r="AJ148" s="24">
        <v>2.9999999999999997E-4</v>
      </c>
      <c r="AK148" s="24">
        <v>0</v>
      </c>
      <c r="AL148" s="24">
        <v>2.9999999999999997E-4</v>
      </c>
      <c r="AM148" s="24">
        <v>0</v>
      </c>
      <c r="AN148" s="24">
        <v>1E-4</v>
      </c>
    </row>
    <row r="149" spans="2:40" ht="46.5" customHeight="1">
      <c r="B149" s="44" t="s">
        <v>214</v>
      </c>
      <c r="C149" s="24">
        <v>0.1182</v>
      </c>
      <c r="D149" s="24">
        <v>1E-3</v>
      </c>
      <c r="E149" s="24">
        <v>0.32379999999999998</v>
      </c>
      <c r="F149" s="24">
        <v>0.151</v>
      </c>
      <c r="G149" s="24">
        <v>3.5799999999999998E-2</v>
      </c>
      <c r="H149" s="24">
        <v>0.161</v>
      </c>
      <c r="I149" s="24">
        <v>2.0000000000000001E-4</v>
      </c>
      <c r="J149" s="24">
        <v>0.56289999999999996</v>
      </c>
      <c r="K149" s="24">
        <v>0.32669999999999999</v>
      </c>
      <c r="L149" s="24">
        <v>0.2316</v>
      </c>
      <c r="M149" s="24">
        <v>0.7722</v>
      </c>
      <c r="N149" s="24">
        <v>3.4700000000000002E-2</v>
      </c>
      <c r="O149" s="24">
        <v>0.77480000000000004</v>
      </c>
      <c r="P149" s="24">
        <v>0.64580000000000004</v>
      </c>
      <c r="Q149" s="24">
        <v>6.0000000000000001E-3</v>
      </c>
      <c r="R149" s="24">
        <v>1.38E-2</v>
      </c>
      <c r="S149" s="24">
        <v>2.4199999999999999E-2</v>
      </c>
      <c r="T149" s="24">
        <v>3.3099999999999997E-2</v>
      </c>
      <c r="U149" s="24">
        <v>2.0000000000000001E-4</v>
      </c>
      <c r="V149" s="24">
        <v>4.0000000000000002E-4</v>
      </c>
      <c r="W149" s="24">
        <v>7.3700000000000002E-2</v>
      </c>
      <c r="X149" s="24">
        <v>0.49590000000000001</v>
      </c>
      <c r="Y149" s="24">
        <v>0.15989999999999999</v>
      </c>
      <c r="Z149" s="24">
        <v>2.9999999999999997E-4</v>
      </c>
      <c r="AA149" s="24">
        <v>8.9999999999999993E-3</v>
      </c>
      <c r="AB149" s="24">
        <v>0.73180000000000001</v>
      </c>
      <c r="AC149" s="24">
        <v>0.28810000000000002</v>
      </c>
      <c r="AD149" s="24">
        <v>0.24110000000000001</v>
      </c>
      <c r="AE149" s="24">
        <v>1E-4</v>
      </c>
      <c r="AF149" s="24">
        <v>0.26129999999999998</v>
      </c>
      <c r="AG149" s="24">
        <v>1.2500000000000001E-2</v>
      </c>
      <c r="AH149" s="24">
        <v>0.79279999999999995</v>
      </c>
      <c r="AI149" s="24">
        <v>6.9999999999999999E-4</v>
      </c>
      <c r="AJ149" s="24">
        <v>0.1115</v>
      </c>
      <c r="AK149" s="24">
        <v>2.86E-2</v>
      </c>
      <c r="AL149" s="24">
        <v>6.4999999999999997E-3</v>
      </c>
      <c r="AM149" s="24">
        <v>5.4000000000000003E-3</v>
      </c>
      <c r="AN149" s="24">
        <v>0.01</v>
      </c>
    </row>
    <row r="150" spans="2:40" ht="14.25" customHeight="1"/>
    <row r="151" spans="2:40" ht="14.25" customHeight="1">
      <c r="B151" s="53" t="s">
        <v>215</v>
      </c>
      <c r="C151">
        <v>2021</v>
      </c>
      <c r="D151">
        <v>2021</v>
      </c>
      <c r="E151">
        <v>2021</v>
      </c>
      <c r="F151">
        <v>2021</v>
      </c>
      <c r="G151">
        <v>2021</v>
      </c>
      <c r="H151">
        <v>2022</v>
      </c>
      <c r="I151">
        <v>2022</v>
      </c>
      <c r="J151">
        <v>2021</v>
      </c>
      <c r="K151">
        <v>2021</v>
      </c>
      <c r="L151">
        <v>2021</v>
      </c>
      <c r="M151">
        <v>2021</v>
      </c>
      <c r="N151">
        <v>2021</v>
      </c>
      <c r="O151">
        <v>2021</v>
      </c>
      <c r="P151">
        <v>2021</v>
      </c>
      <c r="Q151">
        <v>2020</v>
      </c>
      <c r="R151">
        <v>2020</v>
      </c>
      <c r="S151">
        <v>2019</v>
      </c>
      <c r="T151">
        <v>2022</v>
      </c>
      <c r="U151">
        <v>2021</v>
      </c>
      <c r="V151">
        <v>2021</v>
      </c>
      <c r="W151">
        <v>2021</v>
      </c>
      <c r="X151">
        <v>2021</v>
      </c>
      <c r="Y151">
        <v>2021</v>
      </c>
      <c r="Z151">
        <v>2021</v>
      </c>
      <c r="AA151">
        <v>2021</v>
      </c>
      <c r="AB151">
        <v>2022</v>
      </c>
      <c r="AC151">
        <v>2021</v>
      </c>
      <c r="AD151">
        <v>2021</v>
      </c>
      <c r="AE151">
        <v>2021</v>
      </c>
      <c r="AF151">
        <v>2021</v>
      </c>
      <c r="AG151">
        <v>2021</v>
      </c>
      <c r="AH151">
        <v>2021</v>
      </c>
      <c r="AI151">
        <v>2021</v>
      </c>
      <c r="AJ151">
        <v>2021</v>
      </c>
      <c r="AK151">
        <v>2021</v>
      </c>
      <c r="AL151">
        <v>2021</v>
      </c>
      <c r="AM151">
        <v>2021</v>
      </c>
      <c r="AN151">
        <v>2021</v>
      </c>
    </row>
    <row r="152" spans="2:40" ht="14.25" customHeight="1">
      <c r="B152" s="53" t="s">
        <v>216</v>
      </c>
      <c r="C152" s="47">
        <f>(19+441)/732</f>
        <v>0.62841530054644812</v>
      </c>
      <c r="D152" s="54">
        <f>(13.94+0.96-0.96*0.1)/25</f>
        <v>0.59215999999999991</v>
      </c>
      <c r="E152" s="47">
        <f>(17.71-0.1*17.71+312.04)/366</f>
        <v>0.89611748633879795</v>
      </c>
      <c r="F152" s="47">
        <f>(19.86-19.86*0.1+1241.1)/1512</f>
        <v>0.83265476190476184</v>
      </c>
      <c r="G152" s="47">
        <f>(1.01-1.01*0.1+62.16132)/898</f>
        <v>7.0234209354120267E-2</v>
      </c>
      <c r="H152" s="47">
        <f>(3200+1375-0.2*1375)/5134</f>
        <v>0.83755356447214646</v>
      </c>
      <c r="I152" s="47">
        <f>(2685-2685*0.15+626.5)/4854</f>
        <v>0.59924804285125666</v>
      </c>
      <c r="J152" s="47">
        <f>(573.24-0.1*573.24+1532.5)/2086</f>
        <v>0.98198274209012471</v>
      </c>
      <c r="K152" s="54">
        <f>(3.58-0.1*3.58+132.155)/159</f>
        <v>0.85142767295597488</v>
      </c>
      <c r="L152" s="54">
        <f>(2-2*0.1+101.5045)/166</f>
        <v>0.62231626506024096</v>
      </c>
      <c r="M152" s="47">
        <f>(110.22-110.22*0.1+264.65)/405</f>
        <v>0.89839012345679004</v>
      </c>
      <c r="N152" s="47">
        <f>(259.25-259.25*0.1+55)/423</f>
        <v>0.68161938534278954</v>
      </c>
      <c r="O152" s="47">
        <f>(11.11-11.11*0.1+459.05)/533</f>
        <v>0.88001688555347102</v>
      </c>
      <c r="P152" s="47">
        <f>(27.01-27.01*0.1+897.5)/977</f>
        <v>0.94350972364380759</v>
      </c>
      <c r="Q152" s="47">
        <f>(44.21-44.21*0.1+629.95)/1290</f>
        <v>0.51917751937984502</v>
      </c>
      <c r="R152" s="47">
        <f>(40.53-40.53*0.1+363)/708</f>
        <v>0.56423305084745756</v>
      </c>
      <c r="S152" s="47">
        <f>(502.59-502.59*0.1+1561)/3085</f>
        <v>0.65261944894651536</v>
      </c>
      <c r="T152" s="47">
        <f>(3.18-3.18*0.1+55.69)/195</f>
        <v>0.30026666666666668</v>
      </c>
      <c r="U152" s="47">
        <f>(5.15-0.1*5.15+83.045)/113</f>
        <v>0.77592920353982309</v>
      </c>
      <c r="V152" s="47">
        <f>(61.6-61.6*0.03+475)/556</f>
        <v>0.96178417266187044</v>
      </c>
      <c r="W152" s="47">
        <f>(986.01-0.1*986.01+4557.79)/11349</f>
        <v>0.47979548858930299</v>
      </c>
      <c r="X152" s="47">
        <f>(8.3-8.3*0.1+9787)/12067</f>
        <v>0.81167398690643899</v>
      </c>
      <c r="Y152" s="24">
        <f>(15.71-15.71*0.1+260.183)/297</f>
        <v>0.9236430976430976</v>
      </c>
      <c r="Z152" s="54">
        <f>(15.04-0.1*15.04+34.941)/79</f>
        <v>0.61363291139240517</v>
      </c>
      <c r="AA152" s="47">
        <f>(14.92-0.1*14.92+30.42)/75</f>
        <v>0.58463999999999994</v>
      </c>
      <c r="AB152" s="47">
        <f>(61-61*0.1+630)/757</f>
        <v>0.90475561426684281</v>
      </c>
      <c r="AC152" s="47">
        <f>(61.38-0.05*61.38+1983.2)/5733</f>
        <v>0.35609820338391768</v>
      </c>
      <c r="AD152" s="47">
        <f>(705.2-0.12*705.2+1753.338)/2418</f>
        <v>0.98176757650951185</v>
      </c>
      <c r="AE152" s="47">
        <f>(198.71-0.05*198.71+10.005)/203</f>
        <v>0.97920935960591138</v>
      </c>
      <c r="AF152" s="54">
        <f>(32.71-32.71*0.03+80)/118</f>
        <v>0.94685338983050849</v>
      </c>
      <c r="AG152" s="54">
        <f>(11.44-11.44*0.05+80)/95</f>
        <v>0.95650526315789464</v>
      </c>
      <c r="AH152" s="47">
        <f>(21.84-21.84*0.03+147.44)/172</f>
        <v>0.98037674418604648</v>
      </c>
      <c r="AI152" s="47">
        <f>(25.78-25.78*0.1+242.897)/295</f>
        <v>0.90203050847457622</v>
      </c>
      <c r="AJ152" s="47">
        <f>(178.54-178.54*0.05+1442.99)/4631</f>
        <v>0.34821917512416328</v>
      </c>
      <c r="AK152" s="47">
        <f>(23.79-23.79*0.1+40)/62</f>
        <v>0.99050000000000005</v>
      </c>
      <c r="AL152" s="47">
        <f>(93.59-93.59*0.1+311.769)/408</f>
        <v>0.97058823529411764</v>
      </c>
      <c r="AM152" s="47">
        <f>(1.68-1.68*0.1+105)/113</f>
        <v>0.94258407079646023</v>
      </c>
      <c r="AN152" s="47">
        <f>(44.68-44.68*0.1+162.63)/798</f>
        <v>0.25418796992481202</v>
      </c>
    </row>
    <row r="153" spans="2:40" ht="14.25" customHeight="1">
      <c r="C153" s="47">
        <f>C13</f>
        <v>0.63</v>
      </c>
      <c r="D153" s="47">
        <f t="shared" ref="D153:AN153" si="84">D13</f>
        <v>0.57999999999999996</v>
      </c>
      <c r="E153" s="47">
        <f t="shared" si="84"/>
        <v>0.9</v>
      </c>
      <c r="F153" s="47">
        <f t="shared" si="84"/>
        <v>0.83</v>
      </c>
      <c r="G153" s="47">
        <f t="shared" si="84"/>
        <v>7.0000000000000007E-2</v>
      </c>
      <c r="H153" s="47">
        <f t="shared" si="84"/>
        <v>0.84</v>
      </c>
      <c r="I153" s="47">
        <f t="shared" si="84"/>
        <v>0.6</v>
      </c>
      <c r="J153" s="47">
        <f t="shared" si="84"/>
        <v>0.98</v>
      </c>
      <c r="K153" s="47">
        <f t="shared" si="84"/>
        <v>0.86</v>
      </c>
      <c r="L153" s="47">
        <f t="shared" si="84"/>
        <v>0.63</v>
      </c>
      <c r="M153" s="47">
        <f t="shared" si="84"/>
        <v>0.9</v>
      </c>
      <c r="N153" s="47">
        <f t="shared" si="84"/>
        <v>0.68</v>
      </c>
      <c r="O153" s="47">
        <f t="shared" si="84"/>
        <v>0.88</v>
      </c>
      <c r="P153" s="47">
        <f t="shared" si="84"/>
        <v>0.94</v>
      </c>
      <c r="Q153" s="47">
        <f t="shared" si="84"/>
        <v>0.52</v>
      </c>
      <c r="R153" s="47">
        <f t="shared" si="84"/>
        <v>0.56000000000000005</v>
      </c>
      <c r="S153" s="47">
        <f t="shared" si="84"/>
        <v>0.65</v>
      </c>
      <c r="T153" s="47">
        <f t="shared" si="84"/>
        <v>0.3</v>
      </c>
      <c r="U153" s="47">
        <f t="shared" si="84"/>
        <v>0.78</v>
      </c>
      <c r="V153" s="47">
        <f t="shared" si="84"/>
        <v>0.96</v>
      </c>
      <c r="W153" s="47">
        <f t="shared" si="84"/>
        <v>0.48</v>
      </c>
      <c r="X153" s="47">
        <f t="shared" si="84"/>
        <v>0.81</v>
      </c>
      <c r="Y153" s="47">
        <f t="shared" si="84"/>
        <v>0.92</v>
      </c>
      <c r="Z153" s="47">
        <f t="shared" si="84"/>
        <v>0.62</v>
      </c>
      <c r="AA153" s="47">
        <f t="shared" si="84"/>
        <v>0.57999999999999996</v>
      </c>
      <c r="AB153" s="47">
        <f t="shared" si="84"/>
        <v>0.9</v>
      </c>
      <c r="AC153" s="47">
        <f t="shared" si="84"/>
        <v>0.36</v>
      </c>
      <c r="AD153" s="47">
        <f t="shared" si="84"/>
        <v>0.98</v>
      </c>
      <c r="AE153" s="47">
        <f t="shared" si="84"/>
        <v>0.98</v>
      </c>
      <c r="AF153" s="47">
        <f t="shared" si="84"/>
        <v>0.94</v>
      </c>
      <c r="AG153" s="47">
        <f t="shared" si="84"/>
        <v>0.95</v>
      </c>
      <c r="AH153" s="47">
        <f t="shared" si="84"/>
        <v>0.98</v>
      </c>
      <c r="AI153" s="47">
        <f t="shared" si="84"/>
        <v>0.9</v>
      </c>
      <c r="AJ153" s="47">
        <f t="shared" si="84"/>
        <v>0.35</v>
      </c>
      <c r="AK153" s="47">
        <f t="shared" si="84"/>
        <v>0.99</v>
      </c>
      <c r="AL153" s="47">
        <f t="shared" si="84"/>
        <v>0.97</v>
      </c>
      <c r="AM153" s="47">
        <f t="shared" si="84"/>
        <v>0.94</v>
      </c>
      <c r="AN153" s="47">
        <f t="shared" si="84"/>
        <v>0.25</v>
      </c>
    </row>
    <row r="154" spans="2:40" ht="14.25" customHeight="1"/>
    <row r="155" spans="2:40" ht="14.25" customHeight="1">
      <c r="Y155" s="31"/>
    </row>
    <row r="156" spans="2:40" ht="14.25" customHeight="1"/>
    <row r="157" spans="2:40" ht="14.25" customHeight="1"/>
    <row r="158" spans="2:40" ht="14.25" customHeight="1">
      <c r="Y158" s="31"/>
    </row>
    <row r="159" spans="2:40" ht="14.25" customHeight="1"/>
    <row r="160" spans="2:40" ht="14.25" customHeight="1"/>
    <row r="161" spans="25:25" ht="14.25" customHeight="1">
      <c r="Y161" s="31"/>
    </row>
    <row r="162" spans="25:25" ht="14.25" customHeight="1">
      <c r="Y162" s="31"/>
    </row>
    <row r="163" spans="25:25" ht="14.25" customHeight="1">
      <c r="Y163" s="31"/>
    </row>
    <row r="164" spans="25:25" ht="14.25" customHeight="1">
      <c r="Y164" s="31"/>
    </row>
    <row r="165" spans="25:25" ht="14.25" customHeight="1"/>
    <row r="166" spans="25:25" ht="14.25" customHeight="1"/>
    <row r="167" spans="25:25" ht="14.25" customHeight="1"/>
    <row r="168" spans="25:25" ht="14.25" customHeight="1"/>
    <row r="169" spans="25:25" ht="14.25" customHeight="1"/>
    <row r="170" spans="25:25" ht="14.25" customHeight="1"/>
    <row r="171" spans="25:25" ht="14.25" customHeight="1"/>
    <row r="172" spans="25:25" ht="14.25" customHeight="1"/>
    <row r="173" spans="25:25" ht="14.25" customHeight="1"/>
    <row r="174" spans="25:25" ht="14.25" customHeight="1"/>
    <row r="175" spans="25:25" ht="14.25" customHeight="1"/>
    <row r="176" spans="25:25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53"/>
  <sheetViews>
    <sheetView workbookViewId="0">
      <pane xSplit="2" ySplit="3" topLeftCell="C43" activePane="bottomRight" state="frozen"/>
      <selection pane="bottomRight" activeCell="C51" sqref="C51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1" width="4.140625" customWidth="1"/>
    <col min="2" max="2" width="27.7109375" customWidth="1"/>
    <col min="3" max="3" width="15.140625" customWidth="1"/>
    <col min="4" max="4" width="14.42578125" customWidth="1"/>
    <col min="5" max="5" width="15.85546875" customWidth="1"/>
    <col min="6" max="6" width="17" customWidth="1"/>
    <col min="7" max="7" width="10" customWidth="1"/>
    <col min="8" max="9" width="13.28515625" customWidth="1"/>
    <col min="10" max="10" width="10.5703125" customWidth="1"/>
    <col min="11" max="11" width="11.140625" customWidth="1"/>
    <col min="12" max="12" width="10.7109375" customWidth="1"/>
    <col min="13" max="13" width="13.42578125" customWidth="1"/>
    <col min="14" max="14" width="16" customWidth="1"/>
    <col min="15" max="16" width="11.28515625" customWidth="1"/>
    <col min="17" max="17" width="11.5703125" customWidth="1"/>
    <col min="18" max="18" width="12.7109375" customWidth="1"/>
    <col min="19" max="19" width="12.85546875" customWidth="1"/>
    <col min="20" max="20" width="8.7109375" customWidth="1"/>
    <col min="21" max="21" width="11.140625" bestFit="1" customWidth="1"/>
    <col min="22" max="22" width="13.7109375" customWidth="1"/>
    <col min="23" max="23" width="10" customWidth="1"/>
    <col min="24" max="24" width="11.5703125" customWidth="1"/>
    <col min="25" max="25" width="13.42578125" customWidth="1"/>
    <col min="26" max="26" width="14.5703125" customWidth="1"/>
    <col min="27" max="27" width="14.140625" customWidth="1"/>
    <col min="28" max="28" width="10.140625" customWidth="1"/>
    <col min="29" max="29" width="10.7109375" customWidth="1"/>
    <col min="30" max="30" width="11.7109375" customWidth="1"/>
    <col min="31" max="31" width="11.140625" customWidth="1"/>
    <col min="32" max="32" width="12.42578125" customWidth="1"/>
    <col min="33" max="33" width="12.28515625" customWidth="1"/>
    <col min="34" max="34" width="10.5703125" customWidth="1"/>
    <col min="35" max="35" width="9.5703125" customWidth="1"/>
    <col min="36" max="36" width="13" customWidth="1"/>
    <col min="37" max="37" width="11" customWidth="1"/>
    <col min="38" max="38" width="10.42578125" customWidth="1"/>
    <col min="39" max="39" width="10.7109375" customWidth="1"/>
    <col min="40" max="40" width="13" customWidth="1"/>
    <col min="41" max="50" width="8.7109375" customWidth="1"/>
  </cols>
  <sheetData>
    <row r="1" spans="1:50" ht="14.25" customHeight="1"/>
    <row r="2" spans="1:50" ht="14.25" customHeight="1">
      <c r="B2" s="1" t="s">
        <v>0</v>
      </c>
      <c r="C2" s="2" t="s">
        <v>1</v>
      </c>
      <c r="D2" s="3" t="s">
        <v>2</v>
      </c>
      <c r="E2" s="3" t="s">
        <v>2</v>
      </c>
      <c r="F2" s="4" t="s">
        <v>3</v>
      </c>
      <c r="G2" s="3" t="s">
        <v>4</v>
      </c>
      <c r="H2" s="3" t="s">
        <v>5</v>
      </c>
      <c r="I2" s="3" t="s">
        <v>5</v>
      </c>
      <c r="J2" s="3" t="s">
        <v>6</v>
      </c>
      <c r="K2" s="3" t="s">
        <v>6</v>
      </c>
      <c r="L2" s="3" t="s">
        <v>7</v>
      </c>
      <c r="M2" s="3" t="s">
        <v>8</v>
      </c>
      <c r="N2" s="3" t="s">
        <v>8</v>
      </c>
      <c r="O2" s="3" t="s">
        <v>9</v>
      </c>
      <c r="P2" s="3" t="s">
        <v>9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15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18</v>
      </c>
      <c r="AF2" s="2" t="s">
        <v>18</v>
      </c>
      <c r="AG2" s="2" t="s">
        <v>18</v>
      </c>
      <c r="AH2" s="2" t="s">
        <v>18</v>
      </c>
      <c r="AI2" s="2" t="s">
        <v>19</v>
      </c>
      <c r="AJ2" s="3" t="s">
        <v>20</v>
      </c>
      <c r="AK2" s="2" t="s">
        <v>21</v>
      </c>
      <c r="AL2" s="2" t="s">
        <v>21</v>
      </c>
      <c r="AM2" s="2" t="s">
        <v>21</v>
      </c>
      <c r="AN2" s="2" t="s">
        <v>22</v>
      </c>
      <c r="AP2" s="5" t="s">
        <v>23</v>
      </c>
    </row>
    <row r="3" spans="1:50" ht="14.25" customHeight="1">
      <c r="A3" s="6"/>
      <c r="B3" s="6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  <c r="T3" s="7" t="s">
        <v>42</v>
      </c>
      <c r="U3" s="7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  <c r="AF3" s="7" t="s">
        <v>54</v>
      </c>
      <c r="AG3" s="7" t="s">
        <v>55</v>
      </c>
      <c r="AH3" s="7" t="s">
        <v>56</v>
      </c>
      <c r="AI3" s="7" t="s">
        <v>57</v>
      </c>
      <c r="AJ3" s="7" t="s">
        <v>58</v>
      </c>
      <c r="AK3" s="7" t="s">
        <v>59</v>
      </c>
      <c r="AL3" s="7" t="s">
        <v>60</v>
      </c>
      <c r="AM3" s="7" t="s">
        <v>61</v>
      </c>
      <c r="AN3" s="7" t="s">
        <v>62</v>
      </c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ht="29.25" customHeight="1">
      <c r="A4" s="8"/>
      <c r="B4" s="9" t="s">
        <v>63</v>
      </c>
      <c r="C4" s="8"/>
      <c r="D4" s="8"/>
      <c r="E4" s="8"/>
      <c r="F4" s="8" t="s">
        <v>64</v>
      </c>
      <c r="G4" s="8" t="s">
        <v>65</v>
      </c>
      <c r="H4" s="8" t="s">
        <v>66</v>
      </c>
      <c r="I4" s="8"/>
      <c r="J4" s="8" t="s">
        <v>67</v>
      </c>
      <c r="K4" s="8" t="s">
        <v>68</v>
      </c>
      <c r="L4" s="8" t="s">
        <v>69</v>
      </c>
      <c r="M4" s="8"/>
      <c r="N4" s="8" t="s">
        <v>70</v>
      </c>
      <c r="O4" s="8"/>
      <c r="P4" s="8" t="s">
        <v>71</v>
      </c>
      <c r="Q4" s="8"/>
      <c r="R4" s="8"/>
      <c r="S4" s="8"/>
      <c r="T4" s="8" t="s">
        <v>72</v>
      </c>
      <c r="U4" s="8"/>
      <c r="V4" s="8"/>
      <c r="W4" s="8" t="s">
        <v>73</v>
      </c>
      <c r="X4" s="8" t="s">
        <v>74</v>
      </c>
      <c r="Y4" s="8" t="s">
        <v>75</v>
      </c>
      <c r="Z4" s="8" t="s">
        <v>75</v>
      </c>
      <c r="AA4" s="8" t="s">
        <v>76</v>
      </c>
      <c r="AB4" s="8" t="s">
        <v>77</v>
      </c>
      <c r="AC4" s="8"/>
      <c r="AD4" s="8" t="s">
        <v>78</v>
      </c>
      <c r="AE4" s="8" t="s">
        <v>79</v>
      </c>
      <c r="AF4" s="8" t="s">
        <v>80</v>
      </c>
      <c r="AG4" s="8" t="s">
        <v>81</v>
      </c>
      <c r="AH4" s="8" t="s">
        <v>81</v>
      </c>
      <c r="AI4" s="8"/>
      <c r="AJ4" s="8"/>
      <c r="AK4" s="8" t="s">
        <v>82</v>
      </c>
      <c r="AL4" s="8"/>
      <c r="AM4" s="8" t="s">
        <v>83</v>
      </c>
      <c r="AN4" s="8" t="s">
        <v>84</v>
      </c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29.25" customHeight="1">
      <c r="A5" s="10"/>
      <c r="B5" s="10" t="s">
        <v>85</v>
      </c>
      <c r="C5" s="10" t="s">
        <v>86</v>
      </c>
      <c r="D5" s="10" t="s">
        <v>87</v>
      </c>
      <c r="E5" s="10" t="s">
        <v>88</v>
      </c>
      <c r="F5" s="10" t="s">
        <v>88</v>
      </c>
      <c r="G5" s="10" t="s">
        <v>88</v>
      </c>
      <c r="H5" s="10" t="s">
        <v>88</v>
      </c>
      <c r="I5" s="10" t="s">
        <v>86</v>
      </c>
      <c r="J5" s="10" t="s">
        <v>86</v>
      </c>
      <c r="K5" s="10" t="s">
        <v>88</v>
      </c>
      <c r="L5" s="10" t="s">
        <v>88</v>
      </c>
      <c r="M5" s="10" t="s">
        <v>88</v>
      </c>
      <c r="N5" s="10" t="s">
        <v>88</v>
      </c>
      <c r="O5" s="10" t="s">
        <v>86</v>
      </c>
      <c r="P5" s="10" t="s">
        <v>86</v>
      </c>
      <c r="Q5" s="10" t="s">
        <v>86</v>
      </c>
      <c r="R5" s="10" t="s">
        <v>88</v>
      </c>
      <c r="S5" s="10" t="s">
        <v>86</v>
      </c>
      <c r="T5" s="10" t="s">
        <v>86</v>
      </c>
      <c r="U5" s="10" t="s">
        <v>88</v>
      </c>
      <c r="V5" s="10" t="s">
        <v>86</v>
      </c>
      <c r="W5" s="10" t="s">
        <v>88</v>
      </c>
      <c r="X5" s="10" t="s">
        <v>88</v>
      </c>
      <c r="Y5" s="10" t="s">
        <v>88</v>
      </c>
      <c r="Z5" s="10" t="s">
        <v>88</v>
      </c>
      <c r="AA5" s="10" t="s">
        <v>88</v>
      </c>
      <c r="AB5" s="10" t="s">
        <v>88</v>
      </c>
      <c r="AC5" s="10" t="s">
        <v>88</v>
      </c>
      <c r="AD5" s="10" t="s">
        <v>88</v>
      </c>
      <c r="AE5" s="10" t="s">
        <v>89</v>
      </c>
      <c r="AF5" s="10" t="s">
        <v>87</v>
      </c>
      <c r="AG5" s="10" t="s">
        <v>87</v>
      </c>
      <c r="AH5" s="10" t="s">
        <v>88</v>
      </c>
      <c r="AI5" s="10" t="s">
        <v>88</v>
      </c>
      <c r="AJ5" s="10" t="s">
        <v>88</v>
      </c>
      <c r="AK5" s="10" t="s">
        <v>88</v>
      </c>
      <c r="AL5" s="10" t="s">
        <v>88</v>
      </c>
      <c r="AM5" s="10" t="s">
        <v>88</v>
      </c>
      <c r="AN5" s="10" t="s">
        <v>86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ht="14.25" customHeight="1">
      <c r="B6" s="1" t="s">
        <v>90</v>
      </c>
      <c r="C6" s="11">
        <v>1213708</v>
      </c>
      <c r="D6" s="11">
        <v>21204</v>
      </c>
      <c r="E6" s="12">
        <v>209970</v>
      </c>
      <c r="F6" s="12">
        <v>1450000</v>
      </c>
      <c r="G6" s="12">
        <v>1305405</v>
      </c>
      <c r="H6" s="11">
        <v>5547328</v>
      </c>
      <c r="I6" s="11">
        <v>6895426</v>
      </c>
      <c r="J6" s="11">
        <v>4794000</v>
      </c>
      <c r="K6" s="11">
        <v>284432</v>
      </c>
      <c r="L6" s="11">
        <v>227828</v>
      </c>
      <c r="M6" s="11">
        <v>608871</v>
      </c>
      <c r="N6" s="11">
        <v>969298</v>
      </c>
      <c r="O6" s="11">
        <v>1043070</v>
      </c>
      <c r="P6" s="11">
        <v>2056335</v>
      </c>
      <c r="Q6" s="11">
        <v>2417735</v>
      </c>
      <c r="R6" s="11">
        <v>1208333</v>
      </c>
      <c r="S6" s="11">
        <v>4397072</v>
      </c>
      <c r="T6" s="11">
        <v>359500</v>
      </c>
      <c r="U6" s="11">
        <v>177900</v>
      </c>
      <c r="V6" s="11">
        <v>630000</v>
      </c>
      <c r="W6" s="11">
        <v>14368331</v>
      </c>
      <c r="X6" s="11">
        <v>24380136</v>
      </c>
      <c r="Y6" s="11">
        <v>778642</v>
      </c>
      <c r="Z6" s="11">
        <v>214506</v>
      </c>
      <c r="AA6" s="11">
        <v>245239</v>
      </c>
      <c r="AB6" s="11">
        <v>784248</v>
      </c>
      <c r="AC6" s="11">
        <v>6831284</v>
      </c>
      <c r="AD6" s="11">
        <v>1968338</v>
      </c>
      <c r="AE6" s="11">
        <v>193267</v>
      </c>
      <c r="AF6" s="11">
        <v>83819</v>
      </c>
      <c r="AG6" s="11">
        <v>74497</v>
      </c>
      <c r="AH6" s="11">
        <v>141802</v>
      </c>
      <c r="AI6" s="11">
        <v>248998</v>
      </c>
      <c r="AJ6" s="12">
        <v>4794647</v>
      </c>
      <c r="AK6" s="11">
        <v>96534</v>
      </c>
      <c r="AL6" s="11">
        <v>488157</v>
      </c>
      <c r="AM6" s="11">
        <v>123564</v>
      </c>
      <c r="AN6" s="13">
        <v>1413034</v>
      </c>
    </row>
    <row r="7" spans="1:50" ht="14.25" customHeight="1">
      <c r="A7" s="14"/>
      <c r="B7" s="15" t="s">
        <v>91</v>
      </c>
      <c r="C7" s="16"/>
      <c r="D7" s="16"/>
      <c r="E7" s="17"/>
      <c r="F7" s="17"/>
      <c r="G7" s="1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4.25" customHeight="1">
      <c r="A8" s="18"/>
      <c r="B8" s="18" t="s">
        <v>92</v>
      </c>
      <c r="C8" s="18">
        <v>732</v>
      </c>
      <c r="D8" s="18">
        <v>25</v>
      </c>
      <c r="E8" s="18">
        <v>366</v>
      </c>
      <c r="F8" s="18">
        <v>1512</v>
      </c>
      <c r="G8" s="18">
        <v>898</v>
      </c>
      <c r="H8" s="18">
        <v>5134</v>
      </c>
      <c r="I8" s="18">
        <v>4854</v>
      </c>
      <c r="J8" s="18">
        <v>2086</v>
      </c>
      <c r="K8" s="18">
        <v>159</v>
      </c>
      <c r="L8" s="18">
        <v>166</v>
      </c>
      <c r="M8" s="18">
        <v>405</v>
      </c>
      <c r="N8" s="18">
        <v>423</v>
      </c>
      <c r="O8" s="18">
        <v>533</v>
      </c>
      <c r="P8" s="18">
        <v>977</v>
      </c>
      <c r="Q8" s="18">
        <v>1290</v>
      </c>
      <c r="R8" s="18">
        <v>708</v>
      </c>
      <c r="S8" s="18">
        <v>3085</v>
      </c>
      <c r="T8" s="18">
        <v>195</v>
      </c>
      <c r="U8" s="18">
        <v>113</v>
      </c>
      <c r="V8" s="18">
        <v>556</v>
      </c>
      <c r="W8" s="18">
        <v>11349</v>
      </c>
      <c r="X8" s="18">
        <v>12067</v>
      </c>
      <c r="Y8" s="18">
        <v>297</v>
      </c>
      <c r="Z8" s="18">
        <v>79</v>
      </c>
      <c r="AA8" s="18">
        <v>75</v>
      </c>
      <c r="AB8" s="18">
        <v>757</v>
      </c>
      <c r="AC8" s="18">
        <v>5733</v>
      </c>
      <c r="AD8" s="18">
        <v>2418</v>
      </c>
      <c r="AE8" s="18">
        <v>203</v>
      </c>
      <c r="AF8" s="18">
        <v>118</v>
      </c>
      <c r="AG8" s="18">
        <v>95</v>
      </c>
      <c r="AH8" s="18">
        <v>172</v>
      </c>
      <c r="AI8" s="18">
        <v>295</v>
      </c>
      <c r="AJ8" s="18">
        <v>4631</v>
      </c>
      <c r="AK8" s="18">
        <v>62</v>
      </c>
      <c r="AL8" s="18">
        <v>408</v>
      </c>
      <c r="AM8" s="18">
        <v>113</v>
      </c>
      <c r="AN8" s="18">
        <v>798</v>
      </c>
      <c r="AO8" s="18"/>
      <c r="AP8" s="10">
        <f>SUM(D8:AN8)/39</f>
        <v>1619.3589743589744</v>
      </c>
      <c r="AQ8" s="18"/>
      <c r="AR8" s="18"/>
      <c r="AS8" s="18"/>
      <c r="AT8" s="18"/>
      <c r="AU8" s="18"/>
      <c r="AV8" s="18"/>
      <c r="AW8" s="18"/>
      <c r="AX8" s="18"/>
    </row>
    <row r="9" spans="1:50" ht="14.25" customHeight="1">
      <c r="A9" s="18"/>
      <c r="B9" s="18" t="s">
        <v>93</v>
      </c>
      <c r="C9" s="18">
        <v>0.6</v>
      </c>
      <c r="D9" s="18">
        <v>1.2</v>
      </c>
      <c r="E9" s="18">
        <v>1.75</v>
      </c>
      <c r="F9" s="18">
        <v>1.04</v>
      </c>
      <c r="G9" s="18">
        <v>0.69</v>
      </c>
      <c r="H9" s="18">
        <v>0.93</v>
      </c>
      <c r="I9" s="18">
        <v>0.7</v>
      </c>
      <c r="J9" s="18">
        <v>0.44</v>
      </c>
      <c r="K9" s="18">
        <v>0.56000000000000005</v>
      </c>
      <c r="L9" s="18">
        <v>0.73</v>
      </c>
      <c r="M9" s="18">
        <v>0.67</v>
      </c>
      <c r="N9" s="18">
        <v>0.44</v>
      </c>
      <c r="O9" s="18">
        <v>0.51</v>
      </c>
      <c r="P9" s="18">
        <v>0.48</v>
      </c>
      <c r="Q9" s="1">
        <v>0.53</v>
      </c>
      <c r="R9" s="18">
        <v>0.59</v>
      </c>
      <c r="S9" s="18">
        <v>0.7</v>
      </c>
      <c r="T9" s="18">
        <v>0.54</v>
      </c>
      <c r="U9" s="18">
        <v>0.64</v>
      </c>
      <c r="V9" s="18">
        <v>0.88</v>
      </c>
      <c r="W9" s="18">
        <v>0.79</v>
      </c>
      <c r="X9" s="18">
        <v>0.49</v>
      </c>
      <c r="Y9" s="18">
        <v>0.38</v>
      </c>
      <c r="Z9" s="18">
        <v>0.37</v>
      </c>
      <c r="AA9" s="18">
        <v>0.31</v>
      </c>
      <c r="AB9" s="18">
        <v>0.97</v>
      </c>
      <c r="AC9" s="18">
        <v>0.84</v>
      </c>
      <c r="AD9" s="18">
        <v>1.23</v>
      </c>
      <c r="AE9" s="18">
        <v>1.05</v>
      </c>
      <c r="AF9" s="18">
        <v>1.41</v>
      </c>
      <c r="AG9" s="18">
        <v>1.28</v>
      </c>
      <c r="AH9" s="18">
        <v>1.22</v>
      </c>
      <c r="AI9" s="18">
        <v>1.18</v>
      </c>
      <c r="AJ9" s="18">
        <v>0.97</v>
      </c>
      <c r="AK9" s="18">
        <v>0.64</v>
      </c>
      <c r="AL9" s="18">
        <v>0.83</v>
      </c>
      <c r="AM9" s="18">
        <v>0.92</v>
      </c>
      <c r="AN9" s="18">
        <v>0.56000000000000005</v>
      </c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ht="14.25" customHeight="1">
      <c r="A10" s="26"/>
      <c r="B10" s="27" t="s">
        <v>111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ht="14.25" customHeight="1">
      <c r="A11" s="10"/>
      <c r="B11" s="21" t="s">
        <v>127</v>
      </c>
      <c r="C11" s="23"/>
      <c r="D11" s="10"/>
      <c r="E11" s="1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ht="14.25" customHeight="1">
      <c r="A12" s="10"/>
      <c r="B12" s="10" t="s">
        <v>128</v>
      </c>
      <c r="C12" s="23">
        <v>0.05</v>
      </c>
      <c r="D12" s="23">
        <v>0.05</v>
      </c>
      <c r="E12" s="23">
        <v>6.3799999999999996E-2</v>
      </c>
      <c r="F12" s="23">
        <v>0.15079999999999999</v>
      </c>
      <c r="G12" s="23">
        <v>2.8799999999999999E-2</v>
      </c>
      <c r="H12" s="23">
        <v>3.8863911000000001E-2</v>
      </c>
      <c r="I12" s="23">
        <v>7.1040819000000005E-2</v>
      </c>
      <c r="J12" s="23">
        <v>3.44E-2</v>
      </c>
      <c r="K12" s="23">
        <v>4.4465398000000003E-2</v>
      </c>
      <c r="L12" s="23">
        <v>6.6503771000000003E-2</v>
      </c>
      <c r="M12" s="23">
        <v>0.14410000000000001</v>
      </c>
      <c r="N12" s="33">
        <v>0.13803826799999999</v>
      </c>
      <c r="O12" s="23">
        <v>9.3740000000000004E-2</v>
      </c>
      <c r="P12" s="23">
        <v>0.21465000000000001</v>
      </c>
      <c r="Q12" s="24">
        <v>5.3182117000000001E-2</v>
      </c>
      <c r="R12" s="23">
        <v>8.7437380999999995E-2</v>
      </c>
      <c r="S12" s="23">
        <v>0.14099620800000001</v>
      </c>
      <c r="T12" s="23">
        <v>3.658463E-2</v>
      </c>
      <c r="U12" s="23">
        <v>0.05</v>
      </c>
      <c r="V12" s="23">
        <v>0.107283118</v>
      </c>
      <c r="W12" s="33">
        <v>0.10693900000000001</v>
      </c>
      <c r="X12" s="23">
        <v>8.9535580000000003E-3</v>
      </c>
      <c r="Y12" s="23">
        <v>9.0346395999999995E-2</v>
      </c>
      <c r="Z12" s="23">
        <v>9.4966694000000004E-2</v>
      </c>
      <c r="AA12" s="23">
        <v>9.8880451999999994E-2</v>
      </c>
      <c r="AB12" s="23">
        <v>8.1372914000000005E-2</v>
      </c>
      <c r="AC12" s="23">
        <v>5.1111380999999997E-2</v>
      </c>
      <c r="AD12" s="23">
        <v>0.08</v>
      </c>
      <c r="AE12" s="23">
        <v>0.19</v>
      </c>
      <c r="AF12" s="23">
        <v>0.17317070000000001</v>
      </c>
      <c r="AG12" s="23">
        <v>8.4296100999999998E-2</v>
      </c>
      <c r="AH12" s="23">
        <v>0.12216287100000001</v>
      </c>
      <c r="AI12" s="23">
        <v>8.6794643000000005E-2</v>
      </c>
      <c r="AJ12" s="23">
        <v>2.07E-2</v>
      </c>
      <c r="AK12" s="23">
        <v>4.4699999999999997E-2</v>
      </c>
      <c r="AL12" s="23">
        <v>3.4000000000000002E-2</v>
      </c>
      <c r="AM12" s="31">
        <v>0.06</v>
      </c>
      <c r="AN12" s="23">
        <v>9.69E-2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ht="14.25" customHeight="1">
      <c r="A13" s="10"/>
      <c r="B13" s="10" t="s">
        <v>217</v>
      </c>
      <c r="C13" s="23">
        <v>3.8289999999999998E-2</v>
      </c>
      <c r="D13" s="23">
        <v>0.1</v>
      </c>
      <c r="E13" s="23">
        <v>0.17249999999999999</v>
      </c>
      <c r="F13" s="23">
        <v>0.11260000000000001</v>
      </c>
      <c r="G13" s="23">
        <v>0.04</v>
      </c>
      <c r="H13" s="23">
        <v>9.2744420999999994E-2</v>
      </c>
      <c r="I13" s="23">
        <v>5.4449999999999998E-2</v>
      </c>
      <c r="J13" s="23">
        <v>6.0400000000000002E-2</v>
      </c>
      <c r="K13" s="23">
        <v>6.3118282999999997E-2</v>
      </c>
      <c r="L13" s="23">
        <v>0.12699086800000001</v>
      </c>
      <c r="M13" s="23">
        <v>0.09</v>
      </c>
      <c r="N13" s="33">
        <v>2.3699999999999999E-2</v>
      </c>
      <c r="O13" s="23">
        <v>0.18472</v>
      </c>
      <c r="P13" s="23">
        <v>0.15526000000000001</v>
      </c>
      <c r="Q13" s="24">
        <v>4.906344E-2</v>
      </c>
      <c r="R13" s="23">
        <v>3.4784477000000001E-2</v>
      </c>
      <c r="S13" s="23">
        <v>4.8556894000000003E-2</v>
      </c>
      <c r="T13" s="23">
        <v>1.9524235000000001E-2</v>
      </c>
      <c r="U13" s="23">
        <v>6.5000000000000002E-2</v>
      </c>
      <c r="V13" s="23">
        <v>0.17091882799999999</v>
      </c>
      <c r="W13" s="33">
        <v>0.19972999999999999</v>
      </c>
      <c r="X13" s="23">
        <v>0.22513</v>
      </c>
      <c r="Y13" s="23">
        <v>8.0702890999999999E-2</v>
      </c>
      <c r="Z13" s="23">
        <v>5.4439701E-2</v>
      </c>
      <c r="AA13" s="23">
        <v>4.8746655E-2</v>
      </c>
      <c r="AB13" s="23">
        <v>5.1654868999999999E-2</v>
      </c>
      <c r="AC13" s="23">
        <v>3.1447588999999998E-2</v>
      </c>
      <c r="AD13" s="23">
        <v>0.11</v>
      </c>
      <c r="AE13" s="23">
        <v>7.0690000000000003E-2</v>
      </c>
      <c r="AF13" s="23">
        <v>8.4089499999999998E-2</v>
      </c>
      <c r="AG13" s="23">
        <v>8.5251696000000002E-2</v>
      </c>
      <c r="AH13" s="23">
        <v>0.13822862899999999</v>
      </c>
      <c r="AI13" s="23">
        <v>6.1644590999999999E-2</v>
      </c>
      <c r="AJ13" s="23">
        <v>5.5300000000000002E-2</v>
      </c>
      <c r="AK13" s="23">
        <v>0.19918</v>
      </c>
      <c r="AL13" s="23">
        <v>0.10614999999999999</v>
      </c>
      <c r="AM13" s="23">
        <v>0.15</v>
      </c>
      <c r="AN13" s="23">
        <v>8.7300000000000003E-2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ht="14.25" customHeight="1">
      <c r="A14" s="10"/>
      <c r="B14" s="10" t="s">
        <v>218</v>
      </c>
      <c r="C14" s="23">
        <v>2.2200000000000001E-2</v>
      </c>
      <c r="D14" s="23">
        <v>0.12</v>
      </c>
      <c r="E14" s="23">
        <v>0.14480000000000001</v>
      </c>
      <c r="F14" s="23">
        <v>7.3999999999999996E-2</v>
      </c>
      <c r="G14" s="23">
        <v>2.47E-2</v>
      </c>
      <c r="H14" s="23">
        <v>5.8326307000000001E-2</v>
      </c>
      <c r="I14" s="23">
        <v>4.7690000000000003E-2</v>
      </c>
      <c r="J14" s="23">
        <v>5.6399999999999999E-2</v>
      </c>
      <c r="K14" s="23">
        <v>5.4756817999999999E-2</v>
      </c>
      <c r="L14" s="23">
        <v>5.1983898000000001E-2</v>
      </c>
      <c r="M14" s="23">
        <v>7.5999999999999998E-2</v>
      </c>
      <c r="N14" s="33">
        <v>0.15837000000000001</v>
      </c>
      <c r="O14" s="23">
        <v>3.5159999999999997E-2</v>
      </c>
      <c r="P14" s="23">
        <v>6.8489999999999995E-2</v>
      </c>
      <c r="Q14" s="24">
        <v>2.9488919999999998E-2</v>
      </c>
      <c r="R14" s="23">
        <v>4.0280835000000001E-2</v>
      </c>
      <c r="S14" s="23">
        <v>8.2526749999999996E-2</v>
      </c>
      <c r="T14" s="23">
        <v>2.8284376999999999E-2</v>
      </c>
      <c r="U14" s="47">
        <v>7.4999999999999997E-2</v>
      </c>
      <c r="V14" s="23">
        <v>6.3953439000000001E-2</v>
      </c>
      <c r="W14" s="33">
        <v>0.10085</v>
      </c>
      <c r="X14" s="23">
        <v>1.753E-2</v>
      </c>
      <c r="Y14" s="23">
        <v>5.9746374999999997E-2</v>
      </c>
      <c r="Z14" s="23">
        <v>9.6396721000000005E-2</v>
      </c>
      <c r="AA14" s="23">
        <v>7.6958035999999994E-2</v>
      </c>
      <c r="AB14" s="23">
        <v>5.5211040000000003E-2</v>
      </c>
      <c r="AC14" s="23">
        <v>3.3367515E-2</v>
      </c>
      <c r="AD14" s="23">
        <v>0.16</v>
      </c>
      <c r="AE14" s="23">
        <v>4.9299999999999997E-2</v>
      </c>
      <c r="AF14" s="23">
        <v>7.2560026E-2</v>
      </c>
      <c r="AG14" s="23">
        <v>0.163242365</v>
      </c>
      <c r="AH14" s="23">
        <v>4.6891493999999999E-2</v>
      </c>
      <c r="AI14" s="23">
        <v>9.7438915000000001E-2</v>
      </c>
      <c r="AJ14" s="23">
        <v>2.5000000000000001E-2</v>
      </c>
      <c r="AK14" s="23">
        <v>6.0139999999999999E-2</v>
      </c>
      <c r="AL14" s="23">
        <v>4.6149999999999997E-2</v>
      </c>
      <c r="AM14" s="23">
        <v>0.06</v>
      </c>
      <c r="AN14" s="23">
        <v>9.7199999999999995E-2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ht="14.25" customHeight="1">
      <c r="A15" s="10"/>
      <c r="B15" s="10" t="s">
        <v>130</v>
      </c>
      <c r="C15" s="23">
        <v>0.01</v>
      </c>
      <c r="D15" s="23">
        <v>0.03</v>
      </c>
      <c r="E15" s="23">
        <v>1.7500000000000002E-2</v>
      </c>
      <c r="F15" s="23">
        <v>4.2599999999999999E-2</v>
      </c>
      <c r="G15" s="23">
        <v>1.4E-2</v>
      </c>
      <c r="H15" s="23">
        <v>1.0479983E-2</v>
      </c>
      <c r="I15" s="23">
        <v>7.052104E-3</v>
      </c>
      <c r="J15" s="23">
        <v>2.1000000000000001E-2</v>
      </c>
      <c r="K15" s="23">
        <v>1.8929049999999999E-2</v>
      </c>
      <c r="L15" s="23">
        <v>1.0898421E-2</v>
      </c>
      <c r="M15" s="23">
        <v>3.6400000000000002E-2</v>
      </c>
      <c r="N15" s="33">
        <v>3.4315841999999999E-2</v>
      </c>
      <c r="O15" s="23">
        <v>1.0970000000000001E-2</v>
      </c>
      <c r="P15" s="23">
        <v>2.104E-2</v>
      </c>
      <c r="Q15" s="24">
        <v>2.9204061E-2</v>
      </c>
      <c r="R15" s="23">
        <v>2.6979197999999999E-2</v>
      </c>
      <c r="S15" s="23">
        <v>0.107787958</v>
      </c>
      <c r="T15" s="23">
        <v>1.6484451000000001E-2</v>
      </c>
      <c r="U15" s="23">
        <v>0.04</v>
      </c>
      <c r="V15" s="23">
        <v>8.7523380000000001E-3</v>
      </c>
      <c r="W15" s="33">
        <v>2.3843E-2</v>
      </c>
      <c r="X15" s="23">
        <v>4.0505319999999999E-3</v>
      </c>
      <c r="Y15" s="23">
        <v>1.6056746E-2</v>
      </c>
      <c r="Z15" s="23">
        <v>3.3585861000000002E-2</v>
      </c>
      <c r="AA15" s="23">
        <v>2.7251747E-2</v>
      </c>
      <c r="AB15" s="23">
        <v>1.0361820000000001E-2</v>
      </c>
      <c r="AC15" s="23">
        <v>3.8556200999999998E-2</v>
      </c>
      <c r="AD15" s="23">
        <v>0.05</v>
      </c>
      <c r="AE15" s="23">
        <v>0.05</v>
      </c>
      <c r="AF15" s="23">
        <v>9.0365797999999997E-2</v>
      </c>
      <c r="AG15" s="23">
        <v>2.0313347999999998E-2</v>
      </c>
      <c r="AH15" s="23">
        <v>9.7679565999999995E-2</v>
      </c>
      <c r="AI15" s="23">
        <v>1.3051024E-2</v>
      </c>
      <c r="AJ15" s="23">
        <v>8.0000000000000002E-3</v>
      </c>
      <c r="AK15" s="23">
        <v>1.9300000000000001E-2</v>
      </c>
      <c r="AL15" s="23">
        <v>9.9000000000000008E-3</v>
      </c>
      <c r="AM15" s="23">
        <v>0.03</v>
      </c>
      <c r="AN15" s="23">
        <v>0.12790000000000001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ht="14.25" customHeight="1">
      <c r="A16" s="10"/>
      <c r="B16" s="10" t="s">
        <v>131</v>
      </c>
      <c r="C16" s="23">
        <v>0.01</v>
      </c>
      <c r="D16" s="23">
        <v>0.04</v>
      </c>
      <c r="E16" s="23">
        <v>3.6999999999999998E-2</v>
      </c>
      <c r="F16" s="23">
        <v>2.5100000000000001E-2</v>
      </c>
      <c r="G16" s="23">
        <v>7.4999999999999997E-3</v>
      </c>
      <c r="H16" s="23">
        <v>2.8542932E-2</v>
      </c>
      <c r="I16" s="23">
        <v>1.1510510999999999E-2</v>
      </c>
      <c r="J16" s="23">
        <v>4.3E-3</v>
      </c>
      <c r="K16" s="23">
        <v>1.6405148000000001E-2</v>
      </c>
      <c r="L16" s="23">
        <v>1.7242861000000002E-2</v>
      </c>
      <c r="M16" s="23">
        <v>7.4999999999999997E-3</v>
      </c>
      <c r="N16" s="33">
        <v>4.5184568000000001E-2</v>
      </c>
      <c r="O16" s="23">
        <v>6.4000000000000003E-3</v>
      </c>
      <c r="P16" s="23">
        <v>7.0099999999999997E-3</v>
      </c>
      <c r="Q16" s="24">
        <v>1.1746044000000001E-2</v>
      </c>
      <c r="R16" s="23">
        <v>9.4336679999999992E-3</v>
      </c>
      <c r="S16" s="23">
        <v>7.2150019999999999E-3</v>
      </c>
      <c r="T16" s="23">
        <v>5.7677400000000004E-3</v>
      </c>
      <c r="U16" s="23">
        <v>0.02</v>
      </c>
      <c r="V16" s="23">
        <v>1.2020714E-2</v>
      </c>
      <c r="W16" s="33">
        <v>5.0152000000000002E-2</v>
      </c>
      <c r="X16" s="23">
        <v>1.4162199999999999E-4</v>
      </c>
      <c r="Y16" s="23">
        <v>3.8607875999999999E-2</v>
      </c>
      <c r="Z16" s="23">
        <v>3.1481620000000002E-2</v>
      </c>
      <c r="AA16" s="23">
        <v>0.168476761</v>
      </c>
      <c r="AB16" s="23">
        <v>6.5758305000000003E-2</v>
      </c>
      <c r="AC16" s="23">
        <v>4.5830436000000002E-2</v>
      </c>
      <c r="AD16" s="23">
        <v>0.01</v>
      </c>
      <c r="AE16" s="23">
        <v>0.04</v>
      </c>
      <c r="AF16" s="23">
        <v>0.104354285</v>
      </c>
      <c r="AG16" s="23">
        <v>5.2619315E-2</v>
      </c>
      <c r="AH16" s="23">
        <v>5.2804666E-2</v>
      </c>
      <c r="AI16" s="23">
        <v>3.2197953000000001E-2</v>
      </c>
      <c r="AJ16" s="23">
        <v>4.5999999999999999E-3</v>
      </c>
      <c r="AK16" s="23">
        <v>8.9999999999999993E-3</v>
      </c>
      <c r="AL16" s="23">
        <v>6.4999999999999997E-3</v>
      </c>
      <c r="AM16" s="23">
        <v>0.02</v>
      </c>
      <c r="AN16" s="23">
        <v>4.0899999999999999E-2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ht="14.25" customHeight="1">
      <c r="A17" s="10"/>
      <c r="B17" s="10" t="s">
        <v>132</v>
      </c>
      <c r="C17" s="23">
        <v>0.05</v>
      </c>
      <c r="D17" s="23">
        <v>0.08</v>
      </c>
      <c r="E17" s="23">
        <v>7.7399999999999997E-2</v>
      </c>
      <c r="F17" s="23">
        <v>0.12230000000000001</v>
      </c>
      <c r="G17" s="23">
        <v>0.24360000000000001</v>
      </c>
      <c r="H17" s="23">
        <v>0.141382279</v>
      </c>
      <c r="I17" s="23">
        <v>0.108797197</v>
      </c>
      <c r="J17" s="23">
        <v>0.39350000000000002</v>
      </c>
      <c r="K17" s="23">
        <v>0.29887525700000001</v>
      </c>
      <c r="L17" s="23">
        <v>0.33459084700000002</v>
      </c>
      <c r="M17" s="23">
        <v>8.8599999999999998E-2</v>
      </c>
      <c r="N17" s="33">
        <v>0.119053826</v>
      </c>
      <c r="O17" s="23">
        <v>0.20107</v>
      </c>
      <c r="P17" s="23">
        <v>0.11944</v>
      </c>
      <c r="Q17" s="24">
        <v>0.11767281</v>
      </c>
      <c r="R17" s="23">
        <v>0.143103127</v>
      </c>
      <c r="S17" s="23">
        <v>0.13419302699999999</v>
      </c>
      <c r="T17" s="23">
        <v>0.31193380199999998</v>
      </c>
      <c r="U17" s="23">
        <v>7.0000000000000007E-2</v>
      </c>
      <c r="V17" s="23">
        <v>0.13901976999999999</v>
      </c>
      <c r="W17" s="33">
        <v>0.19053300000000001</v>
      </c>
      <c r="X17" s="23">
        <v>0.18196447700000001</v>
      </c>
      <c r="Y17" s="23">
        <v>0.183755166</v>
      </c>
      <c r="Z17" s="23">
        <v>0.35421567799999998</v>
      </c>
      <c r="AA17" s="23">
        <v>0.225457826</v>
      </c>
      <c r="AB17" s="23">
        <v>0.56689503600000002</v>
      </c>
      <c r="AC17" s="23">
        <v>0.13949229699999999</v>
      </c>
      <c r="AD17" s="23">
        <v>0.09</v>
      </c>
      <c r="AE17" s="23">
        <v>0.14000000000000001</v>
      </c>
      <c r="AF17" s="23">
        <v>0.15879626699999999</v>
      </c>
      <c r="AG17" s="23">
        <v>0.13697522500000001</v>
      </c>
      <c r="AH17" s="23">
        <v>0.22871666299999999</v>
      </c>
      <c r="AI17" s="23">
        <v>6.073398E-2</v>
      </c>
      <c r="AJ17" s="23">
        <v>0.21929999999999999</v>
      </c>
      <c r="AK17" s="23">
        <v>0.26479999999999998</v>
      </c>
      <c r="AL17" s="23">
        <v>0.12039999999999999</v>
      </c>
      <c r="AM17" s="23">
        <v>0.15</v>
      </c>
      <c r="AN17" s="23">
        <v>0.19600000000000001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ht="14.25" customHeight="1">
      <c r="A18" s="10"/>
      <c r="B18" s="10" t="s">
        <v>133</v>
      </c>
      <c r="C18" s="23">
        <v>0.82</v>
      </c>
      <c r="D18" s="23">
        <v>0.57999999999999996</v>
      </c>
      <c r="E18" s="23">
        <v>0.48699999999999999</v>
      </c>
      <c r="F18" s="23">
        <v>0.47260000000000002</v>
      </c>
      <c r="G18" s="23">
        <v>0.64139999999999997</v>
      </c>
      <c r="H18" s="23">
        <v>0.62966016700000005</v>
      </c>
      <c r="I18" s="23">
        <v>0.69946021800000002</v>
      </c>
      <c r="J18" s="23">
        <v>0.43</v>
      </c>
      <c r="K18" s="23">
        <v>0.50345004599999998</v>
      </c>
      <c r="L18" s="23">
        <v>0.39178933399999999</v>
      </c>
      <c r="M18" s="23">
        <v>0.55640000000000001</v>
      </c>
      <c r="N18" s="33">
        <v>0.48134049800000001</v>
      </c>
      <c r="O18" s="23">
        <v>0.46794000000000002</v>
      </c>
      <c r="P18" s="23">
        <v>0.41411999999999999</v>
      </c>
      <c r="Q18" s="24">
        <v>0.70964260800000001</v>
      </c>
      <c r="R18" s="23">
        <v>0.65798131500000001</v>
      </c>
      <c r="S18" s="23">
        <v>0.47872416299999998</v>
      </c>
      <c r="T18" s="23">
        <v>0.58142076399999998</v>
      </c>
      <c r="U18" s="23">
        <v>0.68</v>
      </c>
      <c r="V18" s="23">
        <v>0.49805179399999999</v>
      </c>
      <c r="W18" s="33">
        <v>0.327961</v>
      </c>
      <c r="X18" s="24">
        <v>0.56223188099999999</v>
      </c>
      <c r="Y18" s="23">
        <v>0.53078455000000002</v>
      </c>
      <c r="Z18" s="23">
        <v>0.33491372600000002</v>
      </c>
      <c r="AA18" s="23">
        <v>0.35422852300000002</v>
      </c>
      <c r="AB18" s="23">
        <v>0.168746017</v>
      </c>
      <c r="AC18" s="23">
        <v>0.66019458200000003</v>
      </c>
      <c r="AD18" s="23">
        <v>0.5</v>
      </c>
      <c r="AE18" s="23">
        <v>0.46</v>
      </c>
      <c r="AF18" s="23">
        <v>0.31666342400000003</v>
      </c>
      <c r="AG18" s="23">
        <v>0.45730195000000001</v>
      </c>
      <c r="AH18" s="23">
        <v>0.31351611200000001</v>
      </c>
      <c r="AI18" s="23">
        <v>0.64813889400000002</v>
      </c>
      <c r="AJ18" s="23">
        <v>0.66710000000000003</v>
      </c>
      <c r="AK18" s="23">
        <v>0.40289999999999998</v>
      </c>
      <c r="AL18" s="23">
        <v>0.67689999999999995</v>
      </c>
      <c r="AM18" s="23">
        <v>0.53</v>
      </c>
      <c r="AN18" s="23">
        <v>0.3538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ht="14.25" customHeight="1">
      <c r="A19" s="34"/>
      <c r="B19" s="35" t="s">
        <v>134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</row>
    <row r="20" spans="1:50" ht="14.25" customHeight="1">
      <c r="A20" s="5"/>
      <c r="B20" s="5" t="s">
        <v>136</v>
      </c>
      <c r="C20" s="36">
        <v>0.03</v>
      </c>
      <c r="D20" s="36">
        <v>0.03</v>
      </c>
      <c r="E20" s="36">
        <v>0.04</v>
      </c>
      <c r="F20" s="36">
        <v>0.01</v>
      </c>
      <c r="G20" s="36">
        <v>0</v>
      </c>
      <c r="H20" s="36">
        <v>0.21</v>
      </c>
      <c r="I20" s="36">
        <v>0.47</v>
      </c>
      <c r="J20" s="36">
        <v>0.25</v>
      </c>
      <c r="K20" s="36">
        <v>0.02</v>
      </c>
      <c r="L20" s="36">
        <v>0.01</v>
      </c>
      <c r="M20" s="36">
        <v>0.24</v>
      </c>
      <c r="N20" s="36">
        <v>0.55000000000000004</v>
      </c>
      <c r="O20" s="36">
        <v>0.02</v>
      </c>
      <c r="P20" s="36">
        <v>0.02</v>
      </c>
      <c r="Q20" s="36">
        <v>0.03</v>
      </c>
      <c r="R20" s="36">
        <v>0.05</v>
      </c>
      <c r="S20" s="36">
        <v>0.15</v>
      </c>
      <c r="T20" s="36">
        <v>0.01</v>
      </c>
      <c r="U20" s="36">
        <v>0.04</v>
      </c>
      <c r="V20" s="36">
        <v>0.11</v>
      </c>
      <c r="W20" s="36">
        <v>0.08</v>
      </c>
      <c r="X20" s="36">
        <v>0</v>
      </c>
      <c r="Y20" s="36">
        <v>0.05</v>
      </c>
      <c r="Z20" s="36">
        <v>0.17</v>
      </c>
      <c r="AA20" s="36">
        <v>0.18</v>
      </c>
      <c r="AB20" s="36">
        <v>7.0000000000000007E-2</v>
      </c>
      <c r="AC20" s="36">
        <v>0.01</v>
      </c>
      <c r="AD20" s="36">
        <v>0.26</v>
      </c>
      <c r="AE20" s="36">
        <v>0.93</v>
      </c>
      <c r="AF20" s="36">
        <v>0.27</v>
      </c>
      <c r="AG20" s="36">
        <v>0.11</v>
      </c>
      <c r="AH20" s="36">
        <v>0.12</v>
      </c>
      <c r="AI20" s="36">
        <v>0.08</v>
      </c>
      <c r="AJ20" s="36">
        <v>0.04</v>
      </c>
      <c r="AK20" s="36">
        <v>0.35</v>
      </c>
      <c r="AL20" s="36">
        <v>0.21</v>
      </c>
      <c r="AM20" s="36">
        <v>0.01</v>
      </c>
      <c r="AN20" s="37">
        <v>0.05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ht="14.25" customHeight="1">
      <c r="A21" s="21"/>
      <c r="B21" s="21" t="s">
        <v>219</v>
      </c>
      <c r="C21" s="21">
        <v>21.59</v>
      </c>
      <c r="D21" s="21">
        <v>0.96</v>
      </c>
      <c r="E21" s="21">
        <v>17.71</v>
      </c>
      <c r="F21" s="21">
        <v>19.86</v>
      </c>
      <c r="G21" s="21">
        <v>1.01</v>
      </c>
      <c r="H21" s="21">
        <v>1375</v>
      </c>
      <c r="I21" s="21">
        <v>2685</v>
      </c>
      <c r="J21" s="21">
        <v>573.24</v>
      </c>
      <c r="K21" s="21">
        <v>3.58</v>
      </c>
      <c r="L21" s="21">
        <v>2</v>
      </c>
      <c r="M21" s="21">
        <v>110.22</v>
      </c>
      <c r="N21" s="21">
        <v>259.25</v>
      </c>
      <c r="O21" s="21">
        <v>11.11</v>
      </c>
      <c r="P21" s="21">
        <v>27.01</v>
      </c>
      <c r="Q21" s="21">
        <v>44.21</v>
      </c>
      <c r="R21" s="21">
        <v>40.53</v>
      </c>
      <c r="S21" s="21">
        <v>502.59</v>
      </c>
      <c r="T21" s="21">
        <v>3.18</v>
      </c>
      <c r="U21" s="21">
        <v>5.15</v>
      </c>
      <c r="V21" s="21">
        <v>61.6</v>
      </c>
      <c r="W21" s="21">
        <v>986.01</v>
      </c>
      <c r="X21" s="21">
        <v>8.3000000000000007</v>
      </c>
      <c r="Y21" s="21">
        <v>15.71</v>
      </c>
      <c r="Z21" s="21">
        <v>15.04</v>
      </c>
      <c r="AA21" s="21">
        <v>14.54</v>
      </c>
      <c r="AB21" s="21">
        <v>61</v>
      </c>
      <c r="AC21" s="21">
        <v>61.38</v>
      </c>
      <c r="AD21" s="21">
        <v>705.2</v>
      </c>
      <c r="AE21" s="21">
        <v>198.71</v>
      </c>
      <c r="AF21" s="21">
        <v>32.71</v>
      </c>
      <c r="AG21" s="21">
        <v>11.44</v>
      </c>
      <c r="AH21" s="21">
        <v>21.84</v>
      </c>
      <c r="AI21" s="21">
        <v>25.78</v>
      </c>
      <c r="AJ21" s="21">
        <v>178.54</v>
      </c>
      <c r="AK21" s="21">
        <v>23.79</v>
      </c>
      <c r="AL21" s="21">
        <v>93.59</v>
      </c>
      <c r="AM21" s="21">
        <v>1.68</v>
      </c>
      <c r="AN21" s="21">
        <v>44.68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</row>
    <row r="22" spans="1:50" ht="14.25" customHeight="1">
      <c r="A22" s="10"/>
      <c r="B22" s="10" t="s">
        <v>138</v>
      </c>
      <c r="C22" s="10">
        <v>4.6399999999999997</v>
      </c>
      <c r="D22" s="10">
        <v>0.31</v>
      </c>
      <c r="E22" s="10">
        <v>6.92</v>
      </c>
      <c r="F22" s="10">
        <v>0.1</v>
      </c>
      <c r="G22" s="10">
        <v>0</v>
      </c>
      <c r="H22" s="10">
        <v>0</v>
      </c>
      <c r="I22" s="10">
        <v>0</v>
      </c>
      <c r="J22" s="10">
        <v>69.8</v>
      </c>
      <c r="K22" s="10">
        <v>0.32</v>
      </c>
      <c r="L22" s="10">
        <v>0</v>
      </c>
      <c r="M22" s="10">
        <v>10.6</v>
      </c>
      <c r="N22" s="10">
        <v>15.78</v>
      </c>
      <c r="O22" s="10">
        <v>3.56</v>
      </c>
      <c r="P22" s="10">
        <v>0.4</v>
      </c>
      <c r="Q22" s="10">
        <v>1.26</v>
      </c>
      <c r="R22" s="10">
        <v>4</v>
      </c>
      <c r="S22" s="10">
        <v>99.33</v>
      </c>
      <c r="T22" s="10">
        <v>0.17</v>
      </c>
      <c r="U22" s="10">
        <v>3.15</v>
      </c>
      <c r="V22" s="10">
        <v>8</v>
      </c>
      <c r="W22" s="10">
        <v>45.9</v>
      </c>
      <c r="X22" s="10">
        <v>0.2</v>
      </c>
      <c r="Y22" s="10">
        <v>1.1499999999999999</v>
      </c>
      <c r="Z22" s="10">
        <v>0.48</v>
      </c>
      <c r="AA22" s="10">
        <v>0.35</v>
      </c>
      <c r="AB22" s="10">
        <v>0</v>
      </c>
      <c r="AC22" s="10">
        <v>14.45</v>
      </c>
      <c r="AD22" s="10">
        <v>1.42</v>
      </c>
      <c r="AE22" s="10">
        <v>2.12</v>
      </c>
      <c r="AF22" s="10">
        <v>1.22</v>
      </c>
      <c r="AG22" s="10">
        <v>3.09</v>
      </c>
      <c r="AH22" s="10">
        <v>1.46</v>
      </c>
      <c r="AI22" s="10">
        <v>13.78</v>
      </c>
      <c r="AJ22" s="10">
        <v>31.3</v>
      </c>
      <c r="AK22" s="10">
        <v>0.1</v>
      </c>
      <c r="AL22" s="10">
        <v>0</v>
      </c>
      <c r="AM22" s="10">
        <v>0.14000000000000001</v>
      </c>
      <c r="AN22" s="10">
        <v>8.01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ht="14.25" customHeight="1">
      <c r="A23" s="10"/>
      <c r="B23" s="10" t="s">
        <v>139</v>
      </c>
      <c r="C23" s="38">
        <f t="shared" ref="C23:AN23" si="0">C22/C21</f>
        <v>0.21491431218156554</v>
      </c>
      <c r="D23" s="38">
        <f t="shared" si="0"/>
        <v>0.32291666666666669</v>
      </c>
      <c r="E23" s="38">
        <f t="shared" si="0"/>
        <v>0.39073969508752115</v>
      </c>
      <c r="F23" s="38">
        <f t="shared" si="0"/>
        <v>5.0352467270896274E-3</v>
      </c>
      <c r="G23" s="38">
        <f t="shared" si="0"/>
        <v>0</v>
      </c>
      <c r="H23" s="38">
        <f t="shared" si="0"/>
        <v>0</v>
      </c>
      <c r="I23" s="38">
        <f t="shared" si="0"/>
        <v>0</v>
      </c>
      <c r="J23" s="38">
        <f t="shared" si="0"/>
        <v>0.12176400809434093</v>
      </c>
      <c r="K23" s="38">
        <f t="shared" si="0"/>
        <v>8.9385474860335198E-2</v>
      </c>
      <c r="L23" s="38">
        <f t="shared" si="0"/>
        <v>0</v>
      </c>
      <c r="M23" s="38">
        <f t="shared" si="0"/>
        <v>9.6171293776084188E-2</v>
      </c>
      <c r="N23" s="38">
        <f t="shared" si="0"/>
        <v>6.0867888138862097E-2</v>
      </c>
      <c r="O23" s="38">
        <f t="shared" si="0"/>
        <v>0.32043204320432045</v>
      </c>
      <c r="P23" s="38">
        <f t="shared" si="0"/>
        <v>1.4809329877823029E-2</v>
      </c>
      <c r="Q23" s="38">
        <f t="shared" si="0"/>
        <v>2.850033928975345E-2</v>
      </c>
      <c r="R23" s="38">
        <f t="shared" si="0"/>
        <v>9.8692326671601285E-2</v>
      </c>
      <c r="S23" s="38">
        <f t="shared" si="0"/>
        <v>0.19763624425476034</v>
      </c>
      <c r="T23" s="38">
        <f t="shared" si="0"/>
        <v>5.3459119496855348E-2</v>
      </c>
      <c r="U23" s="38">
        <f t="shared" ref="U23" si="1">U22/U21</f>
        <v>0.61165048543689315</v>
      </c>
      <c r="V23" s="38">
        <f t="shared" si="0"/>
        <v>0.12987012987012986</v>
      </c>
      <c r="W23" s="38">
        <f t="shared" si="0"/>
        <v>4.6551252015699637E-2</v>
      </c>
      <c r="X23" s="38">
        <f t="shared" si="0"/>
        <v>2.4096385542168672E-2</v>
      </c>
      <c r="Y23" s="38">
        <f t="shared" si="0"/>
        <v>7.3201782304264787E-2</v>
      </c>
      <c r="Z23" s="38">
        <f t="shared" si="0"/>
        <v>3.1914893617021274E-2</v>
      </c>
      <c r="AA23" s="38">
        <f t="shared" si="0"/>
        <v>2.4071526822558458E-2</v>
      </c>
      <c r="AB23" s="38">
        <f t="shared" si="0"/>
        <v>0</v>
      </c>
      <c r="AC23" s="38">
        <f t="shared" si="0"/>
        <v>0.23541870316063862</v>
      </c>
      <c r="AD23" s="38">
        <f t="shared" si="0"/>
        <v>2.0136131593874074E-3</v>
      </c>
      <c r="AE23" s="38">
        <f t="shared" si="0"/>
        <v>1.0668813849328166E-2</v>
      </c>
      <c r="AF23" s="38">
        <f t="shared" si="0"/>
        <v>3.7297462549678993E-2</v>
      </c>
      <c r="AG23" s="38">
        <f t="shared" si="0"/>
        <v>0.2701048951048951</v>
      </c>
      <c r="AH23" s="38">
        <f t="shared" si="0"/>
        <v>6.6849816849816848E-2</v>
      </c>
      <c r="AI23" s="38">
        <f t="shared" si="0"/>
        <v>0.53452288595810704</v>
      </c>
      <c r="AJ23" s="38">
        <f t="shared" si="0"/>
        <v>0.17531085471042904</v>
      </c>
      <c r="AK23" s="38">
        <f t="shared" si="0"/>
        <v>4.2034468263976461E-3</v>
      </c>
      <c r="AL23" s="38">
        <f t="shared" si="0"/>
        <v>0</v>
      </c>
      <c r="AM23" s="38">
        <f t="shared" si="0"/>
        <v>8.3333333333333343E-2</v>
      </c>
      <c r="AN23" s="38">
        <f t="shared" si="0"/>
        <v>0.17927484333034915</v>
      </c>
      <c r="AO23" s="38"/>
      <c r="AP23" s="38"/>
      <c r="AQ23" s="38"/>
      <c r="AR23" s="38"/>
      <c r="AS23" s="38"/>
      <c r="AT23" s="38"/>
      <c r="AU23" s="38"/>
      <c r="AV23" s="38"/>
      <c r="AW23" s="38"/>
      <c r="AX23" s="38"/>
    </row>
    <row r="24" spans="1:50" ht="14.25" customHeight="1">
      <c r="A24" s="10"/>
      <c r="B24" s="10" t="s">
        <v>140</v>
      </c>
      <c r="C24" s="10">
        <v>2.5299999999999998</v>
      </c>
      <c r="D24" s="10">
        <v>0</v>
      </c>
      <c r="E24" s="10">
        <v>0</v>
      </c>
      <c r="F24" s="10">
        <v>0.1</v>
      </c>
      <c r="G24" s="10">
        <v>0</v>
      </c>
      <c r="H24" s="10">
        <v>0</v>
      </c>
      <c r="I24" s="10">
        <v>0</v>
      </c>
      <c r="J24" s="10">
        <v>0.24</v>
      </c>
      <c r="K24" s="10">
        <v>0.76</v>
      </c>
      <c r="L24" s="10">
        <v>0.5</v>
      </c>
      <c r="M24" s="10">
        <v>8.49</v>
      </c>
      <c r="N24" s="10">
        <v>15.28</v>
      </c>
      <c r="O24" s="10">
        <v>0.06</v>
      </c>
      <c r="P24" s="10">
        <v>5.19</v>
      </c>
      <c r="Q24" s="10">
        <v>2.33</v>
      </c>
      <c r="R24" s="10">
        <v>5.42</v>
      </c>
      <c r="S24" s="10">
        <v>17</v>
      </c>
      <c r="T24" s="10">
        <v>0.45</v>
      </c>
      <c r="U24" s="10">
        <v>0</v>
      </c>
      <c r="V24" s="10">
        <v>0</v>
      </c>
      <c r="W24" s="10">
        <v>21.6</v>
      </c>
      <c r="X24" s="10">
        <v>0</v>
      </c>
      <c r="Y24" s="10">
        <v>3.9</v>
      </c>
      <c r="Z24" s="10">
        <v>0.39</v>
      </c>
      <c r="AA24" s="10">
        <v>0.55000000000000004</v>
      </c>
      <c r="AB24" s="10">
        <v>0</v>
      </c>
      <c r="AC24" s="10">
        <v>2.4500000000000002</v>
      </c>
      <c r="AD24" s="10">
        <v>0</v>
      </c>
      <c r="AE24" s="10">
        <v>0.09</v>
      </c>
      <c r="AF24" s="10">
        <v>0.05</v>
      </c>
      <c r="AG24" s="10">
        <v>0.03</v>
      </c>
      <c r="AH24" s="10">
        <v>0.36</v>
      </c>
      <c r="AI24" s="10">
        <v>3</v>
      </c>
      <c r="AJ24" s="10">
        <v>5.3900000000000006</v>
      </c>
      <c r="AK24" s="10">
        <v>0.1</v>
      </c>
      <c r="AL24" s="10">
        <v>0</v>
      </c>
      <c r="AM24" s="10">
        <v>0.16</v>
      </c>
      <c r="AN24" s="10">
        <v>2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ht="14.25" customHeight="1">
      <c r="A25" s="10"/>
      <c r="B25" s="10" t="s">
        <v>141</v>
      </c>
      <c r="C25" s="38">
        <f t="shared" ref="C25:AN25" si="2">C24/C21</f>
        <v>0.11718388142658638</v>
      </c>
      <c r="D25" s="38">
        <f t="shared" si="2"/>
        <v>0</v>
      </c>
      <c r="E25" s="38">
        <f t="shared" si="2"/>
        <v>0</v>
      </c>
      <c r="F25" s="38">
        <f t="shared" si="2"/>
        <v>5.0352467270896274E-3</v>
      </c>
      <c r="G25" s="38">
        <f t="shared" si="2"/>
        <v>0</v>
      </c>
      <c r="H25" s="38">
        <f t="shared" si="2"/>
        <v>0</v>
      </c>
      <c r="I25" s="38">
        <f t="shared" si="2"/>
        <v>0</v>
      </c>
      <c r="J25" s="38">
        <f t="shared" si="2"/>
        <v>4.1867280720117226E-4</v>
      </c>
      <c r="K25" s="38">
        <f t="shared" si="2"/>
        <v>0.21229050279329609</v>
      </c>
      <c r="L25" s="38">
        <f t="shared" si="2"/>
        <v>0.25</v>
      </c>
      <c r="M25" s="38">
        <f t="shared" si="2"/>
        <v>7.7027762656505169E-2</v>
      </c>
      <c r="N25" s="38">
        <f t="shared" si="2"/>
        <v>5.8939247830279651E-2</v>
      </c>
      <c r="O25" s="38">
        <f t="shared" si="2"/>
        <v>5.4005400540054005E-3</v>
      </c>
      <c r="P25" s="38">
        <f t="shared" si="2"/>
        <v>0.19215105516475381</v>
      </c>
      <c r="Q25" s="38">
        <f t="shared" si="2"/>
        <v>5.270300836914725E-2</v>
      </c>
      <c r="R25" s="38">
        <f t="shared" si="2"/>
        <v>0.13372810264001972</v>
      </c>
      <c r="S25" s="38">
        <f t="shared" si="2"/>
        <v>3.3824787600230805E-2</v>
      </c>
      <c r="T25" s="38">
        <f t="shared" si="2"/>
        <v>0.14150943396226415</v>
      </c>
      <c r="U25" s="38">
        <f t="shared" ref="U25" si="3">U24/U21</f>
        <v>0</v>
      </c>
      <c r="V25" s="38">
        <f t="shared" si="2"/>
        <v>0</v>
      </c>
      <c r="W25" s="38">
        <f t="shared" si="2"/>
        <v>2.1906471536799831E-2</v>
      </c>
      <c r="X25" s="38">
        <f t="shared" si="2"/>
        <v>0</v>
      </c>
      <c r="Y25" s="38">
        <f t="shared" si="2"/>
        <v>0.24824952259707192</v>
      </c>
      <c r="Z25" s="38">
        <f t="shared" si="2"/>
        <v>2.593085106382979E-2</v>
      </c>
      <c r="AA25" s="38">
        <f t="shared" si="2"/>
        <v>3.7826685006877588E-2</v>
      </c>
      <c r="AB25" s="38">
        <f t="shared" si="2"/>
        <v>0</v>
      </c>
      <c r="AC25" s="38">
        <f t="shared" si="2"/>
        <v>3.9915281850765726E-2</v>
      </c>
      <c r="AD25" s="38">
        <f t="shared" si="2"/>
        <v>0</v>
      </c>
      <c r="AE25" s="38">
        <f t="shared" si="2"/>
        <v>4.5292134266015796E-4</v>
      </c>
      <c r="AF25" s="38">
        <f t="shared" si="2"/>
        <v>1.5285845307245491E-3</v>
      </c>
      <c r="AG25" s="38">
        <f t="shared" si="2"/>
        <v>2.6223776223776225E-3</v>
      </c>
      <c r="AH25" s="38">
        <f t="shared" si="2"/>
        <v>1.6483516483516484E-2</v>
      </c>
      <c r="AI25" s="38">
        <f t="shared" si="2"/>
        <v>0.11636927851047323</v>
      </c>
      <c r="AJ25" s="38">
        <f t="shared" si="2"/>
        <v>3.0189313319144175E-2</v>
      </c>
      <c r="AK25" s="38">
        <f t="shared" si="2"/>
        <v>4.2034468263976461E-3</v>
      </c>
      <c r="AL25" s="38">
        <f t="shared" si="2"/>
        <v>0</v>
      </c>
      <c r="AM25" s="38">
        <f t="shared" si="2"/>
        <v>9.5238095238095247E-2</v>
      </c>
      <c r="AN25" s="38">
        <f t="shared" si="2"/>
        <v>4.4762757385854966E-2</v>
      </c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 ht="14.25" customHeight="1">
      <c r="A26" s="10"/>
      <c r="B26" s="10" t="s">
        <v>142</v>
      </c>
      <c r="C26" s="10">
        <v>0.17</v>
      </c>
      <c r="D26" s="10">
        <v>0</v>
      </c>
      <c r="E26" s="10">
        <v>0</v>
      </c>
      <c r="F26" s="10">
        <v>7.0000000000000007E-2</v>
      </c>
      <c r="G26" s="10">
        <v>0</v>
      </c>
      <c r="H26" s="10">
        <v>0</v>
      </c>
      <c r="I26" s="10">
        <v>0</v>
      </c>
      <c r="J26" s="10">
        <v>1.5</v>
      </c>
      <c r="K26" s="10">
        <v>0.11</v>
      </c>
      <c r="L26" s="10">
        <v>0</v>
      </c>
      <c r="M26" s="10">
        <v>0</v>
      </c>
      <c r="N26" s="10">
        <v>15.31</v>
      </c>
      <c r="O26" s="10">
        <v>0</v>
      </c>
      <c r="P26" s="10">
        <v>0</v>
      </c>
      <c r="Q26" s="10">
        <v>0.77</v>
      </c>
      <c r="R26" s="10">
        <v>0.33</v>
      </c>
      <c r="S26" s="10">
        <v>18</v>
      </c>
      <c r="T26" s="10">
        <v>0</v>
      </c>
      <c r="U26" s="10">
        <v>0</v>
      </c>
      <c r="V26" s="10">
        <v>0</v>
      </c>
      <c r="W26" s="10">
        <v>6.7</v>
      </c>
      <c r="X26" s="10">
        <v>5</v>
      </c>
      <c r="Y26" s="10">
        <v>2.64</v>
      </c>
      <c r="Z26" s="10">
        <v>0.23</v>
      </c>
      <c r="AA26" s="10">
        <v>0.19</v>
      </c>
      <c r="AB26" s="10">
        <v>0</v>
      </c>
      <c r="AC26" s="10">
        <v>2.4</v>
      </c>
      <c r="AD26" s="10">
        <v>0</v>
      </c>
      <c r="AE26" s="10">
        <v>0.05</v>
      </c>
      <c r="AF26" s="10">
        <v>0.05</v>
      </c>
      <c r="AG26" s="10">
        <v>0</v>
      </c>
      <c r="AH26" s="10">
        <v>0.12</v>
      </c>
      <c r="AI26" s="10">
        <v>2</v>
      </c>
      <c r="AJ26" s="10">
        <v>0.35</v>
      </c>
      <c r="AK26" s="10">
        <v>0.1</v>
      </c>
      <c r="AL26" s="10">
        <v>0</v>
      </c>
      <c r="AM26" s="10">
        <v>0.21</v>
      </c>
      <c r="AN26" s="10">
        <v>0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ht="14.25" customHeight="1">
      <c r="A27" s="10"/>
      <c r="B27" s="10" t="s">
        <v>143</v>
      </c>
      <c r="C27" s="38">
        <f t="shared" ref="C27:AN27" si="4">C26/C21</f>
        <v>7.874015748031496E-3</v>
      </c>
      <c r="D27" s="38">
        <f t="shared" si="4"/>
        <v>0</v>
      </c>
      <c r="E27" s="38">
        <f t="shared" si="4"/>
        <v>0</v>
      </c>
      <c r="F27" s="38">
        <f t="shared" si="4"/>
        <v>3.5246727089627396E-3</v>
      </c>
      <c r="G27" s="38">
        <f t="shared" si="4"/>
        <v>0</v>
      </c>
      <c r="H27" s="38">
        <f t="shared" si="4"/>
        <v>0</v>
      </c>
      <c r="I27" s="38">
        <f t="shared" si="4"/>
        <v>0</v>
      </c>
      <c r="J27" s="38">
        <f t="shared" si="4"/>
        <v>2.6167050450073268E-3</v>
      </c>
      <c r="K27" s="38">
        <f t="shared" si="4"/>
        <v>3.0726256983240222E-2</v>
      </c>
      <c r="L27" s="38">
        <f t="shared" si="4"/>
        <v>0</v>
      </c>
      <c r="M27" s="38">
        <f t="shared" si="4"/>
        <v>0</v>
      </c>
      <c r="N27" s="38">
        <f t="shared" si="4"/>
        <v>5.9054966248794603E-2</v>
      </c>
      <c r="O27" s="38">
        <f t="shared" si="4"/>
        <v>0</v>
      </c>
      <c r="P27" s="38">
        <f t="shared" si="4"/>
        <v>0</v>
      </c>
      <c r="Q27" s="38">
        <f t="shared" si="4"/>
        <v>1.7416874010404884E-2</v>
      </c>
      <c r="R27" s="38">
        <f t="shared" si="4"/>
        <v>8.1421169504071068E-3</v>
      </c>
      <c r="S27" s="38">
        <f t="shared" si="4"/>
        <v>3.5814480988479676E-2</v>
      </c>
      <c r="T27" s="38">
        <f t="shared" si="4"/>
        <v>0</v>
      </c>
      <c r="U27" s="38">
        <f t="shared" ref="U27" si="5">U26/U21</f>
        <v>0</v>
      </c>
      <c r="V27" s="38">
        <f t="shared" si="4"/>
        <v>0</v>
      </c>
      <c r="W27" s="38">
        <f t="shared" si="4"/>
        <v>6.7950629303962437E-3</v>
      </c>
      <c r="X27" s="38">
        <f t="shared" si="4"/>
        <v>0.60240963855421681</v>
      </c>
      <c r="Y27" s="38">
        <f t="shared" si="4"/>
        <v>0.16804583068109485</v>
      </c>
      <c r="Z27" s="38">
        <f t="shared" si="4"/>
        <v>1.5292553191489363E-2</v>
      </c>
      <c r="AA27" s="38">
        <f t="shared" si="4"/>
        <v>1.3067400275103164E-2</v>
      </c>
      <c r="AB27" s="38">
        <f t="shared" si="4"/>
        <v>0</v>
      </c>
      <c r="AC27" s="38">
        <f t="shared" si="4"/>
        <v>3.9100684261974585E-2</v>
      </c>
      <c r="AD27" s="38">
        <f t="shared" si="4"/>
        <v>0</v>
      </c>
      <c r="AE27" s="38">
        <f t="shared" si="4"/>
        <v>2.5162296814453222E-4</v>
      </c>
      <c r="AF27" s="38">
        <f t="shared" si="4"/>
        <v>1.5285845307245491E-3</v>
      </c>
      <c r="AG27" s="38">
        <f t="shared" si="4"/>
        <v>0</v>
      </c>
      <c r="AH27" s="38">
        <f t="shared" si="4"/>
        <v>5.4945054945054941E-3</v>
      </c>
      <c r="AI27" s="38">
        <f t="shared" si="4"/>
        <v>7.7579519006982151E-2</v>
      </c>
      <c r="AJ27" s="38">
        <f t="shared" si="4"/>
        <v>1.9603450207236472E-3</v>
      </c>
      <c r="AK27" s="38">
        <f t="shared" si="4"/>
        <v>4.2034468263976461E-3</v>
      </c>
      <c r="AL27" s="38">
        <f t="shared" si="4"/>
        <v>0</v>
      </c>
      <c r="AM27" s="38">
        <f t="shared" si="4"/>
        <v>0.125</v>
      </c>
      <c r="AN27" s="38">
        <f t="shared" si="4"/>
        <v>0</v>
      </c>
      <c r="AO27" s="38"/>
      <c r="AP27" s="38"/>
      <c r="AQ27" s="38"/>
      <c r="AR27" s="38"/>
      <c r="AS27" s="38"/>
      <c r="AT27" s="38"/>
      <c r="AU27" s="38"/>
      <c r="AV27" s="38"/>
      <c r="AW27" s="38"/>
      <c r="AX27" s="38"/>
    </row>
    <row r="28" spans="1:50" ht="14.25" customHeight="1">
      <c r="A28" s="10"/>
      <c r="B28" s="10" t="s">
        <v>144</v>
      </c>
      <c r="C28" s="10">
        <v>0.7</v>
      </c>
      <c r="D28" s="10">
        <v>0</v>
      </c>
      <c r="E28" s="10">
        <v>0.01</v>
      </c>
      <c r="F28" s="10">
        <v>0</v>
      </c>
      <c r="G28" s="10">
        <v>0</v>
      </c>
      <c r="H28" s="10">
        <v>0</v>
      </c>
      <c r="I28" s="10">
        <v>0</v>
      </c>
      <c r="J28" s="10">
        <v>0.02</v>
      </c>
      <c r="K28" s="10">
        <v>7.0000000000000007E-2</v>
      </c>
      <c r="L28" s="10">
        <v>0</v>
      </c>
      <c r="M28" s="10">
        <v>0</v>
      </c>
      <c r="N28" s="10">
        <v>7.18</v>
      </c>
      <c r="O28" s="10">
        <v>0</v>
      </c>
      <c r="P28" s="10">
        <v>0</v>
      </c>
      <c r="Q28" s="10">
        <v>0.15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0.5</v>
      </c>
      <c r="X28" s="10">
        <v>0</v>
      </c>
      <c r="Y28" s="10">
        <v>0.02</v>
      </c>
      <c r="Z28" s="10">
        <v>0</v>
      </c>
      <c r="AA28" s="10">
        <v>0</v>
      </c>
      <c r="AB28" s="10">
        <v>19</v>
      </c>
      <c r="AC28" s="10">
        <v>2.4500000000000002</v>
      </c>
      <c r="AD28" s="10">
        <v>0</v>
      </c>
      <c r="AE28" s="10">
        <v>0.18</v>
      </c>
      <c r="AF28" s="10">
        <v>0.72</v>
      </c>
      <c r="AG28" s="10">
        <v>0.04</v>
      </c>
      <c r="AH28" s="10">
        <v>0.21</v>
      </c>
      <c r="AI28" s="10">
        <v>0</v>
      </c>
      <c r="AJ28" s="10">
        <v>0</v>
      </c>
      <c r="AK28" s="10">
        <v>0.1</v>
      </c>
      <c r="AL28" s="10">
        <v>0</v>
      </c>
      <c r="AM28" s="10">
        <v>0.16</v>
      </c>
      <c r="AN28" s="10">
        <v>0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ht="14.25" customHeight="1">
      <c r="A29" s="10"/>
      <c r="B29" s="10" t="s">
        <v>145</v>
      </c>
      <c r="C29" s="38">
        <f t="shared" ref="C29:AN29" si="6">C28/C21</f>
        <v>3.2422417786012042E-2</v>
      </c>
      <c r="D29" s="38">
        <f t="shared" si="6"/>
        <v>0</v>
      </c>
      <c r="E29" s="38">
        <f t="shared" si="6"/>
        <v>5.6465273856578201E-4</v>
      </c>
      <c r="F29" s="38">
        <f t="shared" si="6"/>
        <v>0</v>
      </c>
      <c r="G29" s="38">
        <f t="shared" si="6"/>
        <v>0</v>
      </c>
      <c r="H29" s="38">
        <f t="shared" si="6"/>
        <v>0</v>
      </c>
      <c r="I29" s="38">
        <f t="shared" si="6"/>
        <v>0</v>
      </c>
      <c r="J29" s="38">
        <f t="shared" si="6"/>
        <v>3.4889400600097688E-5</v>
      </c>
      <c r="K29" s="38">
        <f t="shared" si="6"/>
        <v>1.9553072625698324E-2</v>
      </c>
      <c r="L29" s="38">
        <f t="shared" si="6"/>
        <v>0</v>
      </c>
      <c r="M29" s="38">
        <f t="shared" si="6"/>
        <v>0</v>
      </c>
      <c r="N29" s="38">
        <f t="shared" si="6"/>
        <v>2.7695274831243972E-2</v>
      </c>
      <c r="O29" s="38">
        <f t="shared" si="6"/>
        <v>0</v>
      </c>
      <c r="P29" s="38">
        <f t="shared" si="6"/>
        <v>0</v>
      </c>
      <c r="Q29" s="38">
        <f t="shared" si="6"/>
        <v>3.392897534494458E-3</v>
      </c>
      <c r="R29" s="38">
        <f t="shared" si="6"/>
        <v>0</v>
      </c>
      <c r="S29" s="38">
        <f t="shared" si="6"/>
        <v>0</v>
      </c>
      <c r="T29" s="38">
        <f t="shared" si="6"/>
        <v>0</v>
      </c>
      <c r="U29" s="38">
        <f t="shared" ref="U29" si="7">U28/U21</f>
        <v>0</v>
      </c>
      <c r="V29" s="38">
        <f t="shared" si="6"/>
        <v>0</v>
      </c>
      <c r="W29" s="38">
        <f t="shared" si="6"/>
        <v>5.0709424853703311E-4</v>
      </c>
      <c r="X29" s="38">
        <f t="shared" si="6"/>
        <v>0</v>
      </c>
      <c r="Y29" s="38">
        <f t="shared" si="6"/>
        <v>1.273074474856779E-3</v>
      </c>
      <c r="Z29" s="38">
        <f t="shared" si="6"/>
        <v>0</v>
      </c>
      <c r="AA29" s="38">
        <f t="shared" si="6"/>
        <v>0</v>
      </c>
      <c r="AB29" s="38">
        <f t="shared" si="6"/>
        <v>0.31147540983606559</v>
      </c>
      <c r="AC29" s="38">
        <f t="shared" si="6"/>
        <v>3.9915281850765726E-2</v>
      </c>
      <c r="AD29" s="38">
        <f t="shared" si="6"/>
        <v>0</v>
      </c>
      <c r="AE29" s="38">
        <f t="shared" si="6"/>
        <v>9.0584268532031592E-4</v>
      </c>
      <c r="AF29" s="38">
        <f t="shared" si="6"/>
        <v>2.2011617242433505E-2</v>
      </c>
      <c r="AG29" s="38">
        <f t="shared" si="6"/>
        <v>3.4965034965034969E-3</v>
      </c>
      <c r="AH29" s="38">
        <f t="shared" si="6"/>
        <v>9.6153846153846159E-3</v>
      </c>
      <c r="AI29" s="38">
        <f t="shared" si="6"/>
        <v>0</v>
      </c>
      <c r="AJ29" s="38">
        <f t="shared" si="6"/>
        <v>0</v>
      </c>
      <c r="AK29" s="38">
        <f t="shared" si="6"/>
        <v>4.2034468263976461E-3</v>
      </c>
      <c r="AL29" s="38">
        <f t="shared" si="6"/>
        <v>0</v>
      </c>
      <c r="AM29" s="38">
        <f t="shared" si="6"/>
        <v>9.5238095238095247E-2</v>
      </c>
      <c r="AN29" s="38">
        <f t="shared" si="6"/>
        <v>0</v>
      </c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 spans="1:50" ht="14.25" customHeight="1">
      <c r="A30" s="10"/>
      <c r="B30" s="10" t="s">
        <v>146</v>
      </c>
      <c r="C30" s="10">
        <v>2.17</v>
      </c>
      <c r="D30" s="10">
        <v>0.01</v>
      </c>
      <c r="E30" s="10">
        <v>0.63</v>
      </c>
      <c r="F30" s="10">
        <v>0</v>
      </c>
      <c r="G30" s="10">
        <v>0</v>
      </c>
      <c r="H30" s="10">
        <v>0</v>
      </c>
      <c r="I30" s="10">
        <v>0</v>
      </c>
      <c r="J30" s="10">
        <v>2.06</v>
      </c>
      <c r="K30" s="10">
        <v>0.03</v>
      </c>
      <c r="L30" s="10">
        <v>0</v>
      </c>
      <c r="M30" s="10">
        <v>6.36</v>
      </c>
      <c r="N30" s="10">
        <v>1.53</v>
      </c>
      <c r="O30" s="10">
        <v>0.01</v>
      </c>
      <c r="P30" s="10">
        <v>0</v>
      </c>
      <c r="Q30" s="10">
        <v>1.1200000000000001</v>
      </c>
      <c r="R30" s="10">
        <v>1</v>
      </c>
      <c r="S30" s="10">
        <v>10</v>
      </c>
      <c r="T30" s="10">
        <v>0.13</v>
      </c>
      <c r="U30" s="10">
        <v>0</v>
      </c>
      <c r="V30" s="10">
        <v>26.2</v>
      </c>
      <c r="W30" s="10">
        <v>16.3</v>
      </c>
      <c r="X30" s="10">
        <v>0</v>
      </c>
      <c r="Y30" s="10">
        <v>0</v>
      </c>
      <c r="Z30" s="10">
        <v>0.03</v>
      </c>
      <c r="AA30" s="10">
        <v>0.05</v>
      </c>
      <c r="AB30" s="10">
        <v>0</v>
      </c>
      <c r="AC30" s="10">
        <v>2</v>
      </c>
      <c r="AD30" s="10">
        <v>0</v>
      </c>
      <c r="AE30" s="10">
        <v>0</v>
      </c>
      <c r="AF30" s="10">
        <v>0.02</v>
      </c>
      <c r="AG30" s="10">
        <v>0</v>
      </c>
      <c r="AH30" s="10">
        <v>0.63</v>
      </c>
      <c r="AI30" s="10">
        <v>3</v>
      </c>
      <c r="AJ30" s="10">
        <v>7.33</v>
      </c>
      <c r="AK30" s="10">
        <v>0.1</v>
      </c>
      <c r="AL30" s="10">
        <v>0</v>
      </c>
      <c r="AM30" s="10">
        <v>0.08</v>
      </c>
      <c r="AN30" s="10">
        <v>1.49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ht="14.25" customHeight="1">
      <c r="A31" s="10"/>
      <c r="B31" s="10" t="s">
        <v>147</v>
      </c>
      <c r="C31" s="38">
        <f t="shared" ref="C31:AN31" si="8">C30/C21</f>
        <v>0.10050949513663733</v>
      </c>
      <c r="D31" s="38">
        <f t="shared" si="8"/>
        <v>1.0416666666666668E-2</v>
      </c>
      <c r="E31" s="38">
        <f t="shared" si="8"/>
        <v>3.5573122529644265E-2</v>
      </c>
      <c r="F31" s="38">
        <f t="shared" si="8"/>
        <v>0</v>
      </c>
      <c r="G31" s="38">
        <f t="shared" si="8"/>
        <v>0</v>
      </c>
      <c r="H31" s="38">
        <f t="shared" si="8"/>
        <v>0</v>
      </c>
      <c r="I31" s="38">
        <f t="shared" si="8"/>
        <v>0</v>
      </c>
      <c r="J31" s="38">
        <f t="shared" si="8"/>
        <v>3.5936082618100622E-3</v>
      </c>
      <c r="K31" s="38">
        <f t="shared" si="8"/>
        <v>8.3798882681564244E-3</v>
      </c>
      <c r="L31" s="38">
        <f t="shared" si="8"/>
        <v>0</v>
      </c>
      <c r="M31" s="38">
        <f t="shared" si="8"/>
        <v>5.770277626565052E-2</v>
      </c>
      <c r="N31" s="38">
        <f t="shared" si="8"/>
        <v>5.9016393442622951E-3</v>
      </c>
      <c r="O31" s="38">
        <f t="shared" si="8"/>
        <v>9.0009000900090016E-4</v>
      </c>
      <c r="P31" s="38">
        <f t="shared" si="8"/>
        <v>0</v>
      </c>
      <c r="Q31" s="38">
        <f t="shared" si="8"/>
        <v>2.5333634924225291E-2</v>
      </c>
      <c r="R31" s="38">
        <f t="shared" si="8"/>
        <v>2.4673081667900321E-2</v>
      </c>
      <c r="S31" s="38">
        <f t="shared" si="8"/>
        <v>1.9896933882488709E-2</v>
      </c>
      <c r="T31" s="38">
        <f t="shared" si="8"/>
        <v>4.0880503144654086E-2</v>
      </c>
      <c r="U31" s="38">
        <f t="shared" ref="U31" si="9">U30/U21</f>
        <v>0</v>
      </c>
      <c r="V31" s="38">
        <f t="shared" si="8"/>
        <v>0.42532467532467533</v>
      </c>
      <c r="W31" s="38">
        <f t="shared" si="8"/>
        <v>1.6531272502307279E-2</v>
      </c>
      <c r="X31" s="38">
        <f t="shared" si="8"/>
        <v>0</v>
      </c>
      <c r="Y31" s="38">
        <f t="shared" si="8"/>
        <v>0</v>
      </c>
      <c r="Z31" s="38">
        <f t="shared" si="8"/>
        <v>1.9946808510638296E-3</v>
      </c>
      <c r="AA31" s="38">
        <f t="shared" si="8"/>
        <v>3.4387895460797802E-3</v>
      </c>
      <c r="AB31" s="38">
        <f t="shared" si="8"/>
        <v>0</v>
      </c>
      <c r="AC31" s="38">
        <f t="shared" si="8"/>
        <v>3.2583903551645484E-2</v>
      </c>
      <c r="AD31" s="38">
        <f t="shared" si="8"/>
        <v>0</v>
      </c>
      <c r="AE31" s="38">
        <f t="shared" si="8"/>
        <v>0</v>
      </c>
      <c r="AF31" s="38">
        <f t="shared" si="8"/>
        <v>6.1143381228981959E-4</v>
      </c>
      <c r="AG31" s="38">
        <f t="shared" si="8"/>
        <v>0</v>
      </c>
      <c r="AH31" s="38">
        <f t="shared" si="8"/>
        <v>2.8846153846153848E-2</v>
      </c>
      <c r="AI31" s="38">
        <f t="shared" si="8"/>
        <v>0.11636927851047323</v>
      </c>
      <c r="AJ31" s="38">
        <f t="shared" si="8"/>
        <v>4.1055225719726675E-2</v>
      </c>
      <c r="AK31" s="38">
        <f t="shared" si="8"/>
        <v>4.2034468263976461E-3</v>
      </c>
      <c r="AL31" s="38">
        <f t="shared" si="8"/>
        <v>0</v>
      </c>
      <c r="AM31" s="38">
        <f t="shared" si="8"/>
        <v>4.7619047619047623E-2</v>
      </c>
      <c r="AN31" s="38">
        <f t="shared" si="8"/>
        <v>3.3348254252461955E-2</v>
      </c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 spans="1:50" ht="14.25" customHeight="1">
      <c r="A32" s="10"/>
      <c r="B32" s="10" t="s">
        <v>148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0.04</v>
      </c>
      <c r="L32" s="10">
        <v>0</v>
      </c>
      <c r="M32" s="10">
        <v>0</v>
      </c>
      <c r="N32" s="10">
        <v>0.01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0.4</v>
      </c>
      <c r="AD32" s="10">
        <v>3.25</v>
      </c>
      <c r="AE32" s="10">
        <v>0.02</v>
      </c>
      <c r="AF32" s="10">
        <v>0</v>
      </c>
      <c r="AG32" s="10">
        <v>0</v>
      </c>
      <c r="AH32" s="10">
        <v>0.09</v>
      </c>
      <c r="AI32" s="10">
        <v>0</v>
      </c>
      <c r="AJ32" s="10">
        <v>0</v>
      </c>
      <c r="AK32" s="10">
        <v>0.1</v>
      </c>
      <c r="AL32" s="10">
        <v>0</v>
      </c>
      <c r="AM32" s="10">
        <v>0</v>
      </c>
      <c r="AN32" s="10">
        <v>0.2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ht="14.25" customHeight="1">
      <c r="A33" s="10"/>
      <c r="B33" s="10" t="s">
        <v>149</v>
      </c>
      <c r="C33" s="38">
        <f t="shared" ref="C33:AN33" si="10">C32/C21</f>
        <v>0</v>
      </c>
      <c r="D33" s="38">
        <f t="shared" si="10"/>
        <v>0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0</v>
      </c>
      <c r="I33" s="38">
        <f t="shared" si="10"/>
        <v>0</v>
      </c>
      <c r="J33" s="38">
        <f t="shared" si="10"/>
        <v>0</v>
      </c>
      <c r="K33" s="38">
        <f t="shared" si="10"/>
        <v>1.11731843575419E-2</v>
      </c>
      <c r="L33" s="38">
        <f t="shared" si="10"/>
        <v>0</v>
      </c>
      <c r="M33" s="38">
        <f t="shared" si="10"/>
        <v>0</v>
      </c>
      <c r="N33" s="38">
        <f t="shared" si="10"/>
        <v>3.8572806171648991E-5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0</v>
      </c>
      <c r="S33" s="38">
        <f t="shared" si="10"/>
        <v>0</v>
      </c>
      <c r="T33" s="38">
        <f t="shared" si="10"/>
        <v>0</v>
      </c>
      <c r="U33" s="38">
        <f t="shared" ref="U33" si="11">U32/U21</f>
        <v>0</v>
      </c>
      <c r="V33" s="38">
        <f t="shared" si="10"/>
        <v>0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0</v>
      </c>
      <c r="AC33" s="38">
        <f t="shared" si="10"/>
        <v>6.5167807103290974E-3</v>
      </c>
      <c r="AD33" s="38">
        <f t="shared" si="10"/>
        <v>4.6086216676120249E-3</v>
      </c>
      <c r="AE33" s="38">
        <f t="shared" si="10"/>
        <v>1.0064918725781288E-4</v>
      </c>
      <c r="AF33" s="38">
        <f t="shared" si="10"/>
        <v>0</v>
      </c>
      <c r="AG33" s="38">
        <f t="shared" si="10"/>
        <v>0</v>
      </c>
      <c r="AH33" s="38">
        <f t="shared" si="10"/>
        <v>4.120879120879121E-3</v>
      </c>
      <c r="AI33" s="38">
        <f t="shared" si="10"/>
        <v>0</v>
      </c>
      <c r="AJ33" s="38">
        <f t="shared" si="10"/>
        <v>0</v>
      </c>
      <c r="AK33" s="38">
        <f t="shared" si="10"/>
        <v>4.2034468263976461E-3</v>
      </c>
      <c r="AL33" s="38">
        <f t="shared" si="10"/>
        <v>0</v>
      </c>
      <c r="AM33" s="38">
        <f t="shared" si="10"/>
        <v>0</v>
      </c>
      <c r="AN33" s="38">
        <f t="shared" si="10"/>
        <v>4.4762757385854975E-3</v>
      </c>
      <c r="AO33" s="38"/>
      <c r="AP33" s="38"/>
      <c r="AQ33" s="38"/>
      <c r="AR33" s="38"/>
      <c r="AS33" s="38"/>
      <c r="AT33" s="38"/>
      <c r="AU33" s="38"/>
      <c r="AV33" s="38"/>
      <c r="AW33" s="38"/>
      <c r="AX33" s="38"/>
    </row>
    <row r="34" spans="1:50" ht="14.25" customHeight="1">
      <c r="A34" s="10"/>
      <c r="B34" s="10" t="s">
        <v>150</v>
      </c>
      <c r="C34" s="10">
        <v>1.58</v>
      </c>
      <c r="D34" s="10">
        <v>0</v>
      </c>
      <c r="E34" s="10">
        <v>1.88</v>
      </c>
      <c r="F34" s="10">
        <v>8.23</v>
      </c>
      <c r="G34" s="10">
        <v>0</v>
      </c>
      <c r="H34" s="10">
        <v>119</v>
      </c>
      <c r="I34" s="10">
        <v>206</v>
      </c>
      <c r="J34" s="10">
        <v>0</v>
      </c>
      <c r="K34" s="10">
        <v>1.1100000000000001</v>
      </c>
      <c r="L34" s="10">
        <v>0</v>
      </c>
      <c r="M34" s="10">
        <v>8.6</v>
      </c>
      <c r="N34" s="10">
        <v>5.8</v>
      </c>
      <c r="O34" s="10">
        <v>0.62</v>
      </c>
      <c r="P34" s="10">
        <v>1.07</v>
      </c>
      <c r="Q34" s="10">
        <v>0.2</v>
      </c>
      <c r="R34" s="10">
        <v>0</v>
      </c>
      <c r="S34" s="10">
        <v>27</v>
      </c>
      <c r="T34" s="10">
        <v>0</v>
      </c>
      <c r="U34" s="10">
        <v>0</v>
      </c>
      <c r="V34" s="10">
        <v>0</v>
      </c>
      <c r="W34" s="10">
        <v>0</v>
      </c>
      <c r="X34" s="10">
        <v>0.8</v>
      </c>
      <c r="Y34" s="10">
        <v>0.36</v>
      </c>
      <c r="Z34" s="10">
        <v>0</v>
      </c>
      <c r="AA34" s="10">
        <v>7.0000000000000007E-2</v>
      </c>
      <c r="AB34" s="10">
        <v>0</v>
      </c>
      <c r="AC34" s="10">
        <v>0</v>
      </c>
      <c r="AD34" s="10">
        <v>314.8</v>
      </c>
      <c r="AE34" s="10">
        <v>0</v>
      </c>
      <c r="AF34" s="10">
        <v>0</v>
      </c>
      <c r="AG34" s="10">
        <v>0.2</v>
      </c>
      <c r="AH34" s="10">
        <v>0</v>
      </c>
      <c r="AI34" s="10">
        <v>0</v>
      </c>
      <c r="AJ34" s="10">
        <v>17</v>
      </c>
      <c r="AK34" s="10">
        <v>0.6</v>
      </c>
      <c r="AL34" s="10">
        <v>11.25</v>
      </c>
      <c r="AM34" s="10">
        <v>0.05</v>
      </c>
      <c r="AN34" s="10">
        <v>0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ht="14.25" customHeight="1">
      <c r="A35" s="10"/>
      <c r="B35" s="10" t="s">
        <v>151</v>
      </c>
      <c r="C35" s="38">
        <f t="shared" ref="C35:AN35" si="12">C34/C21</f>
        <v>7.3182028716998609E-2</v>
      </c>
      <c r="D35" s="38">
        <f t="shared" si="12"/>
        <v>0</v>
      </c>
      <c r="E35" s="38">
        <f t="shared" si="12"/>
        <v>0.10615471485036701</v>
      </c>
      <c r="F35" s="38">
        <f t="shared" si="12"/>
        <v>0.41440080563947634</v>
      </c>
      <c r="G35" s="38">
        <f t="shared" si="12"/>
        <v>0</v>
      </c>
      <c r="H35" s="38">
        <f t="shared" si="12"/>
        <v>8.654545454545455E-2</v>
      </c>
      <c r="I35" s="38">
        <f t="shared" si="12"/>
        <v>7.6722532588454379E-2</v>
      </c>
      <c r="J35" s="38">
        <f t="shared" si="12"/>
        <v>0</v>
      </c>
      <c r="K35" s="38">
        <f t="shared" si="12"/>
        <v>0.31005586592178774</v>
      </c>
      <c r="L35" s="38">
        <f t="shared" si="12"/>
        <v>0</v>
      </c>
      <c r="M35" s="38">
        <f t="shared" si="12"/>
        <v>7.8025766648521136E-2</v>
      </c>
      <c r="N35" s="38">
        <f t="shared" si="12"/>
        <v>2.2372227579556411E-2</v>
      </c>
      <c r="O35" s="38">
        <f t="shared" si="12"/>
        <v>5.580558055805581E-2</v>
      </c>
      <c r="P35" s="38">
        <f t="shared" si="12"/>
        <v>3.9614957423176604E-2</v>
      </c>
      <c r="Q35" s="38">
        <f t="shared" si="12"/>
        <v>4.5238633793259443E-3</v>
      </c>
      <c r="R35" s="38">
        <f t="shared" si="12"/>
        <v>0</v>
      </c>
      <c r="S35" s="38">
        <f t="shared" si="12"/>
        <v>5.3721721482719517E-2</v>
      </c>
      <c r="T35" s="38">
        <f t="shared" si="12"/>
        <v>0</v>
      </c>
      <c r="U35" s="38">
        <f t="shared" ref="U35" si="13">U34/U21</f>
        <v>0</v>
      </c>
      <c r="V35" s="38">
        <f t="shared" si="12"/>
        <v>0</v>
      </c>
      <c r="W35" s="38">
        <f t="shared" si="12"/>
        <v>0</v>
      </c>
      <c r="X35" s="38">
        <f t="shared" si="12"/>
        <v>9.638554216867469E-2</v>
      </c>
      <c r="Y35" s="38">
        <f t="shared" si="12"/>
        <v>2.2915340547422024E-2</v>
      </c>
      <c r="Z35" s="38">
        <f t="shared" si="12"/>
        <v>0</v>
      </c>
      <c r="AA35" s="38">
        <f t="shared" si="12"/>
        <v>4.814305364511693E-3</v>
      </c>
      <c r="AB35" s="38">
        <f t="shared" si="12"/>
        <v>0</v>
      </c>
      <c r="AC35" s="38">
        <f t="shared" si="12"/>
        <v>0</v>
      </c>
      <c r="AD35" s="38">
        <f t="shared" si="12"/>
        <v>0.44639818491208166</v>
      </c>
      <c r="AE35" s="38">
        <f t="shared" si="12"/>
        <v>0</v>
      </c>
      <c r="AF35" s="38">
        <f t="shared" si="12"/>
        <v>0</v>
      </c>
      <c r="AG35" s="38">
        <f t="shared" si="12"/>
        <v>1.7482517482517484E-2</v>
      </c>
      <c r="AH35" s="38">
        <f t="shared" si="12"/>
        <v>0</v>
      </c>
      <c r="AI35" s="38">
        <f t="shared" si="12"/>
        <v>0</v>
      </c>
      <c r="AJ35" s="38">
        <f t="shared" si="12"/>
        <v>9.5216758149434311E-2</v>
      </c>
      <c r="AK35" s="38">
        <f t="shared" si="12"/>
        <v>2.5220680958385876E-2</v>
      </c>
      <c r="AL35" s="38">
        <f t="shared" si="12"/>
        <v>0.12020515012287637</v>
      </c>
      <c r="AM35" s="38">
        <f t="shared" si="12"/>
        <v>2.9761904761904764E-2</v>
      </c>
      <c r="AN35" s="38">
        <f t="shared" si="12"/>
        <v>0</v>
      </c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 spans="1:50" ht="14.25" customHeight="1">
      <c r="A36" s="10"/>
      <c r="B36" s="10" t="s">
        <v>152</v>
      </c>
      <c r="C36" s="10">
        <v>7.16</v>
      </c>
      <c r="D36" s="10">
        <v>0.23</v>
      </c>
      <c r="E36" s="10">
        <v>2.89</v>
      </c>
      <c r="F36" s="10">
        <v>0.56000000000000005</v>
      </c>
      <c r="G36" s="10">
        <v>0.1</v>
      </c>
      <c r="H36" s="10">
        <v>83</v>
      </c>
      <c r="I36" s="10">
        <v>230</v>
      </c>
      <c r="J36" s="10">
        <v>38.79</v>
      </c>
      <c r="K36" s="10">
        <v>0</v>
      </c>
      <c r="L36" s="10">
        <v>1.5</v>
      </c>
      <c r="M36" s="10">
        <v>32.590000000000003</v>
      </c>
      <c r="N36" s="10">
        <v>52.36</v>
      </c>
      <c r="O36" s="10">
        <v>5.23</v>
      </c>
      <c r="P36" s="10">
        <v>2</v>
      </c>
      <c r="Q36" s="10">
        <v>3.48</v>
      </c>
      <c r="R36" s="10">
        <v>24.3</v>
      </c>
      <c r="S36" s="10">
        <v>160</v>
      </c>
      <c r="T36" s="10">
        <v>0.83</v>
      </c>
      <c r="U36" s="10">
        <v>0.8</v>
      </c>
      <c r="V36" s="10">
        <v>27.4</v>
      </c>
      <c r="W36" s="10">
        <v>545</v>
      </c>
      <c r="X36" s="10">
        <v>1</v>
      </c>
      <c r="Y36" s="10">
        <v>3.83</v>
      </c>
      <c r="Z36" s="10">
        <v>0.46</v>
      </c>
      <c r="AA36" s="10">
        <v>1.5</v>
      </c>
      <c r="AB36" s="10">
        <v>2</v>
      </c>
      <c r="AC36" s="10">
        <v>0.16</v>
      </c>
      <c r="AD36" s="10">
        <v>13.21</v>
      </c>
      <c r="AE36" s="10">
        <v>3.78</v>
      </c>
      <c r="AF36" s="10">
        <v>8.57</v>
      </c>
      <c r="AG36" s="10">
        <v>5.29</v>
      </c>
      <c r="AH36" s="10">
        <v>9.0500000000000007</v>
      </c>
      <c r="AI36" s="10">
        <v>3</v>
      </c>
      <c r="AJ36" s="10">
        <v>27.39</v>
      </c>
      <c r="AK36" s="10">
        <v>1.08</v>
      </c>
      <c r="AL36" s="10">
        <v>7.1</v>
      </c>
      <c r="AM36" s="10">
        <v>0.36</v>
      </c>
      <c r="AN36" s="10">
        <v>22.4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ht="14.25" customHeight="1">
      <c r="A37" s="10"/>
      <c r="B37" s="10" t="s">
        <v>153</v>
      </c>
      <c r="C37" s="38">
        <f t="shared" ref="C37:AN37" si="14">C36/C21</f>
        <v>0.33163501621120889</v>
      </c>
      <c r="D37" s="38">
        <f t="shared" si="14"/>
        <v>0.23958333333333334</v>
      </c>
      <c r="E37" s="38">
        <f t="shared" si="14"/>
        <v>0.16318464144551101</v>
      </c>
      <c r="F37" s="38">
        <f t="shared" si="14"/>
        <v>2.8197381671701917E-2</v>
      </c>
      <c r="G37" s="38">
        <f t="shared" si="14"/>
        <v>9.9009900990099015E-2</v>
      </c>
      <c r="H37" s="38">
        <f t="shared" si="14"/>
        <v>6.0363636363636362E-2</v>
      </c>
      <c r="I37" s="38">
        <f t="shared" si="14"/>
        <v>8.5661080074487903E-2</v>
      </c>
      <c r="J37" s="38">
        <f t="shared" si="14"/>
        <v>6.7667992463889465E-2</v>
      </c>
      <c r="K37" s="38">
        <f t="shared" si="14"/>
        <v>0</v>
      </c>
      <c r="L37" s="38">
        <f t="shared" si="14"/>
        <v>0.75</v>
      </c>
      <c r="M37" s="38">
        <f t="shared" si="14"/>
        <v>0.29568136454364002</v>
      </c>
      <c r="N37" s="38">
        <f t="shared" si="14"/>
        <v>0.2019672131147541</v>
      </c>
      <c r="O37" s="38">
        <f t="shared" si="14"/>
        <v>0.47074707470747079</v>
      </c>
      <c r="P37" s="38">
        <f t="shared" si="14"/>
        <v>7.4046649389115135E-2</v>
      </c>
      <c r="Q37" s="38">
        <f t="shared" si="14"/>
        <v>7.8715222800271434E-2</v>
      </c>
      <c r="R37" s="38">
        <f t="shared" si="14"/>
        <v>0.59955588452997777</v>
      </c>
      <c r="S37" s="38">
        <f t="shared" si="14"/>
        <v>0.31835094211981935</v>
      </c>
      <c r="T37" s="38">
        <f t="shared" si="14"/>
        <v>0.2610062893081761</v>
      </c>
      <c r="U37" s="38">
        <f t="shared" ref="U37" si="15">U36/U21</f>
        <v>0.1553398058252427</v>
      </c>
      <c r="V37" s="38">
        <f t="shared" si="14"/>
        <v>0.44480519480519476</v>
      </c>
      <c r="W37" s="38">
        <f t="shared" si="14"/>
        <v>0.55273273090536612</v>
      </c>
      <c r="X37" s="38">
        <f t="shared" si="14"/>
        <v>0.12048192771084336</v>
      </c>
      <c r="Y37" s="38">
        <f t="shared" si="14"/>
        <v>0.24379376193507318</v>
      </c>
      <c r="Z37" s="38">
        <f t="shared" si="14"/>
        <v>3.0585106382978726E-2</v>
      </c>
      <c r="AA37" s="38">
        <f t="shared" si="14"/>
        <v>0.1031636863823934</v>
      </c>
      <c r="AB37" s="38">
        <f t="shared" si="14"/>
        <v>3.2786885245901641E-2</v>
      </c>
      <c r="AC37" s="38">
        <f t="shared" si="14"/>
        <v>2.606712284131639E-3</v>
      </c>
      <c r="AD37" s="38">
        <f t="shared" si="14"/>
        <v>1.8732274532047646E-2</v>
      </c>
      <c r="AE37" s="38">
        <f t="shared" si="14"/>
        <v>1.9022696391726636E-2</v>
      </c>
      <c r="AF37" s="38">
        <f t="shared" si="14"/>
        <v>0.26199938856618771</v>
      </c>
      <c r="AG37" s="38">
        <f t="shared" si="14"/>
        <v>0.46241258741258745</v>
      </c>
      <c r="AH37" s="38">
        <f t="shared" si="14"/>
        <v>0.4143772893772894</v>
      </c>
      <c r="AI37" s="38">
        <f t="shared" si="14"/>
        <v>0.11636927851047323</v>
      </c>
      <c r="AJ37" s="38">
        <f t="shared" si="14"/>
        <v>0.15341100033605914</v>
      </c>
      <c r="AK37" s="38">
        <f t="shared" si="14"/>
        <v>4.5397225725094581E-2</v>
      </c>
      <c r="AL37" s="38">
        <f t="shared" si="14"/>
        <v>7.5862805855326412E-2</v>
      </c>
      <c r="AM37" s="38">
        <f t="shared" si="14"/>
        <v>0.21428571428571427</v>
      </c>
      <c r="AN37" s="38">
        <f t="shared" si="14"/>
        <v>0.50134288272157557</v>
      </c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pans="1:50" ht="14.25" customHeight="1">
      <c r="A38" s="10"/>
      <c r="B38" s="10" t="s">
        <v>154</v>
      </c>
      <c r="C38" s="10">
        <v>0.08</v>
      </c>
      <c r="D38" s="10">
        <v>0</v>
      </c>
      <c r="E38" s="10">
        <v>0</v>
      </c>
      <c r="F38" s="10">
        <v>3.32</v>
      </c>
      <c r="G38" s="10">
        <v>0</v>
      </c>
      <c r="H38" s="10">
        <v>14</v>
      </c>
      <c r="I38" s="10">
        <v>0</v>
      </c>
      <c r="J38" s="10">
        <v>26</v>
      </c>
      <c r="K38" s="10">
        <v>0</v>
      </c>
      <c r="L38" s="10">
        <v>0</v>
      </c>
      <c r="M38" s="10">
        <v>12.7</v>
      </c>
      <c r="N38" s="10">
        <v>6.76</v>
      </c>
      <c r="O38" s="10">
        <v>0.01</v>
      </c>
      <c r="P38" s="10">
        <v>0</v>
      </c>
      <c r="Q38" s="10">
        <v>2.09</v>
      </c>
      <c r="R38" s="10">
        <v>5</v>
      </c>
      <c r="S38" s="10">
        <v>118.3</v>
      </c>
      <c r="T38" s="10">
        <v>1.2</v>
      </c>
      <c r="U38" s="10">
        <v>0</v>
      </c>
      <c r="V38" s="10">
        <v>0</v>
      </c>
      <c r="W38" s="10">
        <v>0</v>
      </c>
      <c r="X38" s="10">
        <v>0</v>
      </c>
      <c r="Y38" s="10">
        <v>0.84</v>
      </c>
      <c r="Z38" s="10">
        <v>1.43</v>
      </c>
      <c r="AA38" s="10">
        <v>0.22</v>
      </c>
      <c r="AB38" s="10">
        <v>0</v>
      </c>
      <c r="AC38" s="10">
        <v>0</v>
      </c>
      <c r="AD38" s="10">
        <v>16.38</v>
      </c>
      <c r="AE38" s="10">
        <v>1</v>
      </c>
      <c r="AF38" s="10">
        <v>9.66</v>
      </c>
      <c r="AG38" s="10">
        <v>1.01</v>
      </c>
      <c r="AH38" s="10">
        <v>0.65</v>
      </c>
      <c r="AI38" s="10">
        <v>1</v>
      </c>
      <c r="AJ38" s="10">
        <v>1.7000000000000001E-2</v>
      </c>
      <c r="AK38" s="10">
        <v>0.22</v>
      </c>
      <c r="AL38" s="10">
        <v>0.05</v>
      </c>
      <c r="AM38" s="10">
        <v>0</v>
      </c>
      <c r="AN38" s="10">
        <v>5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ht="14.25" customHeight="1">
      <c r="A39" s="10"/>
      <c r="B39" s="10" t="s">
        <v>120</v>
      </c>
      <c r="C39" s="38">
        <f t="shared" ref="C39:AN39" si="16">C38/C21</f>
        <v>3.7054191755442334E-3</v>
      </c>
      <c r="D39" s="38">
        <f t="shared" si="16"/>
        <v>0</v>
      </c>
      <c r="E39" s="38">
        <f t="shared" si="16"/>
        <v>0</v>
      </c>
      <c r="F39" s="38">
        <f t="shared" si="16"/>
        <v>0.16717019133937563</v>
      </c>
      <c r="G39" s="38">
        <f t="shared" si="16"/>
        <v>0</v>
      </c>
      <c r="H39" s="38">
        <f t="shared" si="16"/>
        <v>1.0181818181818183E-2</v>
      </c>
      <c r="I39" s="38">
        <f t="shared" si="16"/>
        <v>0</v>
      </c>
      <c r="J39" s="38">
        <f t="shared" si="16"/>
        <v>4.5356220780126993E-2</v>
      </c>
      <c r="K39" s="38">
        <f t="shared" si="16"/>
        <v>0</v>
      </c>
      <c r="L39" s="38">
        <f t="shared" si="16"/>
        <v>0</v>
      </c>
      <c r="M39" s="38">
        <f t="shared" si="16"/>
        <v>0.1152240972600254</v>
      </c>
      <c r="N39" s="38">
        <f t="shared" si="16"/>
        <v>2.6075216972034715E-2</v>
      </c>
      <c r="O39" s="38">
        <f t="shared" si="16"/>
        <v>9.0009000900090016E-4</v>
      </c>
      <c r="P39" s="38">
        <f t="shared" si="16"/>
        <v>0</v>
      </c>
      <c r="Q39" s="38">
        <f t="shared" si="16"/>
        <v>4.7274372313956113E-2</v>
      </c>
      <c r="R39" s="38">
        <f t="shared" si="16"/>
        <v>0.1233654083395016</v>
      </c>
      <c r="S39" s="38">
        <f t="shared" si="16"/>
        <v>0.23538072782984143</v>
      </c>
      <c r="T39" s="38">
        <f t="shared" si="16"/>
        <v>0.37735849056603771</v>
      </c>
      <c r="U39" s="38">
        <f t="shared" ref="U39" si="17">U38/U21</f>
        <v>0</v>
      </c>
      <c r="V39" s="38">
        <f t="shared" si="16"/>
        <v>0</v>
      </c>
      <c r="W39" s="38">
        <f t="shared" si="16"/>
        <v>0</v>
      </c>
      <c r="X39" s="38">
        <f t="shared" si="16"/>
        <v>0</v>
      </c>
      <c r="Y39" s="38">
        <f t="shared" si="16"/>
        <v>5.3469127943984715E-2</v>
      </c>
      <c r="Z39" s="38">
        <f t="shared" si="16"/>
        <v>9.5079787234042548E-2</v>
      </c>
      <c r="AA39" s="38">
        <f t="shared" si="16"/>
        <v>1.5130674002751032E-2</v>
      </c>
      <c r="AB39" s="38">
        <f t="shared" si="16"/>
        <v>0</v>
      </c>
      <c r="AC39" s="38">
        <f t="shared" si="16"/>
        <v>0</v>
      </c>
      <c r="AD39" s="38">
        <f t="shared" si="16"/>
        <v>2.3227453204764603E-2</v>
      </c>
      <c r="AE39" s="38">
        <f t="shared" si="16"/>
        <v>5.0324593628906442E-3</v>
      </c>
      <c r="AF39" s="38">
        <f t="shared" si="16"/>
        <v>0.29532253133598285</v>
      </c>
      <c r="AG39" s="38">
        <f t="shared" si="16"/>
        <v>8.8286713286713295E-2</v>
      </c>
      <c r="AH39" s="38">
        <f t="shared" si="16"/>
        <v>2.9761904761904764E-2</v>
      </c>
      <c r="AI39" s="38">
        <f t="shared" si="16"/>
        <v>3.8789759503491075E-2</v>
      </c>
      <c r="AJ39" s="38">
        <f t="shared" si="16"/>
        <v>9.5216758149434309E-5</v>
      </c>
      <c r="AK39" s="38">
        <f t="shared" si="16"/>
        <v>9.2475830180748213E-3</v>
      </c>
      <c r="AL39" s="38">
        <f t="shared" si="16"/>
        <v>5.3424511165722831E-4</v>
      </c>
      <c r="AM39" s="38">
        <f t="shared" si="16"/>
        <v>0</v>
      </c>
      <c r="AN39" s="38">
        <f t="shared" si="16"/>
        <v>0.11190689346463742</v>
      </c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1:50" ht="14.25" customHeight="1">
      <c r="A40" s="10"/>
      <c r="B40" s="10" t="s">
        <v>155</v>
      </c>
      <c r="C40" s="10">
        <v>2.5099999999999998</v>
      </c>
      <c r="D40" s="10">
        <v>0.41</v>
      </c>
      <c r="E40" s="10">
        <v>5.4</v>
      </c>
      <c r="F40" s="10">
        <v>7.07</v>
      </c>
      <c r="G40" s="10">
        <v>0</v>
      </c>
      <c r="H40" s="10">
        <v>29</v>
      </c>
      <c r="I40" s="10">
        <v>43</v>
      </c>
      <c r="J40" s="10">
        <v>0.03</v>
      </c>
      <c r="K40" s="10">
        <v>0.38</v>
      </c>
      <c r="L40" s="10">
        <v>0</v>
      </c>
      <c r="M40" s="10">
        <v>2.5099999999999998</v>
      </c>
      <c r="N40" s="10">
        <v>17</v>
      </c>
      <c r="O40" s="10">
        <v>1.62</v>
      </c>
      <c r="P40" s="10">
        <v>1.82</v>
      </c>
      <c r="Q40" s="10">
        <v>2.85</v>
      </c>
      <c r="R40" s="10">
        <v>0.44</v>
      </c>
      <c r="S40" s="10">
        <v>2</v>
      </c>
      <c r="T40" s="10">
        <v>0.1</v>
      </c>
      <c r="U40" s="10">
        <v>1.2</v>
      </c>
      <c r="V40" s="10">
        <v>0</v>
      </c>
      <c r="W40" s="10">
        <v>130.01</v>
      </c>
      <c r="X40" s="10">
        <v>0.8</v>
      </c>
      <c r="Y40" s="10">
        <v>2.78</v>
      </c>
      <c r="Z40" s="10">
        <v>1.56</v>
      </c>
      <c r="AA40" s="10">
        <v>11.1</v>
      </c>
      <c r="AB40" s="10">
        <v>40</v>
      </c>
      <c r="AC40" s="10">
        <v>37.07</v>
      </c>
      <c r="AD40" s="10">
        <v>14.91</v>
      </c>
      <c r="AE40" s="10">
        <v>5.74</v>
      </c>
      <c r="AF40" s="10">
        <v>11.24</v>
      </c>
      <c r="AG40" s="10">
        <v>1.78</v>
      </c>
      <c r="AH40" s="10">
        <v>8.27</v>
      </c>
      <c r="AI40" s="10">
        <v>0</v>
      </c>
      <c r="AJ40" s="10">
        <v>5.8140000000000001</v>
      </c>
      <c r="AK40" s="10">
        <v>0.28999999999999998</v>
      </c>
      <c r="AL40" s="10">
        <v>1.81</v>
      </c>
      <c r="AM40" s="10">
        <v>0.49</v>
      </c>
      <c r="AN40" s="10">
        <v>0.1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ht="14.25" customHeight="1">
      <c r="A41" s="10"/>
      <c r="B41" s="10" t="s">
        <v>156</v>
      </c>
      <c r="C41" s="38">
        <f t="shared" ref="C41:AN41" si="18">C40/C21</f>
        <v>0.11625752663270031</v>
      </c>
      <c r="D41" s="38">
        <f t="shared" si="18"/>
        <v>0.42708333333333331</v>
      </c>
      <c r="E41" s="38">
        <f t="shared" si="18"/>
        <v>0.3049124788255223</v>
      </c>
      <c r="F41" s="38">
        <f t="shared" si="18"/>
        <v>0.35599194360523667</v>
      </c>
      <c r="G41" s="38">
        <f t="shared" si="18"/>
        <v>0</v>
      </c>
      <c r="H41" s="38">
        <f t="shared" si="18"/>
        <v>2.1090909090909091E-2</v>
      </c>
      <c r="I41" s="38">
        <f t="shared" si="18"/>
        <v>1.601489757914339E-2</v>
      </c>
      <c r="J41" s="38">
        <f t="shared" si="18"/>
        <v>5.2334100900146532E-5</v>
      </c>
      <c r="K41" s="38">
        <f t="shared" si="18"/>
        <v>0.10614525139664804</v>
      </c>
      <c r="L41" s="38">
        <f t="shared" si="18"/>
        <v>0</v>
      </c>
      <c r="M41" s="38">
        <f t="shared" si="18"/>
        <v>2.2772636545091634E-2</v>
      </c>
      <c r="N41" s="38">
        <f t="shared" si="18"/>
        <v>6.5573770491803282E-2</v>
      </c>
      <c r="O41" s="38">
        <f t="shared" si="18"/>
        <v>0.14581458145814583</v>
      </c>
      <c r="P41" s="38">
        <f t="shared" si="18"/>
        <v>6.7382450944094785E-2</v>
      </c>
      <c r="Q41" s="38">
        <f t="shared" si="18"/>
        <v>6.4465053155394705E-2</v>
      </c>
      <c r="R41" s="38">
        <f t="shared" si="18"/>
        <v>1.0856155933876141E-2</v>
      </c>
      <c r="S41" s="38">
        <f t="shared" si="18"/>
        <v>3.9793867764977417E-3</v>
      </c>
      <c r="T41" s="38">
        <f t="shared" si="18"/>
        <v>3.1446540880503145E-2</v>
      </c>
      <c r="U41" s="38">
        <f t="shared" ref="U41" si="19">U40/U21</f>
        <v>0.23300970873786406</v>
      </c>
      <c r="V41" s="38">
        <f t="shared" si="18"/>
        <v>0</v>
      </c>
      <c r="W41" s="38">
        <f t="shared" si="18"/>
        <v>0.13185464650459933</v>
      </c>
      <c r="X41" s="38">
        <f t="shared" si="18"/>
        <v>9.638554216867469E-2</v>
      </c>
      <c r="Y41" s="38">
        <f t="shared" si="18"/>
        <v>0.17695735200509227</v>
      </c>
      <c r="Z41" s="38">
        <f t="shared" si="18"/>
        <v>0.10372340425531916</v>
      </c>
      <c r="AA41" s="38">
        <f t="shared" si="18"/>
        <v>0.76341127922971119</v>
      </c>
      <c r="AB41" s="38">
        <f t="shared" si="18"/>
        <v>0.65573770491803274</v>
      </c>
      <c r="AC41" s="38">
        <f t="shared" si="18"/>
        <v>0.60394265232974909</v>
      </c>
      <c r="AD41" s="38">
        <f t="shared" si="18"/>
        <v>2.1142938173567782E-2</v>
      </c>
      <c r="AE41" s="38">
        <f t="shared" si="18"/>
        <v>2.8886316742992302E-2</v>
      </c>
      <c r="AF41" s="38">
        <f t="shared" si="18"/>
        <v>0.34362580250687863</v>
      </c>
      <c r="AG41" s="38">
        <f t="shared" si="18"/>
        <v>0.1555944055944056</v>
      </c>
      <c r="AH41" s="38">
        <f t="shared" si="18"/>
        <v>0.37866300366300365</v>
      </c>
      <c r="AI41" s="38">
        <f t="shared" si="18"/>
        <v>0</v>
      </c>
      <c r="AJ41" s="38">
        <f t="shared" si="18"/>
        <v>3.2564131287106529E-2</v>
      </c>
      <c r="AK41" s="38">
        <f t="shared" si="18"/>
        <v>1.2189995796553173E-2</v>
      </c>
      <c r="AL41" s="38">
        <f t="shared" si="18"/>
        <v>1.9339673041991665E-2</v>
      </c>
      <c r="AM41" s="38">
        <f t="shared" si="18"/>
        <v>0.29166666666666669</v>
      </c>
      <c r="AN41" s="38">
        <f t="shared" si="18"/>
        <v>2.2381378692927487E-3</v>
      </c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1:50" ht="14.25" customHeight="1">
      <c r="A42" s="10"/>
      <c r="B42" s="10" t="s">
        <v>157</v>
      </c>
      <c r="C42" s="10">
        <v>0</v>
      </c>
      <c r="D42" s="10">
        <v>0</v>
      </c>
      <c r="E42" s="10">
        <v>0</v>
      </c>
      <c r="F42" s="10">
        <v>0</v>
      </c>
      <c r="G42" s="10">
        <v>0.91</v>
      </c>
      <c r="H42" s="10">
        <v>784</v>
      </c>
      <c r="I42" s="10">
        <v>1580</v>
      </c>
      <c r="J42" s="10">
        <v>6.5</v>
      </c>
      <c r="K42" s="10">
        <v>0.7</v>
      </c>
      <c r="L42" s="10">
        <v>0</v>
      </c>
      <c r="M42" s="10">
        <v>26.6</v>
      </c>
      <c r="N42" s="10">
        <v>118.5</v>
      </c>
      <c r="O42" s="10">
        <v>0</v>
      </c>
      <c r="P42" s="10">
        <v>16.52</v>
      </c>
      <c r="Q42" s="10">
        <v>27.17</v>
      </c>
      <c r="R42" s="10">
        <v>0</v>
      </c>
      <c r="S42" s="10">
        <v>50</v>
      </c>
      <c r="T42" s="10">
        <v>0.3</v>
      </c>
      <c r="U42" s="10">
        <v>0</v>
      </c>
      <c r="V42" s="10">
        <v>0</v>
      </c>
      <c r="W42" s="10">
        <v>0</v>
      </c>
      <c r="X42" s="10">
        <v>0.5</v>
      </c>
      <c r="Y42" s="10">
        <v>0.1</v>
      </c>
      <c r="Z42" s="10">
        <v>10.43</v>
      </c>
      <c r="AA42" s="10">
        <v>0.4</v>
      </c>
      <c r="AB42" s="10">
        <v>0</v>
      </c>
      <c r="AC42" s="10">
        <v>0</v>
      </c>
      <c r="AD42" s="10">
        <v>198.67</v>
      </c>
      <c r="AE42" s="10">
        <v>0</v>
      </c>
      <c r="AF42" s="10">
        <v>1.2</v>
      </c>
      <c r="AG42" s="10">
        <v>0</v>
      </c>
      <c r="AH42" s="10">
        <v>1</v>
      </c>
      <c r="AI42" s="10">
        <v>0</v>
      </c>
      <c r="AJ42" s="10">
        <v>83.944999999999993</v>
      </c>
      <c r="AK42" s="10">
        <v>21</v>
      </c>
      <c r="AL42" s="10">
        <v>72.11</v>
      </c>
      <c r="AM42" s="10">
        <v>0</v>
      </c>
      <c r="AN42" s="10">
        <v>5.48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ht="14.25" customHeight="1">
      <c r="A43" s="10"/>
      <c r="B43" s="10" t="s">
        <v>158</v>
      </c>
      <c r="C43" s="38">
        <f t="shared" ref="C43:AN43" si="20">C42/C21</f>
        <v>0</v>
      </c>
      <c r="D43" s="38">
        <f t="shared" si="20"/>
        <v>0</v>
      </c>
      <c r="E43" s="38">
        <f t="shared" si="20"/>
        <v>0</v>
      </c>
      <c r="F43" s="38">
        <f t="shared" si="20"/>
        <v>0</v>
      </c>
      <c r="G43" s="38">
        <f t="shared" si="20"/>
        <v>0.90099009900990101</v>
      </c>
      <c r="H43" s="38">
        <f t="shared" si="20"/>
        <v>0.57018181818181823</v>
      </c>
      <c r="I43" s="38">
        <f t="shared" si="20"/>
        <v>0.58845437616387342</v>
      </c>
      <c r="J43" s="38">
        <f t="shared" si="20"/>
        <v>1.1339055195031748E-2</v>
      </c>
      <c r="K43" s="38">
        <f t="shared" si="20"/>
        <v>0.19553072625698323</v>
      </c>
      <c r="L43" s="38">
        <f t="shared" si="20"/>
        <v>0</v>
      </c>
      <c r="M43" s="38">
        <f t="shared" si="20"/>
        <v>0.24133551079658866</v>
      </c>
      <c r="N43" s="38">
        <f t="shared" si="20"/>
        <v>0.45708775313404049</v>
      </c>
      <c r="O43" s="38">
        <f t="shared" si="20"/>
        <v>0</v>
      </c>
      <c r="P43" s="38">
        <f t="shared" si="20"/>
        <v>0.61162532395409097</v>
      </c>
      <c r="Q43" s="38">
        <f t="shared" si="20"/>
        <v>0.61456684008142959</v>
      </c>
      <c r="R43" s="38">
        <f t="shared" si="20"/>
        <v>0</v>
      </c>
      <c r="S43" s="38">
        <f t="shared" si="20"/>
        <v>9.9484669412443549E-2</v>
      </c>
      <c r="T43" s="38">
        <f t="shared" si="20"/>
        <v>9.4339622641509427E-2</v>
      </c>
      <c r="U43" s="38">
        <f t="shared" ref="U43" si="21">U42/U21</f>
        <v>0</v>
      </c>
      <c r="V43" s="38">
        <f t="shared" si="20"/>
        <v>0</v>
      </c>
      <c r="W43" s="38">
        <f t="shared" si="20"/>
        <v>0</v>
      </c>
      <c r="X43" s="38">
        <f t="shared" si="20"/>
        <v>6.0240963855421679E-2</v>
      </c>
      <c r="Y43" s="38">
        <f t="shared" si="20"/>
        <v>6.3653723742838958E-3</v>
      </c>
      <c r="Z43" s="38">
        <f t="shared" si="20"/>
        <v>0.69348404255319152</v>
      </c>
      <c r="AA43" s="38">
        <f t="shared" si="20"/>
        <v>2.7510316368638241E-2</v>
      </c>
      <c r="AB43" s="38">
        <f t="shared" si="20"/>
        <v>0</v>
      </c>
      <c r="AC43" s="38">
        <f t="shared" si="20"/>
        <v>0</v>
      </c>
      <c r="AD43" s="38">
        <f t="shared" si="20"/>
        <v>0.28172149744753255</v>
      </c>
      <c r="AE43" s="38">
        <f t="shared" si="20"/>
        <v>0</v>
      </c>
      <c r="AF43" s="38">
        <f t="shared" si="20"/>
        <v>3.6686028737389173E-2</v>
      </c>
      <c r="AG43" s="38">
        <f t="shared" si="20"/>
        <v>0</v>
      </c>
      <c r="AH43" s="38">
        <f t="shared" si="20"/>
        <v>4.5787545787545784E-2</v>
      </c>
      <c r="AI43" s="38">
        <f t="shared" si="20"/>
        <v>0</v>
      </c>
      <c r="AJ43" s="38">
        <f t="shared" si="20"/>
        <v>0.47017475075613308</v>
      </c>
      <c r="AK43" s="38">
        <f t="shared" si="20"/>
        <v>0.8827238335435057</v>
      </c>
      <c r="AL43" s="38">
        <f t="shared" si="20"/>
        <v>0.77048830003205471</v>
      </c>
      <c r="AM43" s="38">
        <f t="shared" si="20"/>
        <v>0</v>
      </c>
      <c r="AN43" s="38">
        <f t="shared" si="20"/>
        <v>0.12264995523724262</v>
      </c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1:50" ht="14.25" customHeight="1">
      <c r="A44" s="10"/>
      <c r="B44" s="10" t="s">
        <v>159</v>
      </c>
      <c r="C44" s="10">
        <v>0.01</v>
      </c>
      <c r="D44" s="10">
        <v>0</v>
      </c>
      <c r="E44" s="10">
        <v>0</v>
      </c>
      <c r="F44" s="10">
        <v>0</v>
      </c>
      <c r="G44" s="10">
        <v>0</v>
      </c>
      <c r="H44" s="10">
        <v>346</v>
      </c>
      <c r="I44" s="10">
        <v>626</v>
      </c>
      <c r="J44" s="10">
        <v>426</v>
      </c>
      <c r="K44" s="10">
        <v>0</v>
      </c>
      <c r="L44" s="10">
        <v>0</v>
      </c>
      <c r="M44" s="10">
        <v>0.5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0.11</v>
      </c>
      <c r="Z44" s="10">
        <v>0</v>
      </c>
      <c r="AA44" s="10">
        <v>0</v>
      </c>
      <c r="AB44" s="10">
        <v>0</v>
      </c>
      <c r="AC44" s="10">
        <v>0</v>
      </c>
      <c r="AD44" s="10">
        <v>99.4</v>
      </c>
      <c r="AE44" s="10">
        <v>185.72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ht="14.25" customHeight="1">
      <c r="A45" s="10"/>
      <c r="B45" s="10" t="s">
        <v>160</v>
      </c>
      <c r="C45" s="38">
        <f t="shared" ref="C45:AN45" si="22">C44/C21</f>
        <v>4.6317739694302917E-4</v>
      </c>
      <c r="D45" s="38">
        <f t="shared" si="22"/>
        <v>0</v>
      </c>
      <c r="E45" s="38">
        <f t="shared" si="22"/>
        <v>0</v>
      </c>
      <c r="F45" s="38">
        <f t="shared" si="22"/>
        <v>0</v>
      </c>
      <c r="G45" s="38">
        <f t="shared" si="22"/>
        <v>0</v>
      </c>
      <c r="H45" s="38">
        <f t="shared" si="22"/>
        <v>0.25163636363636366</v>
      </c>
      <c r="I45" s="38">
        <f t="shared" si="22"/>
        <v>0.23314711359404097</v>
      </c>
      <c r="J45" s="38">
        <f t="shared" si="22"/>
        <v>0.74314423278208075</v>
      </c>
      <c r="K45" s="38">
        <f t="shared" si="22"/>
        <v>0</v>
      </c>
      <c r="L45" s="38">
        <f t="shared" si="22"/>
        <v>0</v>
      </c>
      <c r="M45" s="38">
        <f t="shared" si="22"/>
        <v>4.5363817818907639E-3</v>
      </c>
      <c r="N45" s="38">
        <f t="shared" si="22"/>
        <v>0</v>
      </c>
      <c r="O45" s="38">
        <f t="shared" si="22"/>
        <v>0</v>
      </c>
      <c r="P45" s="38">
        <f t="shared" si="22"/>
        <v>0</v>
      </c>
      <c r="Q45" s="38">
        <f t="shared" si="22"/>
        <v>0</v>
      </c>
      <c r="R45" s="38">
        <f t="shared" si="22"/>
        <v>0</v>
      </c>
      <c r="S45" s="38">
        <f t="shared" si="22"/>
        <v>0</v>
      </c>
      <c r="T45" s="38">
        <f t="shared" si="22"/>
        <v>0</v>
      </c>
      <c r="U45" s="38">
        <f t="shared" ref="U45" si="23">U44/U21</f>
        <v>0</v>
      </c>
      <c r="V45" s="38">
        <f t="shared" si="22"/>
        <v>0</v>
      </c>
      <c r="W45" s="38">
        <f t="shared" si="22"/>
        <v>0</v>
      </c>
      <c r="X45" s="38">
        <f t="shared" si="22"/>
        <v>0</v>
      </c>
      <c r="Y45" s="38">
        <f t="shared" si="22"/>
        <v>7.0019096117122847E-3</v>
      </c>
      <c r="Z45" s="38">
        <f t="shared" si="22"/>
        <v>0</v>
      </c>
      <c r="AA45" s="38">
        <f t="shared" si="22"/>
        <v>0</v>
      </c>
      <c r="AB45" s="38">
        <f t="shared" si="22"/>
        <v>0</v>
      </c>
      <c r="AC45" s="38">
        <f t="shared" si="22"/>
        <v>0</v>
      </c>
      <c r="AD45" s="38">
        <f t="shared" si="22"/>
        <v>0.14095292115711855</v>
      </c>
      <c r="AE45" s="38">
        <f t="shared" si="22"/>
        <v>0.93462835287605051</v>
      </c>
      <c r="AF45" s="38">
        <f t="shared" si="22"/>
        <v>0</v>
      </c>
      <c r="AG45" s="38">
        <f t="shared" si="22"/>
        <v>0</v>
      </c>
      <c r="AH45" s="38">
        <f t="shared" si="22"/>
        <v>0</v>
      </c>
      <c r="AI45" s="38">
        <f t="shared" si="22"/>
        <v>0</v>
      </c>
      <c r="AJ45" s="38">
        <f t="shared" si="22"/>
        <v>0</v>
      </c>
      <c r="AK45" s="38">
        <f t="shared" si="22"/>
        <v>0</v>
      </c>
      <c r="AL45" s="38">
        <f t="shared" si="22"/>
        <v>0</v>
      </c>
      <c r="AM45" s="38">
        <f t="shared" si="22"/>
        <v>0</v>
      </c>
      <c r="AN45" s="38">
        <f t="shared" si="22"/>
        <v>0</v>
      </c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pans="1:50" ht="14.25" customHeight="1">
      <c r="A46" s="10"/>
      <c r="B46" s="10" t="s">
        <v>161</v>
      </c>
      <c r="C46" s="10">
        <v>0.04</v>
      </c>
      <c r="D46" s="10">
        <v>0</v>
      </c>
      <c r="E46" s="10">
        <v>0</v>
      </c>
      <c r="F46" s="10">
        <v>0.43</v>
      </c>
      <c r="G46" s="10">
        <v>0</v>
      </c>
      <c r="H46" s="10">
        <v>0</v>
      </c>
      <c r="I46" s="10">
        <v>0</v>
      </c>
      <c r="J46" s="10">
        <v>2.2999999999999998</v>
      </c>
      <c r="K46" s="10">
        <v>7.0000000000000007E-2</v>
      </c>
      <c r="L46" s="10">
        <v>0</v>
      </c>
      <c r="M46" s="10">
        <v>1.27</v>
      </c>
      <c r="N46" s="10">
        <v>3.75</v>
      </c>
      <c r="O46" s="10">
        <v>0</v>
      </c>
      <c r="P46" s="10">
        <v>0.01</v>
      </c>
      <c r="Q46" s="10">
        <v>2.81</v>
      </c>
      <c r="R46" s="10">
        <v>0.04</v>
      </c>
      <c r="S46" s="10">
        <v>0.96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0.01</v>
      </c>
      <c r="AA46" s="10">
        <v>0.12</v>
      </c>
      <c r="AB46" s="10">
        <v>0</v>
      </c>
      <c r="AC46" s="10">
        <v>0</v>
      </c>
      <c r="AD46" s="10">
        <v>43.15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1.27</v>
      </c>
      <c r="AM46" s="10">
        <v>0.03</v>
      </c>
      <c r="AN46" s="10">
        <v>0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ht="14.25" customHeight="1">
      <c r="A47" s="10"/>
      <c r="B47" s="10" t="s">
        <v>162</v>
      </c>
      <c r="C47" s="38">
        <f t="shared" ref="C47:AN47" si="24">C46/C21</f>
        <v>1.8527095877721167E-3</v>
      </c>
      <c r="D47" s="38">
        <f t="shared" si="24"/>
        <v>0</v>
      </c>
      <c r="E47" s="38">
        <f t="shared" si="24"/>
        <v>0</v>
      </c>
      <c r="F47" s="38">
        <f t="shared" si="24"/>
        <v>2.1651560926485399E-2</v>
      </c>
      <c r="G47" s="38">
        <f t="shared" si="24"/>
        <v>0</v>
      </c>
      <c r="H47" s="38">
        <f t="shared" si="24"/>
        <v>0</v>
      </c>
      <c r="I47" s="38">
        <f t="shared" si="24"/>
        <v>0</v>
      </c>
      <c r="J47" s="38">
        <f t="shared" si="24"/>
        <v>4.0122810690112337E-3</v>
      </c>
      <c r="K47" s="38">
        <f t="shared" si="24"/>
        <v>1.9553072625698324E-2</v>
      </c>
      <c r="L47" s="38">
        <f t="shared" si="24"/>
        <v>0</v>
      </c>
      <c r="M47" s="38">
        <f t="shared" si="24"/>
        <v>1.152240972600254E-2</v>
      </c>
      <c r="N47" s="38">
        <f t="shared" si="24"/>
        <v>1.446480231436837E-2</v>
      </c>
      <c r="O47" s="38">
        <f t="shared" si="24"/>
        <v>0</v>
      </c>
      <c r="P47" s="38">
        <f t="shared" si="24"/>
        <v>3.7023324694557567E-4</v>
      </c>
      <c r="Q47" s="38">
        <f t="shared" si="24"/>
        <v>6.3560280479529524E-2</v>
      </c>
      <c r="R47" s="38">
        <f t="shared" si="24"/>
        <v>9.8692326671601278E-4</v>
      </c>
      <c r="S47" s="38">
        <f t="shared" si="24"/>
        <v>1.9101056527189161E-3</v>
      </c>
      <c r="T47" s="38">
        <f t="shared" si="24"/>
        <v>0</v>
      </c>
      <c r="U47" s="38">
        <f t="shared" ref="U47" si="25">U46/U21</f>
        <v>0</v>
      </c>
      <c r="V47" s="38">
        <f t="shared" si="24"/>
        <v>0</v>
      </c>
      <c r="W47" s="38">
        <f t="shared" si="24"/>
        <v>0</v>
      </c>
      <c r="X47" s="38">
        <f t="shared" si="24"/>
        <v>0</v>
      </c>
      <c r="Y47" s="38">
        <f t="shared" si="24"/>
        <v>0</v>
      </c>
      <c r="Z47" s="38">
        <f t="shared" si="24"/>
        <v>6.6489361702127669E-4</v>
      </c>
      <c r="AA47" s="38">
        <f t="shared" si="24"/>
        <v>8.2530949105914728E-3</v>
      </c>
      <c r="AB47" s="38">
        <f t="shared" si="24"/>
        <v>0</v>
      </c>
      <c r="AC47" s="38">
        <f t="shared" si="24"/>
        <v>0</v>
      </c>
      <c r="AD47" s="38">
        <f t="shared" si="24"/>
        <v>6.1188315371525803E-2</v>
      </c>
      <c r="AE47" s="38">
        <f t="shared" si="24"/>
        <v>0</v>
      </c>
      <c r="AF47" s="38">
        <f t="shared" si="24"/>
        <v>0</v>
      </c>
      <c r="AG47" s="38">
        <f t="shared" si="24"/>
        <v>0</v>
      </c>
      <c r="AH47" s="38">
        <f t="shared" si="24"/>
        <v>0</v>
      </c>
      <c r="AI47" s="38">
        <f t="shared" si="24"/>
        <v>0</v>
      </c>
      <c r="AJ47" s="38">
        <f t="shared" si="24"/>
        <v>0</v>
      </c>
      <c r="AK47" s="38">
        <f t="shared" si="24"/>
        <v>0</v>
      </c>
      <c r="AL47" s="38">
        <f t="shared" si="24"/>
        <v>1.35698258360936E-2</v>
      </c>
      <c r="AM47" s="38">
        <f t="shared" si="24"/>
        <v>1.7857142857142856E-2</v>
      </c>
      <c r="AN47" s="38">
        <f t="shared" si="24"/>
        <v>0</v>
      </c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pans="1:50" ht="14.25" customHeight="1">
      <c r="A48" s="10"/>
      <c r="B48" s="10" t="s">
        <v>163</v>
      </c>
      <c r="C48" s="10">
        <f t="shared" ref="C48:AN49" si="26">C22+C24+C26+C28+C30+C32+C34</f>
        <v>11.79</v>
      </c>
      <c r="D48" s="10">
        <f t="shared" si="26"/>
        <v>0.32</v>
      </c>
      <c r="E48" s="10">
        <f t="shared" si="26"/>
        <v>9.44</v>
      </c>
      <c r="F48" s="10">
        <f t="shared" si="26"/>
        <v>8.5</v>
      </c>
      <c r="G48" s="10">
        <f t="shared" si="26"/>
        <v>0</v>
      </c>
      <c r="H48" s="10">
        <f t="shared" si="26"/>
        <v>119</v>
      </c>
      <c r="I48" s="10">
        <f t="shared" si="26"/>
        <v>206</v>
      </c>
      <c r="J48" s="10">
        <f t="shared" si="26"/>
        <v>73.61999999999999</v>
      </c>
      <c r="K48" s="10">
        <f t="shared" si="26"/>
        <v>2.4400000000000004</v>
      </c>
      <c r="L48" s="10">
        <f t="shared" si="26"/>
        <v>0.5</v>
      </c>
      <c r="M48" s="10">
        <f t="shared" si="26"/>
        <v>34.049999999999997</v>
      </c>
      <c r="N48" s="10">
        <f t="shared" si="26"/>
        <v>60.889999999999993</v>
      </c>
      <c r="O48" s="10">
        <f t="shared" si="26"/>
        <v>4.25</v>
      </c>
      <c r="P48" s="10">
        <f t="shared" si="26"/>
        <v>6.660000000000001</v>
      </c>
      <c r="Q48" s="10">
        <f t="shared" si="26"/>
        <v>5.83</v>
      </c>
      <c r="R48" s="10">
        <f t="shared" si="26"/>
        <v>10.75</v>
      </c>
      <c r="S48" s="10">
        <f t="shared" si="26"/>
        <v>171.32999999999998</v>
      </c>
      <c r="T48" s="10">
        <f t="shared" si="26"/>
        <v>0.75</v>
      </c>
      <c r="U48" s="10">
        <f t="shared" ref="U48:U49" si="27">U22+U24+U26+U28+U30+U32+U34</f>
        <v>3.15</v>
      </c>
      <c r="V48" s="10">
        <f t="shared" si="26"/>
        <v>34.200000000000003</v>
      </c>
      <c r="W48" s="10">
        <f t="shared" si="26"/>
        <v>91</v>
      </c>
      <c r="X48" s="10">
        <f t="shared" si="26"/>
        <v>6</v>
      </c>
      <c r="Y48" s="10">
        <f t="shared" si="26"/>
        <v>8.0699999999999985</v>
      </c>
      <c r="Z48" s="10">
        <f t="shared" si="26"/>
        <v>1.1300000000000001</v>
      </c>
      <c r="AA48" s="10">
        <f t="shared" si="26"/>
        <v>1.2100000000000002</v>
      </c>
      <c r="AB48" s="10">
        <f t="shared" si="26"/>
        <v>19</v>
      </c>
      <c r="AC48" s="10">
        <f t="shared" si="26"/>
        <v>24.149999999999995</v>
      </c>
      <c r="AD48" s="10">
        <f t="shared" si="26"/>
        <v>319.47000000000003</v>
      </c>
      <c r="AE48" s="10">
        <f t="shared" si="26"/>
        <v>2.46</v>
      </c>
      <c r="AF48" s="10">
        <f t="shared" si="26"/>
        <v>2.06</v>
      </c>
      <c r="AG48" s="10">
        <f t="shared" si="26"/>
        <v>3.36</v>
      </c>
      <c r="AH48" s="10">
        <f t="shared" si="26"/>
        <v>2.8699999999999997</v>
      </c>
      <c r="AI48" s="10">
        <f t="shared" si="26"/>
        <v>21.78</v>
      </c>
      <c r="AJ48" s="10">
        <f t="shared" si="26"/>
        <v>61.37</v>
      </c>
      <c r="AK48" s="10">
        <f t="shared" si="26"/>
        <v>1.2</v>
      </c>
      <c r="AL48" s="10">
        <f t="shared" si="26"/>
        <v>11.25</v>
      </c>
      <c r="AM48" s="10">
        <f t="shared" si="26"/>
        <v>0.8</v>
      </c>
      <c r="AN48" s="10">
        <f t="shared" si="26"/>
        <v>11.7</v>
      </c>
      <c r="AO48" s="10"/>
      <c r="AP48" s="10">
        <f t="shared" ref="AP48:AP49" si="28">SUM(D48:AN48)/39</f>
        <v>34.373333333333328</v>
      </c>
      <c r="AQ48" s="10"/>
      <c r="AR48" s="30" t="s">
        <v>164</v>
      </c>
      <c r="AS48" s="10"/>
      <c r="AT48" s="10"/>
      <c r="AU48" s="10"/>
      <c r="AV48" s="10"/>
      <c r="AW48" s="10"/>
      <c r="AX48" s="10"/>
    </row>
    <row r="49" spans="1:50" ht="14.25" customHeight="1">
      <c r="A49" s="10"/>
      <c r="B49" s="10" t="s">
        <v>165</v>
      </c>
      <c r="C49" s="38">
        <f t="shared" ref="C49:AN49" si="29">C23+C25+C27+C29+C31+C33+C35</f>
        <v>0.54608615099583135</v>
      </c>
      <c r="D49" s="38">
        <f t="shared" si="29"/>
        <v>0.33333333333333337</v>
      </c>
      <c r="E49" s="38">
        <f t="shared" si="29"/>
        <v>0.53303218520609819</v>
      </c>
      <c r="F49" s="38">
        <f t="shared" si="29"/>
        <v>0.42799597180261834</v>
      </c>
      <c r="G49" s="38">
        <f t="shared" si="29"/>
        <v>0</v>
      </c>
      <c r="H49" s="38">
        <f t="shared" si="29"/>
        <v>8.654545454545455E-2</v>
      </c>
      <c r="I49" s="38">
        <f t="shared" si="26"/>
        <v>7.6722532588454379E-2</v>
      </c>
      <c r="J49" s="38">
        <f t="shared" si="29"/>
        <v>0.1284278836089596</v>
      </c>
      <c r="K49" s="38">
        <f t="shared" si="29"/>
        <v>0.68156424581005592</v>
      </c>
      <c r="L49" s="38">
        <f t="shared" si="29"/>
        <v>0.25</v>
      </c>
      <c r="M49" s="38">
        <f t="shared" si="29"/>
        <v>0.30892759934676101</v>
      </c>
      <c r="N49" s="38">
        <f t="shared" si="29"/>
        <v>0.23486981677917068</v>
      </c>
      <c r="O49" s="38">
        <f t="shared" si="29"/>
        <v>0.38253825382538253</v>
      </c>
      <c r="P49" s="38">
        <f t="shared" si="29"/>
        <v>0.24657534246575344</v>
      </c>
      <c r="Q49" s="38">
        <f t="shared" si="29"/>
        <v>0.13187061750735127</v>
      </c>
      <c r="R49" s="38">
        <f t="shared" si="29"/>
        <v>0.26523562792992844</v>
      </c>
      <c r="S49" s="38">
        <f t="shared" si="29"/>
        <v>0.34089416820867907</v>
      </c>
      <c r="T49" s="38">
        <f t="shared" si="29"/>
        <v>0.23584905660377359</v>
      </c>
      <c r="U49" s="38">
        <f t="shared" si="27"/>
        <v>0.61165048543689315</v>
      </c>
      <c r="V49" s="38">
        <f t="shared" si="29"/>
        <v>0.55519480519480524</v>
      </c>
      <c r="W49" s="38">
        <f t="shared" si="29"/>
        <v>9.2291153233740028E-2</v>
      </c>
      <c r="X49" s="38">
        <f t="shared" si="29"/>
        <v>0.72289156626506013</v>
      </c>
      <c r="Y49" s="38">
        <f t="shared" si="29"/>
        <v>0.51368555060471044</v>
      </c>
      <c r="Z49" s="38">
        <f t="shared" si="29"/>
        <v>7.5132978723404256E-2</v>
      </c>
      <c r="AA49" s="38">
        <f t="shared" si="29"/>
        <v>8.3218707015130677E-2</v>
      </c>
      <c r="AB49" s="38">
        <f t="shared" si="29"/>
        <v>0.31147540983606559</v>
      </c>
      <c r="AC49" s="38">
        <f t="shared" si="29"/>
        <v>0.39345063538611919</v>
      </c>
      <c r="AD49" s="38">
        <f t="shared" si="29"/>
        <v>0.45302041973908108</v>
      </c>
      <c r="AE49" s="38">
        <f t="shared" si="29"/>
        <v>1.2379850032710984E-2</v>
      </c>
      <c r="AF49" s="38">
        <f t="shared" si="29"/>
        <v>6.2977682665851409E-2</v>
      </c>
      <c r="AG49" s="38">
        <f t="shared" si="29"/>
        <v>0.2937062937062937</v>
      </c>
      <c r="AH49" s="38">
        <f t="shared" si="29"/>
        <v>0.13141025641025642</v>
      </c>
      <c r="AI49" s="38">
        <f t="shared" si="29"/>
        <v>0.84484096198603553</v>
      </c>
      <c r="AJ49" s="38">
        <f t="shared" si="29"/>
        <v>0.34373249691945784</v>
      </c>
      <c r="AK49" s="38">
        <f t="shared" si="29"/>
        <v>5.0441361916771746E-2</v>
      </c>
      <c r="AL49" s="38">
        <f t="shared" si="29"/>
        <v>0.12020515012287637</v>
      </c>
      <c r="AM49" s="38">
        <f t="shared" si="29"/>
        <v>0.47619047619047622</v>
      </c>
      <c r="AN49" s="38">
        <f t="shared" si="29"/>
        <v>0.26186213070725156</v>
      </c>
      <c r="AO49" s="10"/>
      <c r="AP49" s="23">
        <f t="shared" si="28"/>
        <v>0.28395231952960931</v>
      </c>
      <c r="AQ49" s="10"/>
      <c r="AR49" s="23" t="e">
        <f>AP48/#REF!</f>
        <v>#REF!</v>
      </c>
      <c r="AS49" s="10"/>
      <c r="AT49" s="10"/>
      <c r="AU49" s="10"/>
      <c r="AV49" s="10"/>
      <c r="AW49" s="10"/>
      <c r="AX49" s="10"/>
    </row>
    <row r="50" spans="1: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23"/>
      <c r="AQ50" s="10"/>
      <c r="AR50" s="10"/>
      <c r="AS50" s="10"/>
      <c r="AT50" s="10"/>
      <c r="AU50" s="10"/>
      <c r="AV50" s="10"/>
      <c r="AW50" s="10"/>
      <c r="AX50" s="10"/>
    </row>
    <row r="51" spans="1:50" ht="44.25" customHeight="1">
      <c r="A51" s="10"/>
      <c r="B51" s="39" t="s">
        <v>166</v>
      </c>
      <c r="C51" s="43" t="s">
        <v>167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23"/>
      <c r="AQ51" s="10"/>
      <c r="AR51" s="10"/>
      <c r="AS51" s="10"/>
      <c r="AT51" s="10"/>
      <c r="AU51" s="10"/>
      <c r="AV51" s="10"/>
      <c r="AW51" s="10"/>
      <c r="AX51" s="10"/>
    </row>
    <row r="52" spans="1:50" ht="14.25" customHeight="1">
      <c r="A52" s="10"/>
      <c r="B52" s="10" t="s">
        <v>168</v>
      </c>
      <c r="C52" s="40">
        <f t="shared" ref="C52:G52" si="30">(C18)*C8-0.1*(C18)*C8</f>
        <v>540.21600000000001</v>
      </c>
      <c r="D52" s="40">
        <f t="shared" si="30"/>
        <v>13.049999999999999</v>
      </c>
      <c r="E52" s="40">
        <f t="shared" si="30"/>
        <v>160.4178</v>
      </c>
      <c r="F52" s="40">
        <f t="shared" si="30"/>
        <v>643.11407999999994</v>
      </c>
      <c r="G52" s="40">
        <f t="shared" si="30"/>
        <v>518.37947999999994</v>
      </c>
      <c r="H52" s="40">
        <f>(H18)*H8-0.2*(H18)*H8</f>
        <v>2586.1402379024003</v>
      </c>
      <c r="I52" s="40">
        <f>(I18)*I8-0.2*(I18)*I8</f>
        <v>2716.1439185376003</v>
      </c>
      <c r="J52" s="40">
        <f t="shared" ref="J52:AB52" si="31">(J18)*J8-0.1*(J18)*J8</f>
        <v>807.28200000000004</v>
      </c>
      <c r="K52" s="40">
        <f t="shared" si="31"/>
        <v>72.043701582599994</v>
      </c>
      <c r="L52" s="40">
        <f t="shared" si="31"/>
        <v>58.533326499599994</v>
      </c>
      <c r="M52" s="40">
        <f t="shared" si="31"/>
        <v>202.80780000000001</v>
      </c>
      <c r="N52" s="40">
        <f t="shared" si="31"/>
        <v>183.2463275886</v>
      </c>
      <c r="O52" s="40">
        <f t="shared" si="31"/>
        <v>224.47081800000001</v>
      </c>
      <c r="P52" s="40">
        <f t="shared" si="31"/>
        <v>364.135716</v>
      </c>
      <c r="Q52" s="40">
        <f t="shared" si="31"/>
        <v>823.89506788799997</v>
      </c>
      <c r="R52" s="40">
        <f t="shared" si="31"/>
        <v>419.26569391800001</v>
      </c>
      <c r="S52" s="40">
        <f t="shared" si="31"/>
        <v>1329.1776385695</v>
      </c>
      <c r="T52" s="40">
        <f t="shared" si="31"/>
        <v>102.039344082</v>
      </c>
      <c r="U52" s="40">
        <f t="shared" ref="U52" si="32">(U18)*U8-0.1*(U18)*U8</f>
        <v>69.156000000000006</v>
      </c>
      <c r="V52" s="40">
        <f t="shared" si="31"/>
        <v>249.2251177176</v>
      </c>
      <c r="W52" s="40">
        <f t="shared" si="31"/>
        <v>3349.8264500999999</v>
      </c>
      <c r="X52" s="40">
        <f t="shared" si="31"/>
        <v>6106.0068972242998</v>
      </c>
      <c r="Y52" s="40">
        <f t="shared" si="31"/>
        <v>141.87871021499998</v>
      </c>
      <c r="Z52" s="40">
        <f t="shared" si="31"/>
        <v>23.812365918600001</v>
      </c>
      <c r="AA52" s="40">
        <f t="shared" si="31"/>
        <v>23.910425302500002</v>
      </c>
      <c r="AB52" s="40">
        <f t="shared" si="31"/>
        <v>114.9666613821</v>
      </c>
      <c r="AC52" s="40">
        <f>(AC18)*AC8-0.05*(AC18)*AC8</f>
        <v>3595.6507616757003</v>
      </c>
      <c r="AD52" s="40">
        <f>(AD18)*AD8-0.12*(AD18)*AD8</f>
        <v>1063.92</v>
      </c>
      <c r="AE52" s="40">
        <f>(AE18)*AE8-0.05*(AE18)*AE8</f>
        <v>88.711000000000013</v>
      </c>
      <c r="AF52" s="40">
        <f>(AF18)*AF8-0.03*(AF18)*AF8</f>
        <v>36.245295511040005</v>
      </c>
      <c r="AG52" s="40">
        <f>(AG18)*AG8-0.05*(AG18)*AG8</f>
        <v>41.271500987500005</v>
      </c>
      <c r="AH52" s="40">
        <f>(AH18)*AH8-0.03*(AH18)*AH8</f>
        <v>52.307028126079999</v>
      </c>
      <c r="AI52" s="40">
        <f>(AI18)*AI8-0.1*(AI18)*AI8</f>
        <v>172.08087635700002</v>
      </c>
      <c r="AJ52" s="40">
        <f>(AJ18)*AJ8-0.05*(AJ18)*AJ8</f>
        <v>2934.8730950000004</v>
      </c>
      <c r="AK52" s="40">
        <f t="shared" ref="AK52:AN52" si="33">(AK18)*AK8-0.1*(AK18)*AK8</f>
        <v>22.481819999999999</v>
      </c>
      <c r="AL52" s="40">
        <f t="shared" si="33"/>
        <v>248.55767999999995</v>
      </c>
      <c r="AM52" s="40">
        <f t="shared" si="33"/>
        <v>53.900999999999996</v>
      </c>
      <c r="AN52" s="40">
        <f t="shared" si="33"/>
        <v>254.09916000000001</v>
      </c>
      <c r="AO52" s="10"/>
      <c r="AP52" s="23"/>
      <c r="AQ52" s="10"/>
      <c r="AR52" s="10"/>
      <c r="AS52" s="10"/>
      <c r="AT52" s="10"/>
      <c r="AU52" s="10"/>
      <c r="AV52" s="10"/>
      <c r="AW52" s="10"/>
      <c r="AX52" s="10"/>
    </row>
    <row r="53" spans="1:50" ht="14.25" customHeight="1">
      <c r="A53" s="10"/>
      <c r="B53" s="10" t="s">
        <v>169</v>
      </c>
      <c r="C53" s="10">
        <f t="shared" ref="C53:AN53" si="34">C42</f>
        <v>0</v>
      </c>
      <c r="D53" s="10">
        <f t="shared" si="34"/>
        <v>0</v>
      </c>
      <c r="E53" s="10">
        <f t="shared" si="34"/>
        <v>0</v>
      </c>
      <c r="F53" s="10">
        <f t="shared" si="34"/>
        <v>0</v>
      </c>
      <c r="G53" s="10">
        <f t="shared" si="34"/>
        <v>0.91</v>
      </c>
      <c r="H53" s="10">
        <f t="shared" si="34"/>
        <v>784</v>
      </c>
      <c r="I53" s="10">
        <f t="shared" ref="I53" si="35">I42</f>
        <v>1580</v>
      </c>
      <c r="J53" s="10">
        <f t="shared" si="34"/>
        <v>6.5</v>
      </c>
      <c r="K53" s="10">
        <f t="shared" si="34"/>
        <v>0.7</v>
      </c>
      <c r="L53" s="10">
        <f t="shared" si="34"/>
        <v>0</v>
      </c>
      <c r="M53" s="10">
        <f t="shared" si="34"/>
        <v>26.6</v>
      </c>
      <c r="N53" s="10">
        <f t="shared" si="34"/>
        <v>118.5</v>
      </c>
      <c r="O53" s="10">
        <f t="shared" si="34"/>
        <v>0</v>
      </c>
      <c r="P53" s="10">
        <f t="shared" si="34"/>
        <v>16.52</v>
      </c>
      <c r="Q53" s="10">
        <f t="shared" si="34"/>
        <v>27.17</v>
      </c>
      <c r="R53" s="10">
        <f t="shared" si="34"/>
        <v>0</v>
      </c>
      <c r="S53" s="10">
        <f t="shared" si="34"/>
        <v>50</v>
      </c>
      <c r="T53" s="10">
        <f t="shared" si="34"/>
        <v>0.3</v>
      </c>
      <c r="U53" s="10">
        <f t="shared" ref="U53" si="36">U42</f>
        <v>0</v>
      </c>
      <c r="V53" s="10">
        <f t="shared" si="34"/>
        <v>0</v>
      </c>
      <c r="W53" s="10">
        <f t="shared" si="34"/>
        <v>0</v>
      </c>
      <c r="X53" s="10">
        <f t="shared" si="34"/>
        <v>0.5</v>
      </c>
      <c r="Y53" s="10">
        <f t="shared" si="34"/>
        <v>0.1</v>
      </c>
      <c r="Z53" s="10">
        <f t="shared" si="34"/>
        <v>10.43</v>
      </c>
      <c r="AA53" s="10">
        <f t="shared" si="34"/>
        <v>0.4</v>
      </c>
      <c r="AB53" s="10">
        <f t="shared" si="34"/>
        <v>0</v>
      </c>
      <c r="AC53" s="10">
        <f t="shared" si="34"/>
        <v>0</v>
      </c>
      <c r="AD53" s="10">
        <f t="shared" si="34"/>
        <v>198.67</v>
      </c>
      <c r="AE53" s="10">
        <f t="shared" si="34"/>
        <v>0</v>
      </c>
      <c r="AF53" s="10">
        <f t="shared" si="34"/>
        <v>1.2</v>
      </c>
      <c r="AG53" s="10">
        <f t="shared" si="34"/>
        <v>0</v>
      </c>
      <c r="AH53" s="10">
        <f t="shared" si="34"/>
        <v>1</v>
      </c>
      <c r="AI53" s="10">
        <f t="shared" si="34"/>
        <v>0</v>
      </c>
      <c r="AJ53" s="10">
        <f t="shared" si="34"/>
        <v>83.944999999999993</v>
      </c>
      <c r="AK53" s="10">
        <f t="shared" si="34"/>
        <v>21</v>
      </c>
      <c r="AL53" s="10">
        <f t="shared" si="34"/>
        <v>72.11</v>
      </c>
      <c r="AM53" s="10">
        <f t="shared" si="34"/>
        <v>0</v>
      </c>
      <c r="AN53" s="10">
        <f t="shared" si="34"/>
        <v>5.48</v>
      </c>
      <c r="AO53" s="10"/>
      <c r="AP53" s="23"/>
      <c r="AQ53" s="10"/>
      <c r="AR53" s="10"/>
      <c r="AS53" s="10"/>
      <c r="AT53" s="10"/>
      <c r="AU53" s="10"/>
      <c r="AV53" s="10"/>
      <c r="AW53" s="10"/>
      <c r="AX53" s="10"/>
    </row>
    <row r="54" spans="1:50" ht="14.25" customHeight="1">
      <c r="A54" s="45"/>
      <c r="B54" s="45" t="s">
        <v>170</v>
      </c>
      <c r="C54" s="46">
        <f t="shared" ref="C54:AN54" si="37">C53/C52</f>
        <v>0</v>
      </c>
      <c r="D54" s="46">
        <f t="shared" si="37"/>
        <v>0</v>
      </c>
      <c r="E54" s="46">
        <f t="shared" si="37"/>
        <v>0</v>
      </c>
      <c r="F54" s="46">
        <f t="shared" si="37"/>
        <v>0</v>
      </c>
      <c r="G54" s="46">
        <f t="shared" si="37"/>
        <v>1.7554707219506454E-3</v>
      </c>
      <c r="H54" s="46">
        <f t="shared" si="37"/>
        <v>0.30315448037570336</v>
      </c>
      <c r="I54" s="46">
        <f t="shared" ref="I54" si="38">I53/I52</f>
        <v>0.58170702561692245</v>
      </c>
      <c r="J54" s="46">
        <f t="shared" si="37"/>
        <v>8.0517093159515503E-3</v>
      </c>
      <c r="K54" s="46">
        <f t="shared" si="37"/>
        <v>9.7163247393310514E-3</v>
      </c>
      <c r="L54" s="46">
        <f t="shared" si="37"/>
        <v>0</v>
      </c>
      <c r="M54" s="46">
        <f t="shared" si="37"/>
        <v>0.13115866352280336</v>
      </c>
      <c r="N54" s="46">
        <f t="shared" si="37"/>
        <v>0.64667053118816253</v>
      </c>
      <c r="O54" s="46">
        <f t="shared" si="37"/>
        <v>0</v>
      </c>
      <c r="P54" s="46">
        <f t="shared" si="37"/>
        <v>4.536770021208246E-2</v>
      </c>
      <c r="Q54" s="46">
        <f t="shared" si="37"/>
        <v>3.2977500483949353E-2</v>
      </c>
      <c r="R54" s="46">
        <f t="shared" si="37"/>
        <v>0</v>
      </c>
      <c r="S54" s="46">
        <f t="shared" si="37"/>
        <v>3.7617244338997054E-2</v>
      </c>
      <c r="T54" s="46">
        <f t="shared" si="37"/>
        <v>2.9400424189214361E-3</v>
      </c>
      <c r="U54" s="46">
        <f t="shared" ref="U54" si="39">U53/U52</f>
        <v>0</v>
      </c>
      <c r="V54" s="46">
        <f t="shared" si="37"/>
        <v>0</v>
      </c>
      <c r="W54" s="46">
        <f t="shared" si="37"/>
        <v>0</v>
      </c>
      <c r="X54" s="46">
        <f t="shared" si="37"/>
        <v>8.188657635275397E-5</v>
      </c>
      <c r="Y54" s="46">
        <f t="shared" si="37"/>
        <v>7.0482738282905252E-4</v>
      </c>
      <c r="Z54" s="46">
        <f t="shared" si="37"/>
        <v>0.43800771564042934</v>
      </c>
      <c r="AA54" s="46">
        <f t="shared" si="37"/>
        <v>1.6729104352576164E-2</v>
      </c>
      <c r="AB54" s="46">
        <f t="shared" si="37"/>
        <v>0</v>
      </c>
      <c r="AC54" s="46">
        <f t="shared" si="37"/>
        <v>0</v>
      </c>
      <c r="AD54" s="46">
        <f t="shared" si="37"/>
        <v>0.18673396495977138</v>
      </c>
      <c r="AE54" s="46">
        <f t="shared" si="37"/>
        <v>0</v>
      </c>
      <c r="AF54" s="46">
        <f t="shared" si="37"/>
        <v>3.3107744966087815E-2</v>
      </c>
      <c r="AG54" s="46">
        <f t="shared" si="37"/>
        <v>0</v>
      </c>
      <c r="AH54" s="46">
        <f t="shared" si="37"/>
        <v>1.9117889809943254E-2</v>
      </c>
      <c r="AI54" s="46">
        <f t="shared" si="37"/>
        <v>0</v>
      </c>
      <c r="AJ54" s="46">
        <f t="shared" si="37"/>
        <v>2.8602599595537192E-2</v>
      </c>
      <c r="AK54" s="46">
        <f t="shared" si="37"/>
        <v>0.93408807649914471</v>
      </c>
      <c r="AL54" s="46">
        <f t="shared" si="37"/>
        <v>0.29011374744083551</v>
      </c>
      <c r="AM54" s="46">
        <f t="shared" si="37"/>
        <v>0</v>
      </c>
      <c r="AN54" s="46">
        <f t="shared" si="37"/>
        <v>2.1566383769234029E-2</v>
      </c>
      <c r="AO54" s="45"/>
      <c r="AP54" s="46"/>
      <c r="AQ54" s="45"/>
      <c r="AR54" s="45"/>
      <c r="AS54" s="45"/>
      <c r="AT54" s="45"/>
      <c r="AU54" s="45"/>
      <c r="AV54" s="45"/>
      <c r="AW54" s="45"/>
      <c r="AX54" s="45"/>
    </row>
    <row r="55" spans="1:50" ht="14.25" customHeight="1">
      <c r="A55" s="10"/>
      <c r="B55" s="10" t="s">
        <v>171</v>
      </c>
      <c r="C55" s="40">
        <f t="shared" ref="C55:G55" si="40">C12*C8-0.1*C12*C8</f>
        <v>32.94</v>
      </c>
      <c r="D55" s="40">
        <f t="shared" si="40"/>
        <v>1.125</v>
      </c>
      <c r="E55" s="40">
        <f t="shared" si="40"/>
        <v>21.015719999999998</v>
      </c>
      <c r="F55" s="40">
        <f t="shared" si="40"/>
        <v>205.20863999999997</v>
      </c>
      <c r="G55" s="40">
        <f t="shared" si="40"/>
        <v>23.276160000000001</v>
      </c>
      <c r="H55" s="40">
        <f>H12*H8-0.2*H12*H8</f>
        <v>159.6218552592</v>
      </c>
      <c r="I55" s="40">
        <f>I12*I8-0.2*I12*I8</f>
        <v>275.86570834080004</v>
      </c>
      <c r="J55" s="40">
        <f t="shared" ref="J55:AB55" si="41">J12*J8-0.1*J12*J8</f>
        <v>64.582560000000001</v>
      </c>
      <c r="K55" s="40">
        <f t="shared" si="41"/>
        <v>6.3629984538000004</v>
      </c>
      <c r="L55" s="40">
        <f t="shared" si="41"/>
        <v>9.9356633874</v>
      </c>
      <c r="M55" s="40">
        <f t="shared" si="41"/>
        <v>52.524450000000002</v>
      </c>
      <c r="N55" s="40">
        <f t="shared" si="41"/>
        <v>52.551168627599999</v>
      </c>
      <c r="O55" s="40">
        <f t="shared" si="41"/>
        <v>44.967078000000001</v>
      </c>
      <c r="P55" s="40">
        <f t="shared" si="41"/>
        <v>188.74174500000001</v>
      </c>
      <c r="Q55" s="40">
        <f t="shared" si="41"/>
        <v>61.744437836999992</v>
      </c>
      <c r="R55" s="40">
        <f t="shared" si="41"/>
        <v>55.715099173199995</v>
      </c>
      <c r="S55" s="40">
        <f t="shared" si="41"/>
        <v>391.475971512</v>
      </c>
      <c r="T55" s="40">
        <f t="shared" si="41"/>
        <v>6.4206025649999994</v>
      </c>
      <c r="U55" s="40">
        <f t="shared" ref="U55" si="42">U12*U8-0.1*U12*U8</f>
        <v>5.085</v>
      </c>
      <c r="V55" s="40">
        <f t="shared" si="41"/>
        <v>53.684472247199992</v>
      </c>
      <c r="W55" s="40">
        <f t="shared" si="41"/>
        <v>1092.2856399</v>
      </c>
      <c r="X55" s="40">
        <f t="shared" si="41"/>
        <v>97.2383259474</v>
      </c>
      <c r="Y55" s="40">
        <f t="shared" si="41"/>
        <v>24.149591650799998</v>
      </c>
      <c r="Z55" s="40">
        <f t="shared" si="41"/>
        <v>6.7521319434000002</v>
      </c>
      <c r="AA55" s="40">
        <f t="shared" si="41"/>
        <v>6.6744305099999997</v>
      </c>
      <c r="AB55" s="40">
        <f t="shared" si="41"/>
        <v>55.4393663082</v>
      </c>
      <c r="AC55" s="40">
        <f>AC12*AC8-0.05*AC12*AC8</f>
        <v>278.37046990934999</v>
      </c>
      <c r="AD55" s="40">
        <f>AD12*AD8-0.12*AD12*AD8</f>
        <v>170.22720000000001</v>
      </c>
      <c r="AE55" s="40">
        <f>AE12*AE8-0.05*AE12*AE8</f>
        <v>36.641500000000001</v>
      </c>
      <c r="AF55" s="40">
        <f>AF12*AF8-0.03*AF12*AF8</f>
        <v>19.821118322</v>
      </c>
      <c r="AG55" s="40">
        <f>AG12*AG8-0.05*AG12*AG8</f>
        <v>7.6077231152499998</v>
      </c>
      <c r="AH55" s="40">
        <f>AH12*AH8-0.03*AH12*AH8</f>
        <v>20.381653397640001</v>
      </c>
      <c r="AI55" s="40">
        <f>AI12*AI8-0.1*AI12*AI8</f>
        <v>23.043977716499999</v>
      </c>
      <c r="AJ55" s="40">
        <f>AJ12*AJ8-0.05*AJ12*AJ8</f>
        <v>91.068614999999994</v>
      </c>
      <c r="AK55" s="40">
        <f t="shared" ref="AK55:AN55" si="43">AK12*AK8-0.1*AK12*AK8</f>
        <v>2.4942599999999997</v>
      </c>
      <c r="AL55" s="40">
        <f t="shared" si="43"/>
        <v>12.484800000000002</v>
      </c>
      <c r="AM55" s="40">
        <f t="shared" si="43"/>
        <v>6.1019999999999994</v>
      </c>
      <c r="AN55" s="40">
        <f t="shared" si="43"/>
        <v>69.593580000000003</v>
      </c>
      <c r="AO55" s="10"/>
      <c r="AP55" s="23"/>
      <c r="AQ55" s="10"/>
      <c r="AR55" s="10"/>
      <c r="AS55" s="10"/>
      <c r="AT55" s="10"/>
      <c r="AU55" s="10"/>
      <c r="AV55" s="10"/>
      <c r="AW55" s="10"/>
      <c r="AX55" s="10"/>
    </row>
    <row r="56" spans="1:50" ht="14.25" customHeight="1">
      <c r="A56" s="10"/>
      <c r="B56" s="10" t="s">
        <v>172</v>
      </c>
      <c r="C56" s="10">
        <f t="shared" ref="C56:AN56" si="44">C36</f>
        <v>7.16</v>
      </c>
      <c r="D56" s="10">
        <f t="shared" si="44"/>
        <v>0.23</v>
      </c>
      <c r="E56" s="10">
        <f t="shared" si="44"/>
        <v>2.89</v>
      </c>
      <c r="F56" s="10">
        <f t="shared" si="44"/>
        <v>0.56000000000000005</v>
      </c>
      <c r="G56" s="10">
        <f t="shared" si="44"/>
        <v>0.1</v>
      </c>
      <c r="H56" s="10">
        <f t="shared" si="44"/>
        <v>83</v>
      </c>
      <c r="I56" s="10">
        <f t="shared" ref="I56" si="45">I36</f>
        <v>230</v>
      </c>
      <c r="J56" s="10">
        <f t="shared" si="44"/>
        <v>38.79</v>
      </c>
      <c r="K56" s="10">
        <f t="shared" si="44"/>
        <v>0</v>
      </c>
      <c r="L56" s="10">
        <f t="shared" si="44"/>
        <v>1.5</v>
      </c>
      <c r="M56" s="10">
        <f t="shared" si="44"/>
        <v>32.590000000000003</v>
      </c>
      <c r="N56" s="10">
        <f t="shared" si="44"/>
        <v>52.36</v>
      </c>
      <c r="O56" s="10">
        <f t="shared" si="44"/>
        <v>5.23</v>
      </c>
      <c r="P56" s="10">
        <f t="shared" si="44"/>
        <v>2</v>
      </c>
      <c r="Q56" s="10">
        <f t="shared" si="44"/>
        <v>3.48</v>
      </c>
      <c r="R56" s="10">
        <f t="shared" si="44"/>
        <v>24.3</v>
      </c>
      <c r="S56" s="10">
        <f t="shared" si="44"/>
        <v>160</v>
      </c>
      <c r="T56" s="10">
        <f t="shared" si="44"/>
        <v>0.83</v>
      </c>
      <c r="U56" s="10">
        <f t="shared" ref="U56" si="46">U36</f>
        <v>0.8</v>
      </c>
      <c r="V56" s="10">
        <f t="shared" si="44"/>
        <v>27.4</v>
      </c>
      <c r="W56" s="10">
        <f t="shared" si="44"/>
        <v>545</v>
      </c>
      <c r="X56" s="10">
        <f t="shared" si="44"/>
        <v>1</v>
      </c>
      <c r="Y56" s="10">
        <f t="shared" si="44"/>
        <v>3.83</v>
      </c>
      <c r="Z56" s="10">
        <f t="shared" si="44"/>
        <v>0.46</v>
      </c>
      <c r="AA56" s="10">
        <f t="shared" si="44"/>
        <v>1.5</v>
      </c>
      <c r="AB56" s="10">
        <f t="shared" si="44"/>
        <v>2</v>
      </c>
      <c r="AC56" s="10">
        <f t="shared" si="44"/>
        <v>0.16</v>
      </c>
      <c r="AD56" s="10">
        <f t="shared" si="44"/>
        <v>13.21</v>
      </c>
      <c r="AE56" s="10">
        <f t="shared" si="44"/>
        <v>3.78</v>
      </c>
      <c r="AF56" s="10">
        <f t="shared" si="44"/>
        <v>8.57</v>
      </c>
      <c r="AG56" s="10">
        <f t="shared" si="44"/>
        <v>5.29</v>
      </c>
      <c r="AH56" s="10">
        <f t="shared" si="44"/>
        <v>9.0500000000000007</v>
      </c>
      <c r="AI56" s="10">
        <f t="shared" si="44"/>
        <v>3</v>
      </c>
      <c r="AJ56" s="10">
        <f t="shared" si="44"/>
        <v>27.39</v>
      </c>
      <c r="AK56" s="10">
        <f t="shared" si="44"/>
        <v>1.08</v>
      </c>
      <c r="AL56" s="10">
        <f t="shared" si="44"/>
        <v>7.1</v>
      </c>
      <c r="AM56" s="10">
        <f t="shared" si="44"/>
        <v>0.36</v>
      </c>
      <c r="AN56" s="10">
        <f t="shared" si="44"/>
        <v>22.4</v>
      </c>
      <c r="AO56" s="10"/>
      <c r="AP56" s="23"/>
      <c r="AQ56" s="10"/>
      <c r="AR56" s="10"/>
      <c r="AS56" s="10"/>
      <c r="AT56" s="10"/>
      <c r="AU56" s="10"/>
      <c r="AV56" s="10"/>
      <c r="AW56" s="10"/>
      <c r="AX56" s="10"/>
    </row>
    <row r="57" spans="1:50" ht="14.25" customHeight="1">
      <c r="A57" s="45"/>
      <c r="B57" s="45" t="s">
        <v>173</v>
      </c>
      <c r="C57" s="46">
        <f t="shared" ref="C57:AN57" si="47">C56/C55</f>
        <v>0.21736490588949609</v>
      </c>
      <c r="D57" s="46">
        <f t="shared" si="47"/>
        <v>0.20444444444444446</v>
      </c>
      <c r="E57" s="46">
        <f t="shared" si="47"/>
        <v>0.13751610699038627</v>
      </c>
      <c r="F57" s="46">
        <f t="shared" si="47"/>
        <v>2.7289299319950668E-3</v>
      </c>
      <c r="G57" s="46">
        <f t="shared" si="47"/>
        <v>4.2962413044075999E-3</v>
      </c>
      <c r="H57" s="46">
        <f t="shared" si="47"/>
        <v>0.5199789205884211</v>
      </c>
      <c r="I57" s="46">
        <f t="shared" ref="I57" si="48">I56/I55</f>
        <v>0.83373900070197093</v>
      </c>
      <c r="J57" s="46">
        <f t="shared" si="47"/>
        <v>0.60062654685723205</v>
      </c>
      <c r="K57" s="46">
        <f t="shared" si="47"/>
        <v>0</v>
      </c>
      <c r="L57" s="46">
        <f t="shared" si="47"/>
        <v>0.15097129819255334</v>
      </c>
      <c r="M57" s="46">
        <f t="shared" si="47"/>
        <v>0.62047294164907962</v>
      </c>
      <c r="N57" s="46">
        <f t="shared" si="47"/>
        <v>0.99636223831757764</v>
      </c>
      <c r="O57" s="46">
        <f t="shared" si="47"/>
        <v>0.11630731265215855</v>
      </c>
      <c r="P57" s="46">
        <f t="shared" si="47"/>
        <v>1.0596489928605884E-2</v>
      </c>
      <c r="Q57" s="46">
        <f t="shared" si="47"/>
        <v>5.6361352081411784E-2</v>
      </c>
      <c r="R57" s="46">
        <f t="shared" si="47"/>
        <v>0.43614747816313237</v>
      </c>
      <c r="S57" s="46">
        <f t="shared" si="47"/>
        <v>0.40870963135242</v>
      </c>
      <c r="T57" s="46">
        <f t="shared" si="47"/>
        <v>0.12927135601329656</v>
      </c>
      <c r="U57" s="46">
        <f t="shared" ref="U57" si="49">U56/U55</f>
        <v>0.15732546705998035</v>
      </c>
      <c r="V57" s="46">
        <f t="shared" si="47"/>
        <v>0.51038966861463553</v>
      </c>
      <c r="W57" s="46">
        <f t="shared" si="47"/>
        <v>0.49895373526094822</v>
      </c>
      <c r="X57" s="46">
        <f t="shared" si="47"/>
        <v>1.0284010859472621E-2</v>
      </c>
      <c r="Y57" s="46">
        <f t="shared" si="47"/>
        <v>0.15859481416420243</v>
      </c>
      <c r="Z57" s="46">
        <f t="shared" si="47"/>
        <v>6.8126630796904938E-2</v>
      </c>
      <c r="AA57" s="46">
        <f t="shared" si="47"/>
        <v>0.2247382750861841</v>
      </c>
      <c r="AB57" s="46">
        <f t="shared" si="47"/>
        <v>3.6075448425610543E-2</v>
      </c>
      <c r="AC57" s="46">
        <f t="shared" si="47"/>
        <v>5.7477361033339222E-4</v>
      </c>
      <c r="AD57" s="46">
        <f t="shared" si="47"/>
        <v>7.7602169336040305E-2</v>
      </c>
      <c r="AE57" s="46">
        <f t="shared" si="47"/>
        <v>0.1031617155411214</v>
      </c>
      <c r="AF57" s="46">
        <f t="shared" si="47"/>
        <v>0.43236712786724668</v>
      </c>
      <c r="AG57" s="46">
        <f t="shared" si="47"/>
        <v>0.69534602138660562</v>
      </c>
      <c r="AH57" s="46">
        <f t="shared" si="47"/>
        <v>0.44402678347223312</v>
      </c>
      <c r="AI57" s="46">
        <f t="shared" si="47"/>
        <v>0.13018585753326489</v>
      </c>
      <c r="AJ57" s="46">
        <f t="shared" si="47"/>
        <v>0.30076223296027949</v>
      </c>
      <c r="AK57" s="46">
        <f t="shared" si="47"/>
        <v>0.43299415457891327</v>
      </c>
      <c r="AL57" s="46">
        <f t="shared" si="47"/>
        <v>0.56869152889914121</v>
      </c>
      <c r="AM57" s="46">
        <f t="shared" si="47"/>
        <v>5.8997050147492631E-2</v>
      </c>
      <c r="AN57" s="46">
        <f t="shared" si="47"/>
        <v>0.3218687700790791</v>
      </c>
      <c r="AO57" s="45"/>
      <c r="AP57" s="46"/>
      <c r="AQ57" s="45"/>
      <c r="AR57" s="45"/>
      <c r="AS57" s="45"/>
      <c r="AT57" s="45"/>
      <c r="AU57" s="45"/>
      <c r="AV57" s="45"/>
      <c r="AW57" s="45"/>
      <c r="AX57" s="45"/>
    </row>
    <row r="58" spans="1:50" ht="14.25" customHeight="1">
      <c r="A58" s="10"/>
      <c r="B58" s="10" t="s">
        <v>220</v>
      </c>
      <c r="C58" s="40">
        <f t="shared" ref="C58:AN58" si="50">C13*C8-0.1*C13*C8</f>
        <v>25.225451999999997</v>
      </c>
      <c r="D58" s="40">
        <f t="shared" si="50"/>
        <v>2.25</v>
      </c>
      <c r="E58" s="40">
        <f t="shared" si="50"/>
        <v>56.8215</v>
      </c>
      <c r="F58" s="40">
        <f t="shared" si="50"/>
        <v>153.22608000000002</v>
      </c>
      <c r="G58" s="40">
        <f t="shared" si="50"/>
        <v>32.328000000000003</v>
      </c>
      <c r="H58" s="40">
        <f t="shared" si="50"/>
        <v>428.53487167259993</v>
      </c>
      <c r="I58" s="40">
        <f t="shared" ref="I58" si="51">I13*I8-0.1*I13*I8</f>
        <v>237.87027</v>
      </c>
      <c r="J58" s="40">
        <f t="shared" si="50"/>
        <v>113.39496</v>
      </c>
      <c r="K58" s="40">
        <f t="shared" si="50"/>
        <v>9.0322262972999994</v>
      </c>
      <c r="L58" s="40">
        <f t="shared" si="50"/>
        <v>18.972435679200004</v>
      </c>
      <c r="M58" s="40">
        <f t="shared" si="50"/>
        <v>32.804999999999993</v>
      </c>
      <c r="N58" s="40">
        <f t="shared" si="50"/>
        <v>9.022590000000001</v>
      </c>
      <c r="O58" s="40">
        <f t="shared" si="50"/>
        <v>88.610184000000004</v>
      </c>
      <c r="P58" s="40">
        <f t="shared" si="50"/>
        <v>136.520118</v>
      </c>
      <c r="Q58" s="40">
        <f t="shared" si="50"/>
        <v>56.962653840000002</v>
      </c>
      <c r="R58" s="40">
        <f t="shared" si="50"/>
        <v>22.164668744400004</v>
      </c>
      <c r="S58" s="40">
        <f t="shared" si="50"/>
        <v>134.818216191</v>
      </c>
      <c r="T58" s="40">
        <f t="shared" si="50"/>
        <v>3.4265032424999999</v>
      </c>
      <c r="U58" s="40">
        <f t="shared" ref="U58" si="52">U13*U8-0.1*U13*U8</f>
        <v>6.6105000000000009</v>
      </c>
      <c r="V58" s="40">
        <f t="shared" si="50"/>
        <v>85.527781531200006</v>
      </c>
      <c r="W58" s="40">
        <f t="shared" si="50"/>
        <v>2040.0621929999998</v>
      </c>
      <c r="X58" s="40">
        <f t="shared" si="50"/>
        <v>2444.979339</v>
      </c>
      <c r="Y58" s="40">
        <f t="shared" si="50"/>
        <v>21.5718827643</v>
      </c>
      <c r="Z58" s="40">
        <f t="shared" si="50"/>
        <v>3.8706627410999999</v>
      </c>
      <c r="AA58" s="40">
        <f t="shared" si="50"/>
        <v>3.2903992125000001</v>
      </c>
      <c r="AB58" s="40">
        <f t="shared" si="50"/>
        <v>35.1924622497</v>
      </c>
      <c r="AC58" s="40">
        <f t="shared" si="50"/>
        <v>162.2601249633</v>
      </c>
      <c r="AD58" s="40">
        <f t="shared" si="50"/>
        <v>239.38200000000001</v>
      </c>
      <c r="AE58" s="40">
        <f t="shared" si="50"/>
        <v>12.915063</v>
      </c>
      <c r="AF58" s="40">
        <f t="shared" si="50"/>
        <v>8.9303048999999994</v>
      </c>
      <c r="AG58" s="40">
        <f t="shared" si="50"/>
        <v>7.2890200080000005</v>
      </c>
      <c r="AH58" s="40">
        <f t="shared" si="50"/>
        <v>21.397791769199998</v>
      </c>
      <c r="AI58" s="40">
        <f t="shared" si="50"/>
        <v>16.366638910500001</v>
      </c>
      <c r="AJ58" s="40">
        <f t="shared" si="50"/>
        <v>230.48487000000003</v>
      </c>
      <c r="AK58" s="40">
        <f t="shared" si="50"/>
        <v>11.114243999999999</v>
      </c>
      <c r="AL58" s="40">
        <f t="shared" si="50"/>
        <v>38.978279999999998</v>
      </c>
      <c r="AM58" s="40">
        <f t="shared" si="50"/>
        <v>15.254999999999999</v>
      </c>
      <c r="AN58" s="40">
        <f t="shared" si="50"/>
        <v>62.698860000000003</v>
      </c>
      <c r="AO58" s="10"/>
      <c r="AP58" s="23"/>
      <c r="AQ58" s="10"/>
      <c r="AR58" s="10"/>
      <c r="AS58" s="10"/>
      <c r="AT58" s="10"/>
      <c r="AU58" s="10"/>
      <c r="AV58" s="10"/>
      <c r="AW58" s="10"/>
      <c r="AX58" s="10"/>
    </row>
    <row r="59" spans="1:50" ht="14.25" customHeight="1">
      <c r="A59" s="10"/>
      <c r="B59" s="10" t="s">
        <v>221</v>
      </c>
      <c r="C59" s="40">
        <f t="shared" ref="C59:AN59" si="53">C30</f>
        <v>2.17</v>
      </c>
      <c r="D59" s="40">
        <f t="shared" si="53"/>
        <v>0.01</v>
      </c>
      <c r="E59" s="40">
        <f t="shared" si="53"/>
        <v>0.63</v>
      </c>
      <c r="F59" s="40">
        <f t="shared" si="53"/>
        <v>0</v>
      </c>
      <c r="G59" s="40">
        <f t="shared" si="53"/>
        <v>0</v>
      </c>
      <c r="H59" s="40">
        <f t="shared" si="53"/>
        <v>0</v>
      </c>
      <c r="I59" s="40">
        <f t="shared" ref="I59" si="54">I30</f>
        <v>0</v>
      </c>
      <c r="J59" s="40">
        <f t="shared" si="53"/>
        <v>2.06</v>
      </c>
      <c r="K59" s="40">
        <f t="shared" si="53"/>
        <v>0.03</v>
      </c>
      <c r="L59" s="40">
        <f t="shared" si="53"/>
        <v>0</v>
      </c>
      <c r="M59" s="40">
        <f t="shared" si="53"/>
        <v>6.36</v>
      </c>
      <c r="N59" s="40">
        <f t="shared" si="53"/>
        <v>1.53</v>
      </c>
      <c r="O59" s="40">
        <f t="shared" si="53"/>
        <v>0.01</v>
      </c>
      <c r="P59" s="40">
        <f t="shared" si="53"/>
        <v>0</v>
      </c>
      <c r="Q59" s="40">
        <f t="shared" si="53"/>
        <v>1.1200000000000001</v>
      </c>
      <c r="R59" s="40">
        <f t="shared" si="53"/>
        <v>1</v>
      </c>
      <c r="S59" s="40">
        <f t="shared" si="53"/>
        <v>10</v>
      </c>
      <c r="T59" s="40">
        <f t="shared" si="53"/>
        <v>0.13</v>
      </c>
      <c r="U59" s="40">
        <f t="shared" ref="U59" si="55">U30</f>
        <v>0</v>
      </c>
      <c r="V59" s="40">
        <f t="shared" si="53"/>
        <v>26.2</v>
      </c>
      <c r="W59" s="40">
        <f t="shared" si="53"/>
        <v>16.3</v>
      </c>
      <c r="X59" s="40">
        <f t="shared" si="53"/>
        <v>0</v>
      </c>
      <c r="Y59" s="40">
        <f t="shared" si="53"/>
        <v>0</v>
      </c>
      <c r="Z59" s="40">
        <f t="shared" si="53"/>
        <v>0.03</v>
      </c>
      <c r="AA59" s="40">
        <f t="shared" si="53"/>
        <v>0.05</v>
      </c>
      <c r="AB59" s="40">
        <f t="shared" si="53"/>
        <v>0</v>
      </c>
      <c r="AC59" s="40">
        <f t="shared" si="53"/>
        <v>2</v>
      </c>
      <c r="AD59" s="40">
        <f t="shared" si="53"/>
        <v>0</v>
      </c>
      <c r="AE59" s="40">
        <f t="shared" si="53"/>
        <v>0</v>
      </c>
      <c r="AF59" s="40">
        <f t="shared" si="53"/>
        <v>0.02</v>
      </c>
      <c r="AG59" s="40">
        <f t="shared" si="53"/>
        <v>0</v>
      </c>
      <c r="AH59" s="40">
        <f t="shared" si="53"/>
        <v>0.63</v>
      </c>
      <c r="AI59" s="40">
        <f t="shared" si="53"/>
        <v>3</v>
      </c>
      <c r="AJ59" s="40">
        <f t="shared" si="53"/>
        <v>7.33</v>
      </c>
      <c r="AK59" s="40">
        <f t="shared" si="53"/>
        <v>0.1</v>
      </c>
      <c r="AL59" s="40">
        <f t="shared" si="53"/>
        <v>0</v>
      </c>
      <c r="AM59" s="40">
        <f t="shared" si="53"/>
        <v>0.08</v>
      </c>
      <c r="AN59" s="40">
        <f t="shared" si="53"/>
        <v>1.49</v>
      </c>
      <c r="AO59" s="10"/>
      <c r="AP59" s="23"/>
      <c r="AQ59" s="10"/>
      <c r="AR59" s="10"/>
      <c r="AS59" s="10"/>
      <c r="AT59" s="10"/>
      <c r="AU59" s="10"/>
      <c r="AV59" s="10"/>
      <c r="AW59" s="10"/>
      <c r="AX59" s="10"/>
    </row>
    <row r="60" spans="1:50" ht="14.25" customHeight="1">
      <c r="A60" s="46"/>
      <c r="B60" s="46" t="s">
        <v>222</v>
      </c>
      <c r="C60" s="46">
        <f t="shared" ref="C60:AN60" si="56">C59/C58</f>
        <v>8.6024226642202495E-2</v>
      </c>
      <c r="D60" s="46">
        <f t="shared" si="56"/>
        <v>4.4444444444444444E-3</v>
      </c>
      <c r="E60" s="46">
        <f t="shared" si="56"/>
        <v>1.1087352498614081E-2</v>
      </c>
      <c r="F60" s="46">
        <f t="shared" si="56"/>
        <v>0</v>
      </c>
      <c r="G60" s="46">
        <f t="shared" si="56"/>
        <v>0</v>
      </c>
      <c r="H60" s="46">
        <f t="shared" si="56"/>
        <v>0</v>
      </c>
      <c r="I60" s="46">
        <f t="shared" ref="I60" si="57">I59/I58</f>
        <v>0</v>
      </c>
      <c r="J60" s="46">
        <f t="shared" si="56"/>
        <v>1.8166592236550903E-2</v>
      </c>
      <c r="K60" s="46">
        <f t="shared" si="56"/>
        <v>3.3214402532150784E-3</v>
      </c>
      <c r="L60" s="46">
        <f t="shared" si="56"/>
        <v>0</v>
      </c>
      <c r="M60" s="46">
        <f t="shared" si="56"/>
        <v>0.19387288523090998</v>
      </c>
      <c r="N60" s="46">
        <f t="shared" si="56"/>
        <v>0.16957436833547793</v>
      </c>
      <c r="O60" s="46">
        <f t="shared" si="56"/>
        <v>1.1285384533227015E-4</v>
      </c>
      <c r="P60" s="46">
        <f t="shared" si="56"/>
        <v>0</v>
      </c>
      <c r="Q60" s="46">
        <f t="shared" si="56"/>
        <v>1.9662005270083112E-2</v>
      </c>
      <c r="R60" s="46">
        <f t="shared" si="56"/>
        <v>4.5116848419070293E-2</v>
      </c>
      <c r="S60" s="46">
        <f t="shared" si="56"/>
        <v>7.4173952767872073E-2</v>
      </c>
      <c r="T60" s="46">
        <f t="shared" si="56"/>
        <v>3.793955259915386E-2</v>
      </c>
      <c r="U60" s="46">
        <f t="shared" ref="U60" si="58">U59/U58</f>
        <v>0</v>
      </c>
      <c r="V60" s="46">
        <f t="shared" si="56"/>
        <v>0.30633321162951482</v>
      </c>
      <c r="W60" s="46">
        <f t="shared" si="56"/>
        <v>7.9899524906297814E-3</v>
      </c>
      <c r="X60" s="46">
        <f t="shared" si="56"/>
        <v>0</v>
      </c>
      <c r="Y60" s="46">
        <f t="shared" si="56"/>
        <v>0</v>
      </c>
      <c r="Z60" s="46">
        <f t="shared" si="56"/>
        <v>7.7506106852064122E-3</v>
      </c>
      <c r="AA60" s="46">
        <f t="shared" si="56"/>
        <v>1.5195724521831103E-2</v>
      </c>
      <c r="AB60" s="46">
        <f t="shared" si="56"/>
        <v>0</v>
      </c>
      <c r="AC60" s="46">
        <f t="shared" si="56"/>
        <v>1.2325887216297658E-2</v>
      </c>
      <c r="AD60" s="46">
        <f t="shared" si="56"/>
        <v>0</v>
      </c>
      <c r="AE60" s="46">
        <f t="shared" si="56"/>
        <v>0</v>
      </c>
      <c r="AF60" s="46">
        <f t="shared" si="56"/>
        <v>2.2395651911056255E-3</v>
      </c>
      <c r="AG60" s="46">
        <f t="shared" si="56"/>
        <v>0</v>
      </c>
      <c r="AH60" s="46">
        <f t="shared" si="56"/>
        <v>2.9442290437970454E-2</v>
      </c>
      <c r="AI60" s="46">
        <f t="shared" si="56"/>
        <v>0.18329969985928835</v>
      </c>
      <c r="AJ60" s="46">
        <f t="shared" si="56"/>
        <v>3.1802521354221645E-2</v>
      </c>
      <c r="AK60" s="46">
        <f t="shared" si="56"/>
        <v>8.9974630753112857E-3</v>
      </c>
      <c r="AL60" s="46">
        <f t="shared" si="56"/>
        <v>0</v>
      </c>
      <c r="AM60" s="46">
        <f t="shared" si="56"/>
        <v>5.2441822353326778E-3</v>
      </c>
      <c r="AN60" s="46">
        <f t="shared" si="56"/>
        <v>2.3764387422674033E-2</v>
      </c>
      <c r="AO60" s="46"/>
      <c r="AP60" s="46"/>
      <c r="AQ60" s="46"/>
      <c r="AR60" s="46"/>
      <c r="AS60" s="46"/>
      <c r="AT60" s="46"/>
      <c r="AU60" s="46"/>
      <c r="AV60" s="46"/>
      <c r="AW60" s="46"/>
      <c r="AX60" s="46"/>
    </row>
    <row r="61" spans="1:50" ht="14.25" customHeight="1">
      <c r="A61" s="10"/>
      <c r="B61" s="10" t="s">
        <v>223</v>
      </c>
      <c r="C61" s="40">
        <f t="shared" ref="C61:AN61" si="59">C14*C8-0.1*C14*C8</f>
        <v>14.625359999999999</v>
      </c>
      <c r="D61" s="40">
        <f t="shared" si="59"/>
        <v>2.7</v>
      </c>
      <c r="E61" s="40">
        <f t="shared" si="59"/>
        <v>47.697120000000005</v>
      </c>
      <c r="F61" s="40">
        <f t="shared" si="59"/>
        <v>100.69919999999999</v>
      </c>
      <c r="G61" s="40">
        <f t="shared" si="59"/>
        <v>19.962539999999997</v>
      </c>
      <c r="H61" s="40">
        <f t="shared" si="59"/>
        <v>269.5025341242</v>
      </c>
      <c r="I61" s="40">
        <f t="shared" ref="I61" si="60">I14*I8-0.1*I14*I8</f>
        <v>208.33853400000001</v>
      </c>
      <c r="J61" s="40">
        <f t="shared" si="59"/>
        <v>105.88535999999999</v>
      </c>
      <c r="K61" s="40">
        <f t="shared" si="59"/>
        <v>7.8357006558000002</v>
      </c>
      <c r="L61" s="40">
        <f t="shared" si="59"/>
        <v>7.7663943611999997</v>
      </c>
      <c r="M61" s="40">
        <f t="shared" si="59"/>
        <v>27.701999999999998</v>
      </c>
      <c r="N61" s="40">
        <f t="shared" si="59"/>
        <v>60.291459000000003</v>
      </c>
      <c r="O61" s="40">
        <f t="shared" si="59"/>
        <v>16.866251999999999</v>
      </c>
      <c r="P61" s="40">
        <f t="shared" si="59"/>
        <v>60.22325699999999</v>
      </c>
      <c r="Q61" s="40">
        <f t="shared" si="59"/>
        <v>34.236636119999993</v>
      </c>
      <c r="R61" s="40">
        <f t="shared" si="59"/>
        <v>25.666948061999999</v>
      </c>
      <c r="S61" s="40">
        <f t="shared" si="59"/>
        <v>229.135521375</v>
      </c>
      <c r="T61" s="40">
        <f t="shared" si="59"/>
        <v>4.9639081635000002</v>
      </c>
      <c r="U61" s="40">
        <f t="shared" ref="U61" si="61">U14*U8-0.1*U14*U8</f>
        <v>7.6274999999999995</v>
      </c>
      <c r="V61" s="40">
        <f t="shared" si="59"/>
        <v>32.0023008756</v>
      </c>
      <c r="W61" s="40">
        <f t="shared" si="59"/>
        <v>1030.091985</v>
      </c>
      <c r="X61" s="40">
        <f t="shared" si="59"/>
        <v>190.38105899999999</v>
      </c>
      <c r="Y61" s="40">
        <f t="shared" si="59"/>
        <v>15.970206037499997</v>
      </c>
      <c r="Z61" s="40">
        <f t="shared" si="59"/>
        <v>6.8538068631</v>
      </c>
      <c r="AA61" s="40">
        <f t="shared" si="59"/>
        <v>5.1946674299999991</v>
      </c>
      <c r="AB61" s="40">
        <f t="shared" si="59"/>
        <v>37.615281551999999</v>
      </c>
      <c r="AC61" s="40">
        <f t="shared" si="59"/>
        <v>172.1663671455</v>
      </c>
      <c r="AD61" s="40">
        <f t="shared" si="59"/>
        <v>348.19200000000001</v>
      </c>
      <c r="AE61" s="40">
        <f t="shared" si="59"/>
        <v>9.0071099999999991</v>
      </c>
      <c r="AF61" s="40">
        <f t="shared" si="59"/>
        <v>7.7058747611999996</v>
      </c>
      <c r="AG61" s="40">
        <f t="shared" si="59"/>
        <v>13.957222207499999</v>
      </c>
      <c r="AH61" s="40">
        <f t="shared" si="59"/>
        <v>7.2588032712000006</v>
      </c>
      <c r="AI61" s="40">
        <f t="shared" si="59"/>
        <v>25.870031932499998</v>
      </c>
      <c r="AJ61" s="40">
        <f t="shared" si="59"/>
        <v>104.19750000000001</v>
      </c>
      <c r="AK61" s="40">
        <f t="shared" si="59"/>
        <v>3.3558119999999998</v>
      </c>
      <c r="AL61" s="40">
        <f t="shared" si="59"/>
        <v>16.946280000000002</v>
      </c>
      <c r="AM61" s="40">
        <f t="shared" si="59"/>
        <v>6.1019999999999994</v>
      </c>
      <c r="AN61" s="40">
        <f t="shared" si="59"/>
        <v>69.809039999999996</v>
      </c>
      <c r="AO61" s="10"/>
      <c r="AP61" s="23"/>
      <c r="AQ61" s="10"/>
      <c r="AR61" s="10"/>
      <c r="AS61" s="10"/>
      <c r="AT61" s="10"/>
      <c r="AU61" s="10"/>
      <c r="AV61" s="10"/>
      <c r="AW61" s="10"/>
      <c r="AX61" s="10"/>
    </row>
    <row r="62" spans="1:50" ht="14.25" customHeight="1">
      <c r="A62" s="10"/>
      <c r="B62" s="10" t="s">
        <v>224</v>
      </c>
      <c r="C62" s="10">
        <f t="shared" ref="C62:AN62" si="62">C22+C24+C26+C28+C32+C34</f>
        <v>9.6199999999999992</v>
      </c>
      <c r="D62" s="10">
        <f t="shared" si="62"/>
        <v>0.31</v>
      </c>
      <c r="E62" s="10">
        <f t="shared" si="62"/>
        <v>8.8099999999999987</v>
      </c>
      <c r="F62" s="10">
        <f t="shared" si="62"/>
        <v>8.5</v>
      </c>
      <c r="G62" s="10">
        <f t="shared" si="62"/>
        <v>0</v>
      </c>
      <c r="H62" s="10">
        <f t="shared" si="62"/>
        <v>119</v>
      </c>
      <c r="I62" s="10">
        <f t="shared" ref="I62" si="63">I22+I24+I26+I28+I32+I34</f>
        <v>206</v>
      </c>
      <c r="J62" s="10">
        <f t="shared" si="62"/>
        <v>71.559999999999988</v>
      </c>
      <c r="K62" s="10">
        <f t="shared" si="62"/>
        <v>2.41</v>
      </c>
      <c r="L62" s="10">
        <f t="shared" si="62"/>
        <v>0.5</v>
      </c>
      <c r="M62" s="10">
        <f t="shared" si="62"/>
        <v>27.689999999999998</v>
      </c>
      <c r="N62" s="10">
        <f t="shared" si="62"/>
        <v>59.359999999999992</v>
      </c>
      <c r="O62" s="10">
        <f t="shared" si="62"/>
        <v>4.24</v>
      </c>
      <c r="P62" s="10">
        <f t="shared" si="62"/>
        <v>6.660000000000001</v>
      </c>
      <c r="Q62" s="10">
        <f t="shared" si="62"/>
        <v>4.71</v>
      </c>
      <c r="R62" s="10">
        <f t="shared" si="62"/>
        <v>9.75</v>
      </c>
      <c r="S62" s="10">
        <f t="shared" si="62"/>
        <v>161.32999999999998</v>
      </c>
      <c r="T62" s="10">
        <f t="shared" si="62"/>
        <v>0.62</v>
      </c>
      <c r="U62" s="10">
        <f t="shared" ref="U62" si="64">U22+U24+U26+U28+U32+U34</f>
        <v>3.15</v>
      </c>
      <c r="V62" s="10">
        <f t="shared" si="62"/>
        <v>8</v>
      </c>
      <c r="W62" s="10">
        <f t="shared" si="62"/>
        <v>74.7</v>
      </c>
      <c r="X62" s="10">
        <f t="shared" si="62"/>
        <v>6</v>
      </c>
      <c r="Y62" s="10">
        <f t="shared" si="62"/>
        <v>8.0699999999999985</v>
      </c>
      <c r="Z62" s="10">
        <f t="shared" si="62"/>
        <v>1.1000000000000001</v>
      </c>
      <c r="AA62" s="10">
        <f t="shared" si="62"/>
        <v>1.1600000000000001</v>
      </c>
      <c r="AB62" s="10">
        <f t="shared" si="62"/>
        <v>19</v>
      </c>
      <c r="AC62" s="10">
        <f t="shared" si="62"/>
        <v>22.149999999999995</v>
      </c>
      <c r="AD62" s="10">
        <f t="shared" si="62"/>
        <v>319.47000000000003</v>
      </c>
      <c r="AE62" s="10">
        <f t="shared" si="62"/>
        <v>2.46</v>
      </c>
      <c r="AF62" s="10">
        <f t="shared" si="62"/>
        <v>2.04</v>
      </c>
      <c r="AG62" s="10">
        <f t="shared" si="62"/>
        <v>3.36</v>
      </c>
      <c r="AH62" s="10">
        <f t="shared" si="62"/>
        <v>2.2399999999999998</v>
      </c>
      <c r="AI62" s="10">
        <f t="shared" si="62"/>
        <v>18.78</v>
      </c>
      <c r="AJ62" s="10">
        <f t="shared" si="62"/>
        <v>54.04</v>
      </c>
      <c r="AK62" s="10">
        <f t="shared" si="62"/>
        <v>1.1000000000000001</v>
      </c>
      <c r="AL62" s="10">
        <f t="shared" si="62"/>
        <v>11.25</v>
      </c>
      <c r="AM62" s="10">
        <f t="shared" si="62"/>
        <v>0.72000000000000008</v>
      </c>
      <c r="AN62" s="10">
        <f t="shared" si="62"/>
        <v>10.209999999999999</v>
      </c>
      <c r="AO62" s="10"/>
      <c r="AP62" s="23"/>
      <c r="AQ62" s="10"/>
      <c r="AR62" s="10"/>
      <c r="AS62" s="10"/>
      <c r="AT62" s="10"/>
      <c r="AU62" s="10"/>
      <c r="AV62" s="10"/>
      <c r="AW62" s="10"/>
      <c r="AX62" s="10"/>
    </row>
    <row r="63" spans="1:50" ht="14.25" customHeight="1">
      <c r="A63" s="45"/>
      <c r="B63" s="45" t="s">
        <v>225</v>
      </c>
      <c r="C63" s="46">
        <f t="shared" ref="C63:AN63" si="65">C62/C61</f>
        <v>0.6577615867233354</v>
      </c>
      <c r="D63" s="46">
        <f t="shared" si="65"/>
        <v>0.1148148148148148</v>
      </c>
      <c r="E63" s="46">
        <f t="shared" si="65"/>
        <v>0.18470716890244102</v>
      </c>
      <c r="F63" s="46">
        <f t="shared" si="65"/>
        <v>8.4409806632028864E-2</v>
      </c>
      <c r="G63" s="46">
        <f t="shared" si="65"/>
        <v>0</v>
      </c>
      <c r="H63" s="46">
        <f t="shared" si="65"/>
        <v>0.4415542895977333</v>
      </c>
      <c r="I63" s="46">
        <f t="shared" ref="I63" si="66">I62/I61</f>
        <v>0.98877531700400656</v>
      </c>
      <c r="J63" s="46">
        <f t="shared" si="65"/>
        <v>0.67582525100731583</v>
      </c>
      <c r="K63" s="46">
        <f t="shared" si="65"/>
        <v>0.30756662433449566</v>
      </c>
      <c r="L63" s="46">
        <f t="shared" si="65"/>
        <v>6.4379939614957193E-2</v>
      </c>
      <c r="M63" s="46">
        <f t="shared" si="65"/>
        <v>0.99956681828026861</v>
      </c>
      <c r="N63" s="46">
        <f t="shared" si="65"/>
        <v>0.98455073047742947</v>
      </c>
      <c r="O63" s="46">
        <f t="shared" si="65"/>
        <v>0.25138957961733288</v>
      </c>
      <c r="P63" s="46">
        <f t="shared" si="65"/>
        <v>0.11058850569971668</v>
      </c>
      <c r="Q63" s="46">
        <f t="shared" si="65"/>
        <v>0.13757192685319228</v>
      </c>
      <c r="R63" s="46">
        <f t="shared" si="65"/>
        <v>0.37986596522688676</v>
      </c>
      <c r="S63" s="46">
        <f t="shared" si="65"/>
        <v>0.70408114390945764</v>
      </c>
      <c r="T63" s="46">
        <f t="shared" si="65"/>
        <v>0.12490158552064033</v>
      </c>
      <c r="U63" s="46">
        <f t="shared" ref="U63" si="67">U62/U61</f>
        <v>0.41297935103244837</v>
      </c>
      <c r="V63" s="46">
        <f t="shared" si="65"/>
        <v>0.2499820257017695</v>
      </c>
      <c r="W63" s="46">
        <f t="shared" si="65"/>
        <v>7.2517795583080871E-2</v>
      </c>
      <c r="X63" s="46">
        <f t="shared" si="65"/>
        <v>3.1515740229178996E-2</v>
      </c>
      <c r="Y63" s="46">
        <f t="shared" si="65"/>
        <v>0.50531596029823611</v>
      </c>
      <c r="Z63" s="46">
        <f t="shared" si="65"/>
        <v>0.16049474722176024</v>
      </c>
      <c r="AA63" s="46">
        <f t="shared" si="65"/>
        <v>0.22330592201164268</v>
      </c>
      <c r="AB63" s="46">
        <f t="shared" si="65"/>
        <v>0.50511385841241363</v>
      </c>
      <c r="AC63" s="46">
        <f t="shared" si="65"/>
        <v>0.12865462846922213</v>
      </c>
      <c r="AD63" s="46">
        <f t="shared" si="65"/>
        <v>0.91751102839812526</v>
      </c>
      <c r="AE63" s="46">
        <f t="shared" si="65"/>
        <v>0.27311757045267576</v>
      </c>
      <c r="AF63" s="46">
        <f t="shared" si="65"/>
        <v>0.26473308523928313</v>
      </c>
      <c r="AG63" s="46">
        <f t="shared" si="65"/>
        <v>0.24073558119569688</v>
      </c>
      <c r="AH63" s="46">
        <f t="shared" si="65"/>
        <v>0.30859081260507709</v>
      </c>
      <c r="AI63" s="46">
        <f t="shared" si="65"/>
        <v>0.72593648314778714</v>
      </c>
      <c r="AJ63" s="46">
        <f t="shared" si="65"/>
        <v>0.51863048537632861</v>
      </c>
      <c r="AK63" s="46">
        <f t="shared" si="65"/>
        <v>0.32778951860235322</v>
      </c>
      <c r="AL63" s="46">
        <f t="shared" si="65"/>
        <v>0.66386251141843511</v>
      </c>
      <c r="AM63" s="46">
        <f t="shared" si="65"/>
        <v>0.11799410029498528</v>
      </c>
      <c r="AN63" s="46">
        <f t="shared" si="65"/>
        <v>0.14625612957863338</v>
      </c>
      <c r="AO63" s="45"/>
      <c r="AP63" s="46"/>
      <c r="AQ63" s="45"/>
      <c r="AR63" s="45"/>
      <c r="AS63" s="45"/>
      <c r="AT63" s="45"/>
      <c r="AU63" s="45"/>
      <c r="AV63" s="45"/>
      <c r="AW63" s="45"/>
      <c r="AX63" s="45"/>
    </row>
    <row r="64" spans="1:50" ht="14.25" customHeight="1">
      <c r="A64" s="10"/>
      <c r="B64" s="10" t="s">
        <v>177</v>
      </c>
      <c r="C64" s="40">
        <f t="shared" ref="C64:G64" si="68">C16*C8-0.1*C16*C8</f>
        <v>6.5880000000000001</v>
      </c>
      <c r="D64" s="40">
        <f t="shared" si="68"/>
        <v>0.9</v>
      </c>
      <c r="E64" s="40">
        <f t="shared" si="68"/>
        <v>12.187799999999999</v>
      </c>
      <c r="F64" s="40">
        <f t="shared" si="68"/>
        <v>34.156080000000003</v>
      </c>
      <c r="G64" s="40">
        <f t="shared" si="68"/>
        <v>6.0614999999999997</v>
      </c>
      <c r="H64" s="40">
        <f>H16*H8-0.2*H16*H8</f>
        <v>117.23153031039999</v>
      </c>
      <c r="I64" s="40">
        <f>I16*I8-0.2*I16*I8</f>
        <v>44.697616315199994</v>
      </c>
      <c r="J64" s="40">
        <f t="shared" ref="J64:AB64" si="69">J16*J8-0.1*J16*J8</f>
        <v>8.0728200000000001</v>
      </c>
      <c r="K64" s="40">
        <f t="shared" si="69"/>
        <v>2.3475766788000003</v>
      </c>
      <c r="L64" s="40">
        <f t="shared" si="69"/>
        <v>2.5760834334</v>
      </c>
      <c r="M64" s="40">
        <f t="shared" si="69"/>
        <v>2.7337500000000001</v>
      </c>
      <c r="N64" s="40">
        <f t="shared" si="69"/>
        <v>17.201765037599998</v>
      </c>
      <c r="O64" s="40">
        <f t="shared" si="69"/>
        <v>3.0700799999999999</v>
      </c>
      <c r="P64" s="40">
        <f t="shared" si="69"/>
        <v>6.1638929999999998</v>
      </c>
      <c r="Q64" s="40">
        <f t="shared" si="69"/>
        <v>13.637157084</v>
      </c>
      <c r="R64" s="40">
        <f t="shared" si="69"/>
        <v>6.0111332495999994</v>
      </c>
      <c r="S64" s="40">
        <f t="shared" si="69"/>
        <v>20.032453053000001</v>
      </c>
      <c r="T64" s="40">
        <f t="shared" si="69"/>
        <v>1.0122383700000002</v>
      </c>
      <c r="U64" s="40">
        <f t="shared" ref="U64" si="70">U16*U8-0.1*U16*U8</f>
        <v>2.0340000000000003</v>
      </c>
      <c r="V64" s="40">
        <f t="shared" si="69"/>
        <v>6.0151652856000002</v>
      </c>
      <c r="W64" s="40">
        <f t="shared" si="69"/>
        <v>512.2575432000001</v>
      </c>
      <c r="X64" s="40">
        <f t="shared" si="69"/>
        <v>1.5380574065999999</v>
      </c>
      <c r="Y64" s="40">
        <f t="shared" si="69"/>
        <v>10.319885254799999</v>
      </c>
      <c r="Z64" s="40">
        <f t="shared" si="69"/>
        <v>2.2383431820000004</v>
      </c>
      <c r="AA64" s="40">
        <f t="shared" si="69"/>
        <v>11.372181367500001</v>
      </c>
      <c r="AB64" s="40">
        <f t="shared" si="69"/>
        <v>44.801133196500004</v>
      </c>
      <c r="AC64" s="40">
        <f>AC16*AC8-0.05*AC16*AC8</f>
        <v>249.60859510860001</v>
      </c>
      <c r="AD64" s="40">
        <f>AD16*AD8-0.12*AD16*AD8</f>
        <v>21.278400000000001</v>
      </c>
      <c r="AE64" s="40">
        <f>AE16*AE8-0.05*AE16*AE8</f>
        <v>7.7140000000000013</v>
      </c>
      <c r="AF64" s="40">
        <f>AF16*AF8-0.03*AF16*AF8</f>
        <v>11.9443914611</v>
      </c>
      <c r="AG64" s="40">
        <f>AG16*AG8-0.05*AG16*AG8</f>
        <v>4.7488931787499995</v>
      </c>
      <c r="AH64" s="40">
        <f>AH16*AH8-0.03*AH16*AH8</f>
        <v>8.8099304754399999</v>
      </c>
      <c r="AI64" s="40">
        <f>AI16*AI8-0.1*AI16*AI8</f>
        <v>8.5485565215000001</v>
      </c>
      <c r="AJ64" s="40">
        <f>AJ16*AJ8-0.05*AJ16*AJ8</f>
        <v>20.237469999999998</v>
      </c>
      <c r="AK64" s="40">
        <f t="shared" ref="AK64:AN64" si="71">AK16*AK8-0.1*AK16*AK8</f>
        <v>0.50219999999999998</v>
      </c>
      <c r="AL64" s="40">
        <f t="shared" si="71"/>
        <v>2.3867999999999996</v>
      </c>
      <c r="AM64" s="40">
        <f t="shared" si="71"/>
        <v>2.0340000000000003</v>
      </c>
      <c r="AN64" s="40">
        <f t="shared" si="71"/>
        <v>29.374379999999999</v>
      </c>
      <c r="AO64" s="10"/>
      <c r="AP64" s="23"/>
      <c r="AQ64" s="10"/>
      <c r="AR64" s="10"/>
      <c r="AS64" s="10"/>
      <c r="AT64" s="10"/>
      <c r="AU64" s="10"/>
      <c r="AV64" s="10"/>
      <c r="AW64" s="10"/>
      <c r="AX64" s="10"/>
    </row>
    <row r="65" spans="1:50" ht="14.25" customHeight="1">
      <c r="A65" s="10"/>
      <c r="B65" s="10" t="s">
        <v>178</v>
      </c>
      <c r="C65" s="10">
        <f t="shared" ref="C65:AN65" si="72">C40</f>
        <v>2.5099999999999998</v>
      </c>
      <c r="D65" s="10">
        <f t="shared" si="72"/>
        <v>0.41</v>
      </c>
      <c r="E65" s="10">
        <f t="shared" si="72"/>
        <v>5.4</v>
      </c>
      <c r="F65" s="10">
        <f t="shared" si="72"/>
        <v>7.07</v>
      </c>
      <c r="G65" s="10">
        <f t="shared" si="72"/>
        <v>0</v>
      </c>
      <c r="H65" s="10">
        <f t="shared" si="72"/>
        <v>29</v>
      </c>
      <c r="I65" s="10">
        <f t="shared" ref="I65" si="73">I40</f>
        <v>43</v>
      </c>
      <c r="J65" s="10">
        <f t="shared" si="72"/>
        <v>0.03</v>
      </c>
      <c r="K65" s="10">
        <f t="shared" si="72"/>
        <v>0.38</v>
      </c>
      <c r="L65" s="10">
        <f t="shared" si="72"/>
        <v>0</v>
      </c>
      <c r="M65" s="10">
        <f t="shared" si="72"/>
        <v>2.5099999999999998</v>
      </c>
      <c r="N65" s="10">
        <f t="shared" si="72"/>
        <v>17</v>
      </c>
      <c r="O65" s="10">
        <f t="shared" si="72"/>
        <v>1.62</v>
      </c>
      <c r="P65" s="10">
        <f t="shared" si="72"/>
        <v>1.82</v>
      </c>
      <c r="Q65" s="10">
        <f t="shared" si="72"/>
        <v>2.85</v>
      </c>
      <c r="R65" s="10">
        <f t="shared" si="72"/>
        <v>0.44</v>
      </c>
      <c r="S65" s="10">
        <f t="shared" si="72"/>
        <v>2</v>
      </c>
      <c r="T65" s="10">
        <f t="shared" si="72"/>
        <v>0.1</v>
      </c>
      <c r="U65" s="10">
        <f t="shared" ref="U65" si="74">U40</f>
        <v>1.2</v>
      </c>
      <c r="V65" s="10">
        <f t="shared" si="72"/>
        <v>0</v>
      </c>
      <c r="W65" s="10">
        <f t="shared" si="72"/>
        <v>130.01</v>
      </c>
      <c r="X65" s="10">
        <f t="shared" si="72"/>
        <v>0.8</v>
      </c>
      <c r="Y65" s="10">
        <f t="shared" si="72"/>
        <v>2.78</v>
      </c>
      <c r="Z65" s="10">
        <f t="shared" si="72"/>
        <v>1.56</v>
      </c>
      <c r="AA65" s="10">
        <f t="shared" si="72"/>
        <v>11.1</v>
      </c>
      <c r="AB65" s="10">
        <f t="shared" si="72"/>
        <v>40</v>
      </c>
      <c r="AC65" s="10">
        <f t="shared" si="72"/>
        <v>37.07</v>
      </c>
      <c r="AD65" s="10">
        <f t="shared" si="72"/>
        <v>14.91</v>
      </c>
      <c r="AE65" s="10">
        <f t="shared" si="72"/>
        <v>5.74</v>
      </c>
      <c r="AF65" s="10">
        <f t="shared" si="72"/>
        <v>11.24</v>
      </c>
      <c r="AG65" s="10">
        <f t="shared" si="72"/>
        <v>1.78</v>
      </c>
      <c r="AH65" s="10">
        <f t="shared" si="72"/>
        <v>8.27</v>
      </c>
      <c r="AI65" s="10">
        <f t="shared" si="72"/>
        <v>0</v>
      </c>
      <c r="AJ65" s="10">
        <f t="shared" si="72"/>
        <v>5.8140000000000001</v>
      </c>
      <c r="AK65" s="10">
        <f t="shared" si="72"/>
        <v>0.28999999999999998</v>
      </c>
      <c r="AL65" s="10">
        <f t="shared" si="72"/>
        <v>1.81</v>
      </c>
      <c r="AM65" s="10">
        <f t="shared" si="72"/>
        <v>0.49</v>
      </c>
      <c r="AN65" s="10">
        <f t="shared" si="72"/>
        <v>0.1</v>
      </c>
      <c r="AO65" s="10"/>
      <c r="AP65" s="23"/>
      <c r="AQ65" s="10"/>
      <c r="AR65" s="10"/>
      <c r="AS65" s="10"/>
      <c r="AT65" s="10"/>
      <c r="AU65" s="10"/>
      <c r="AV65" s="10"/>
      <c r="AW65" s="10"/>
      <c r="AX65" s="10"/>
    </row>
    <row r="66" spans="1:50" ht="14.25" customHeight="1">
      <c r="A66" s="45"/>
      <c r="B66" s="45" t="s">
        <v>179</v>
      </c>
      <c r="C66" s="46">
        <f t="shared" ref="C66:AN66" si="75">C65/C64</f>
        <v>0.38099574984820883</v>
      </c>
      <c r="D66" s="46">
        <f t="shared" si="75"/>
        <v>0.45555555555555549</v>
      </c>
      <c r="E66" s="46">
        <f t="shared" si="75"/>
        <v>0.4430660168365087</v>
      </c>
      <c r="F66" s="46">
        <f t="shared" si="75"/>
        <v>0.20699096617644647</v>
      </c>
      <c r="G66" s="46">
        <f t="shared" si="75"/>
        <v>0</v>
      </c>
      <c r="H66" s="46">
        <f t="shared" si="75"/>
        <v>0.24737372209690686</v>
      </c>
      <c r="I66" s="46">
        <f t="shared" ref="I66" si="76">I65/I64</f>
        <v>0.96201998103816788</v>
      </c>
      <c r="J66" s="46">
        <f t="shared" si="75"/>
        <v>3.7161735304391771E-3</v>
      </c>
      <c r="K66" s="46">
        <f t="shared" si="75"/>
        <v>0.16186904710360422</v>
      </c>
      <c r="L66" s="46">
        <f t="shared" si="75"/>
        <v>0</v>
      </c>
      <c r="M66" s="46">
        <f t="shared" si="75"/>
        <v>0.91815272062185627</v>
      </c>
      <c r="N66" s="46">
        <f t="shared" si="75"/>
        <v>0.9882706782031393</v>
      </c>
      <c r="O66" s="46">
        <f t="shared" si="75"/>
        <v>0.52767354596622895</v>
      </c>
      <c r="P66" s="46">
        <f t="shared" si="75"/>
        <v>0.29526794186725824</v>
      </c>
      <c r="Q66" s="46">
        <f t="shared" si="75"/>
        <v>0.20898783980011534</v>
      </c>
      <c r="R66" s="46">
        <f t="shared" si="75"/>
        <v>7.3197512304236323E-2</v>
      </c>
      <c r="S66" s="46">
        <f t="shared" si="75"/>
        <v>9.9837997608609688E-2</v>
      </c>
      <c r="T66" s="46">
        <f t="shared" si="75"/>
        <v>9.879095968274744E-2</v>
      </c>
      <c r="U66" s="46">
        <f t="shared" ref="U66" si="77">U65/U64</f>
        <v>0.58997050147492613</v>
      </c>
      <c r="V66" s="46">
        <f t="shared" si="75"/>
        <v>0</v>
      </c>
      <c r="W66" s="46">
        <f t="shared" si="75"/>
        <v>0.25379811722799822</v>
      </c>
      <c r="X66" s="46">
        <f t="shared" si="75"/>
        <v>0.52013663246059494</v>
      </c>
      <c r="Y66" s="46">
        <f t="shared" si="75"/>
        <v>0.26938284015386338</v>
      </c>
      <c r="Z66" s="46">
        <f t="shared" si="75"/>
        <v>0.69694406672979947</v>
      </c>
      <c r="AA66" s="46">
        <f t="shared" si="75"/>
        <v>0.97606603705091655</v>
      </c>
      <c r="AB66" s="46">
        <f t="shared" si="75"/>
        <v>0.89283455899559516</v>
      </c>
      <c r="AC66" s="46">
        <f t="shared" si="75"/>
        <v>0.14851251409780797</v>
      </c>
      <c r="AD66" s="46">
        <f t="shared" si="75"/>
        <v>0.70071057974283779</v>
      </c>
      <c r="AE66" s="46">
        <f t="shared" si="75"/>
        <v>0.74410163339382929</v>
      </c>
      <c r="AF66" s="46">
        <f t="shared" si="75"/>
        <v>0.94102743003743361</v>
      </c>
      <c r="AG66" s="46">
        <f t="shared" si="75"/>
        <v>0.37482418176197646</v>
      </c>
      <c r="AH66" s="46">
        <f t="shared" si="75"/>
        <v>0.93871342379543188</v>
      </c>
      <c r="AI66" s="46">
        <f t="shared" si="75"/>
        <v>0</v>
      </c>
      <c r="AJ66" s="46">
        <f t="shared" si="75"/>
        <v>0.28728887553631954</v>
      </c>
      <c r="AK66" s="46">
        <f t="shared" si="75"/>
        <v>0.57745917960971727</v>
      </c>
      <c r="AL66" s="46">
        <f t="shared" si="75"/>
        <v>0.75833752304340551</v>
      </c>
      <c r="AM66" s="46">
        <f t="shared" si="75"/>
        <v>0.24090462143559485</v>
      </c>
      <c r="AN66" s="46">
        <f t="shared" si="75"/>
        <v>3.4043271721820173E-3</v>
      </c>
      <c r="AO66" s="45"/>
      <c r="AP66" s="46"/>
      <c r="AQ66" s="45"/>
      <c r="AR66" s="45"/>
      <c r="AS66" s="45"/>
      <c r="AT66" s="45"/>
      <c r="AU66" s="45"/>
      <c r="AV66" s="45"/>
      <c r="AW66" s="45"/>
      <c r="AX66" s="45"/>
    </row>
    <row r="67" spans="1:50" ht="14.25" customHeight="1">
      <c r="A67" s="10"/>
      <c r="B67" s="10" t="s">
        <v>180</v>
      </c>
      <c r="C67" s="40">
        <f t="shared" ref="C67:G67" si="78">C15*C8-0.1*C15*C8</f>
        <v>6.5880000000000001</v>
      </c>
      <c r="D67" s="40">
        <f t="shared" si="78"/>
        <v>0.67500000000000004</v>
      </c>
      <c r="E67" s="40">
        <f t="shared" si="78"/>
        <v>5.7645</v>
      </c>
      <c r="F67" s="40">
        <f t="shared" si="78"/>
        <v>57.970079999999996</v>
      </c>
      <c r="G67" s="40">
        <f t="shared" si="78"/>
        <v>11.314800000000002</v>
      </c>
      <c r="H67" s="40">
        <f>H15*H8-0.2*H15*H8</f>
        <v>43.043386177599999</v>
      </c>
      <c r="I67" s="40">
        <f>I15*I8-0.2*I15*I8</f>
        <v>27.384730252799997</v>
      </c>
      <c r="J67" s="40">
        <f t="shared" ref="J67:AB67" si="79">J15*J8-0.1*J15*J8</f>
        <v>39.425400000000003</v>
      </c>
      <c r="K67" s="40">
        <f t="shared" si="79"/>
        <v>2.7087470549999999</v>
      </c>
      <c r="L67" s="40">
        <f t="shared" si="79"/>
        <v>1.6282240974</v>
      </c>
      <c r="M67" s="40">
        <f t="shared" si="79"/>
        <v>13.267800000000001</v>
      </c>
      <c r="N67" s="40">
        <f t="shared" si="79"/>
        <v>13.0640410494</v>
      </c>
      <c r="O67" s="40">
        <f t="shared" si="79"/>
        <v>5.2623090000000001</v>
      </c>
      <c r="P67" s="40">
        <f t="shared" si="79"/>
        <v>18.500471999999998</v>
      </c>
      <c r="Q67" s="40">
        <f t="shared" si="79"/>
        <v>33.905914820999996</v>
      </c>
      <c r="R67" s="40">
        <f t="shared" si="79"/>
        <v>17.191144965599999</v>
      </c>
      <c r="S67" s="40">
        <f t="shared" si="79"/>
        <v>299.27326538699998</v>
      </c>
      <c r="T67" s="40">
        <f t="shared" si="79"/>
        <v>2.8930211505000001</v>
      </c>
      <c r="U67" s="40">
        <f t="shared" ref="U67" si="80">U15*U8-0.1*U15*U8</f>
        <v>4.0680000000000005</v>
      </c>
      <c r="V67" s="40">
        <f t="shared" si="79"/>
        <v>4.3796699351999999</v>
      </c>
      <c r="W67" s="40">
        <f t="shared" si="79"/>
        <v>243.53478629999998</v>
      </c>
      <c r="X67" s="40">
        <f t="shared" si="79"/>
        <v>43.989992679599993</v>
      </c>
      <c r="Y67" s="40">
        <f t="shared" si="79"/>
        <v>4.2919682057999999</v>
      </c>
      <c r="Z67" s="40">
        <f t="shared" si="79"/>
        <v>2.3879547171000004</v>
      </c>
      <c r="AA67" s="40">
        <f t="shared" si="79"/>
        <v>1.8394929225000001</v>
      </c>
      <c r="AB67" s="40">
        <f t="shared" si="79"/>
        <v>7.0595079660000009</v>
      </c>
      <c r="AC67" s="40">
        <f>AC15*AC8-0.05*AC15*AC8</f>
        <v>209.99056531635</v>
      </c>
      <c r="AD67" s="40">
        <f>AD15*AD8-0.12*AD15*AD8</f>
        <v>106.39200000000001</v>
      </c>
      <c r="AE67" s="40">
        <f>AE15*AE8-0.05*AE15*AE8</f>
        <v>9.6425000000000001</v>
      </c>
      <c r="AF67" s="40">
        <f>AF15*AF8-0.03*AF15*AF8</f>
        <v>10.34326923908</v>
      </c>
      <c r="AG67" s="40">
        <f>AG15*AG8-0.05*AG15*AG8</f>
        <v>1.8332796569999998</v>
      </c>
      <c r="AH67" s="40">
        <f>AH15*AH8-0.03*AH15*AH8</f>
        <v>16.296858791439998</v>
      </c>
      <c r="AI67" s="40">
        <f>AI15*AI8-0.1*AI15*AI8</f>
        <v>3.4650468719999998</v>
      </c>
      <c r="AJ67" s="40">
        <f>AJ15*AJ8-0.05*AJ15*AJ8</f>
        <v>35.195599999999999</v>
      </c>
      <c r="AK67" s="40">
        <f t="shared" ref="AK67:AN67" si="81">AK15*AK8-0.1*AK15*AK8</f>
        <v>1.07694</v>
      </c>
      <c r="AL67" s="40">
        <f t="shared" si="81"/>
        <v>3.6352799999999998</v>
      </c>
      <c r="AM67" s="40">
        <f t="shared" si="81"/>
        <v>3.0509999999999997</v>
      </c>
      <c r="AN67" s="40">
        <f t="shared" si="81"/>
        <v>91.85778000000002</v>
      </c>
      <c r="AO67" s="10"/>
      <c r="AP67" s="23"/>
      <c r="AQ67" s="10"/>
      <c r="AR67" s="10"/>
      <c r="AS67" s="10"/>
      <c r="AT67" s="10"/>
      <c r="AU67" s="10"/>
      <c r="AV67" s="10"/>
      <c r="AW67" s="10"/>
      <c r="AX67" s="10"/>
    </row>
    <row r="68" spans="1:50" ht="14.25" customHeight="1">
      <c r="A68" s="10"/>
      <c r="B68" s="10" t="s">
        <v>181</v>
      </c>
      <c r="C68" s="10">
        <f t="shared" ref="C68:AN68" si="82">C38</f>
        <v>0.08</v>
      </c>
      <c r="D68" s="10">
        <f t="shared" si="82"/>
        <v>0</v>
      </c>
      <c r="E68" s="10">
        <f t="shared" si="82"/>
        <v>0</v>
      </c>
      <c r="F68" s="10">
        <f t="shared" si="82"/>
        <v>3.32</v>
      </c>
      <c r="G68" s="10">
        <f t="shared" si="82"/>
        <v>0</v>
      </c>
      <c r="H68" s="10">
        <f t="shared" si="82"/>
        <v>14</v>
      </c>
      <c r="I68" s="10">
        <f t="shared" ref="I68" si="83">I38</f>
        <v>0</v>
      </c>
      <c r="J68" s="10">
        <f t="shared" si="82"/>
        <v>26</v>
      </c>
      <c r="K68" s="10">
        <f t="shared" si="82"/>
        <v>0</v>
      </c>
      <c r="L68" s="10">
        <f t="shared" si="82"/>
        <v>0</v>
      </c>
      <c r="M68" s="10">
        <f t="shared" si="82"/>
        <v>12.7</v>
      </c>
      <c r="N68" s="10">
        <f t="shared" si="82"/>
        <v>6.76</v>
      </c>
      <c r="O68" s="10">
        <f t="shared" si="82"/>
        <v>0.01</v>
      </c>
      <c r="P68" s="10">
        <f t="shared" si="82"/>
        <v>0</v>
      </c>
      <c r="Q68" s="10">
        <f t="shared" si="82"/>
        <v>2.09</v>
      </c>
      <c r="R68" s="10">
        <f t="shared" si="82"/>
        <v>5</v>
      </c>
      <c r="S68" s="10">
        <f t="shared" si="82"/>
        <v>118.3</v>
      </c>
      <c r="T68" s="10">
        <f t="shared" si="82"/>
        <v>1.2</v>
      </c>
      <c r="U68" s="10">
        <f t="shared" ref="U68" si="84">U38</f>
        <v>0</v>
      </c>
      <c r="V68" s="10">
        <f t="shared" si="82"/>
        <v>0</v>
      </c>
      <c r="W68" s="10">
        <f t="shared" si="82"/>
        <v>0</v>
      </c>
      <c r="X68" s="10">
        <f t="shared" si="82"/>
        <v>0</v>
      </c>
      <c r="Y68" s="10">
        <f t="shared" si="82"/>
        <v>0.84</v>
      </c>
      <c r="Z68" s="10">
        <f t="shared" si="82"/>
        <v>1.43</v>
      </c>
      <c r="AA68" s="10">
        <f t="shared" si="82"/>
        <v>0.22</v>
      </c>
      <c r="AB68" s="10">
        <f t="shared" si="82"/>
        <v>0</v>
      </c>
      <c r="AC68" s="10">
        <f t="shared" si="82"/>
        <v>0</v>
      </c>
      <c r="AD68" s="10">
        <f t="shared" si="82"/>
        <v>16.38</v>
      </c>
      <c r="AE68" s="10">
        <f t="shared" si="82"/>
        <v>1</v>
      </c>
      <c r="AF68" s="10">
        <f t="shared" si="82"/>
        <v>9.66</v>
      </c>
      <c r="AG68" s="10">
        <f t="shared" si="82"/>
        <v>1.01</v>
      </c>
      <c r="AH68" s="10">
        <f t="shared" si="82"/>
        <v>0.65</v>
      </c>
      <c r="AI68" s="10">
        <f t="shared" si="82"/>
        <v>1</v>
      </c>
      <c r="AJ68" s="10">
        <f t="shared" si="82"/>
        <v>1.7000000000000001E-2</v>
      </c>
      <c r="AK68" s="10">
        <f t="shared" si="82"/>
        <v>0.22</v>
      </c>
      <c r="AL68" s="10">
        <f t="shared" si="82"/>
        <v>0.05</v>
      </c>
      <c r="AM68" s="10">
        <f t="shared" si="82"/>
        <v>0</v>
      </c>
      <c r="AN68" s="10">
        <f t="shared" si="82"/>
        <v>5</v>
      </c>
      <c r="AO68" s="10"/>
      <c r="AP68" s="23"/>
      <c r="AQ68" s="10"/>
      <c r="AR68" s="10"/>
      <c r="AS68" s="10"/>
      <c r="AT68" s="10"/>
      <c r="AU68" s="10"/>
      <c r="AV68" s="10"/>
      <c r="AW68" s="10"/>
      <c r="AX68" s="10"/>
    </row>
    <row r="69" spans="1:50" ht="14.25" customHeight="1">
      <c r="A69" s="45"/>
      <c r="B69" s="45" t="s">
        <v>182</v>
      </c>
      <c r="C69" s="46">
        <f t="shared" ref="C69:AN69" si="85">C68/C67</f>
        <v>1.2143290831815421E-2</v>
      </c>
      <c r="D69" s="46">
        <f t="shared" si="85"/>
        <v>0</v>
      </c>
      <c r="E69" s="46">
        <f t="shared" si="85"/>
        <v>0</v>
      </c>
      <c r="F69" s="46">
        <f t="shared" si="85"/>
        <v>5.7270923207282103E-2</v>
      </c>
      <c r="G69" s="46">
        <f t="shared" si="85"/>
        <v>0</v>
      </c>
      <c r="H69" s="46">
        <f t="shared" si="85"/>
        <v>0.32525322106943511</v>
      </c>
      <c r="I69" s="46">
        <f t="shared" ref="I69" si="86">I68/I67</f>
        <v>0</v>
      </c>
      <c r="J69" s="46">
        <f t="shared" si="85"/>
        <v>0.65947333444936507</v>
      </c>
      <c r="K69" s="46">
        <f t="shared" si="85"/>
        <v>0</v>
      </c>
      <c r="L69" s="46">
        <f t="shared" si="85"/>
        <v>0</v>
      </c>
      <c r="M69" s="46">
        <f t="shared" si="85"/>
        <v>0.95720466090836442</v>
      </c>
      <c r="N69" s="46">
        <f t="shared" si="85"/>
        <v>0.51745091541261423</v>
      </c>
      <c r="O69" s="46">
        <f t="shared" si="85"/>
        <v>1.9003065004354553E-3</v>
      </c>
      <c r="P69" s="46">
        <f t="shared" si="85"/>
        <v>0</v>
      </c>
      <c r="Q69" s="46">
        <f t="shared" si="85"/>
        <v>6.1641162346858007E-2</v>
      </c>
      <c r="R69" s="46">
        <f t="shared" si="85"/>
        <v>0.29084741068760406</v>
      </c>
      <c r="S69" s="46">
        <f t="shared" si="85"/>
        <v>0.39529090527689609</v>
      </c>
      <c r="T69" s="46">
        <f t="shared" si="85"/>
        <v>0.41479129863692987</v>
      </c>
      <c r="U69" s="46">
        <f t="shared" ref="U69" si="87">U68/U67</f>
        <v>0</v>
      </c>
      <c r="V69" s="46">
        <f t="shared" si="85"/>
        <v>0</v>
      </c>
      <c r="W69" s="46">
        <f t="shared" si="85"/>
        <v>0</v>
      </c>
      <c r="X69" s="46">
        <f t="shared" si="85"/>
        <v>0</v>
      </c>
      <c r="Y69" s="46">
        <f t="shared" si="85"/>
        <v>0.19571440414326846</v>
      </c>
      <c r="Z69" s="46">
        <f t="shared" si="85"/>
        <v>0.59883882628085694</v>
      </c>
      <c r="AA69" s="46">
        <f t="shared" si="85"/>
        <v>0.11959817692639152</v>
      </c>
      <c r="AB69" s="46">
        <f t="shared" si="85"/>
        <v>0</v>
      </c>
      <c r="AC69" s="46">
        <f t="shared" si="85"/>
        <v>0</v>
      </c>
      <c r="AD69" s="46">
        <f t="shared" si="85"/>
        <v>0.1539589442815249</v>
      </c>
      <c r="AE69" s="46">
        <f t="shared" si="85"/>
        <v>0.10370754472387866</v>
      </c>
      <c r="AF69" s="46">
        <f t="shared" si="85"/>
        <v>0.93394068903297989</v>
      </c>
      <c r="AG69" s="46">
        <f t="shared" si="85"/>
        <v>0.55092522089770846</v>
      </c>
      <c r="AH69" s="46">
        <f t="shared" si="85"/>
        <v>3.9884986936342334E-2</v>
      </c>
      <c r="AI69" s="46">
        <f t="shared" si="85"/>
        <v>0.28859638467828497</v>
      </c>
      <c r="AJ69" s="46">
        <f t="shared" si="85"/>
        <v>4.830149223198355E-4</v>
      </c>
      <c r="AK69" s="46">
        <f t="shared" si="85"/>
        <v>0.20428250413207794</v>
      </c>
      <c r="AL69" s="46">
        <f t="shared" si="85"/>
        <v>1.3754098721418985E-2</v>
      </c>
      <c r="AM69" s="46">
        <f t="shared" si="85"/>
        <v>0</v>
      </c>
      <c r="AN69" s="46">
        <f t="shared" si="85"/>
        <v>5.4431970814012694E-2</v>
      </c>
      <c r="AO69" s="45"/>
      <c r="AP69" s="46"/>
      <c r="AQ69" s="45"/>
      <c r="AR69" s="45"/>
      <c r="AS69" s="45"/>
      <c r="AT69" s="45"/>
      <c r="AU69" s="45"/>
      <c r="AV69" s="45"/>
      <c r="AW69" s="45"/>
      <c r="AX69" s="45"/>
    </row>
    <row r="70" spans="1:5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23"/>
      <c r="AQ70" s="10"/>
      <c r="AR70" s="10"/>
      <c r="AS70" s="10"/>
      <c r="AT70" s="10"/>
      <c r="AU70" s="10"/>
      <c r="AV70" s="10"/>
      <c r="AW70" s="10"/>
      <c r="AX70" s="10"/>
    </row>
    <row r="71" spans="1:50" ht="14.25" customHeight="1">
      <c r="Y71" s="31"/>
    </row>
    <row r="72" spans="1:50" ht="14.25" customHeight="1"/>
    <row r="73" spans="1:50" ht="14.25" customHeight="1"/>
    <row r="74" spans="1:50" ht="14.25" customHeight="1">
      <c r="Y74" s="31"/>
    </row>
    <row r="75" spans="1:50" ht="14.25" customHeight="1"/>
    <row r="76" spans="1:50" ht="14.25" customHeight="1"/>
    <row r="77" spans="1:50" ht="14.25" customHeight="1">
      <c r="Y77" s="31"/>
    </row>
    <row r="78" spans="1:50" ht="14.25" customHeight="1"/>
    <row r="79" spans="1:50" ht="14.25" customHeight="1"/>
    <row r="80" spans="1:50" ht="14.25" customHeight="1">
      <c r="Y80" s="31"/>
    </row>
    <row r="81" spans="25:25" ht="14.25" customHeight="1">
      <c r="Y81" s="31"/>
    </row>
    <row r="82" spans="25:25" ht="14.25" customHeight="1">
      <c r="Y82" s="31"/>
    </row>
    <row r="83" spans="25:25" ht="14.25" customHeight="1">
      <c r="Y83" s="31"/>
    </row>
    <row r="84" spans="25:25" ht="14.25" customHeight="1"/>
    <row r="85" spans="25:25" ht="14.25" customHeight="1"/>
    <row r="86" spans="25:25" ht="14.25" customHeight="1"/>
    <row r="87" spans="25:25" ht="14.25" customHeight="1"/>
    <row r="88" spans="25:25" ht="14.25" customHeight="1"/>
    <row r="89" spans="25:25" ht="14.25" customHeight="1"/>
    <row r="90" spans="25:25" ht="14.25" customHeight="1"/>
    <row r="91" spans="25:25" ht="14.25" customHeight="1"/>
    <row r="92" spans="25:25" ht="14.25" customHeight="1"/>
    <row r="93" spans="25:25" ht="14.25" customHeight="1"/>
    <row r="94" spans="25:25" ht="14.25" customHeight="1"/>
    <row r="95" spans="25:25" ht="14.25" customHeight="1"/>
    <row r="96" spans="25:2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gram Document" ma:contentTypeID="0x010100C2CFE70F12B8554A80D65BC4AE2EF62000C6E96E9BB653AB449BE2E963A94CF4B6" ma:contentTypeVersion="24" ma:contentTypeDescription="" ma:contentTypeScope="" ma:versionID="e32e473958ef0fc7a02c788f73578d77">
  <xsd:schema xmlns:xsd="http://www.w3.org/2001/XMLSchema" xmlns:xs="http://www.w3.org/2001/XMLSchema" xmlns:p="http://schemas.microsoft.com/office/2006/metadata/properties" xmlns:ns2="a1df9832-fa29-4d0b-8301-c5ccf72ca850" targetNamespace="http://schemas.microsoft.com/office/2006/metadata/properties" ma:root="true" ma:fieldsID="cc9b33ebc354b444e043bf78b36030da" ns2:_="">
    <xsd:import namespace="a1df9832-fa29-4d0b-8301-c5ccf72ca850"/>
    <xsd:element name="properties">
      <xsd:complexType>
        <xsd:sequence>
          <xsd:element name="documentManagement">
            <xsd:complexType>
              <xsd:all>
                <xsd:element ref="ns2:i44d58dc1cf74c3bb0600f75e80272a0" minOccurs="0"/>
                <xsd:element ref="ns2:k7031f0ddbec44908666ccec4dca0b46" minOccurs="0"/>
                <xsd:element ref="ns2:m26e38606aa543cb981614fc6d49280d" minOccurs="0"/>
                <xsd:element ref="ns2:n48685bf95bc4b8fa4aa6bfb34ecb222" minOccurs="0"/>
                <xsd:element ref="ns2:TaxCatchAll" minOccurs="0"/>
                <xsd:element ref="ns2:eda3356070224fe59cf39745c882f8c6" minOccurs="0"/>
                <xsd:element ref="ns2:n748466ce81f4d068bd498403e1ecc4b" minOccurs="0"/>
                <xsd:element ref="ns2:TaxCatchAllLabel" minOccurs="0"/>
                <xsd:element ref="ns2:n886c46fede847c080398018f40c4c47" minOccurs="0"/>
                <xsd:element ref="ns2:TaxKeywordTaxHTField" minOccurs="0"/>
                <xsd:element ref="ns2:e8144e7327f648c595f8fe404acef197" minOccurs="0"/>
                <xsd:element ref="ns2:o811e3c0c0214fc6bb33522f4837a579" minOccurs="0"/>
                <xsd:element ref="ns2:m2d3b84e453a41b493d2f8293d453bfc" minOccurs="0"/>
                <xsd:element ref="ns2:Project" minOccurs="0"/>
                <xsd:element ref="ns2:KeyPoints" minOccurs="0"/>
                <xsd:element ref="ns2:Extracted_x0020_Text" minOccurs="0"/>
                <xsd:element ref="ns2: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f9832-fa29-4d0b-8301-c5ccf72ca850" elementFormDefault="qualified">
    <xsd:import namespace="http://schemas.microsoft.com/office/2006/documentManagement/types"/>
    <xsd:import namespace="http://schemas.microsoft.com/office/infopath/2007/PartnerControls"/>
    <xsd:element name="i44d58dc1cf74c3bb0600f75e80272a0" ma:index="10" nillable="true" ma:taxonomy="true" ma:internalName="i44d58dc1cf74c3bb0600f75e80272a0" ma:taxonomyFieldName="Geography" ma:displayName="Geography" ma:default="" ma:fieldId="{244d58dc-1cf7-4c3b-b060-0f75e80272a0}" ma:sspId="78ca830c-a034-4168-b956-d7763e68b615" ma:termSetId="28a1c660-2861-4b3d-a4b7-c19d748b4d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7031f0ddbec44908666ccec4dca0b46" ma:index="12" nillable="true" ma:taxonomy="true" ma:internalName="k7031f0ddbec44908666ccec4dca0b46" ma:taxonomyFieldName="Client_x0020_Partner" ma:displayName="Client Partner" ma:readOnly="false" ma:default="" ma:fieldId="{47031f0d-dbec-4490-8666-ccec4dca0b46}" ma:sspId="78ca830c-a034-4168-b956-d7763e68b615" ma:termSetId="2fdb8ad4-2b2b-419a-bd90-93be715ccb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26e38606aa543cb981614fc6d49280d" ma:index="14" nillable="true" ma:taxonomy="true" ma:internalName="m26e38606aa543cb981614fc6d49280d" ma:taxonomyFieldName="Technology" ma:displayName="Technology" ma:readOnly="false" ma:default="" ma:fieldId="{626e3860-6aa5-43cb-9816-14fc6d49280d}" ma:sspId="78ca830c-a034-4168-b956-d7763e68b615" ma:termSetId="fb0d05d2-464d-47d8-b8c5-88e37d853e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48685bf95bc4b8fa4aa6bfb34ecb222" ma:index="15" nillable="true" ma:taxonomy="true" ma:internalName="n48685bf95bc4b8fa4aa6bfb34ecb222" ma:taxonomyFieldName="Program" ma:displayName="Program" ma:readOnly="false" ma:default="" ma:fieldId="{748685bf-95bc-4b8f-a4aa-6bfb34ecb222}" ma:sspId="78ca830c-a034-4168-b956-d7763e68b615" ma:termSetId="fb5b2e61-77ad-482a-9c70-531e7aa7f77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c3dd968-0126-4d7c-8cc6-a3b40c886937}" ma:internalName="TaxCatchAll" ma:showField="CatchAllData" ma:web="edaa3f65-a4bc-4798-8342-187702263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da3356070224fe59cf39745c882f8c6" ma:index="17" nillable="true" ma:taxonomy="true" ma:internalName="eda3356070224fe59cf39745c882f8c6" ma:taxonomyFieldName="Initiative" ma:displayName="Initiative" ma:readOnly="false" ma:default="" ma:fieldId="{eda33560-7022-4fe5-9cf3-9745c882f8c6}" ma:sspId="78ca830c-a034-4168-b956-d7763e68b615" ma:termSetId="903b7f5a-2ae5-4e42-8208-77428af6ee1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8466ce81f4d068bd498403e1ecc4b" ma:index="19" nillable="true" ma:taxonomy="true" ma:internalName="n748466ce81f4d068bd498403e1ecc4b" ma:taxonomyFieldName="Projects" ma:displayName="Projects" ma:readOnly="false" ma:default="" ma:fieldId="{7748466c-e81f-4d06-8bd4-98403e1ecc4b}" ma:sspId="78ca830c-a034-4168-b956-d7763e68b615" ma:termSetId="1ca03fc9-8c6d-48e1-924a-9e9a18db75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1" nillable="true" ma:displayName="Taxonomy Catch All Column1" ma:hidden="true" ma:list="{1c3dd968-0126-4d7c-8cc6-a3b40c886937}" ma:internalName="TaxCatchAllLabel" ma:readOnly="true" ma:showField="CatchAllDataLabel" ma:web="edaa3f65-a4bc-4798-8342-187702263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886c46fede847c080398018f40c4c47" ma:index="22" nillable="true" ma:taxonomy="true" ma:internalName="n886c46fede847c080398018f40c4c47" ma:taxonomyFieldName="Foundation" ma:displayName="Foundation" ma:readOnly="false" ma:default="" ma:fieldId="{7886c46f-ede8-47c0-8039-8018f40c4c47}" ma:sspId="78ca830c-a034-4168-b956-d7763e68b615" ma:termSetId="f178076e-94ff-44a9-8c37-04cfc45bd4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4" nillable="true" ma:taxonomy="true" ma:internalName="TaxKeywordTaxHTField" ma:taxonomyFieldName="TaxKeyword" ma:displayName="Enterprise Keywords" ma:fieldId="{23f27201-bee3-471e-b2e7-b64fd8b7ca38}" ma:taxonomyMulti="true" ma:sspId="78ca830c-a034-4168-b956-d7763e68b6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e8144e7327f648c595f8fe404acef197" ma:index="26" nillable="true" ma:taxonomy="true" ma:internalName="e8144e7327f648c595f8fe404acef197" ma:taxonomyFieldName="Document_x0020_Status" ma:displayName="Document Status" ma:default="1;#Draft|1196e416-c1e2-46e4-892a-39f21fb650b4" ma:fieldId="{e8144e73-27f6-48c5-95f8-fe404acef197}" ma:sspId="78ca830c-a034-4168-b956-d7763e68b615" ma:termSetId="d65b1371-216a-449b-be5c-ac755384594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811e3c0c0214fc6bb33522f4837a579" ma:index="28" nillable="true" ma:taxonomy="true" ma:internalName="o811e3c0c0214fc6bb33522f4837a579" ma:taxonomyFieldName="Legal_x0020_Designation" ma:displayName="Legal Designation" ma:default="2;#Restricted - Internal use only|16e0e62b-45fc-43f2-9316-8e87a381ed63" ma:fieldId="{8811e3c0-c021-4fc6-bb33-522f4837a579}" ma:sspId="78ca830c-a034-4168-b956-d7763e68b615" ma:termSetId="d7cab2b2-b4f8-46a9-89b2-4eecb42d47c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2d3b84e453a41b493d2f8293d453bfc" ma:index="30" nillable="true" ma:taxonomy="true" ma:internalName="m2d3b84e453a41b493d2f8293d453bfc" ma:taxonomyFieldName="Countries_x0020_Impacted" ma:displayName="Countries Impacted" ma:default="" ma:fieldId="{62d3b84e-453a-41b4-93d2-f8293d453bfc}" ma:sspId="78ca830c-a034-4168-b956-d7763e68b615" ma:termSetId="e1c3647c-981b-42b1-93b5-578d8c5389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ject" ma:index="32" nillable="true" ma:displayName="Project" ma:default="" ma:internalName="Project">
      <xsd:simpleType>
        <xsd:restriction base="dms:Text">
          <xsd:maxLength value="255"/>
        </xsd:restriction>
      </xsd:simpleType>
    </xsd:element>
    <xsd:element name="KeyPoints" ma:index="33" nillable="true" ma:displayName="KeyPoints" ma:default="" ma:internalName="KeyPoints">
      <xsd:simpleType>
        <xsd:restriction base="dms:Note">
          <xsd:maxLength value="255"/>
        </xsd:restriction>
      </xsd:simpleType>
    </xsd:element>
    <xsd:element name="Extracted_x0020_Text" ma:index="34" nillable="true" ma:displayName="Extracted Text" ma:default="" ma:internalName="Extracted_x0020_Text">
      <xsd:simpleType>
        <xsd:restriction base="dms:Note">
          <xsd:maxLength value="255"/>
        </xsd:restriction>
      </xsd:simpleType>
    </xsd:element>
    <xsd:element name="Tags" ma:index="35" nillable="true" ma:displayName="Tags" ma:default="" ma:internalName="Tag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df9832-fa29-4d0b-8301-c5ccf72ca850">
      <Value>2</Value>
      <Value>1</Value>
    </TaxCatchAll>
    <e8144e7327f648c595f8fe404acef197 xmlns="a1df9832-fa29-4d0b-8301-c5ccf72ca850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1196e416-c1e2-46e4-892a-39f21fb650b4</TermId>
        </TermInfo>
      </Terms>
    </e8144e7327f648c595f8fe404acef197>
    <i44d58dc1cf74c3bb0600f75e80272a0 xmlns="a1df9832-fa29-4d0b-8301-c5ccf72ca850">
      <Terms xmlns="http://schemas.microsoft.com/office/infopath/2007/PartnerControls"/>
    </i44d58dc1cf74c3bb0600f75e80272a0>
    <Extracted_x0020_Text xmlns="a1df9832-fa29-4d0b-8301-c5ccf72ca850" xsi:nil="true"/>
    <TaxKeywordTaxHTField xmlns="a1df9832-fa29-4d0b-8301-c5ccf72ca850">
      <Terms xmlns="http://schemas.microsoft.com/office/infopath/2007/PartnerControls"/>
    </TaxKeywordTaxHTField>
    <o811e3c0c0214fc6bb33522f4837a579 xmlns="a1df9832-fa29-4d0b-8301-c5ccf72ca850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 - Internal use only</TermName>
          <TermId xmlns="http://schemas.microsoft.com/office/infopath/2007/PartnerControls">16e0e62b-45fc-43f2-9316-8e87a381ed63</TermId>
        </TermInfo>
      </Terms>
    </o811e3c0c0214fc6bb33522f4837a579>
    <n748466ce81f4d068bd498403e1ecc4b xmlns="a1df9832-fa29-4d0b-8301-c5ccf72ca850">
      <Terms xmlns="http://schemas.microsoft.com/office/infopath/2007/PartnerControls"/>
    </n748466ce81f4d068bd498403e1ecc4b>
    <KeyPoints xmlns="a1df9832-fa29-4d0b-8301-c5ccf72ca850" xsi:nil="true"/>
    <Project xmlns="a1df9832-fa29-4d0b-8301-c5ccf72ca850" xsi:nil="true"/>
    <k7031f0ddbec44908666ccec4dca0b46 xmlns="a1df9832-fa29-4d0b-8301-c5ccf72ca850">
      <Terms xmlns="http://schemas.microsoft.com/office/infopath/2007/PartnerControls"/>
    </k7031f0ddbec44908666ccec4dca0b46>
    <m26e38606aa543cb981614fc6d49280d xmlns="a1df9832-fa29-4d0b-8301-c5ccf72ca850">
      <Terms xmlns="http://schemas.microsoft.com/office/infopath/2007/PartnerControls"/>
    </m26e38606aa543cb981614fc6d49280d>
    <m2d3b84e453a41b493d2f8293d453bfc xmlns="a1df9832-fa29-4d0b-8301-c5ccf72ca850">
      <Terms xmlns="http://schemas.microsoft.com/office/infopath/2007/PartnerControls"/>
    </m2d3b84e453a41b493d2f8293d453bfc>
    <n886c46fede847c080398018f40c4c47 xmlns="a1df9832-fa29-4d0b-8301-c5ccf72ca850">
      <Terms xmlns="http://schemas.microsoft.com/office/infopath/2007/PartnerControls"/>
    </n886c46fede847c080398018f40c4c47>
    <n48685bf95bc4b8fa4aa6bfb34ecb222 xmlns="a1df9832-fa29-4d0b-8301-c5ccf72ca850">
      <Terms xmlns="http://schemas.microsoft.com/office/infopath/2007/PartnerControls"/>
    </n48685bf95bc4b8fa4aa6bfb34ecb222>
    <eda3356070224fe59cf39745c882f8c6 xmlns="a1df9832-fa29-4d0b-8301-c5ccf72ca850">
      <Terms xmlns="http://schemas.microsoft.com/office/infopath/2007/PartnerControls"/>
    </eda3356070224fe59cf39745c882f8c6>
    <Tags xmlns="a1df9832-fa29-4d0b-8301-c5ccf72ca8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78ca830c-a034-4168-b956-d7763e68b615" ContentTypeId="0x010100C2CFE70F12B8554A80D65BC4AE2EF620" PreviousValue="false"/>
</file>

<file path=customXml/itemProps1.xml><?xml version="1.0" encoding="utf-8"?>
<ds:datastoreItem xmlns:ds="http://schemas.openxmlformats.org/officeDocument/2006/customXml" ds:itemID="{147FFF85-3FB4-472A-A33D-D8748C85C7F7}"/>
</file>

<file path=customXml/itemProps2.xml><?xml version="1.0" encoding="utf-8"?>
<ds:datastoreItem xmlns:ds="http://schemas.openxmlformats.org/officeDocument/2006/customXml" ds:itemID="{1BDF2004-4CD4-49E0-A8DC-F603A110E2E8}"/>
</file>

<file path=customXml/itemProps3.xml><?xml version="1.0" encoding="utf-8"?>
<ds:datastoreItem xmlns:ds="http://schemas.openxmlformats.org/officeDocument/2006/customXml" ds:itemID="{864FFF5B-EC59-4B18-BCC8-77369FF36814}"/>
</file>

<file path=customXml/itemProps4.xml><?xml version="1.0" encoding="utf-8"?>
<ds:datastoreItem xmlns:ds="http://schemas.openxmlformats.org/officeDocument/2006/customXml" ds:itemID="{A0B660A2-DABE-4347-852F-12A82E18B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 Baias</dc:creator>
  <cp:keywords/>
  <dc:description/>
  <cp:lastModifiedBy>andreea.baias@scout.ro</cp:lastModifiedBy>
  <cp:revision/>
  <dcterms:created xsi:type="dcterms:W3CDTF">2022-09-27T10:12:31Z</dcterms:created>
  <dcterms:modified xsi:type="dcterms:W3CDTF">2023-03-29T10:06:32Z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0x010100C2CFE70F12B8554A80D65BC4AE2EF62000C6E96E9BB653AB449BE2E963A94CF4B6</vt:lpwstr>
  </property>
  <property fmtid="{D5CDD505-2E9C-101B-9397-08002B2CF9AE}" pid="3" name="MediaServiceImageTags">
    <vt:lpwstr/>
  </property>
</Properties>
</file>