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ttps://rockmtnins-my.sharepoint.com/personal/ghoffman_rmi_org/Documents/01. Projects/Consultation/zeroGrid_textAnalysis/"/>
    </mc:Choice>
  </mc:AlternateContent>
  <xr:revisionPtr revIDLastSave="7" documentId="13_ncr:1_{CA481165-DB26-4E83-BF48-815FCC8B0C71}" xr6:coauthVersionLast="47" xr6:coauthVersionMax="47" xr10:uidLastSave="{687A8382-AFBD-4E7C-AD7E-DBE1153CB9DD}"/>
  <bookViews>
    <workbookView xWindow="-108" yWindow="-108" windowWidth="23256" windowHeight="13896" activeTab="2" xr2:uid="{00000000-000D-0000-FFFF-FFFF00000000}"/>
  </bookViews>
  <sheets>
    <sheet name="Summary" sheetId="1" r:id="rId1"/>
    <sheet name="Articles" sheetId="2" r:id="rId2"/>
    <sheet name="Sheet1" sheetId="4" r:id="rId3"/>
    <sheet name="Journalist Statuses"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5" i="4" l="1"/>
  <c r="B54" i="4"/>
  <c r="B53" i="4"/>
  <c r="B52" i="4"/>
  <c r="B51" i="4"/>
  <c r="B50" i="4"/>
  <c r="B49" i="4"/>
  <c r="B48" i="4"/>
  <c r="B47" i="4"/>
  <c r="B46" i="4"/>
  <c r="B45" i="4"/>
  <c r="B44" i="4"/>
  <c r="B43" i="4"/>
  <c r="B42" i="4"/>
  <c r="B41" i="4"/>
  <c r="B40"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O27" i="3"/>
  <c r="N27" i="3"/>
  <c r="F27" i="3"/>
  <c r="E27" i="3"/>
  <c r="O26" i="3"/>
  <c r="N26" i="3"/>
  <c r="F26" i="3"/>
  <c r="E26" i="3"/>
  <c r="O25" i="3"/>
  <c r="N25" i="3"/>
  <c r="F25" i="3"/>
  <c r="E25" i="3"/>
  <c r="O24" i="3"/>
  <c r="N24" i="3"/>
  <c r="F24" i="3"/>
  <c r="E24" i="3"/>
  <c r="O23" i="3"/>
  <c r="N23" i="3"/>
  <c r="F23" i="3"/>
  <c r="E23" i="3"/>
  <c r="O22" i="3"/>
  <c r="N22" i="3"/>
  <c r="F22" i="3"/>
  <c r="E22" i="3"/>
  <c r="O21" i="3"/>
  <c r="N21" i="3"/>
  <c r="F21" i="3"/>
  <c r="E21" i="3"/>
  <c r="O20" i="3"/>
  <c r="N20" i="3"/>
  <c r="F20" i="3"/>
  <c r="E20" i="3"/>
  <c r="O19" i="3"/>
  <c r="N19" i="3"/>
  <c r="F19" i="3"/>
  <c r="E19" i="3"/>
  <c r="O18" i="3"/>
  <c r="N18" i="3"/>
  <c r="F18" i="3"/>
  <c r="E18" i="3"/>
  <c r="O17" i="3"/>
  <c r="N17" i="3"/>
  <c r="F17" i="3"/>
  <c r="E17" i="3"/>
  <c r="O16" i="3"/>
  <c r="N16" i="3"/>
  <c r="F16" i="3"/>
  <c r="E16" i="3"/>
  <c r="O15" i="3"/>
  <c r="N15" i="3"/>
  <c r="F15" i="3"/>
  <c r="E15" i="3"/>
  <c r="O14" i="3"/>
  <c r="N14" i="3"/>
  <c r="F14" i="3"/>
  <c r="E14" i="3"/>
  <c r="O13" i="3"/>
  <c r="N13" i="3"/>
  <c r="F13" i="3"/>
  <c r="E13" i="3"/>
  <c r="O12" i="3"/>
  <c r="N12" i="3"/>
  <c r="F12" i="3"/>
  <c r="E12" i="3"/>
  <c r="O11" i="3"/>
  <c r="N11" i="3"/>
  <c r="F11" i="3"/>
  <c r="E11" i="3"/>
  <c r="O10" i="3"/>
  <c r="N10" i="3"/>
  <c r="F10" i="3"/>
  <c r="E10" i="3"/>
  <c r="O9" i="3"/>
  <c r="N9" i="3"/>
  <c r="F9" i="3"/>
  <c r="E9" i="3"/>
  <c r="O8" i="3"/>
  <c r="N8" i="3"/>
  <c r="F8" i="3"/>
  <c r="E8" i="3"/>
  <c r="O7" i="3"/>
  <c r="N7" i="3"/>
  <c r="F7" i="3"/>
  <c r="E7" i="3"/>
  <c r="O6" i="3"/>
  <c r="N6" i="3"/>
  <c r="F6" i="3"/>
  <c r="E6" i="3"/>
  <c r="O5" i="3"/>
  <c r="N5" i="3"/>
  <c r="F5" i="3"/>
  <c r="E5" i="3"/>
  <c r="O4" i="3"/>
  <c r="N4" i="3"/>
  <c r="F4" i="3"/>
  <c r="E4" i="3"/>
  <c r="O3" i="3"/>
  <c r="N3" i="3"/>
  <c r="F3" i="3"/>
  <c r="E3" i="3"/>
  <c r="O2" i="3"/>
  <c r="N2" i="3"/>
  <c r="F2" i="3"/>
  <c r="E2" i="3"/>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2" i="1"/>
</calcChain>
</file>

<file path=xl/sharedStrings.xml><?xml version="1.0" encoding="utf-8"?>
<sst xmlns="http://schemas.openxmlformats.org/spreadsheetml/2006/main" count="2009" uniqueCount="712">
  <si>
    <t>Report</t>
  </si>
  <si>
    <t>Corporate Commitments V2</t>
  </si>
  <si>
    <t>URL</t>
  </si>
  <si>
    <t>Exported On</t>
  </si>
  <si>
    <t>Generated By</t>
  </si>
  <si>
    <t>Leah Komos</t>
  </si>
  <si>
    <t>Links</t>
  </si>
  <si>
    <t>Total Engagement</t>
  </si>
  <si>
    <t>Average Engagement</t>
  </si>
  <si>
    <t>Total UVM (Insights by Similarweb)</t>
  </si>
  <si>
    <t>Total Journalist Shares</t>
  </si>
  <si>
    <t>Total Journalist Reach</t>
  </si>
  <si>
    <t>Article</t>
  </si>
  <si>
    <t>Author</t>
  </si>
  <si>
    <t>Media Outlet</t>
  </si>
  <si>
    <t>Published</t>
  </si>
  <si>
    <t>Snippet</t>
  </si>
  <si>
    <t>UVM (Insights by Similarweb)</t>
  </si>
  <si>
    <t>Journalist Shares</t>
  </si>
  <si>
    <t>Journalist Reach</t>
  </si>
  <si>
    <t>Sentiment</t>
  </si>
  <si>
    <t>Pitch Placement</t>
  </si>
  <si>
    <t>Teslas Giga Water Loop Revolutionizing Sustainability in Gigafactory Texas</t>
  </si>
  <si>
    <t>Elaine Mendonça</t>
  </si>
  <si>
    <t>Best Stocks</t>
  </si>
  <si>
    <t>In a groundbreaking development on October 6, 2023, Tesla unveiled its enigmatic endeavor known as the “Giga Water Loop.” Situated adjacent to Gigafactory Texas in Austin, this project has piqued curiosity while keeping its intricate details shrouded in secrecy. The discovery of this undertaking stemmed from a building permit, which alluded to a Tesla venture linked to an Austin Energy electric pole positioned near a proposed pipeline on the northern banks of the river.</t>
  </si>
  <si>
    <t>Positive</t>
  </si>
  <si>
    <t>Amazon Invests in Oxy's West Texas Carbon Removal Plant in Net Zero Bid</t>
  </si>
  <si>
    <t>Matt Day</t>
  </si>
  <si>
    <t>Bloomberg News</t>
  </si>
  <si>
    <t>Bloomberg Daybreak, anchored from New York, Boston, Washington DC and San Francisco provides listeners with everything they need to know. Hear the latest economic, business and market news, as well as global, national, and local news.</t>
  </si>
  <si>
    <t>Google Signs PPA for 189-Megawatt North Carolina Wind Farm</t>
  </si>
  <si>
    <t>Energy Central</t>
  </si>
  <si>
    <t>Google Signs PPA for 189-Megawatt North Carolina Wind Farm      Sep 7, 2023Sep 7, 2023 3:00 pm GMT1 view       to My.PublicPower.org . If you have any immediate needs or questions in the interim, please email info@publicpower.org Apex Clean Energy and Google recently announced a power purchase agreement for the full 189-megawatt capacity of Timbermill Wind that Apex is building in North Carolina.</t>
  </si>
  <si>
    <t>Public Power Magazine</t>
  </si>
  <si>
    <t>We are currently experiencing issues related to the site login. Users can still register for events and purchases products by logging in directly to My.PublicPower.org. If you have any immediate needs or questions in the interim, please email info@publicpower.org.</t>
  </si>
  <si>
    <t>Neutral</t>
  </si>
  <si>
    <t>Apex and Google Partner to Advance North Carolina’s Second Wind Farm</t>
  </si>
  <si>
    <t>The Manchester Times</t>
  </si>
  <si>
    <t>CHARLOTTESVILLE, Va.--(BUSINESS WIRE)--Aug 29, 2023--Apex Clean Energy and Google today announced a power purchase agreement—the companies’ first—for the full 189 MW capacity of Timbermill Wind, to be constructed in North Carolina. Timbermill Wind will support Google’s 2030 commitment to powering its operations with carbon-free energy around the clock. The PPA will contribute to the clean energy needs of the company’s data centers on the PJM grid.</t>
  </si>
  <si>
    <t>The Herald-Chronicle</t>
  </si>
  <si>
    <t>Your account has been registered, and you are now logged in.   Check your email for details.                 An email message containing instructions on how to reset your password has been sent to the email address listed on your account.               CAPTCHA     Send Email                 ×    ×       Secure &amp; Encrypted                What's your email address?     Who is this gift for?      Optional message for the recipient      Who is this gift from?</t>
  </si>
  <si>
    <t>How a new wind farm in North Carolina will help power Google</t>
  </si>
  <si>
    <t>Charlotte Business Journal</t>
  </si>
  <si>
    <t>In less than two years, giant turbines at North Carolina's second full-scale wind farm could be spinning near the coast - and powering tech giant Google's energy goals. Apex Clean Energy, the Virginia-based developer behind the long-planned Timbermill Wind Project in Chowan County in the northeastern part of the state, announced on Aug. 29 it has reached a power purchase agreement with Google (NASDAQ: GOOG) for the farm's full capacity of 189 megawatts.</t>
  </si>
  <si>
    <t>WN.com</t>
  </si>
  <si>
    <t>Google to procure power from Apex’s North Carolina wind farm</t>
  </si>
  <si>
    <t>MSN (US)</t>
  </si>
  <si>
    <t>Apex Clean Energy, a US renewable energy developer, has signed a power purchase agreement with Google to supply the entire capacity of its 189MW Timbermill Wind project in North Carolina.  To be built in Chowan County, the wind farm will entail an investment of $350m. It will be powered by 45 wind turbines, each with 4.2MW of capacity.  Timbermill Wind will meet the needs of 47,000 households annually.</t>
  </si>
  <si>
    <t>Apex and Google Partner sign PPA for North Carolina’s second wind farm</t>
  </si>
  <si>
    <t>Apex and Google Partner sign PPA for North Carolina’s second wind farm      Aug 30, 2023Aug 30, 2023 1:48 pm GMT1 view       Image: Pixabay The Timbermill Wind Farm will support Google ’s 2030 commitment to powering its operations with green energy 24/7 and will contribute to the clean energy needs of the company’s data centers on the PJM grid. Google, in its third decade of climate action, has matched its annual electricity consumption with 100 percent renewable energy since 2017.</t>
  </si>
  <si>
    <t>Google to buy full output from 189-megawatt North Carolina wind farm</t>
  </si>
  <si>
    <t>IEEFA</t>
  </si>
  <si>
    <t>Power Technology:
Apex Clean Energy, a US renewable energy developer, has signed a power purchase agreement with Google to supply the entire capacity of its 189MW Timbermill Wind project in North Carolina. 
To be built in Chowan County, the wind farm will entail an investment of $350m. It will be powered by 45 wind turbines, each with 4.2MW of capacity. 
Timbermill Wind will meet the needs of 47,000 households annually.</t>
  </si>
  <si>
    <t>Google, Apex Clean Energy enter PPA for 189 MW North Carolina wind farm</t>
  </si>
  <si>
    <t>Sean Wolfe</t>
  </si>
  <si>
    <t>Renewable Energy World</t>
  </si>
  <si>
    <t>Apex Clean Energy and Google today announced a power purchase agreement for the full 189 MW capacity of Timbermill Wind to be constructed in North Carolina. Timbermill Wind will support Google’s 2030 commitment to powering its operations with carbon-free energy around the clock, and the PPA will contribute to the clean energy needs of the company’s data centers on the PJM grid. Google has matched its annual electricity consumption with 100% renewable energy since 2017.</t>
  </si>
  <si>
    <t>Apex and Google Partner to Advance North Carolina's Second Wind Farm</t>
  </si>
  <si>
    <t>WV News</t>
  </si>
  <si>
    <t>Apex Clean Energy and Google today announced a power purchase agreement-the companies' first-for the full 189 MW capacity of Timbermill Wind, to be constructed in North Carolina.</t>
  </si>
  <si>
    <t>Morningstar</t>
  </si>
  <si>
    <t>Apex and Google Partner to Advance North Carolina's Second Wind FarmRare PJM Wind Deal Will Support Google's 24/7 Carbon-Free Energy GoalsApex Clean Energy and Google today announced a power purchase agreement-the companies' first-for the full 189 MW capacity of Timbermill Wind, to be constructed in North Carolina. Timbermill Wind will support Google's 2030 commitment to powering its operations with carbon-free energy around the clock.</t>
  </si>
  <si>
    <t>Apex and Google Ink PPA for 189 MW North Carolina Wind Farm</t>
  </si>
  <si>
    <t>Nina Korman</t>
  </si>
  <si>
    <t>North American Windpower</t>
  </si>
  <si>
    <t>Apex Clean Energy, developers, builders and operators utility-scale wind, solar and storage facilities, and Google have signed a power purchase agreement—the companies’ first—for the full 189 MW capacity of Timbermill Wind, to be constructed in North Carolina. Timbermill Wind will support Google’s 2030 commitment to powering its operations with carbon-free energy around the clock. The PPA will contribute to the clean energy needs of the company’s data centers on the PJM grid.</t>
  </si>
  <si>
    <t>Get Published - Build a Following The Energy Central Power Industry Network® is based on one core idea - power industry professionals helping each other and advancing the industry by sharing and learning from each other.  If you have an experience or insight to share or have learned something from a conference or seminar, your peers and colleagues on Energy Central want to hear about it.</t>
  </si>
  <si>
    <t>Apex, Google partner to advance North Carolina’s second wind farm</t>
  </si>
  <si>
    <t>Institutional Real Estate</t>
  </si>
  <si>
    <t>Apex Clean Energy and Google have announced a power purchase agreement—the companies’ first—for the full 189 megawatts (MW) capacity of Timbermill Wind, to be constructed in North Carolina. Timbermill Wind will support Google’s 2030 commitment to powering its operations with carbon-free energy around the clock. The PPA will contribute to the clean energy needs of the company’s data centers on the PJM grid.</t>
  </si>
  <si>
    <t>Apex and Google Partner to Advance North Carolina’s Second Wind Farm      Aug 29, 2023Aug 29, 2023 1:10 pm GMT1 view       Rare PJM Wind Deal Will Support Google’s 24/7 Carbon-Free Energy GoalsCHARLOTTESVILLE, Va.--(BUSINESS WIRE)-- Apex Clean Energy and Google today announced a power purchase agreement—the companies’ first—for the full 189 MW capacity of Timbermill Wind, to be constructed in North Carolina.</t>
  </si>
  <si>
    <t>The Bakersfield Californian</t>
  </si>
  <si>
    <t>The Valdosta Daily Times</t>
  </si>
  <si>
    <t>North American Clean Energy</t>
  </si>
  <si>
    <t>Apex and Google Partner to Advance North Carolina’s Second Wind Farm                                                        Apex Clean Energy and Google announced a power purchase agreement—the companies’ first—for the full 189 MW capacity of Timbermill Wind, to be constructed in North Carolina. Timbermill Wind will support Google’s 2030 commitment to powering its operations with carbon-free energy around the clock.</t>
  </si>
  <si>
    <t>Business Wire</t>
  </si>
  <si>
    <t>CHARLOTTESVILLE, Va.--()--Apex Clean Energy and Google today announced a power purchase agreement—the companies’ first—for the full 189 MW capacity of Timbermill Wind, to be constructed in North Carolina. Timbermill Wind will support Google’s 2030 commitment to powering its operations with carbon-free energy around the clock. The PPA will contribute to the clean energy needs of the company’s data centers on the PJM grid.</t>
  </si>
  <si>
    <t>The Punxsutawney Spirit</t>
  </si>
  <si>
    <t>Rare PJM Wind Deal Will Support Google’s 24/7 Carbon-Free Energy GoalsApex Clean Energy and Google today announced a power purchase agreement—the companies’ first—for the full 189 MW capacity of Timbermill Wind, to be constructed in North Carolina. Timbermill Wind will support Google’s 2030 commitment to powering its operations with carbon-free energy around the clock. The PPA will contribute to the clean energy needs of the company’s data centers on the PJM grid.</t>
  </si>
  <si>
    <t>Yahoo Finance</t>
  </si>
  <si>
    <t>Rare PJM Wind Deal Will Support Google's 24/7 Carbon-Free Energy Goals CHARLOTTESVILLE, Va., August 29, 2023--( BUSINESS WIRE)--Apex Clean Energy and Google today announced a power purchase agreement-the companies' first-for the full 189 MW capacity of Timbermill Wind, to be constructed in North Carolina. Timbermill Wind will support Google's 2030 commitment to powering its operations with carbon-free energy around the clock.</t>
  </si>
  <si>
    <t>Pilot News</t>
  </si>
  <si>
    <t>StreetInsider</t>
  </si>
  <si>
    <t>1. CTLT2. SPY3. BBY4. NIO5. MMM6. RIL:IN7. VZ8. PDD9. HT10. CRM Tweet Share E-mail0 sharesRare PJM Wind Deal Will Support Google’s 24/7 Carbon-Free Energy Goals CHARLOTTESVILLE, Va.--(BUSINESS WIRE)--Apex Clean Energy and Google today announced a power purchase agreement—the companies’ first—for the full 189 MW capacity of Timbermill Wind, to be constructed in North Carolina. Timbermill Wind will support Google’s 2030 commitment to powering its operations with carbon-free energy around the clock.</t>
  </si>
  <si>
    <t>Fat Pitch Financials</t>
  </si>
  <si>
    <t>Minyanville</t>
  </si>
  <si>
    <t>myMotherLode.com</t>
  </si>
  <si>
    <t>Decatur Daily Democrat</t>
  </si>
  <si>
    <t xml:space="preserve">Apex and Google Partner to Advance North Carolina's Second Wind Farm </t>
  </si>
  <si>
    <t>Benzinga</t>
  </si>
  <si>
    <t>Rare PJM Wind Deal Will Support Google's 24/7 Carbon-Free Energy GoalsApex Clean Energy and Google today announced a power purchase agreement—the companies' first—for the full 189 MW capacity of Timbermill Wind, to be constructed in North Carolina. Timbermill Wind will support Google's 2030 commitment to powering its operations with carbon-free energy around the clock. The PPA will contribute to the clean energy needs of the company's data centers on the PJM grid.</t>
  </si>
  <si>
    <t>Inyo Register</t>
  </si>
  <si>
    <t>Saint Mary's Daily Press</t>
  </si>
  <si>
    <t>Malvern Daily Record</t>
  </si>
  <si>
    <t>The Community Post</t>
  </si>
  <si>
    <t>Sweetwater Reporter [AGGREGATOR]</t>
  </si>
  <si>
    <t>Las Vegas Sun</t>
  </si>
  <si>
    <t>CHARLOTTESVILLE, Va.--(BUSINESS WIRE)--Aug 29, 2023-- Apex Clean Energy and Google today announced a power purchase agreement—the companies’ first—for the full 189 MW capacity of Timbermill Wind, to be constructed in North Carolina.  Timbermill Wind will support Google’s 2030 commitment to powering its operations with carbon-free energy around the clock. The PPA will contribute to the clean energy needs of the company’s data centers on the PJM grid.</t>
  </si>
  <si>
    <t>Galveston County Daily News</t>
  </si>
  <si>
    <t>TMCnet</t>
  </si>
  <si>
    <t>Apex Clean Energy and Google today announced a power purchase agreement-the companies' first-for the full 189 MW capacity of Timbermill Wind, to be constructed in North Carolina. Timbermill Wind will support Google's 2030 commitment to powering its operations with carbon-free energy around the clock. The PPA will contribute to the clean energy needs of the company's data centers on the PJM grid.</t>
  </si>
  <si>
    <t>Google Enters Power Purchase Agreement with North Carolina Wind Farm</t>
  </si>
  <si>
    <t>Breanna Sandridge</t>
  </si>
  <si>
    <t>EnergyTech</t>
  </si>
  <si>
    <t>Google has entered into a power purchase agreement with Apex Clean Energy for the full 189 MW capacity of Timbermill Wind, to be constructed in North Carolina. The PPA will contribute to the clean energy needs of Google’s data centers on the PJM grid, helping the company progress its commitment to powering its entire operation with carbon-free energy by 2030.</t>
  </si>
  <si>
    <t>The Antlers American</t>
  </si>
  <si>
    <t>Poteau, OK  (74953) Today Sunny. High 54F. Winds light and variable..   Tonight Clear to partly cloudy. Low near 30F. Winds light and variable.   Updated: January 20, 2023 @ 12:24 pm</t>
  </si>
  <si>
    <t>MenuTMCnet NewsApex Clean Energy and Google today announced a power purchase agreement-the companies' first-for the full 189 MW capacity of Timbermill Wind, to be constructed in North Carolina. Timbermill Wind will support Google's 2030 commitment to powering its operations with carbon-free energy around the clock. The PPA will contribute to the clean energy needs of the company's data centers on the PJM grid.</t>
  </si>
  <si>
    <t>The Tullahoma News</t>
  </si>
  <si>
    <t>Apex And Google Partner To Advance North Carolina’s Second Wind Farm</t>
  </si>
  <si>
    <t>Power Online</t>
  </si>
  <si>
    <t>CHARLOTTESVILLE, VA.--(BUSINESS WIRE)--
Apex Clean Energy and Google today announced a power purchase agreement—the companies’ first—for the full 189 MW capacity of Timbermill Wind, to be constructed in North Carolina. 
Timbermill Wind will support Google’s 2030 commitment to powering its operations with carbon-free energy around the clock. The PPA will contribute to the clean energy needs of the company’s data centers on the PJM grid.</t>
  </si>
  <si>
    <t>Amazon wind farm in Mississippi will power local Whole Foods Market, fulfillment centers</t>
  </si>
  <si>
    <t>Bill Wilson</t>
  </si>
  <si>
    <t>Supermarket News</t>
  </si>
  <si>
    <t>A wind farm in Mississippi is in the works for Amazon, and the power generated will be used for fulfillment centers and a Whole Foods Market. The farm will be Mississippi’s first of the utility scale variety, and the 184.5-megawatt project, which will be operated and owned by AES Clean Energy, will have 41 wind turbines and will produce enough power to run over 80,000 homes beginning in 2024.</t>
  </si>
  <si>
    <t>A wind farm in Mississippi is in the works for Amazon, and the power generated will be used for fulfillment centers and a Whole Foods Market.   The farm will be Mississippi’s first of the utility scale variety, and the 184.5-megawatt project, which will be operated and owned by AES Clean Energy, will have 41 wind turbines and will produce enough power to run over 80,000 homes beginning in 2024.</t>
  </si>
  <si>
    <t>Could A New Amazon Wind Farm Bring A Much-Needed Boost To This Predominantly Black County In Mississippi?</t>
  </si>
  <si>
    <t>Black Mississippi residents in this former casino town are looking forward to a greener future. According to NBC News, the citizens of Tunica County are preparing for the first utility-scale wind farm in the state with Amazon heading the development. A Wind Farm In Mississippi"My first initial thought was: 'A wind farm in Mississippi?'" Marilyn Young, the director of Tunica County Workforce Development Center, said.</t>
  </si>
  <si>
    <t>Shanique Yates</t>
  </si>
  <si>
    <t>AfroTech</t>
  </si>
  <si>
    <t>Black Mississippi residents in this former casino town are looking forward to a greener future.  According to NBC News, the citizens of Tunica County are preparing for the first utility-scale wind farm in the state with Amazon heading the development. A Wind Farm In Mississippi “My first initial thought was: ‘A wind farm in Mississippi?'” Marilyn Young, the director of Tunica County Workforce Development Center, said.</t>
  </si>
  <si>
    <t>Yahoo Finanzas</t>
  </si>
  <si>
    <t>Black Mississippi residents in this former casino town are looking forward to a greener future. According to NBC News, the citizens of Tunica County are preparing for the first utility-scale wind farm in the state with Amazon heading the development. A Wind Farm In Mississippi“My first initial thought was: ‘A wind farm in Mississippi?'” Marilyn Young, the director of Tunica County Workforce Development Center, said.</t>
  </si>
  <si>
    <t>Amazon Announces Construction Of Wind Farm In Mississippi Casino County</t>
  </si>
  <si>
    <t>Derek Major</t>
  </si>
  <si>
    <t>Black Enterprise</t>
  </si>
  <si>
    <t>“Accepting this project here could move us to another level,” James Dunn, a member of the Tunica County Board of Supervisors, told NBC News. The project, however, does have its opponents. Many of those who are against the project pointed out that, while AES will need 300 workers to complete the wind farm, it will only hire between seven and ten people to maintain and operate it.</t>
  </si>
  <si>
    <t>With net-zero carbon emissions from Day 1, new Amazon headquarters in Arlington, Virginia, aims to be model for sustainable building</t>
  </si>
  <si>
    <t>WTOP-FM (Washington, DC)</t>
  </si>
  <si>
    <t>Copyright © 2023 by WTOP. All rights reserved. This website is not intended for users located within the European Economic Area.</t>
  </si>
  <si>
    <t>An Amazon-backed wind farm is coming to a struggling Mississippi Delta community</t>
  </si>
  <si>
    <t>An Amazon-backed wind farm is coming to a struggling Mississippi Delta community      Jul 19, 2023Jul 19, 2023 5:17 pm GMT5 views       Amazon's involvement in a wind farm in Tunica County, Mississippi, has some residents hopeful but others questioning the tax incentives in an impoverished area....</t>
  </si>
  <si>
    <t>An Amazon-backed wind farm is coming to a struggling Mississippi Delta community - NBC News</t>
  </si>
  <si>
    <t>WNDV-FM (South Bend, IN)</t>
  </si>
  <si>
    <t>If you need help accessing the online public file due to a disability, please contact us</t>
  </si>
  <si>
    <t>Mississippi casino country places a new bet - on an Amazon-backed wind farm</t>
  </si>
  <si>
    <t>Bracey Harris</t>
  </si>
  <si>
    <t>Yahoo News</t>
  </si>
  <si>
    <t>Even before Amazon publicly revealed its involvement in a utility-scale wind farm being built in north Mississippi, residents of Tunica County were already buzzing. They had questions about what the project, the first of its kind in the state, might mean for one of the most impoverished regions of the country — and one prone to tornadoes.</t>
  </si>
  <si>
    <t>Aol</t>
  </si>
  <si>
    <t>Even before Amazon publicly revealed its involvement in a utility-scale wind farm being built in north Mississippi, residents of Tunica County were already buzzing. They had questions about what the project, the first of its kind in the state, might mean for one of the most impoverished regions of the country - and one prone to tornadoes.</t>
  </si>
  <si>
    <t>Negative</t>
  </si>
  <si>
    <t>Knowledia</t>
  </si>
  <si>
    <t>5 minutes agofairly difficultAmazon's involvement in a wind farm in Tunica County, Mississippi, has some residents hopeful but others questioning the tax incentives in an impoverished area. Even before Amazon publicly revealed its involvement in a utility-scale wind farm being built in north Mississippi, residents of Tunica County were already buzzing.</t>
  </si>
  <si>
    <t>Dnyuz</t>
  </si>
  <si>
    <t>In response to questions, Terrance Unrein, senior development director for AES, said that tax incentives are common for clean energy projects and that the Tunica wind farm is expected to bring “tens of millions of dollars to the taxing districts over the life of the project.”Charles Finkley Jr., the president and CEO of the Tunica County Chamber of Commerce and Economic Development, said incentives are worthwhile to help attract businesses.</t>
  </si>
  <si>
    <t>Amazon-backed wind farm comes to struggling Mississippi Delta community</t>
  </si>
  <si>
    <t>Newsnetdaily.com</t>
  </si>
  <si>
    <t>In response to questions, Terrance Unrein, senior director of development for AES, said tax incentives are common for clean energy projects and that the Tunica wind farm is expected to bring “tens of millions of dollars to tax districts over the life of the project”. .”Charles Finkley Jr., president and CEO of the Tunica County Chamber of Commerce and Economic Development, said the incentives are worth helping attract business.</t>
  </si>
  <si>
    <t>Mississippi casino country places a new bet — on an Amazon-backed wind farm</t>
  </si>
  <si>
    <t>NBC News</t>
  </si>
  <si>
    <t>Amazon to Construct Mississippi's First Utility-Scale Wind Farm</t>
  </si>
  <si>
    <t>Amazon, AES Partner on First Utility-Scale Wind Farm in Mississippi</t>
  </si>
  <si>
    <t>Amazon, AES Partner on First Utility-Scale Wind Farm in Mississippi      Jul 7, 2023Jul 7, 2023 9:33 pm GMT4 views       Amazon, the online retailer with a goal of powering its operations with 100% renewable energy by 2025, on July 7 announced a project that would be the first utility-scale wind […] The post Amazon, AES Partner on First Utility-Scale Wind Farm in Mississippi appeared first on POWER Magazine ....</t>
  </si>
  <si>
    <t>Darrell Proctor</t>
  </si>
  <si>
    <t>POWER Magazine</t>
  </si>
  <si>
    <t>Amazon, the online retailer with a goal of powering its operations with 100% renewable energy by 2025, on July 7 announced a project that would be the first utility-scale wind farm in Mississippi. The 184.5-MW Delta wind farm, being built in Tunica County, is Amazon’s sixth renewable energy installation in that state, and will join five solar farms in the company’s Mississippi portfolio. The facility will include 41 wind turbines powered by winds from the Mississippi Delta.</t>
  </si>
  <si>
    <t>Amazon to plant windmills in Mississippi Delta creating state's first utility-scale wind farm - Magnolia State Live</t>
  </si>
  <si>
    <t>Magnolia State Live</t>
  </si>
  <si>
    <t>Amazon to plant windmills in Mississippi Delta creating state’s first utility-scale wind farm Published 11:15 am Friday, July 7, 2023    Amazon is bringing the first large-scale wind farm to the Mississippi Delta, the company announced this week. The Mississippi project is one of several the company has planned across the southeast. Amazon’s expansion in the southeast includes five new solar and wind projects, bringing Amazon’s local total to 30 renewable energy projects in the region.</t>
  </si>
  <si>
    <t>Amazon announces construction of Mississippi’s first utility-scale wind farm</t>
  </si>
  <si>
    <t>BizToc</t>
  </si>
  <si>
    <t>Amazon’s newest project, the Delta wind farm, is an 184.5 MW project under construction in Tunica County, which will be the first utility-scale wind farm in the state.   #amazon#delta#tunicacounty   This story appeared on actionnews5.com, .</t>
  </si>
  <si>
    <t>Amazon to plant windmills in Mississippi Delta creating state's first utility-scale wind farm</t>
  </si>
  <si>
    <t>Amazon to plant windmills in Mississippi Delta creating state's first utility-scale wind farm      Jul 7, 2023Jul 7, 2023 9:35 pm GMT4 views        Amazon to plant windmills in Mississippi Delta creating state's first utility-scale wind farm [Magnolia State Live]                Get Published - Build a Following The Energy Central Power Industry Network® is based on one core idea - power industry professionals helping each other and advancing the industry by sharing and learning from each other.</t>
  </si>
  <si>
    <t>WDAM-TV (Moselle, MS)</t>
  </si>
  <si>
    <t>TUNICA CO., Miss. (WMC) - Amazon is backing a growing number of new renewable energy projects across Mississippi that will provide clean electricity to power local homes and businesses, create jobs, drive economic development, and also help power the company’s local operations, which include fulfillment and sortation centers, delivery stations, and a Whole Foods Market location.</t>
  </si>
  <si>
    <t>A Jet</t>
  </si>
  <si>
    <t>WLOX-TV (Biloxi, MS)</t>
  </si>
  <si>
    <t>WTOK-TV (Meridian, MS)</t>
  </si>
  <si>
    <t>WLBT-TV (Jackson, MS)</t>
  </si>
  <si>
    <t>WMC-TV (Memphis, TN)</t>
  </si>
  <si>
    <t>Amazon announces construction of Mississippi's first utility-scale wind farm</t>
  </si>
  <si>
    <t>WALA-TV (Mobile, AL)</t>
  </si>
  <si>
    <t>TUNICA CO., Miss. (WMC) - Amazon is backing a growing number of new renewable energy projects across Mississippi that will provide clean electricity to power local homes and businesses, create jobs, drive economic development, and also help power the company's local operations, which include fulfillment and sortation centers, delivery stations, and a Whole Foods Market location.</t>
  </si>
  <si>
    <t>WFLX-TV (West Palm Beach, FL)</t>
  </si>
  <si>
    <t>WMBF-TV (Myrtle Beach, SC)</t>
  </si>
  <si>
    <t>Police: Infant girl dies after mother left her alone for 8 days to go on vacationShe is the second Cleveland mother to be charged with murdering their child in as many days.</t>
  </si>
  <si>
    <t>KWTX-TV (Waco, TX)</t>
  </si>
  <si>
    <t>New details emerge about American couple found dead in Mexico resort hotel as family shares woman’s final text Autopsies have revealed new information about the two Americans found dead in their luxury hotel in Mexico as the family of one of the victims told CBS News about the last communication they received from her.</t>
  </si>
  <si>
    <t>WXIX-TV (Cincinnati, OH)</t>
  </si>
  <si>
    <t>Indiana man confessed to murders of teenage girls in phone call with his wife, documents sayRichard Matthew Allen allegedly told his wife, Kathy Allen, in an April 3 phone call that he killed Abigail Williams, 13, and Liberty German, 14.</t>
  </si>
  <si>
    <t>KTVF-TV (Fairbanks, AK )</t>
  </si>
  <si>
    <t>Health Report: Caring for your body before and after the Midnight Sun RunAdvice from a local doctor on prep and after care for the Midnight Sun Run.</t>
  </si>
  <si>
    <t>Amazon announces construction of Mississippi’s first utility-scale wind farmPublished: Jul. 6, 2023 at 8:19 PM UTC|Updated: 7 minutes ago</t>
  </si>
  <si>
    <t>KOLN/KGIN-TV (Lincoln, NE)</t>
  </si>
  <si>
    <t>Amazon announces construction of Mississippi’s first utility-scale wind farmPublished: Jul. 6, 2023 at 8:19 PM UTC|Updated: moments ago</t>
  </si>
  <si>
    <t>WHSV-TV (Harrisonburg, VA)</t>
  </si>
  <si>
    <t>KNEP-TV (Scottsbluff, NE)</t>
  </si>
  <si>
    <t>Video shows shooter open fire into Kansas nightclub crowd; management shares perspective on what happened Eleven people suffered injuries, including nine people who were wounded by gunfire and two who were trampled as the crowd rushed to leave the club.</t>
  </si>
  <si>
    <t>KAIT-TV (Jonesboro, AR)</t>
  </si>
  <si>
    <t>WWSB-TV (Sarasota, FL)</t>
  </si>
  <si>
    <t>WBKO-TV (Bowling Green, KY)</t>
  </si>
  <si>
    <t>KWQC-TV (Davenport, IA)</t>
  </si>
  <si>
    <t>|The Quad Cities Chamber on Thursday invited an expert to share his thoughts on the local economy. The strike has ended at Eaton Mission Systems Division of Davenport after the company and Machinists Union Locals 388 and 1191 came to an agreement on a new five-year contract. The Greater Quad Cities Hispanic Chamber of Commerce has received a big boost from a grocery store chain. Friday marked day one of the strike at Eaton-Cobham Mission Systems in Davenport.</t>
  </si>
  <si>
    <t>WSAW-TV (Wausau, WI)</t>
  </si>
  <si>
    <t>Amazon announces construction of Mississippi’s first utility-scale wind farmPublished: Jul. 6, 2023 at 8:19 PM UTC|Updated: 5 minutes ago</t>
  </si>
  <si>
    <t>KSIX-TV (Honolulu, HI)</t>
  </si>
  <si>
    <t>|In today's Illustrated Economics, Howard Dicus looks at selected home prices from June. Howard Dicus takes a look at Wall Street Journal's latest report on CEO's who make the most money. Delta, which won flight slots at Tokyo Haneda than any other airline, hasn't been flying two of its hard-won routes – Honolulu and Portland. With Honolulu Skyline now running, Howard Dicus takes a look at ridership for rail transit systems across the country.</t>
  </si>
  <si>
    <t>WCTV-TV (Tallahassee, FL)</t>
  </si>
  <si>
    <t>WRDW-TV (Augusta, GA)</t>
  </si>
  <si>
    <t>KOLO-TV (Reno, NV)</t>
  </si>
  <si>
    <t>WCAX-TV (Burlington, VT)</t>
  </si>
  <si>
    <t>KKCO-TV (Grand Junction, CO)</t>
  </si>
  <si>
    <t>KFDA-TV (Amarillo, TX)</t>
  </si>
  <si>
    <t>WLUC-TV (Negaunee, MI)</t>
  </si>
  <si>
    <t>Amazon announces construction of Mississippi’s first utility-scale wind farmPublished: Jul. 6, 2023 at 4:19 PM EDT|Updated: moments ago</t>
  </si>
  <si>
    <t>WAFB-TV (Baton Rouge, LA)</t>
  </si>
  <si>
    <t>WCSC-TV (Charleston, SC)</t>
  </si>
  <si>
    <t>Amazon announces construction of Mississippi’s first utility-scale wind farmPublished: Jul. 6, 2023 at 4:19 PM EDT|Updated: 8 minutes ago</t>
  </si>
  <si>
    <t>KCBD-TV (Lubbock, TX)</t>
  </si>
  <si>
    <t>WOWT-TV (Omaha, NE)</t>
  </si>
  <si>
    <t>WFIE-TV (Evansville, IN)</t>
  </si>
  <si>
    <t>WCJB-TV (Gainesville, FL)</t>
  </si>
  <si>
    <t>WBTV-TV (Charlotte, NC)</t>
  </si>
  <si>
    <t>KNOE-TV (Monroe, LA)</t>
  </si>
  <si>
    <t>KSLA-TV (Shreveport, LA)</t>
  </si>
  <si>
    <t>WTVM-TV (Columbus, GA)</t>
  </si>
  <si>
    <t>KGNS-TV (Laredo, TX)</t>
  </si>
  <si>
    <t>Amazon announces construction of Mississippi’s first utility-scale wind farmPublished: Jul. 6, 2023 at 3:19 PM CDT|Updated: 7 minutes ago</t>
  </si>
  <si>
    <t>WILX-TV (Lansing, MI)</t>
  </si>
  <si>
    <t>WAVE-TV (Louisville, KY)</t>
  </si>
  <si>
    <t>WIBW-TV (Topeka, KS)</t>
  </si>
  <si>
    <t>Amazon announces construction of Mississippi’s first utility-scale wind farmPublished: Jul. 6, 2023 at 3:19 PM CDT|Updated: moments ago</t>
  </si>
  <si>
    <t>WDTV-TV (Bridgeport, WV)</t>
  </si>
  <si>
    <t>WBRC-TV (Birmingham, AL)</t>
  </si>
  <si>
    <t>Central Illinois wind farm will help power Facebook parent Meta data center</t>
  </si>
  <si>
    <t>Eric Stock</t>
  </si>
  <si>
    <t>NPR Illinois</t>
  </si>
  <si>
    <t>A wind farm that helps power a data center for Facebook parent Meta has gone online in DeWitt County. Brayten McGee is a project manager at Boston-based Enel, the company that operates the Alta Farms 200-megawatt, 50-turbine wind farm west of Wapella and Clinton. McGee said the company projects $94 million in local tax revenue and landowner income over the life of the project, which is expected to be 20-25 years.</t>
  </si>
  <si>
    <t>WSIU-TV (Carbondale, IL)</t>
  </si>
  <si>
    <t>WVIK-FM (Rock Island, IL)</t>
  </si>
  <si>
    <t>Northern Public Radio</t>
  </si>
  <si>
    <t>Tri States Public Radio</t>
  </si>
  <si>
    <t>Enel Begins Operating Alta Farms Wind Farm, Generating Clean Power for Meta in Illinois</t>
  </si>
  <si>
    <t>21 Jun 2023                                                 Enel North America has begun operations of the 200-megawatt (MW) Alta Farms wind farm in DeWitt County, Ill. The project supports Meta’s DeKalb Data Center through a 125 MW long-term power purchase agreement. Alta Farms also supports the Indiana Municipal Power Agency (IMPA) with a 75 MW long-term power purchase agreement.</t>
  </si>
  <si>
    <t>Cordelio seals funds for 171-MW Illinois wind farm to power Microsoft</t>
  </si>
  <si>
    <t>Hydrogen company to build in Michigan, work with GM</t>
  </si>
  <si>
    <t>South Florida Sun Sentinel</t>
  </si>
  <si>
    <t>The green hydrogen company Nel announced plans to build a massive new plant in Michigan as it works with General Motors to drive down the cost of hydrogen. The Norwegian company makes devices that take water and split it into hydrogen and oxygen, known as electrolyzers, as well as fueling stations.</t>
  </si>
  <si>
    <t>Baltimore Sun</t>
  </si>
  <si>
    <t>Orlando Sentinel</t>
  </si>
  <si>
    <t>Chicago Tribune</t>
  </si>
  <si>
    <t>Going green: Nel Hydrogen to build in Michigan, work with GM</t>
  </si>
  <si>
    <t>Jennifer McDermott</t>
  </si>
  <si>
    <t>Herald Standard</t>
  </si>
  <si>
    <t>The green hydrogen company Nel announced plans Wednesday to build a massive new plant in Michigan as it works with General Motors to drive down the cost of hydrogen. The Norwegian company makes devices that take water and split it into hydrogen and oxygen, known as electrolyzers, as well as fueling stations.</t>
  </si>
  <si>
    <t>Nel Hydrogen to build in Michigan, work with GM to lower costs</t>
  </si>
  <si>
    <t>Finance &amp; Commerce</t>
  </si>
  <si>
    <t>Nel Hydrogen Plans Massive Michigan Plant, Work with GM</t>
  </si>
  <si>
    <t>Industrial Equipment News (IEN)</t>
  </si>
  <si>
    <t>Manufacturing.net</t>
  </si>
  <si>
    <t>Manufacturing Business Technology</t>
  </si>
  <si>
    <t>Industrial Maintenance &amp; Plant Operation</t>
  </si>
  <si>
    <t>Power Grid International</t>
  </si>
  <si>
    <t>By JENNIFER McDERMOTT Associated PressThe green hydrogen company Nel announced plans Wednesday, May 3 to build a massive new plant in Michigan as it works with General Motors to drive down the cost of hydrogen. The Norwegian company makes devices that take water and split it into hydrogen and oxygen, known as electrolyzers, as well as fueling stations.</t>
  </si>
  <si>
    <t>Nel Hydrogen to build in Michigan, work with GM</t>
  </si>
  <si>
    <t>Meriden Record Journal</t>
  </si>
  <si>
    <t>Going green: Nel Hydrogen to build in Michigan, work with GM; The green hydrogen company Nel announced plans Wednesday to build a massive new plant</t>
  </si>
  <si>
    <t>https://rmi.muckrack.com/link/ykIOMY/going-green-nel-hydrogen-to-build-in-michigan-work-with-gm-the-green-hydrogen-company-nel-announced-plans-wednesday-to-build-a-massive-new-plant-in-michigan-as-it-works-with-general-motors-to-drive-down-the-cost-of-hydrogen</t>
  </si>
  <si>
    <t>Dayton Daily News</t>
  </si>
  <si>
    <t>LegalNews.com</t>
  </si>
  <si>
    <t>By Jennifer McDermottAssociated PressThe green hydrogen company Nel announced plans Wednesday to build a massive new plant in Michigan as it works with General Motors to drive down the cost of hydrogen. The Norwegian company makes devices that take water and split it into hydrogen and oxygen, known as electrolyzers, as well as fueling stations.</t>
  </si>
  <si>
    <t>The Mining Journal</t>
  </si>
  <si>
    <t>DETROIT — The green hydrogen company Nel announced plans Wednesday to build a massive new plant in Michigan as it works with General Motors to drive down the cost of hydrogen. The Norwegian company makes devices that take water and split it into hydrogen and oxygen, known as electrolyzers, as well as fueling stations.</t>
  </si>
  <si>
    <t>WTOL-TV (Toledo, OH)</t>
  </si>
  <si>
    <t>The green hydrogen company Nel announced plans Wednesday to build a massive new plant in Michigan as it works with General Motors to drive down the cost of hydrogen.  The Norwegian company makes devices that take water and split it into hydrogen and oxygen, known as electrolyzers, as well as fueling stations.</t>
  </si>
  <si>
    <t>Daily Mining Gazette</t>
  </si>
  <si>
    <t>WZZM-TV (Grand Rapids, MI)</t>
  </si>
  <si>
    <t>Hydrogen can replace fossil fuels in certain instances because it can be burned, producing a lot of power, or it can power electricity in a fuel cell.       The green hydrogen company Nel announced plans Wednesday to build a massive new plant in Michigan as it works with General Motors to drive down the cost of hydrogen.  The Norwegian company makes devices that take water and split it into hydrogen and oxygen, known as electrolyzers, as well as fueling stations.</t>
  </si>
  <si>
    <t>WWJ-TV (Detroit, MI)</t>
  </si>
  <si>
    <t>The green hydrogen company Nel announced plans Wednesday to build a massive new plant in Michigan as it works with General Motors to drive down the cost of hydrogen.</t>
  </si>
  <si>
    <t>The Westerly Sun</t>
  </si>
  <si>
    <t>WTVA-TV (Tupelo, MS)</t>
  </si>
  <si>
    <t>The green hydrogen company Nel announced plans Wednesday to build a massive new plant in Michigan as it works with General Motors to drive down the cost of hydrogen. Hydrogen can replace fossil fuels in certain instances because it can be burned, producing a lot of power, or it can power electricity in a fuel cell. The Norwegian company makes the devices that take water and split it into hydrogen and oxygen, known as electrolyzers.</t>
  </si>
  <si>
    <t>WDBO-FM (Orlando, FL)</t>
  </si>
  <si>
    <t>KRMG-FM (Tulsa, OK)</t>
  </si>
  <si>
    <t>Jennifer McDermott, Trond R. Teigen</t>
  </si>
  <si>
    <t>WMYD-TV (Southfield, MI)</t>
  </si>
  <si>
    <t>TimesDaily</t>
  </si>
  <si>
    <t>WOOD-TV (Grand Rapids, MI)</t>
  </si>
  <si>
    <t>(AP) — The green hydrogen company Nel announced plans Wednesday to build a massive new plant in Michigan as it works with General Motors to drive down the cost of hydrogen. The Norwegian company makes devices that take water and split it into hydrogen and oxygen, known as electrolyzers, as well as fueling stations.</t>
  </si>
  <si>
    <t>ABC News</t>
  </si>
  <si>
    <t>The Toledo Blade</t>
  </si>
  <si>
    <t>WLNS-TV (Lansing, MI)</t>
  </si>
  <si>
    <t>Killeen Daily Herald</t>
  </si>
  <si>
    <t>The Norwalk Hour</t>
  </si>
  <si>
    <t>Nel looked at every state, but picked the longtime home of the American automotive industry for its new “gigafactory” to be near General Motors. Michigan also offered attractive financial incentives, partnerships with universities and training programs, and strong support from the governor’s office, Volldal said. Getting the plant up and running will take an estimated $350 million.   Michigan Gov.</t>
  </si>
  <si>
    <t>Spectrum News 1 (Louisville, KY)</t>
  </si>
  <si>
    <t>Chron</t>
  </si>
  <si>
    <t>Nel looked at every state, but picked the longtime home of the American automotive industry for its new “gigafactory” to be near General Motors. Michigan also offered attractive financial incentives, partnerships with universities and training programs, and strong support from the governor’s office, Volldal said. Getting the plant up and running will take an estimated $350 million.     Michigan Gov.</t>
  </si>
  <si>
    <t>The Sun Chronicle</t>
  </si>
  <si>
    <t>Brattleboro Reformer</t>
  </si>
  <si>
    <t>Spectrum News Triad</t>
  </si>
  <si>
    <t>WDET-FM (Detroit MI)</t>
  </si>
  <si>
    <t>KAYU-TV (Spokane, WA)</t>
  </si>
  <si>
    <t>WXYZ-TV (Southfield, MI)</t>
  </si>
  <si>
    <t>Going green: Nel Hydrogen to build in Michigan, work with GM – KION546</t>
  </si>
  <si>
    <t>KION-TV (Salinas, CA)</t>
  </si>
  <si>
    <t>By JENNIFER McDERMOTTAssociated PressThe green hydrogen company Nel announced plans Wednesday to build a massive new plant in Michigan as it works with General Motors to drive down the cost of hydrogen. Hydrogen can replace fossil fuels in certain instances because it can be burned, producing a lot of power, or it can power electricity in a fuel cell. The Norwegian company makes the devices that take water and split it into hydrogen and oxygen, known as electrolyzers.</t>
  </si>
  <si>
    <t>KYMA-TV (Yuma, AZ)</t>
  </si>
  <si>
    <t>WRFC-AM (Athens, GA)</t>
  </si>
  <si>
    <t>The green hydrogen company Nel announced plans Wednesday to build a massive new plant in Michigan as it works with General Motors to drive down the cost of hydrogen.   #nel#michigan#generalmotors   This story appeared on seattletimes.com, 2023-05-03.</t>
  </si>
  <si>
    <t>/ AP The green hydrogen company Nel announced plans Wednesday to build a massive new plant in Michigan as it works with General Motors to drive down the cost of hydrogen. The Norwegian company makes devices that take water and split it into hydrogen and oxygen, known as electrolyzers, as well as fueling stations.</t>
  </si>
  <si>
    <t>KEYT-TV (Santa Barbara, CA)</t>
  </si>
  <si>
    <t>The Derrick</t>
  </si>
  <si>
    <t>WNYM-AM (Hackensack, NJ)</t>
  </si>
  <si>
    <t>Bryan Times</t>
  </si>
  <si>
    <t>You have permission to edit this article.                                                            Close                   Lars Nermoen, left, head of communications, and Ragnar Johnsson, factory manager, talk in the facility for the Norwegian company Nel in Heroya, Norway, on April 20, 2023. Nel makes devices that take water and split it into hydrogen and oxygen, known as electrolyzers, as well as fueling stations.</t>
  </si>
  <si>
    <t>The Herald-Palladium</t>
  </si>
  <si>
    <t>Going green: Nel Hydrogen to build in Michigan, work with GM - The Daily Independent at YourValley.net</t>
  </si>
  <si>
    <t>Daily Independent</t>
  </si>
  <si>
    <t>By JENNIFER McDERMOTT                                                                                    The green hydrogen company Nel announced plans Wednesday to build a massive new plant in Michigan as it works with General Motors to drive down the cost of hydrogen. The Norwegian company makes devices that take water and split it into hydrogen and oxygen, known as electrolyzers, as well as fueling stations.</t>
  </si>
  <si>
    <t>KTNH-AM</t>
  </si>
  <si>
    <t>NewsBreak</t>
  </si>
  <si>
    <t>The Caledonian-Record</t>
  </si>
  <si>
    <t>WFMZ-TV (Allentown, PA)</t>
  </si>
  <si>
    <t>Breitbart</t>
  </si>
  <si>
    <t>The green hydrogen company Nel announced plans Wednesday to build a massive new plant in Michigan as it works with General Motors to drive down the cost of hydrogenGoing green: Nel Hydrogen to build in Michigan, work with GMBy JENNIFER McDERMOTTAssociated PressThe Associated PressThe green hydrogen company Nel announced plans Wednesday to build a massive new plant in Michigan as it works with General Motors to drive down the cost of hydrogen.</t>
  </si>
  <si>
    <t>CenturyLink</t>
  </si>
  <si>
    <t>Going Green: Nel Hydrogen to Build in Michigan, Work with GM</t>
  </si>
  <si>
    <t>Newsmax</t>
  </si>
  <si>
    <t>Kokomo Tribune</t>
  </si>
  <si>
    <t>WORL-AM (Orlando, FL)</t>
  </si>
  <si>
    <t>Yankton Daily Press &amp; Dakotan</t>
  </si>
  <si>
    <t>Tulsa World</t>
  </si>
  <si>
    <t>CompuServe</t>
  </si>
  <si>
    <t>Going green: Nel Hydrogen to build in Michigan, work with GM By JENNIFER McDERMOTTAssociated PressThe green hydrogen company Nel announced plans Wednesday to build a massive new plant in Michigan as it works with General Motors to drive down the cost of hydrogen.  The Norwegian company makes devices that take water and split it into hydrogen and oxygen, known as electrolyzers, as well as fueling stations.</t>
  </si>
  <si>
    <t>The Beaumont Enterprise</t>
  </si>
  <si>
    <t>Nel looked at every state, but picked the longtime home of the American automotive industry for its new “gigafactory” to be near General Motors. Michigan also offered attractive financial incentives, partnerships with universities and training programs, and strong support from the governor’s office, Volldal said.   Michigan Gov.</t>
  </si>
  <si>
    <t>Ryan D. Wilson</t>
  </si>
  <si>
    <t>Clay Center Dispatch</t>
  </si>
  <si>
    <t>The San Diego Union-Tribune</t>
  </si>
  <si>
    <t>Portal.Tds.Net</t>
  </si>
  <si>
    <t>WRAL-TV (Raleigh, NC)</t>
  </si>
  <si>
    <t>KRQE-TV (Albuquerque, NM)</t>
  </si>
  <si>
    <t>Stamford Advocate</t>
  </si>
  <si>
    <t>Nel looked at every state, but picked the longtime home of the American automotive industry for its new “gigafactory” to be near General Motors. Michigan also offered attractive financial incentives, partnerships with universities and training programs, and strong support from the governor’s office, Volldal said.     Michigan Gov.</t>
  </si>
  <si>
    <t>Spectrum News 13</t>
  </si>
  <si>
    <t>KSTP-TV (St Paul, MN)</t>
  </si>
  <si>
    <t>Seattle Post-Intelligencer</t>
  </si>
  <si>
    <t>The green hydrogen company Nel announced plans Wednesday to build a massive new plant in Michigan as it works with General Motors to drive down the cost of hydrogen. AdvertisementArticle continues below this adThe Norwegian company makes devices that take water and split it into hydrogen and oxygen, known as electrolyzers, as well as fueling stations.</t>
  </si>
  <si>
    <t>WNYT-TV (Albany, NY)</t>
  </si>
  <si>
    <t>Nel Hydrogen To Build In Michigan, Work With GM</t>
  </si>
  <si>
    <t>Jennifer Mcdermott</t>
  </si>
  <si>
    <t>Barchart</t>
  </si>
  <si>
    <t>Jennifer Mcdermott -          Associated Press -      6 minutes ago   Partnership Content   The content in this section is supplied by Associated Press for the purposes of distributing press releases on behalf of its clients. Barchart has not reviewed, approved, or endorsed the content, and may receive compensation for placement of the content on this site.</t>
  </si>
  <si>
    <t>Times Union (Albany)</t>
  </si>
  <si>
    <t>Going Green: Nel Hydrogen to Build in Michigan, Work With GM</t>
  </si>
  <si>
    <t>Tim Smart</t>
  </si>
  <si>
    <t>U.S. News &amp; World Report</t>
  </si>
  <si>
    <t>WTMJ-AM (Milwaukee, WI)</t>
  </si>
  <si>
    <t>By JENNIFER McDERMOTTAssociated PressThe green hydrogen company Nel announced plans Wednesday to build a massive new plant in Michigan as it works with General Motors to drive down the cost of hydrogen. The Norwegian company makes devices that take water and split it into hydrogen and oxygen, known as electrolyzers, as well as fueling stations.</t>
  </si>
  <si>
    <t>Seattle Times</t>
  </si>
  <si>
    <t>WSLS-TV (Roanoke, VA)</t>
  </si>
  <si>
    <t>Midland Daily News</t>
  </si>
  <si>
    <t>Federal News Network</t>
  </si>
  <si>
    <t>The green hydrogen company Nel announced plans Wednesday to build a massive new plant in Michigan as it works with General Motors to drive down the cost of hydrogen.  The Norwegian company makes devices that take water and split it into hydrogen and oxygen, known as electrolyzers, as well as fueling stations. CEO Håkon Volldal said the company will make electrolyzers in the Detroit area to supply up to 4 gigawatts’ worth of hydrogen each...</t>
  </si>
  <si>
    <t>WHEC-TV (Rochester, NY)</t>
  </si>
  <si>
    <t>KAAL-TV (Austin, MN)</t>
  </si>
  <si>
    <t>Bay News 9</t>
  </si>
  <si>
    <t>WOKV-FM (Jacksonville, FL)</t>
  </si>
  <si>
    <t>WJXT-TV (Jacksonville, FL)</t>
  </si>
  <si>
    <t>Associated Press</t>
  </si>
  <si>
    <t>Star Tribune</t>
  </si>
  <si>
    <t>The green hydrogen company Nel announced plans Wednesday to build a massive new plant in Michigan as it works with General Motors to drive down the cost of hydrogen.    The Norwegian company makes devices that take water and split it into hydrogen and oxygen, known as electrolyzers, as well as fueling stations.</t>
  </si>
  <si>
    <t>KOB-TV (Albuquerque, NM)</t>
  </si>
  <si>
    <t>WSB-AM (Atlanta, GA)</t>
  </si>
  <si>
    <t>WKMG-TV (Orlando, FL)</t>
  </si>
  <si>
    <t>WDIV-TV (Detroit, MI)</t>
  </si>
  <si>
    <t>Sign up for our NewslettersEmployees work at a facility for the Norwegian company Nel in Heroya, Norway, on April 20, 2023. Nel makes devices that take water and split it into hydrogen and oxygen, known as electrolyzers, as well as fueling stations. The company announced plans Wednesday, May 3, to build a massive new plant in Michigan as it works with General Motors to drive down the cost of hydrogen. (AP Photo/Trond R.</t>
  </si>
  <si>
    <t>WPLG-TV (Pembroke Park, FL)</t>
  </si>
  <si>
    <t>MyNorthwest.com</t>
  </si>
  <si>
    <t>KTAR-FM (Phoenix, AZ)</t>
  </si>
  <si>
    <t>The Washington Post</t>
  </si>
  <si>
    <t>KSAT-TV (San Antonio, TX)</t>
  </si>
  <si>
    <t>WGAU (Athens, GA)</t>
  </si>
  <si>
    <t>KPRC-TV (Houston, TX)</t>
  </si>
  <si>
    <t>Trond R. Teigen, ASSOCIATED PRESS   A machine is operated at a facility for the Norwegian company Nel in Heroya, Norway, on April 20, 2023. Nel makes devices that take water and split it into hydrogen and oxygen, known as electrolyzers, as well as fueling stations. The company announced plans Wednesday, May 3, to build a massive new plant in Michigan as it works with General Motors to drive down the cost of hydrogen. (AP Photo/Trond R.</t>
  </si>
  <si>
    <t>Going green: Nel Hydrogen to build in Michigan, work with GM – Metro US</t>
  </si>
  <si>
    <t>Metro.us</t>
  </si>
  <si>
    <t>Springfield News-Sun</t>
  </si>
  <si>
    <t>Journal-News</t>
  </si>
  <si>
    <t>The Atlanta Journal-Constitution</t>
  </si>
  <si>
    <t>WBBM-AM (Chicago, IL)</t>
  </si>
  <si>
    <t>WJFW-TV (Rhinelander, WI)</t>
  </si>
  <si>
    <t>WBOY-TV (Clarksburg, WV)</t>
  </si>
  <si>
    <t>WAND-TV (Decatur, IL)</t>
  </si>
  <si>
    <t>The Goshen News</t>
  </si>
  <si>
    <t>Cadillac News</t>
  </si>
  <si>
    <t>The San Antonio Express-News</t>
  </si>
  <si>
    <t>Nel looked at every state, but picked the longtime home of the American automotive industry for its new “gigafactory” to be near General Motors. Michigan also offered attractive financial incentives, partnerships with universities and training programs, and strong support from the governor’s office, Volldal said.  Michigan Gov.</t>
  </si>
  <si>
    <t>New Milford Spectrum</t>
  </si>
  <si>
    <t>Register Citizen</t>
  </si>
  <si>
    <t>WGN-AM (Chicago, IL)</t>
  </si>
  <si>
    <t>WJTV-TV (Jackson, MS)</t>
  </si>
  <si>
    <t>Citrus County Chronicle</t>
  </si>
  <si>
    <t>Imperial Valley Press</t>
  </si>
  <si>
    <t>The Lewiston Tribune</t>
  </si>
  <si>
    <t>KTRB-AM (Fremont, CA)</t>
  </si>
  <si>
    <t>Huron Daily Tribune</t>
  </si>
  <si>
    <t>Jennifer McDermott, Jennifer McDermott -</t>
  </si>
  <si>
    <t>Grand Junction Daily Sentinel</t>
  </si>
  <si>
    <t>KTMF-TV (Missoula, MT)</t>
  </si>
  <si>
    <t>WOWK-TV (Charleston, WV)</t>
  </si>
  <si>
    <t>Waco Tribune-Herald‎</t>
  </si>
  <si>
    <t>The Pioneer (Big Rapids, MI)</t>
  </si>
  <si>
    <t>The Edwardsville Intelligencer</t>
  </si>
  <si>
    <t>KSEE-TV (Fresno, CA)</t>
  </si>
  <si>
    <t>New Haven Register</t>
  </si>
  <si>
    <t>SFGate</t>
  </si>
  <si>
    <t>The Plainview Herald</t>
  </si>
  <si>
    <t>KDVR-TV (Denver, CO)</t>
  </si>
  <si>
    <t>KPXJ 21 (Shreveport, LA)</t>
  </si>
  <si>
    <t>Miles City Star</t>
  </si>
  <si>
    <t>Alton Telegraph</t>
  </si>
  <si>
    <t>CT Insider</t>
  </si>
  <si>
    <t>The Journal-Courier</t>
  </si>
  <si>
    <t>Laredo Morning Times</t>
  </si>
  <si>
    <t>The Lawton Constitution</t>
  </si>
  <si>
    <t>Fairfield Citizen</t>
  </si>
  <si>
    <t>Midland Reporter-Telegram</t>
  </si>
  <si>
    <t>The Berkshire Eagle</t>
  </si>
  <si>
    <t>KXLG</t>
  </si>
  <si>
    <t>Manistee News Advocate</t>
  </si>
  <si>
    <t>Times Argus</t>
  </si>
  <si>
    <t>WGTK-FM (Greenville, SC)</t>
  </si>
  <si>
    <t>Northern Virginia Daily</t>
  </si>
  <si>
    <t>Connecticut Post</t>
  </si>
  <si>
    <t>This is a carousel. Use Next and Previous buttons to navigate       1of12Employees work at a facility for the Norwegian company Nel in Heroya, Norway, on April 20, 2023. Nel makes devices that take water and split it into hydrogen and oxygen, known as electrolyzers, as well as fueling stations. The company announced plans Wednesday, May 3, to build a massive new plant in Michigan as it works with General Motors to drive down the cost of hydrogen.Trond R.</t>
  </si>
  <si>
    <t>KTVN-TV (Reno, NV)</t>
  </si>
  <si>
    <t>Houston Chronicle</t>
  </si>
  <si>
    <t>KFOR-TV (Oklahoma City, OK)</t>
  </si>
  <si>
    <t>Kentucky Today</t>
  </si>
  <si>
    <t>Danbury News-Times</t>
  </si>
  <si>
    <t>WHK-AM (Cleveland, OH)</t>
  </si>
  <si>
    <t>Bowling Green Daily News</t>
  </si>
  <si>
    <t>WSYR-TV (East Syracuse, NY)</t>
  </si>
  <si>
    <t>Spectrum News 1 LA-West</t>
  </si>
  <si>
    <t>WWTI-TV (Watertown, NY)</t>
  </si>
  <si>
    <t>KETK-TV (Tyler, TX)</t>
  </si>
  <si>
    <t>KKOL-AM (Seattle, WA)</t>
  </si>
  <si>
    <t>WIND-AM (Chicago, IL)</t>
  </si>
  <si>
    <t>San Francisco Chronicle</t>
  </si>
  <si>
    <t>KDOW- Wall Street AM Radio</t>
  </si>
  <si>
    <t>Conroe Courier</t>
  </si>
  <si>
    <t>Darien Times</t>
  </si>
  <si>
    <t>Middletown Press</t>
  </si>
  <si>
    <t>Daily News-Record</t>
  </si>
  <si>
    <t>WPNM-TV (Lima, OH)</t>
  </si>
  <si>
    <t>Traverse City Record-Eagle</t>
  </si>
  <si>
    <t>marketbeat.com</t>
  </si>
  <si>
    <t>→ EV Production to Hit Potholes (From Metals Research Report)Wed., May 3, 2023 | The Associated PressThe green hydrogen company Nel announced plans Wednesday to build a massive new plant in Michigan as it works with General Motors to drive down the cost of hydrogen. → Does this new report reveal a gold stock's barry metals acquisition with 433% potential?</t>
  </si>
  <si>
    <t>WJRT-TV (Flint, MI)</t>
  </si>
  <si>
    <t>UpNorthLive</t>
  </si>
  <si>
    <t>The green hydrogen company Nel announced plans Wednesday to build a massive new plant in Michigan as it works with General Motors to drive down the cost of hydr</t>
  </si>
  <si>
    <t>WBSF-TV (Clio, MI)</t>
  </si>
  <si>
    <t>Employees work at a facility for the Norwegian company Nel in Heroya, Norway, on April 20, 2023. Nel makes devices that take water and split it into hydrogen and oxygen, known as electrolyzers, as well as fueling stations. The company announced plans Wednesday, May 3, to build a massive new plant in...</t>
  </si>
  <si>
    <t>WEYI-TV (Flint, MI)</t>
  </si>
  <si>
    <t>https://rmi.muckrack.com/link/ykBNgF/going-green-nel-hydrogen-to-build-in-michigan-work-with-gm-the-green-hydrogen-company-nel-announced-plans-wednesday-to-build-a-massive-new-plant-in-michigan-as-it-works-with-general-motors-to-drive-down-the-cost-of-hydrogen</t>
  </si>
  <si>
    <t>Spectrum News NY1</t>
  </si>
  <si>
    <t>AccessWDUN</t>
  </si>
  <si>
    <t>Courthouse News Service</t>
  </si>
  <si>
    <t>“Hydrogen is not just hope anymore. It’s reality.” (AP) — The green hydrogen company Nel announced plans Wednesday to build a massive new plant in Michigan as it works with General Motors to drive down the cost of hydrogen. The Norwegian company makes devices that take water and split it into hydrogen and oxygen, known as electrolyzers, as well as fueling stations.</t>
  </si>
  <si>
    <t>Portland's Triple Oak sells Texas wind farm that will power Meta</t>
  </si>
  <si>
    <t>Pete Danko</t>
  </si>
  <si>
    <t>Portland Business Journal</t>
  </si>
  <si>
    <t>Portland-based wind power developer Triple Oak Power has sold a 160-megawatt, ready-to-build wind project in Texas that will generate power for Meta Platforms. Terms of the sale of the Prairie Switch Wind project to Fengate Asset Management were not disclosed. Triple Oak was formed in Portland in 2020, led by former executives at Avangrid Renewable, including Triple Oak CEO Jesse Gronner. It has backing from EnCap Investments, Yorktown Partners and Mercuria Energy.</t>
  </si>
  <si>
    <t>Daily Infographic: Ohio renewable natural gas station to fuel Amazon trucks</t>
  </si>
  <si>
    <t>Brandon Cafferky</t>
  </si>
  <si>
    <t>FreightWaves</t>
  </si>
  <si>
    <t>Your email address will not be published. Save my name, email, and website in this browser for the next time I comment.</t>
  </si>
  <si>
    <t>Natural gas from local landfills and cow manure used at Ohio fuel station to power Amazon’s fleet</t>
  </si>
  <si>
    <t>WYSO-FM (Dayton, OH)</t>
  </si>
  <si>
    <t>Ohio has become the first state to host a renewable natural gas fueling station that's designed to support Amazon’s plan to deploy more heavy-duty trucks that run on RNG. 
The renewable natural gas station in Groveport is operated by Clean Energy Corp. and is the first of about 19 that will be placed around the country for Amazon this year. 
“What you're seeing here today is how the industry is pivoting to trucks that move goods.</t>
  </si>
  <si>
    <t>Clean Energy Announces Opening of Ohio Renewable Natural Gas Station for Amazon and Other Trucking Fleets</t>
  </si>
  <si>
    <t>GROVEPORT, Ohio--(BUSINESS WIRE)--Sep 28, 2022--Clean Energy Fuels Corp. (NASDAQ: CLNE ), the largest provider of the cleanest fuel for the transportation market, today celebrated a ribbon cutting ceremony with state and local officials, agriculture leaders, and company executives at its new renewable natural gas (RNG) station in Groveport, OH.</t>
  </si>
  <si>
    <t>Advanced Biofuels  USA</t>
  </si>
  <si>
    <t>(Clean Energy Fuels Corp./Business Wire) The Groveport station is first of 19 under agreement with Amazon —  Clean Energy’s new station in Groveport, OH will provide renewable natural gas, a fuel produced from organic waste, to Amazon trucks and other fleets. Clean Energy Fuels Corp.</t>
  </si>
  <si>
    <t>Aaron Payne, Andy Chow</t>
  </si>
  <si>
    <t>WOUB-TV (Athens, OH)</t>
  </si>
  <si>
    <t>Natural gas from local landfills and cow manure used at Ohio fuel station to power Amazon’s fleet &lt; &lt; Back to COLUMBUS, Ohio (Statehouse News Bureau) — Ohio has become the first state to host a renewable natural gas fueling station that’s designed to support Amazon’s plan to deploy more heavy-duty trucks that run on RNG. The renewable natural gas station in Groveport is operated by Clean Energy Corp. and is the first of about 19 that will be placed around the country for Amazon this year....</t>
  </si>
  <si>
    <t>WOSU-FM (Columbus, OH)</t>
  </si>
  <si>
    <t>Fleet News Daily</t>
  </si>
  <si>
    <t>The Groveport station is first of 19 under agreement with AmazonClean Energy Fuels Corp. the largest provider of the cleanest fuel for the transportation market, celebrated a ribbon cutting ceremony with state and local officials, agriculture leaders, and company executives at its new renewable natural gas (RNG) station in Groveport, OH.</t>
  </si>
  <si>
    <t>WKSU-FM (Kent, OH)</t>
  </si>
  <si>
    <t>The Statehouse News Bureau</t>
  </si>
  <si>
    <t>Ohio has become the first state to host a renewable natural gas fueling station that's designed to support Amazon’s plan to deploy more heavy-duty trucks that run on RNG. The renewable natural gas station in Groveport is operated by Clean Energy Corp. and is the first of about 19 that will be placed around the country for Amazon this year. “What you're seeing here today is how the industry is pivoting to trucks that move goods.</t>
  </si>
  <si>
    <t>Ohio renewable natural gas station to fuel Amazon trucks</t>
  </si>
  <si>
    <t>Alyssa Sporrer</t>
  </si>
  <si>
    <t>Clean Energy Fuels Corp. opened a station on Wednesday in Groveport, Ohio, that will supply Amazon trucks and other fleets with 700,000 gallons of renewable natural gas (RNG) annually. The two companies entered an agreement in 2021 for Clean Energy (NASDAQ: CLNE) to provide Amazon (NASDAQ: AMZN) with RNG at 27 existing stations and 19 stations that were to be built or upgraded. This Groveport station is the first of the 19. Read: Is Amazon getting into the renewable natural gas business?</t>
  </si>
  <si>
    <t>Clean Energy Announces Opening of Ohio Renewable Natural Gas Station for Amazon and Other Trucking Fleets - Amazon.com (NASDAQ:AMZN), Clean Energy Fuels (NASDAQ:CLNE)</t>
  </si>
  <si>
    <t>The Groveport station is first of 19 under agreement with AmazonClean Energy Fuels Corp. CLNE, the largest provider of the cleanest fuel for the transportation market, today celebrated a ribbon cutting ceremony with state and local officials, agriculture leaders, and company executives at its new renewable natural gas (RNG) station in Groveport, OH.</t>
  </si>
  <si>
    <t>WICZ-TV (Vestal, NY)</t>
  </si>
  <si>
    <t>The Groveport station is first of 19 under agreement with Amazon</t>
  </si>
  <si>
    <t>Bluefield Daily Telegraph</t>
  </si>
  <si>
    <t>Fort Bend Herald &amp; Texas Coaster</t>
  </si>
  <si>
    <t>GROVEPORT, Ohio--(BUSINESS WIRE)--Clean Energy Fuels Corp. (NASDAQ: CLNE), the largest provider of the cleanest fuel for the transportation market, today celebrated a ribbon cutting ceremony with state and local officials, agriculture leaders, and company executives at its new renewable natural gas (RNG) station in Groveport, OH.</t>
  </si>
  <si>
    <t>Associated Press: Press Releases</t>
  </si>
  <si>
    <t>Press release content from Business Wire. The AP news staff was not involved in its creation. Clean Energy's new station in Groveport, OH will provide renewable natural gas, a fuel produced from organic waste, to Amazon trucks and other fleets. (Photo: Business Wire)Clean Energy's new station in Groveport, OH will provide renewable natural gas, a fuel produced from organic waste, to Amazon trucks and other fleets.</t>
  </si>
  <si>
    <t>GROVEPORT, Ohio--(BUSINESS WIRE)--Sep 28, 2022--  Clean Energy Fuels Corp. (NASDAQ: CLNE ), the largest provider of the cleanest fuel for the transportation market, today celebrated a ribbon cutting ceremony with state and local officials, agriculture leaders, and company executives at its new renewable natural gas (RNG) station in Groveport, OH.</t>
  </si>
  <si>
    <t>GROVEPORT, Ohio, September 28, 2022--( BUSINESS WIRE)--Clean Energy Fuels Corp. (NASDAQ: CLNE), the largest provider of the cleanest fuel for the transportation market, today celebrated a ribbon cutting ceremony with state and local officials, agriculture leaders, and company executives at its new renewable natural gas (RNG) station in Groveport, OH.</t>
  </si>
  <si>
    <t>Natural gas from local landfills and cow manure used at Ohio fuel station to power Amazon's fleet</t>
  </si>
  <si>
    <t>Ohio has become the first state to host a renewable natural gas fueling station that's designed to support Amazon's plan to deploy more heavy-duty trucks that...</t>
  </si>
  <si>
    <t>Aston Martin Valhalla Coming With 1,012 HP, BMW Ready To Produce Hydrogen X5, Tesla Fighting Louisiana Law: Cold Start</t>
  </si>
  <si>
    <t>Car Type, Sebastian Cenizo</t>
  </si>
  <si>
    <t>CarBuzz</t>
  </si>
  <si>
    <t>Home
 News
 Aston Martin Valhalla Coming With 1,012 HP, BMW Ready To Produce Hydrogen X5, Tesla Fighting Louisiana Law: Cold Start
 Sep. 05, 2022 6:53 AM ET
 Cold Start
Your morning roundup also takes a closer look at how Volkswagen will return to the top and the price of the new Mercedes EQS SUV. 
 Happy Labor Day, and welcome to Cold Start.</t>
  </si>
  <si>
    <t>Happy Labor Day, and welcome to Cold Start. Since Friday's roundup, we've seen a new teaser of the Maserati GranTurismo Folgore and learned the low price...</t>
  </si>
  <si>
    <t>Apex Clears Financing for 224 MW Iowa Wind Farm with Meta PPA</t>
  </si>
  <si>
    <t>Ariana Fine</t>
  </si>
  <si>
    <t>Apex Clean Energy has financed the 224 MW Great Pathfinder Wind project, following the execution of a tax equity commitment from Bank of America. In May, Apex closed on construction financing with Santander Corporate and Investment Banking, Sumitomo Mitsui Banking Corp., and Bank of America acting as coordinating lead arrangers and bookrunners. Santander is also serving as administrative agent.</t>
  </si>
  <si>
    <t>Shooting Sports Month &amp; Dominion Energy's $9.8B Coastal Virginia Offshore Wind Farm Approved on Apple Podcasts</t>
  </si>
  <si>
    <t>Gabriella Hoffman</t>
  </si>
  <si>
    <t>Apple Podcasts</t>
  </si>
  <si>
    <t>In Episode 291 of District of Conservation, Gabriella discusses how to participate in Shooting Sports Month and dives deep into some problems with the newly-approved Coastal Virginia Offshore Wind Project slated to operated by 2027.</t>
  </si>
  <si>
    <t>What's next for Virginia's proposed offshore wind farm? on Apple Podcasts</t>
  </si>
  <si>
    <t>IN THE NEWS:In the wake of Supreme Court decisions revoking civil rights, Governor Glenn Youngkin claimed that Virginia law protects same-sex marriage--in truth, the state constitution has an anti-gay amendment passed in 2006. Also in the news: Census data shows that Fairfax County is the largest-growing county in the state over the last 50 years, while Norfolk has experienced the most population decline.</t>
  </si>
  <si>
    <t>Meta Agrees To Buy Iowa Wind Farm's Entire Capacity To Power Nearby Data Center Campus</t>
  </si>
  <si>
    <t>Bisnow</t>
  </si>
  <si>
    <t>Meta will use the entire capacity of an Iowa wind farm to power its nearby data center campus, the latest example of the tech industry driving demand for renewable energy projects. Facebook's newly rebranded parent company has signed an agreement with Virginia-based Apex Clean Energy to purchase all 225 megawatts produced by Apex's renewable energy project in Iowa, Apex announced Monday.</t>
  </si>
  <si>
    <t>Facebook parent Meta to use all energy generated by Iowa wind farm to power Altoona data center</t>
  </si>
  <si>
    <t>Donnelle Eller</t>
  </si>
  <si>
    <t>Des Moines Register</t>
  </si>
  <si>
    <t>Facebook parent Meta will use the full output of a 225-megawatt wind farm project in central Iowa to help power its data center in Altoona, wind energy developer Apex Clean Energy said Monday. Apex said Meta will buy all the energy generated by the Great Pathfinder wind farm in Boone and Hamilton counties to help support the growing facility. Meta announced in December that it will be the company's largest in the world globally upon completion in 2025 of a final expansion.</t>
  </si>
  <si>
    <t>Facebook parent Meta will use the full output of a 225-megawatt wind farm project in central Iowa to help power its data center in Altoona, wind energy developer Apex Clean Energy said Monday. Apex said Meta will buy all the energy generated by the Great Pathfinder wind farm in Boone and Hamilton counties to help support the growing facility. Meta announced in December that it will be the company's largest in the world globally upon completion in 2025 of a final expansion.</t>
  </si>
  <si>
    <t>Name</t>
  </si>
  <si>
    <t>Title</t>
  </si>
  <si>
    <t>Email</t>
  </si>
  <si>
    <t>Twitter Screen Name</t>
  </si>
  <si>
    <t>Twitter URL</t>
  </si>
  <si>
    <t>Muck Rack URL</t>
  </si>
  <si>
    <t>Twitter Followers</t>
  </si>
  <si>
    <t>Location</t>
  </si>
  <si>
    <t>Description</t>
  </si>
  <si>
    <t>Beats</t>
  </si>
  <si>
    <t>Publications</t>
  </si>
  <si>
    <t>Status Text</t>
  </si>
  <si>
    <t>Status Time</t>
  </si>
  <si>
    <t>Status URL</t>
  </si>
  <si>
    <t>Link Shared</t>
  </si>
  <si>
    <t>Justin Guay</t>
  </si>
  <si>
    <t>Contributor and Global Climate Strategy Director, The Sunrise Project</t>
  </si>
  <si>
    <t>Guay_JG</t>
  </si>
  <si>
    <t>Covert</t>
  </si>
  <si>
    <t>Former @Sierraclub @PackardFdn @ClimateWorks now w/ Sunrise Project. www.linkedin.com/mwlite/in/justin-guay-86a1739 @Guayjg.bsky.social</t>
  </si>
  <si>
    <t>Environment,U.S.,Weather,World</t>
  </si>
  <si>
    <t>Freelance</t>
  </si>
  <si>
    <t>Are there no actual climate hawks advising Amazon? 🤦‍♂️ https://t.co/1xf1TrUcth</t>
  </si>
  <si>
    <t>Sandy Hendry</t>
  </si>
  <si>
    <t>Senior Asia Editor</t>
  </si>
  <si>
    <t>shendry@bloomberg.net</t>
  </si>
  <si>
    <t>SandyHendry</t>
  </si>
  <si>
    <t>London</t>
  </si>
  <si>
    <t>Senior editor for Functions for Market stories at Bloomberg FFM page, showing cross-market analysis tools. Any views are my own. Retweets are not endorsements.</t>
  </si>
  <si>
    <t>Business and Finance,China,World</t>
  </si>
  <si>
    <t>RT @business: Amazon aims to eliminate its carbon emissions by 2040. Tuesday’s announcement marks its first investment in technol… https://t.co/WE4w49fO1I</t>
  </si>
  <si>
    <t>Reporter</t>
  </si>
  <si>
    <t>mday63@bloomberg.net</t>
  </si>
  <si>
    <t>mattmday</t>
  </si>
  <si>
    <t>Seattle</t>
  </si>
  <si>
    <t>danger and dance. Reporting for @technology in Seattle, mostly covering Amazon. 
Previously: @seattletimes, @wsj @dowjones
mday63@bloomberg.net, DMs open.</t>
  </si>
  <si>
    <t>Business and Finance,Technology</t>
  </si>
  <si>
    <t>Amazon won't wipe out its carbon bill with electric vehicles alone. It's gonna need some offsets. After backing plenty of forestry initiatives, the company is turning to a carbon removal megaproject being built by a fossil fuel giant: https://t.co/Em480ocXzF</t>
  </si>
  <si>
    <t>John Lothian</t>
  </si>
  <si>
    <t>Publisher</t>
  </si>
  <si>
    <t>lothian.john@gmail.com</t>
  </si>
  <si>
    <t>JohnLothian</t>
  </si>
  <si>
    <t>Elmhurst, IL (USA)</t>
  </si>
  <si>
    <t>Executive Chairman and CEO of John J. Lothian &amp; Co. Publisher of @MarketsWiki and @JohnLothianNews. Subscribe: goo.gl/peb6GS</t>
  </si>
  <si>
    <t>Business and Finance</t>
  </si>
  <si>
    <t>John Lothian News</t>
  </si>
  <si>
    <t>Amazon Is Betting on Oil Giant Oxy’s Carbon Removal Project  https://t.co/rKGgREiL1h</t>
  </si>
  <si>
    <t>Rich Bellis</t>
  </si>
  <si>
    <t>Senior Business Editor</t>
  </si>
  <si>
    <t>mr_bellis</t>
  </si>
  <si>
    <t>New York, NY</t>
  </si>
  <si>
    <t>International pop sensation | undistinguished journalist (now: @NBCNews, then: @wsj @fastcompany)</t>
  </si>
  <si>
    <t>"Residents here know what it means to bring in big business; they're also intimately familiar with what happens when those businesses' promises begin to fade."
Great story by @braceyharris on @NBCNews today:
https://t.co/fSwBb1Lau4</t>
  </si>
  <si>
    <t>Denise Hendricks</t>
  </si>
  <si>
    <t>Executive Producer</t>
  </si>
  <si>
    <t>denise.hendricks@nbcuni.com</t>
  </si>
  <si>
    <t>denisehendricks</t>
  </si>
  <si>
    <t>Washington, DC</t>
  </si>
  <si>
    <t>Executive Producer, @MSNBC, Child of God, Mommy, Army Brat, FAMU Alum🐍, BA ΔΣΘ</t>
  </si>
  <si>
    <t>U.S.</t>
  </si>
  <si>
    <t>The Sunday Show</t>
  </si>
  <si>
    <t>Mississippi casino country places a new bet — on an Amazon-backed wind farm https://t.co/ioMM5q7duh via @nbcnews</t>
  </si>
  <si>
    <t>Jason Abbruzzese</t>
  </si>
  <si>
    <t>Senior Tech, Science and Climate Editor</t>
  </si>
  <si>
    <t>jason.abbruzzese@nbcuni.com</t>
  </si>
  <si>
    <t>JasonAbbruzzese</t>
  </si>
  <si>
    <t>NYC</t>
  </si>
  <si>
    <t>Senior tech, science and climate editor at NBC News Digital. Accepting all DMs, reading some too.</t>
  </si>
  <si>
    <t>Environment,Science,Technology</t>
  </si>
  <si>
    <t>Mississippi casino country places a new bet — on an Amazon-backed wind farm, from @BraceyHarris 
https://t.co/kZjjQa9PY5</t>
  </si>
  <si>
    <t>Tom Namako</t>
  </si>
  <si>
    <t>Senior Executive Editor and Vice President</t>
  </si>
  <si>
    <t>tom.namako@nbcuni.com</t>
  </si>
  <si>
    <t>TomNamako</t>
  </si>
  <si>
    <t>Brooklyn via Philly</t>
  </si>
  <si>
    <t>Senior Executive Editor and VP of @NBCNews Digital</t>
  </si>
  <si>
    <t>RT @JasonAbbruzzese: Mississippi casino country places a new bet — on an Amazon-backed wind farm, from @BraceyHarris 
https://t.co/kZjjQa9PY5</t>
  </si>
  <si>
    <t>Kara Haupt</t>
  </si>
  <si>
    <t>Senior Director of Art and Photography, Digital</t>
  </si>
  <si>
    <t>kara.haupt@nbcuni.com</t>
  </si>
  <si>
    <t>karahaupt</t>
  </si>
  <si>
    <t>Brooklyn, NY</t>
  </si>
  <si>
    <t>Soft and rude. Director of Art and Photography @nbcnews, @todayshow, and @msnbc digital. karahaupt.substack.com</t>
  </si>
  <si>
    <t>Susan Kroll</t>
  </si>
  <si>
    <t>Sr. Coordinating Producer</t>
  </si>
  <si>
    <t>susan.kroll@nbcuni.com</t>
  </si>
  <si>
    <t>suekroll</t>
  </si>
  <si>
    <t>ÜT: 40.762465,-73.959973</t>
  </si>
  <si>
    <t>Sr. Coordinating Producer @NBCNews. Cover breaking news and big stories near and far. Big Broadway fan.</t>
  </si>
  <si>
    <t>Politics,U.S.</t>
  </si>
  <si>
    <t>Mississippi casino country places a new bet — on an Amazon-backed wind farm ⁦@BracyHarris⁩  https://t.co/xvh8VLw5XE</t>
  </si>
  <si>
    <t>Bracey.Harris@nbcuni.com</t>
  </si>
  <si>
    <t>BraceyHarris</t>
  </si>
  <si>
    <t>bracey.harris@nbcuni.com</t>
  </si>
  <si>
    <t>covering the South for @NBCNews.</t>
  </si>
  <si>
    <t>U.S. Regional</t>
  </si>
  <si>
    <t>@SanfordLJohnson I wrote about this! https://t.co/kPHiXfn3YH</t>
  </si>
  <si>
    <t>Senior Associate Editor</t>
  </si>
  <si>
    <t>dproctor@accessintel.com</t>
  </si>
  <si>
    <t>DarrellProctor1</t>
  </si>
  <si>
    <t>Denver</t>
  </si>
  <si>
    <t>Long-time sportswriter who now writes about energy. Mountain biker and high-elevation hiker.</t>
  </si>
  <si>
    <t>Energy,Metro Denver,U.S.</t>
  </si>
  <si>
    <t>RT @POWERmagazine: A first for #Mississippi - state will have its first utility-scale #windpower farm thanks to @amazon and… https://t.co/HES5MpzizP</t>
  </si>
  <si>
    <t>Bob Keefe</t>
  </si>
  <si>
    <t>Executive Director</t>
  </si>
  <si>
    <t>bkeefe@e2.org</t>
  </si>
  <si>
    <t>bkeefee2</t>
  </si>
  <si>
    <t>United States</t>
  </si>
  <si>
    <t>Executive director of @e2org. Author Climatenomics. Trying to do good for the economy AND the environment after 20+ years in journalism. Tweets are all mine.</t>
  </si>
  <si>
    <t>Arts and Entertainment,Environment,U.S.</t>
  </si>
  <si>
    <t>E2 (Environmental Entrepreneurs)</t>
  </si>
  <si>
    <t>RT @SimonMahan: Congrats to Mississippi and @amazon on the newest wind farm in the South! https://t.co/OLedlsIN7g</t>
  </si>
  <si>
    <t>Hilton Holloway</t>
  </si>
  <si>
    <t>Associate Editor, Founder and Editor</t>
  </si>
  <si>
    <t>hiltonholloway</t>
  </si>
  <si>
    <t>Midhurst, England</t>
  </si>
  <si>
    <t>Automotive writer since 1993. Won a few awards and built a few houses.</t>
  </si>
  <si>
    <t>Transportation,United Kingdom</t>
  </si>
  <si>
    <t>5054 Magazine,Autocar</t>
  </si>
  <si>
    <t>RT @H2Bjorn: "CEO Håkon Volldal said the company will make electrolyzers in the  Detroit area to supply up to 4 gigawatts’ worth… https://t.co/GSEFiOjnil</t>
  </si>
  <si>
    <t>jmcdermott@ap.org</t>
  </si>
  <si>
    <t>JenMcDermottAP</t>
  </si>
  <si>
    <t>Providence, R.I.</t>
  </si>
  <si>
    <t>Green energy reporter for the @AP, based in Rhode Island. Former defense reporter @thedayct. Reach me at jmcdermott@ap.org.</t>
  </si>
  <si>
    <t>Energy,U.S. Regional</t>
  </si>
  <si>
    <t>The green hydrogen company @nelhydrogen tells @AP_Climate it's going to build a massive new plant in Michigan. The Norwegian company is working with @GM to drive down the cost of hydrogen. The plant will be one of the largest such factories in the world. https://t.co/WQCsvGQisZ</t>
  </si>
  <si>
    <t>.@nelhydrogen picked the longtime home of the American automotive industry for its new gigafactory to be near @GM. Michigan also offered financial incentives, university partnerships + strong support from @GovWhitmer, who says it's a phenomenal opportunity https://t.co/WQCsvGQisZ</t>
  </si>
  <si>
    <t>.@SecGranholm says it's exciting that @nelhydrogen is planning a plant in Michigan. DOE has invested in the technology and set a goal to reduce the cost of clean hydrogen to $1 per kilogram in a decade. https://t.co/WQCsvGQisZ</t>
  </si>
  <si>
    <t>.@nelhydrogen CEO Håkon Volldal: “Hydrogen is not just hope anymore. It’s reality. And I think we, as an industry, are being seen as part of the solution, not just some kind of funky laboratory technology.” https://t.co/WQCsvGQisZ</t>
  </si>
  <si>
    <t>Tammy Webber</t>
  </si>
  <si>
    <t>twebber@ap.org</t>
  </si>
  <si>
    <t>twebber02</t>
  </si>
  <si>
    <t>Chicago</t>
  </si>
  <si>
    <t>Associated Press reporter. Formerly @indystar, @flintjournal. Share tips: ap.org/tips/</t>
  </si>
  <si>
    <t>Environment,Metro Chicago</t>
  </si>
  <si>
    <t>RT @AP_Climate: The green hydrogen company @nelhydrogen tells @AP that it's going to build a massive new plant in Michigan. The Nor… https://t.co/UjmxNL4bHm</t>
  </si>
  <si>
    <t>Joanna Sampson-Damerell</t>
  </si>
  <si>
    <t>Communications Manager</t>
  </si>
  <si>
    <t>joanna.damerell@hydrogencouncil.com</t>
  </si>
  <si>
    <t>JoSamps92</t>
  </si>
  <si>
    <t>Cornwall</t>
  </si>
  <si>
    <t>Communications Manager @HydrogenCouncil | Passionate about leveraging the power of communication to drive transformative change in the energy sector.</t>
  </si>
  <si>
    <t>Energy,Environment,Science,United Kingdom</t>
  </si>
  <si>
    <t>hydrogencouncil.com</t>
  </si>
  <si>
    <t>“#Hydrogen is not just hope anymore. It’s reality,” @nelhydrogen CEO Håkon Volldal said. “And I  think we, as an industry, are being seen as part of the solution, not  just some kind of funky laboratory technology.” 
Via @AP https://t.co/1Unl8scu4B</t>
  </si>
  <si>
    <t>David Knowles</t>
  </si>
  <si>
    <t>Editorial Senior Manager</t>
  </si>
  <si>
    <t>david.knowles@yahoonews.com</t>
  </si>
  <si>
    <t>writerknowles</t>
  </si>
  <si>
    <t>northern california</t>
  </si>
  <si>
    <t>Editorial Senior Manager at @YahooNews. Formerly @BPolitics, @NYDailyNews, @Daily, etc. Tweets are mine, unless they are re-tweets.</t>
  </si>
  <si>
    <t>Business and Finance,Politics,U.S. Regional,United Kingdom</t>
  </si>
  <si>
    <t>RT @SecGranholm: Investing in America means bringing back jobs.
Thrilled to hear this exciting news about the growth of our clean h… https://t.co/nLbpNkKOVv</t>
  </si>
  <si>
    <t>Andy Chow</t>
  </si>
  <si>
    <t>Statehouse Correspondent</t>
  </si>
  <si>
    <t>achow@statehousenews.org</t>
  </si>
  <si>
    <t>andy_chow</t>
  </si>
  <si>
    <t>Columbus, OH</t>
  </si>
  <si>
    <t>Press Secretary, Ohio Department of Natural Resources. Retweets &amp; #'s are not endorsements.</t>
  </si>
  <si>
    <t>Politics,U.S. Regional</t>
  </si>
  <si>
    <t>Natural gas from local landfills and cow manure used at Ohio fuel station to power Amazon’s fleet https://t.co/bGjK8zIrdp</t>
  </si>
  <si>
    <t>Karen Kasler</t>
  </si>
  <si>
    <t>Statehouse Bureau Chief</t>
  </si>
  <si>
    <t>kkasler@ideastream.org</t>
  </si>
  <si>
    <t>karenkasler</t>
  </si>
  <si>
    <t>Ohio Statehouse, Columbus</t>
  </si>
  <si>
    <t>Journalist, Ohio Statehouse Bureau Chief, @ideastream/@WKSU/@WVIZ @WOSU @917wvxu @WOUB WCBE @WYSO. ❤️ my kid, cats, CLE⚾, CBJ🏒, OSU🏈 kkasler@ideastream.org</t>
  </si>
  <si>
    <t>RT @andy_chow: Natural gas from local landfills and cow manure used at Ohio fuel station to power Amazon’s fleet https://t.co/bGjK8zIrdp</t>
  </si>
  <si>
    <t>Columnist, Freelance Journalist, Podcast Host</t>
  </si>
  <si>
    <t>Gabby_Hoffman</t>
  </si>
  <si>
    <t xml:space="preserve">Commonwealth of Virginia </t>
  </si>
  <si>
    <t>@IWF Center for Energy &amp; Conservation Director. @cfact Conservation Nation Host. 🖊@townhallcom.🎙️ @dconservpodcast Award-Winning Writer. Tweets=My Views.</t>
  </si>
  <si>
    <t>Townhall,District of Conservation Podcast,Freelance</t>
  </si>
  <si>
    <t>New @DConservPodcast out! I discuss: 
- National Shooting Sports Month @NSSF &amp; VAGov's great proclamation praising firearms industry ($1.3B impact) &amp; P-R funding ($19M in 2021)
-All you need to know about Coastal VA OWF and some red flags https://t.co/mKiHcRcnR8 via @CFACT</t>
  </si>
  <si>
    <t>RT @DConservPodcast: ICYMI: Learn how to participate in National Shooting Sports Month. And for our Virginia listeners - tune in to find… https://t.co/qb585vJu8p</t>
  </si>
  <si>
    <t>Michael Pope</t>
  </si>
  <si>
    <t>Co- Host, Host, Reporter, Virginia Public Radio</t>
  </si>
  <si>
    <t>michaelleepope@gmail.com</t>
  </si>
  <si>
    <t>MichaelLeePope</t>
  </si>
  <si>
    <t>Alexandria, Virginia</t>
  </si>
  <si>
    <t>author of the #ByrdMachine, reporter for Virginia Public Radio, co-host of @pod_virginia</t>
  </si>
  <si>
    <t>WVTF-FM (Roanoke, VA),Transition Virginia,Pod Virginia</t>
  </si>
  <si>
    <t>Next month, regulators are expected to make a key determination about the future of wind power in the Virginia. @USEnergyHarry joins @pod_virginia #podcast to help us understand how offshore wind #OSW might revolutionize #CleanEnergy on the East Coast https://t.co/ClFttR7IVv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</si>
</sst>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hh:mm:ss"/>
  </numFmts>
  <fonts count="3" x14ac:knownFonts="1">
    <font>
      <sz val="11"/>
      <color theme="1"/>
      <name val="Calibri"/>
      <family val="2"/>
      <scheme val="minor"/>
    </font>
    <font>
      <b/>
      <sz val="10"/>
      <name val="Arial"/>
      <family val="2"/>
    </font>
    <font>
      <sz val="10"/>
      <name val="Arial"/>
      <family val="2"/>
    </font>
  </fonts>
  <fills count="2">
    <fill>
      <patternFill patternType="none"/>
    </fill>
    <fill>
      <patternFill patternType="gray125"/>
    </fill>
  </fills>
  <borders count="2">
    <border>
      <left/>
      <right/>
      <top/>
      <bottom/>
      <diagonal/>
    </border>
    <border>
      <left/>
      <right/>
      <top/>
      <bottom/>
      <diagonal/>
    </border>
  </borders>
  <cellStyleXfs count="5">
    <xf numFmtId="0" fontId="0" fillId="0" borderId="0"/>
    <xf numFmtId="0" fontId="1" fillId="0" borderId="1"/>
    <xf numFmtId="0" fontId="2" fillId="0" borderId="1">
      <alignment vertical="top" wrapText="1"/>
    </xf>
    <xf numFmtId="164" fontId="2" fillId="0" borderId="1">
      <alignment vertical="top" wrapText="1"/>
    </xf>
    <xf numFmtId="165" fontId="2" fillId="0" borderId="1">
      <alignment vertical="top" wrapText="1"/>
    </xf>
  </cellStyleXfs>
  <cellXfs count="8">
    <xf numFmtId="0" fontId="0" fillId="0" borderId="0" xfId="0"/>
    <xf numFmtId="0" fontId="1" fillId="0" borderId="1" xfId="1"/>
    <xf numFmtId="0" fontId="2" fillId="0" borderId="1" xfId="2">
      <alignment vertical="top" wrapText="1"/>
    </xf>
    <xf numFmtId="164" fontId="2" fillId="0" borderId="1" xfId="3">
      <alignment vertical="top" wrapText="1"/>
    </xf>
    <xf numFmtId="165" fontId="2" fillId="0" borderId="1" xfId="4">
      <alignment vertical="top" wrapText="1"/>
    </xf>
    <xf numFmtId="0" fontId="1" fillId="0" borderId="1" xfId="1" applyAlignment="1"/>
    <xf numFmtId="0" fontId="2" fillId="0" borderId="1" xfId="2" applyAlignment="1">
      <alignment vertical="top"/>
    </xf>
    <xf numFmtId="165" fontId="2" fillId="0" borderId="1" xfId="4" applyAlignment="1">
      <alignment vertical="top"/>
    </xf>
  </cellXfs>
  <cellStyles count="5">
    <cellStyle name="mr_date" xfId="3" xr:uid="{00000000-0005-0000-0000-000003000000}"/>
    <cellStyle name="mr_datetime" xfId="4" xr:uid="{00000000-0005-0000-0000-000004000000}"/>
    <cellStyle name="mr_header" xfId="1" xr:uid="{00000000-0005-0000-0000-000001000000}"/>
    <cellStyle name="mr_normal" xfId="2" xr:uid="{00000000-0005-0000-0000-000002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heetViews>
  <sheetFormatPr defaultColWidth="8.88671875" defaultRowHeight="14.4" x14ac:dyDescent="0.3"/>
  <cols>
    <col min="1" max="1" width="34" customWidth="1"/>
    <col min="2" max="2" width="32" customWidth="1"/>
  </cols>
  <sheetData>
    <row r="1" spans="1:2" x14ac:dyDescent="0.3">
      <c r="A1" s="1" t="s">
        <v>0</v>
      </c>
      <c r="B1" s="2" t="s">
        <v>1</v>
      </c>
    </row>
    <row r="2" spans="1:2" ht="26.4" x14ac:dyDescent="0.3">
      <c r="A2" s="1" t="s">
        <v>2</v>
      </c>
      <c r="B2" s="2" t="str">
        <f>HYPERLINK("https://rmi.muckrack.com/coverage-reports/yCOY/edit/")</f>
        <v>https://rmi.muckrack.com/coverage-reports/yCOY/edit/</v>
      </c>
    </row>
    <row r="3" spans="1:2" x14ac:dyDescent="0.3">
      <c r="A3" s="1" t="s">
        <v>3</v>
      </c>
      <c r="B3" s="3">
        <v>45300</v>
      </c>
    </row>
    <row r="4" spans="1:2" x14ac:dyDescent="0.3">
      <c r="A4" s="1" t="s">
        <v>4</v>
      </c>
      <c r="B4" s="2" t="s">
        <v>5</v>
      </c>
    </row>
    <row r="6" spans="1:2" x14ac:dyDescent="0.3">
      <c r="A6" s="1" t="s">
        <v>6</v>
      </c>
      <c r="B6" s="2">
        <v>344</v>
      </c>
    </row>
    <row r="7" spans="1:2" x14ac:dyDescent="0.3">
      <c r="A7" s="1" t="s">
        <v>7</v>
      </c>
      <c r="B7" s="2">
        <v>20572</v>
      </c>
    </row>
    <row r="8" spans="1:2" x14ac:dyDescent="0.3">
      <c r="A8" s="1" t="s">
        <v>8</v>
      </c>
      <c r="B8" s="2">
        <v>59</v>
      </c>
    </row>
    <row r="9" spans="1:2" x14ac:dyDescent="0.3">
      <c r="A9" s="1" t="s">
        <v>9</v>
      </c>
      <c r="B9" s="2">
        <v>1287362863</v>
      </c>
    </row>
    <row r="10" spans="1:2" x14ac:dyDescent="0.3">
      <c r="A10" s="1" t="s">
        <v>10</v>
      </c>
      <c r="B10" s="2">
        <v>23</v>
      </c>
    </row>
    <row r="11" spans="1:2" x14ac:dyDescent="0.3">
      <c r="A11" s="1" t="s">
        <v>11</v>
      </c>
      <c r="B11" s="2">
        <v>215858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45"/>
  <sheetViews>
    <sheetView topLeftCell="D26" workbookViewId="0">
      <selection activeCell="A28" sqref="A1:L345"/>
    </sheetView>
  </sheetViews>
  <sheetFormatPr defaultColWidth="8.88671875" defaultRowHeight="14.4" x14ac:dyDescent="0.3"/>
  <cols>
    <col min="1" max="1" width="48" customWidth="1"/>
    <col min="2" max="2" width="32" customWidth="1"/>
    <col min="3" max="4" width="24" customWidth="1"/>
    <col min="5" max="5" width="19" customWidth="1"/>
    <col min="6" max="6" width="48" customWidth="1"/>
    <col min="7" max="7" width="28" customWidth="1"/>
    <col min="8" max="8" width="17" customWidth="1"/>
    <col min="9" max="10" width="16" customWidth="1"/>
    <col min="11" max="11" width="13" customWidth="1"/>
    <col min="12" max="12" width="24" customWidth="1"/>
  </cols>
  <sheetData>
    <row r="1" spans="1:12" x14ac:dyDescent="0.3">
      <c r="A1" s="1" t="s">
        <v>12</v>
      </c>
      <c r="B1" s="1" t="s">
        <v>2</v>
      </c>
      <c r="C1" s="1" t="s">
        <v>13</v>
      </c>
      <c r="D1" s="1" t="s">
        <v>14</v>
      </c>
      <c r="E1" s="1" t="s">
        <v>15</v>
      </c>
      <c r="F1" s="1" t="s">
        <v>16</v>
      </c>
      <c r="G1" s="1" t="s">
        <v>17</v>
      </c>
      <c r="H1" s="1" t="s">
        <v>18</v>
      </c>
      <c r="I1" s="1" t="s">
        <v>19</v>
      </c>
      <c r="J1" s="1" t="s">
        <v>7</v>
      </c>
      <c r="K1" s="1" t="s">
        <v>20</v>
      </c>
      <c r="L1" s="1" t="s">
        <v>21</v>
      </c>
    </row>
    <row r="2" spans="1:12" ht="118.8" x14ac:dyDescent="0.3">
      <c r="A2" s="2" t="s">
        <v>22</v>
      </c>
      <c r="B2" s="2" t="str">
        <f>HYPERLINK("https://beststocks.com/teslas-giga-water-loop-revolutionizing-sustai/")</f>
        <v>https://beststocks.com/teslas-giga-water-loop-revolutionizing-sustai/</v>
      </c>
      <c r="C2" s="2" t="s">
        <v>23</v>
      </c>
      <c r="D2" s="2" t="s">
        <v>24</v>
      </c>
      <c r="E2" s="4">
        <v>45205.512152777781</v>
      </c>
      <c r="F2" s="2" t="s">
        <v>25</v>
      </c>
      <c r="G2" s="2">
        <v>177702</v>
      </c>
      <c r="H2" s="2">
        <v>0</v>
      </c>
      <c r="I2" s="2">
        <v>0</v>
      </c>
      <c r="J2" s="2">
        <v>0</v>
      </c>
      <c r="K2" s="2" t="s">
        <v>26</v>
      </c>
      <c r="L2" s="2"/>
    </row>
    <row r="3" spans="1:12" ht="66" x14ac:dyDescent="0.3">
      <c r="A3" s="2" t="s">
        <v>27</v>
      </c>
      <c r="B3" s="2" t="str">
        <f>HYPERLINK("https://www.bloomberg.com/news/articles/2023-09-12/amazon-invests-in-oxy-s-west-texas-carbon-removal-plant-in-net-zero-bid")</f>
        <v>https://www.bloomberg.com/news/articles/2023-09-12/amazon-invests-in-oxy-s-west-texas-carbon-removal-plant-in-net-zero-bid</v>
      </c>
      <c r="C3" s="2" t="s">
        <v>28</v>
      </c>
      <c r="D3" s="2" t="s">
        <v>29</v>
      </c>
      <c r="E3" s="4">
        <v>45181.250104166669</v>
      </c>
      <c r="F3" s="2" t="s">
        <v>30</v>
      </c>
      <c r="G3" s="2">
        <v>23974096</v>
      </c>
      <c r="H3" s="2">
        <v>4</v>
      </c>
      <c r="I3" s="2">
        <v>33965</v>
      </c>
      <c r="J3" s="2">
        <v>89</v>
      </c>
      <c r="K3" s="2" t="s">
        <v>26</v>
      </c>
      <c r="L3" s="2"/>
    </row>
    <row r="4" spans="1:12" ht="105.6" x14ac:dyDescent="0.3">
      <c r="A4" s="2" t="s">
        <v>31</v>
      </c>
      <c r="B4" s="2" t="str">
        <f>HYPERLINK("https://energycentral.com/news/google-signs-ppa-189-megawatt-north-carolina-wind-farm")</f>
        <v>https://energycentral.com/news/google-signs-ppa-189-megawatt-north-carolina-wind-farm</v>
      </c>
      <c r="C4" s="2"/>
      <c r="D4" s="2" t="s">
        <v>32</v>
      </c>
      <c r="E4" s="4">
        <v>45176.458611111113</v>
      </c>
      <c r="F4" s="2" t="s">
        <v>33</v>
      </c>
      <c r="G4" s="2">
        <v>42842</v>
      </c>
      <c r="H4" s="2">
        <v>0</v>
      </c>
      <c r="I4" s="2">
        <v>0</v>
      </c>
      <c r="J4" s="2">
        <v>0</v>
      </c>
      <c r="K4" s="2" t="s">
        <v>26</v>
      </c>
      <c r="L4" s="2"/>
    </row>
    <row r="5" spans="1:12" ht="66" x14ac:dyDescent="0.3">
      <c r="A5" s="2" t="s">
        <v>31</v>
      </c>
      <c r="B5" s="2" t="str">
        <f>HYPERLINK("https://www.publicpower.org/periodical/article/google-signs-ppa-189-megawatt-north-carolina-wind-farm")</f>
        <v>https://www.publicpower.org/periodical/article/google-signs-ppa-189-megawatt-north-carolina-wind-farm</v>
      </c>
      <c r="C5" s="2"/>
      <c r="D5" s="2" t="s">
        <v>34</v>
      </c>
      <c r="E5" s="4">
        <v>45176.333333333343</v>
      </c>
      <c r="F5" s="2" t="s">
        <v>35</v>
      </c>
      <c r="G5" s="2">
        <v>18629</v>
      </c>
      <c r="H5" s="2">
        <v>0</v>
      </c>
      <c r="I5" s="2">
        <v>0</v>
      </c>
      <c r="J5" s="2">
        <v>0</v>
      </c>
      <c r="K5" s="2" t="s">
        <v>36</v>
      </c>
      <c r="L5" s="2"/>
    </row>
    <row r="6" spans="1:12" ht="132" x14ac:dyDescent="0.3">
      <c r="A6" s="2" t="s">
        <v>37</v>
      </c>
      <c r="B6" s="2" t="str">
        <f>HYPERLINK("https://www.manchestertimes.com/news/business/apex-and-google-partner-to-advance-north-carolina-s-second-wind-farm/article_e72e5c2e-2ef5-5c8c-ba61-d8acb43229e9.html")</f>
        <v>https://www.manchestertimes.com/news/business/apex-and-google-partner-to-advance-north-carolina-s-second-wind-farm/article_e72e5c2e-2ef5-5c8c-ba61-d8acb43229e9.html</v>
      </c>
      <c r="C6" s="2"/>
      <c r="D6" s="2" t="s">
        <v>38</v>
      </c>
      <c r="E6" s="4">
        <v>45170.103877314818</v>
      </c>
      <c r="F6" s="2" t="s">
        <v>39</v>
      </c>
      <c r="G6" s="2">
        <v>26794</v>
      </c>
      <c r="H6" s="2">
        <v>0</v>
      </c>
      <c r="I6" s="2">
        <v>0</v>
      </c>
      <c r="J6" s="2">
        <v>0</v>
      </c>
      <c r="K6" s="2" t="s">
        <v>26</v>
      </c>
      <c r="L6" s="2"/>
    </row>
    <row r="7" spans="1:12" ht="105.6" x14ac:dyDescent="0.3">
      <c r="A7" s="2" t="s">
        <v>37</v>
      </c>
      <c r="B7" s="2" t="str">
        <f>HYPERLINK("https://www.heraldchronicle.com/news/business/apex-and-google-partner-to-advance-north-carolina-s-second-wind-farm/article_23941431-8e07-5d5b-97d1-cdaa03a58805.html")</f>
        <v>https://www.heraldchronicle.com/news/business/apex-and-google-partner-to-advance-north-carolina-s-second-wind-farm/article_23941431-8e07-5d5b-97d1-cdaa03a58805.html</v>
      </c>
      <c r="C7" s="2"/>
      <c r="D7" s="2" t="s">
        <v>40</v>
      </c>
      <c r="E7" s="4">
        <v>45170.051863425928</v>
      </c>
      <c r="F7" s="2" t="s">
        <v>41</v>
      </c>
      <c r="G7" s="2">
        <v>25655</v>
      </c>
      <c r="H7" s="2">
        <v>0</v>
      </c>
      <c r="I7" s="2">
        <v>0</v>
      </c>
      <c r="J7" s="2">
        <v>0</v>
      </c>
      <c r="K7" s="2" t="s">
        <v>26</v>
      </c>
      <c r="L7" s="2"/>
    </row>
    <row r="8" spans="1:12" ht="118.8" x14ac:dyDescent="0.3">
      <c r="A8" s="2" t="s">
        <v>42</v>
      </c>
      <c r="B8" s="2" t="str">
        <f>HYPERLINK("https://rmi.muckrack.com/link/ySPqkA/how-a-new-wind-farm-in-north-carolina-will-help-power-google")</f>
        <v>https://rmi.muckrack.com/link/ySPqkA/how-a-new-wind-farm-in-north-carolina-will-help-power-google</v>
      </c>
      <c r="C8" s="2"/>
      <c r="D8" s="2" t="s">
        <v>43</v>
      </c>
      <c r="E8" s="4">
        <v>45169.333333333343</v>
      </c>
      <c r="F8" s="2" t="s">
        <v>44</v>
      </c>
      <c r="G8" s="2"/>
      <c r="H8" s="2">
        <v>0</v>
      </c>
      <c r="I8" s="2">
        <v>0</v>
      </c>
      <c r="J8" s="2">
        <v>0</v>
      </c>
      <c r="K8" s="2" t="s">
        <v>26</v>
      </c>
      <c r="L8" s="2"/>
    </row>
    <row r="9" spans="1:12" ht="118.8" x14ac:dyDescent="0.3">
      <c r="A9" s="2" t="s">
        <v>42</v>
      </c>
      <c r="B9" s="2" t="str">
        <f>HYPERLINK("https://www.bizjournals.com/charlotte/news/2023/08/31/north-carolina-wind-farm-google-apex-clean-energy.html")</f>
        <v>https://www.bizjournals.com/charlotte/news/2023/08/31/north-carolina-wind-farm-google-apex-clean-energy.html</v>
      </c>
      <c r="C9" s="2"/>
      <c r="D9" s="2" t="s">
        <v>43</v>
      </c>
      <c r="E9" s="4">
        <v>45169.277777777781</v>
      </c>
      <c r="F9" s="2" t="s">
        <v>44</v>
      </c>
      <c r="G9" s="2">
        <v>5704262</v>
      </c>
      <c r="H9" s="2">
        <v>0</v>
      </c>
      <c r="I9" s="2">
        <v>0</v>
      </c>
      <c r="J9" s="2">
        <v>24</v>
      </c>
      <c r="K9" s="2" t="s">
        <v>26</v>
      </c>
      <c r="L9" s="2"/>
    </row>
    <row r="10" spans="1:12" ht="39.6" x14ac:dyDescent="0.3">
      <c r="A10" s="2" t="s">
        <v>42</v>
      </c>
      <c r="B10" s="2" t="str">
        <f>HYPERLINK("https://article.wn.com/view/2023/08/31/How_a_new_wind_farm_in_North_Carolina_will_help_power_Google/")</f>
        <v>https://article.wn.com/view/2023/08/31/How_a_new_wind_farm_in_North_Carolina_will_help_power_Google/</v>
      </c>
      <c r="C10" s="2"/>
      <c r="D10" s="2" t="s">
        <v>45</v>
      </c>
      <c r="E10" s="4">
        <v>45169</v>
      </c>
      <c r="F10" s="2"/>
      <c r="G10" s="2">
        <v>345494</v>
      </c>
      <c r="H10" s="2">
        <v>0</v>
      </c>
      <c r="I10" s="2">
        <v>0</v>
      </c>
      <c r="J10" s="2">
        <v>0</v>
      </c>
      <c r="K10" s="2"/>
      <c r="L10" s="2"/>
    </row>
    <row r="11" spans="1:12" ht="105.6" x14ac:dyDescent="0.3">
      <c r="A11" s="2" t="s">
        <v>46</v>
      </c>
      <c r="B11" s="2" t="str">
        <f>HYPERLINK("https://www.msn.com/en-us/money/companies/google-to-procure-power-from-apex-s-north-carolina-wind-farm/ar-AA1fZ1JD")</f>
        <v>https://www.msn.com/en-us/money/companies/google-to-procure-power-from-apex-s-north-carolina-wind-farm/ar-AA1fZ1JD</v>
      </c>
      <c r="C11" s="2"/>
      <c r="D11" s="2" t="s">
        <v>47</v>
      </c>
      <c r="E11" s="4">
        <v>45168.479629629634</v>
      </c>
      <c r="F11" s="2" t="s">
        <v>48</v>
      </c>
      <c r="G11" s="2">
        <v>135281915</v>
      </c>
      <c r="H11" s="2">
        <v>0</v>
      </c>
      <c r="I11" s="2">
        <v>0</v>
      </c>
      <c r="J11" s="2">
        <v>0</v>
      </c>
      <c r="K11" s="2" t="s">
        <v>26</v>
      </c>
      <c r="L11" s="2"/>
    </row>
    <row r="12" spans="1:12" ht="132" x14ac:dyDescent="0.3">
      <c r="A12" s="2" t="s">
        <v>49</v>
      </c>
      <c r="B12" s="2" t="str">
        <f>HYPERLINK("https://energycentral.com/news/apex-and-google-partner-sign-ppa-north-carolina%E2%80%99s-second-wind-farm")</f>
        <v>https://energycentral.com/news/apex-and-google-partner-sign-ppa-north-carolina%E2%80%99s-second-wind-farm</v>
      </c>
      <c r="C12" s="2"/>
      <c r="D12" s="2" t="s">
        <v>32</v>
      </c>
      <c r="E12" s="4">
        <v>45168.408761574072</v>
      </c>
      <c r="F12" s="2" t="s">
        <v>50</v>
      </c>
      <c r="G12" s="2">
        <v>42842</v>
      </c>
      <c r="H12" s="2">
        <v>0</v>
      </c>
      <c r="I12" s="2">
        <v>0</v>
      </c>
      <c r="J12" s="2">
        <v>0</v>
      </c>
      <c r="K12" s="2" t="s">
        <v>26</v>
      </c>
      <c r="L12" s="2"/>
    </row>
    <row r="13" spans="1:12" ht="39.6" x14ac:dyDescent="0.3">
      <c r="A13" s="2" t="s">
        <v>46</v>
      </c>
      <c r="B13" s="2" t="str">
        <f>HYPERLINK("https://article.wn.com/view/2023/08/30/Google_to_procure_power_from_Apex_s_North_Carolina_wind_farm/")</f>
        <v>https://article.wn.com/view/2023/08/30/Google_to_procure_power_from_Apex_s_North_Carolina_wind_farm/</v>
      </c>
      <c r="C13" s="2"/>
      <c r="D13" s="2" t="s">
        <v>45</v>
      </c>
      <c r="E13" s="4">
        <v>45168</v>
      </c>
      <c r="F13" s="2"/>
      <c r="G13" s="2">
        <v>345494</v>
      </c>
      <c r="H13" s="2">
        <v>0</v>
      </c>
      <c r="I13" s="2">
        <v>0</v>
      </c>
      <c r="J13" s="2">
        <v>0</v>
      </c>
      <c r="K13" s="2"/>
      <c r="L13" s="2"/>
    </row>
    <row r="14" spans="1:12" ht="171.6" x14ac:dyDescent="0.3">
      <c r="A14" s="2" t="s">
        <v>51</v>
      </c>
      <c r="B14" s="2" t="str">
        <f>HYPERLINK("https://ieefa.org/articles/google-buy-full-output-189-megawatt-north-carolina-wind-farm")</f>
        <v>https://ieefa.org/articles/google-buy-full-output-189-megawatt-north-carolina-wind-farm</v>
      </c>
      <c r="C14" s="2"/>
      <c r="D14" s="2" t="s">
        <v>52</v>
      </c>
      <c r="E14" s="4">
        <v>45168</v>
      </c>
      <c r="F14" s="2" t="s">
        <v>53</v>
      </c>
      <c r="G14" s="2">
        <v>66093</v>
      </c>
      <c r="H14" s="2">
        <v>0</v>
      </c>
      <c r="I14" s="2">
        <v>0</v>
      </c>
      <c r="J14" s="2">
        <v>0</v>
      </c>
      <c r="K14" s="2" t="s">
        <v>26</v>
      </c>
      <c r="L14" s="2"/>
    </row>
    <row r="15" spans="1:12" ht="132" x14ac:dyDescent="0.3">
      <c r="A15" s="2" t="s">
        <v>54</v>
      </c>
      <c r="B15" s="2" t="str">
        <f>HYPERLINK("https://www.renewableenergyworld.com/wind-power/onshore/google-apex-clean-energy-enter-ppa-for-189-mw-north-carolina-wind-farm/")</f>
        <v>https://www.renewableenergyworld.com/wind-power/onshore/google-apex-clean-energy-enter-ppa-for-189-mw-north-carolina-wind-farm/</v>
      </c>
      <c r="C15" s="2" t="s">
        <v>55</v>
      </c>
      <c r="D15" s="2" t="s">
        <v>56</v>
      </c>
      <c r="E15" s="4">
        <v>45167.565833333327</v>
      </c>
      <c r="F15" s="2" t="s">
        <v>57</v>
      </c>
      <c r="G15" s="2">
        <v>45506</v>
      </c>
      <c r="H15" s="2">
        <v>0</v>
      </c>
      <c r="I15" s="2">
        <v>0</v>
      </c>
      <c r="J15" s="2">
        <v>35</v>
      </c>
      <c r="K15" s="2" t="s">
        <v>26</v>
      </c>
      <c r="L15" s="2"/>
    </row>
    <row r="16" spans="1:12" ht="66" x14ac:dyDescent="0.3">
      <c r="A16" s="2" t="s">
        <v>58</v>
      </c>
      <c r="B16" s="2" t="str">
        <f>HYPERLINK("https://www.wvnews.com/business/apex-and-google-partner-to-advance-north-carolina-s-second-wind-farm/article_d726b1c1-9dd9-5a11-8a16-0b9709b90b1c.html")</f>
        <v>https://www.wvnews.com/business/apex-and-google-partner-to-advance-north-carolina-s-second-wind-farm/article_d726b1c1-9dd9-5a11-8a16-0b9709b90b1c.html</v>
      </c>
      <c r="C16" s="2"/>
      <c r="D16" s="2" t="s">
        <v>59</v>
      </c>
      <c r="E16" s="4">
        <v>45167.493645833332</v>
      </c>
      <c r="F16" s="2" t="s">
        <v>60</v>
      </c>
      <c r="G16" s="2">
        <v>408502</v>
      </c>
      <c r="H16" s="2">
        <v>0</v>
      </c>
      <c r="I16" s="2">
        <v>0</v>
      </c>
      <c r="J16" s="2">
        <v>0</v>
      </c>
      <c r="K16" s="2" t="s">
        <v>26</v>
      </c>
      <c r="L16" s="2"/>
    </row>
    <row r="17" spans="1:12" ht="118.8" x14ac:dyDescent="0.3">
      <c r="A17" s="2" t="s">
        <v>58</v>
      </c>
      <c r="B17" s="2" t="str">
        <f>HYPERLINK("https://www.morningstar.com/news/business-wire/20230829662157/apex-and-google-partner-to-advance-north-carolinas-second-wind-farm")</f>
        <v>https://www.morningstar.com/news/business-wire/20230829662157/apex-and-google-partner-to-advance-north-carolinas-second-wind-farm</v>
      </c>
      <c r="C17" s="2"/>
      <c r="D17" s="2" t="s">
        <v>61</v>
      </c>
      <c r="E17" s="4">
        <v>45167.484016203707</v>
      </c>
      <c r="F17" s="2" t="s">
        <v>62</v>
      </c>
      <c r="G17" s="2">
        <v>3388405</v>
      </c>
      <c r="H17" s="2">
        <v>0</v>
      </c>
      <c r="I17" s="2">
        <v>0</v>
      </c>
      <c r="J17" s="2">
        <v>0</v>
      </c>
      <c r="K17" s="2" t="s">
        <v>26</v>
      </c>
      <c r="L17" s="2"/>
    </row>
    <row r="18" spans="1:12" ht="132" x14ac:dyDescent="0.3">
      <c r="A18" s="2" t="s">
        <v>63</v>
      </c>
      <c r="B18" s="2" t="str">
        <f>HYPERLINK("https://nawindpower.com/apex-and-google-ink-ppa-for-189-mw-north-carolina-wind-farm")</f>
        <v>https://nawindpower.com/apex-and-google-ink-ppa-for-189-mw-north-carolina-wind-farm</v>
      </c>
      <c r="C18" s="2" t="s">
        <v>64</v>
      </c>
      <c r="D18" s="2" t="s">
        <v>65</v>
      </c>
      <c r="E18" s="4">
        <v>45167.418310185189</v>
      </c>
      <c r="F18" s="2" t="s">
        <v>66</v>
      </c>
      <c r="G18" s="2">
        <v>2039</v>
      </c>
      <c r="H18" s="2">
        <v>0</v>
      </c>
      <c r="I18" s="2">
        <v>0</v>
      </c>
      <c r="J18" s="2">
        <v>0</v>
      </c>
      <c r="K18" s="2" t="s">
        <v>26</v>
      </c>
      <c r="L18" s="2"/>
    </row>
    <row r="19" spans="1:12" ht="105.6" x14ac:dyDescent="0.3">
      <c r="A19" s="2" t="s">
        <v>58</v>
      </c>
      <c r="B19" s="2" t="str">
        <f>HYPERLINK("https://energycentral.com/news/apex-and-google-partner-advance-north-carolinas-second-wind-farm")</f>
        <v>https://energycentral.com/news/apex-and-google-partner-advance-north-carolinas-second-wind-farm</v>
      </c>
      <c r="C19" s="2"/>
      <c r="D19" s="2" t="s">
        <v>32</v>
      </c>
      <c r="E19" s="4">
        <v>45167.414641203701</v>
      </c>
      <c r="F19" s="2" t="s">
        <v>67</v>
      </c>
      <c r="G19" s="2">
        <v>42842</v>
      </c>
      <c r="H19" s="2">
        <v>0</v>
      </c>
      <c r="I19" s="2">
        <v>0</v>
      </c>
      <c r="J19" s="2">
        <v>0</v>
      </c>
      <c r="K19" s="2" t="s">
        <v>26</v>
      </c>
      <c r="L19" s="2"/>
    </row>
    <row r="20" spans="1:12" ht="105.6" x14ac:dyDescent="0.3">
      <c r="A20" s="2" t="s">
        <v>68</v>
      </c>
      <c r="B20" s="2" t="str">
        <f>HYPERLINK("https://irei.com/news/apex-google-partner-to-advance-north-carolinas-second-wind-farm/")</f>
        <v>https://irei.com/news/apex-google-partner-to-advance-north-carolinas-second-wind-farm/</v>
      </c>
      <c r="C20" s="2"/>
      <c r="D20" s="2" t="s">
        <v>69</v>
      </c>
      <c r="E20" s="4">
        <v>45167.386469907397</v>
      </c>
      <c r="F20" s="2" t="s">
        <v>70</v>
      </c>
      <c r="G20" s="2">
        <v>53203</v>
      </c>
      <c r="H20" s="2">
        <v>0</v>
      </c>
      <c r="I20" s="2">
        <v>0</v>
      </c>
      <c r="J20" s="2">
        <v>0</v>
      </c>
      <c r="K20" s="2" t="s">
        <v>26</v>
      </c>
      <c r="L20" s="2"/>
    </row>
    <row r="21" spans="1:12" ht="118.8" x14ac:dyDescent="0.3">
      <c r="A21" s="2" t="s">
        <v>37</v>
      </c>
      <c r="B21" s="2" t="str">
        <f>HYPERLINK("https://energycentral.com/news/apex-and-google-partner-advance-north-carolina%E2%80%99s-second-wind-farm")</f>
        <v>https://energycentral.com/news/apex-and-google-partner-advance-north-carolina%E2%80%99s-second-wind-farm</v>
      </c>
      <c r="C21" s="2"/>
      <c r="D21" s="2" t="s">
        <v>32</v>
      </c>
      <c r="E21" s="4">
        <v>45167.382187499999</v>
      </c>
      <c r="F21" s="2" t="s">
        <v>71</v>
      </c>
      <c r="G21" s="2">
        <v>42842</v>
      </c>
      <c r="H21" s="2">
        <v>0</v>
      </c>
      <c r="I21" s="2">
        <v>0</v>
      </c>
      <c r="J21" s="2">
        <v>0</v>
      </c>
      <c r="K21" s="2" t="s">
        <v>26</v>
      </c>
      <c r="L21" s="2"/>
    </row>
    <row r="22" spans="1:12" ht="132" x14ac:dyDescent="0.3">
      <c r="A22" s="2" t="s">
        <v>37</v>
      </c>
      <c r="B22" s="2" t="str">
        <f>HYPERLINK("https://www.bakersfield.com/ap/news/apex-and-google-partner-to-advance-north-carolina-s-second-wind-farm/article_c5465ed7-7d7f-50a7-a506-25f27c543b3c.html")</f>
        <v>https://www.bakersfield.com/ap/news/apex-and-google-partner-to-advance-north-carolina-s-second-wind-farm/article_c5465ed7-7d7f-50a7-a506-25f27c543b3c.html</v>
      </c>
      <c r="C22" s="2"/>
      <c r="D22" s="2" t="s">
        <v>72</v>
      </c>
      <c r="E22" s="4">
        <v>45167.375625000001</v>
      </c>
      <c r="F22" s="2" t="s">
        <v>39</v>
      </c>
      <c r="G22" s="2">
        <v>272003</v>
      </c>
      <c r="H22" s="2">
        <v>0</v>
      </c>
      <c r="I22" s="2">
        <v>0</v>
      </c>
      <c r="J22" s="2">
        <v>0</v>
      </c>
      <c r="K22" s="2" t="s">
        <v>26</v>
      </c>
      <c r="L22" s="2"/>
    </row>
    <row r="23" spans="1:12" ht="132" x14ac:dyDescent="0.3">
      <c r="A23" s="2" t="s">
        <v>37</v>
      </c>
      <c r="B23" s="2" t="str">
        <f>HYPERLINK("https://www.valdostadailytimes.com/ap/business/apex-and-google-partner-to-advance-north-carolina-s-second-wind-farm/article_50044b3f-7626-57a7-85e4-cb2ee5c7a8c3.html")</f>
        <v>https://www.valdostadailytimes.com/ap/business/apex-and-google-partner-to-advance-north-carolina-s-second-wind-farm/article_50044b3f-7626-57a7-85e4-cb2ee5c7a8c3.html</v>
      </c>
      <c r="C23" s="2"/>
      <c r="D23" s="2" t="s">
        <v>73</v>
      </c>
      <c r="E23" s="4">
        <v>45167.373993055553</v>
      </c>
      <c r="F23" s="2" t="s">
        <v>39</v>
      </c>
      <c r="G23" s="2">
        <v>69935</v>
      </c>
      <c r="H23" s="2">
        <v>0</v>
      </c>
      <c r="I23" s="2">
        <v>0</v>
      </c>
      <c r="J23" s="2">
        <v>0</v>
      </c>
      <c r="K23" s="2" t="s">
        <v>26</v>
      </c>
      <c r="L23" s="2"/>
    </row>
    <row r="24" spans="1:12" ht="105.6" x14ac:dyDescent="0.3">
      <c r="A24" s="2" t="s">
        <v>37</v>
      </c>
      <c r="B24" s="2" t="str">
        <f>HYPERLINK("https://www.nacleanenergy.com/alternative-energies/apex-and-google-partner-to-advance-north-carolina-s-second-wind-farm")</f>
        <v>https://www.nacleanenergy.com/alternative-energies/apex-and-google-partner-to-advance-north-carolina-s-second-wind-farm</v>
      </c>
      <c r="C24" s="2"/>
      <c r="D24" s="2" t="s">
        <v>74</v>
      </c>
      <c r="E24" s="4">
        <v>45167.372118055559</v>
      </c>
      <c r="F24" s="2" t="s">
        <v>75</v>
      </c>
      <c r="G24" s="2">
        <v>3625</v>
      </c>
      <c r="H24" s="2">
        <v>0</v>
      </c>
      <c r="I24" s="2">
        <v>0</v>
      </c>
      <c r="J24" s="2">
        <v>0</v>
      </c>
      <c r="K24" s="2" t="s">
        <v>26</v>
      </c>
      <c r="L24" s="2"/>
    </row>
    <row r="25" spans="1:12" ht="118.8" x14ac:dyDescent="0.3">
      <c r="A25" s="2" t="s">
        <v>37</v>
      </c>
      <c r="B25" s="2" t="str">
        <f>HYPERLINK("https://www.businesswire.com/news/home/20230829662157/en/Apex-and-Google-Partner-to-Advance-North-Carolina%E2%80%99s-Second-Wind-Farm")</f>
        <v>https://www.businesswire.com/news/home/20230829662157/en/Apex-and-Google-Partner-to-Advance-North-Carolina%E2%80%99s-Second-Wind-Farm</v>
      </c>
      <c r="C25" s="2"/>
      <c r="D25" s="2" t="s">
        <v>76</v>
      </c>
      <c r="E25" s="4">
        <v>45167.361666666657</v>
      </c>
      <c r="F25" s="2" t="s">
        <v>77</v>
      </c>
      <c r="G25" s="2">
        <v>2120875</v>
      </c>
      <c r="H25" s="2">
        <v>0</v>
      </c>
      <c r="I25" s="2">
        <v>0</v>
      </c>
      <c r="J25" s="2">
        <v>0</v>
      </c>
      <c r="K25" s="2" t="s">
        <v>26</v>
      </c>
      <c r="L25" s="2"/>
    </row>
    <row r="26" spans="1:12" ht="132" x14ac:dyDescent="0.3">
      <c r="A26" s="2" t="s">
        <v>37</v>
      </c>
      <c r="B26" s="2" t="str">
        <f>HYPERLINK("http://business.punxsutawneyspirit.com/punxsutawneyspirit/article/bizwire-2023-8-29-apex-and-google-partner-to-advance-north-carolinas-second-wind-farm")</f>
        <v>http://business.punxsutawneyspirit.com/punxsutawneyspirit/article/bizwire-2023-8-29-apex-and-google-partner-to-advance-north-carolinas-second-wind-farm</v>
      </c>
      <c r="C26" s="2"/>
      <c r="D26" s="2" t="s">
        <v>78</v>
      </c>
      <c r="E26" s="4">
        <v>45167.354166666657</v>
      </c>
      <c r="F26" s="2" t="s">
        <v>79</v>
      </c>
      <c r="G26" s="2">
        <v>5386</v>
      </c>
      <c r="H26" s="2">
        <v>0</v>
      </c>
      <c r="I26" s="2">
        <v>0</v>
      </c>
      <c r="J26" s="2">
        <v>0</v>
      </c>
      <c r="K26" s="2" t="s">
        <v>26</v>
      </c>
      <c r="L26" s="2"/>
    </row>
    <row r="27" spans="1:12" ht="118.8" x14ac:dyDescent="0.3">
      <c r="A27" s="2" t="s">
        <v>58</v>
      </c>
      <c r="B27" s="2" t="str">
        <f>HYPERLINK("https://finance.yahoo.com/news/apex-google-partner-advance-north-123000121.html")</f>
        <v>https://finance.yahoo.com/news/apex-google-partner-advance-north-123000121.html</v>
      </c>
      <c r="C27" s="2"/>
      <c r="D27" s="2" t="s">
        <v>80</v>
      </c>
      <c r="E27" s="4">
        <v>45167.354166666657</v>
      </c>
      <c r="F27" s="2" t="s">
        <v>81</v>
      </c>
      <c r="G27" s="2">
        <v>46919838</v>
      </c>
      <c r="H27" s="2">
        <v>0</v>
      </c>
      <c r="I27" s="2">
        <v>0</v>
      </c>
      <c r="J27" s="2">
        <v>0</v>
      </c>
      <c r="K27" s="2" t="s">
        <v>26</v>
      </c>
      <c r="L27" s="2"/>
    </row>
    <row r="28" spans="1:12" ht="132" x14ac:dyDescent="0.3">
      <c r="A28" s="2" t="s">
        <v>37</v>
      </c>
      <c r="B28" s="2" t="str">
        <f>HYPERLINK("http://business.thepilotnews.com/thepilotnews/article/bizwire-2023-8-29-apex-and-google-partner-to-advance-north-carolinas-second-wind-farm")</f>
        <v>http://business.thepilotnews.com/thepilotnews/article/bizwire-2023-8-29-apex-and-google-partner-to-advance-north-carolinas-second-wind-farm</v>
      </c>
      <c r="C28" s="2"/>
      <c r="D28" s="2" t="s">
        <v>82</v>
      </c>
      <c r="E28" s="4">
        <v>45167.354166666657</v>
      </c>
      <c r="F28" s="2" t="s">
        <v>79</v>
      </c>
      <c r="G28" s="2">
        <v>1851</v>
      </c>
      <c r="H28" s="2">
        <v>0</v>
      </c>
      <c r="I28" s="2">
        <v>0</v>
      </c>
      <c r="J28" s="2">
        <v>0</v>
      </c>
      <c r="K28" s="2" t="s">
        <v>26</v>
      </c>
      <c r="L28" s="2"/>
    </row>
    <row r="29" spans="1:12" ht="145.19999999999999" x14ac:dyDescent="0.3">
      <c r="A29" s="2" t="s">
        <v>37</v>
      </c>
      <c r="B29" s="2" t="str">
        <f>HYPERLINK("https://www.streetinsider.com/Business+Wire/Apex+and+Google+Partner+to+Advance+North+Carolina%E2%80%99s+Second+Wind+Farm/22100974.html")</f>
        <v>https://www.streetinsider.com/Business+Wire/Apex+and+Google+Partner+to+Advance+North+Carolina%E2%80%99s+Second+Wind+Farm/22100974.html</v>
      </c>
      <c r="C29" s="2"/>
      <c r="D29" s="2" t="s">
        <v>83</v>
      </c>
      <c r="E29" s="4">
        <v>45167.354166666657</v>
      </c>
      <c r="F29" s="2" t="s">
        <v>84</v>
      </c>
      <c r="G29" s="2">
        <v>2013611</v>
      </c>
      <c r="H29" s="2">
        <v>0</v>
      </c>
      <c r="I29" s="2">
        <v>0</v>
      </c>
      <c r="J29" s="2">
        <v>0</v>
      </c>
      <c r="K29" s="2" t="s">
        <v>26</v>
      </c>
      <c r="L29" s="2"/>
    </row>
    <row r="30" spans="1:12" ht="132" x14ac:dyDescent="0.3">
      <c r="A30" s="2" t="s">
        <v>37</v>
      </c>
      <c r="B30" s="2" t="str">
        <f>HYPERLINK("http://quotes.fatpitchfinancials.com/fatpitch.financials/article/bizwire-2023-8-29-apex-and-google-partner-to-advance-north-carolinas-second-wind-farm")</f>
        <v>http://quotes.fatpitchfinancials.com/fatpitch.financials/article/bizwire-2023-8-29-apex-and-google-partner-to-advance-north-carolinas-second-wind-farm</v>
      </c>
      <c r="C30" s="2"/>
      <c r="D30" s="2" t="s">
        <v>85</v>
      </c>
      <c r="E30" s="4">
        <v>45167.354166666657</v>
      </c>
      <c r="F30" s="2" t="s">
        <v>79</v>
      </c>
      <c r="G30" s="2">
        <v>277</v>
      </c>
      <c r="H30" s="2">
        <v>0</v>
      </c>
      <c r="I30" s="2">
        <v>0</v>
      </c>
      <c r="J30" s="2">
        <v>0</v>
      </c>
      <c r="K30" s="2" t="s">
        <v>26</v>
      </c>
      <c r="L30" s="2"/>
    </row>
    <row r="31" spans="1:12" ht="132" x14ac:dyDescent="0.3">
      <c r="A31" s="2" t="s">
        <v>37</v>
      </c>
      <c r="B31" s="2" t="str">
        <f>HYPERLINK("http://finance.minyanville.com/minyanville/article/bizwire-2023-8-29-apex-and-google-partner-to-advance-north-carolinas-second-wind-farm")</f>
        <v>http://finance.minyanville.com/minyanville/article/bizwire-2023-8-29-apex-and-google-partner-to-advance-north-carolinas-second-wind-farm</v>
      </c>
      <c r="C31" s="2"/>
      <c r="D31" s="2" t="s">
        <v>86</v>
      </c>
      <c r="E31" s="4">
        <v>45167.354166666657</v>
      </c>
      <c r="F31" s="2" t="s">
        <v>79</v>
      </c>
      <c r="G31" s="2">
        <v>2319</v>
      </c>
      <c r="H31" s="2">
        <v>0</v>
      </c>
      <c r="I31" s="2">
        <v>0</v>
      </c>
      <c r="J31" s="2">
        <v>0</v>
      </c>
      <c r="K31" s="2" t="s">
        <v>26</v>
      </c>
      <c r="L31" s="2"/>
    </row>
    <row r="32" spans="1:12" ht="132" x14ac:dyDescent="0.3">
      <c r="A32" s="2" t="s">
        <v>37</v>
      </c>
      <c r="B32" s="2" t="str">
        <f>HYPERLINK("http://money.mymotherlode.com/clarkebroadcasting.mymotherlode/article/bizwire-2023-8-29-apex-and-google-partner-to-advance-north-carolinas-second-wind-farm")</f>
        <v>http://money.mymotherlode.com/clarkebroadcasting.mymotherlode/article/bizwire-2023-8-29-apex-and-google-partner-to-advance-north-carolinas-second-wind-farm</v>
      </c>
      <c r="C32" s="2"/>
      <c r="D32" s="2" t="s">
        <v>87</v>
      </c>
      <c r="E32" s="4">
        <v>45167.354166666657</v>
      </c>
      <c r="F32" s="2" t="s">
        <v>79</v>
      </c>
      <c r="G32" s="2">
        <v>157698</v>
      </c>
      <c r="H32" s="2">
        <v>0</v>
      </c>
      <c r="I32" s="2">
        <v>0</v>
      </c>
      <c r="J32" s="2">
        <v>0</v>
      </c>
      <c r="K32" s="2" t="s">
        <v>26</v>
      </c>
      <c r="L32" s="2"/>
    </row>
    <row r="33" spans="1:12" ht="132" x14ac:dyDescent="0.3">
      <c r="A33" s="2" t="s">
        <v>37</v>
      </c>
      <c r="B33" s="2" t="str">
        <f>HYPERLINK("http://business.decaturdailydemocrat.com/decaturdailydemocrat/article/bizwire-2023-8-29-apex-and-google-partner-to-advance-north-carolinas-second-wind-farm")</f>
        <v>http://business.decaturdailydemocrat.com/decaturdailydemocrat/article/bizwire-2023-8-29-apex-and-google-partner-to-advance-north-carolinas-second-wind-farm</v>
      </c>
      <c r="C33" s="2"/>
      <c r="D33" s="2" t="s">
        <v>88</v>
      </c>
      <c r="E33" s="4">
        <v>45167.354166666657</v>
      </c>
      <c r="F33" s="2" t="s">
        <v>79</v>
      </c>
      <c r="G33" s="2">
        <v>4336</v>
      </c>
      <c r="H33" s="2">
        <v>0</v>
      </c>
      <c r="I33" s="2">
        <v>0</v>
      </c>
      <c r="J33" s="2">
        <v>0</v>
      </c>
      <c r="K33" s="2" t="s">
        <v>26</v>
      </c>
      <c r="L33" s="2"/>
    </row>
    <row r="34" spans="1:12" ht="132" x14ac:dyDescent="0.3">
      <c r="A34" s="2" t="s">
        <v>89</v>
      </c>
      <c r="B34" s="2" t="str">
        <f>HYPERLINK("https://www.benzinga.com/pressreleases/23/08/b34087183/apex-and-google-partner-to-advance-north-carolinas-second-wind-farm")</f>
        <v>https://www.benzinga.com/pressreleases/23/08/b34087183/apex-and-google-partner-to-advance-north-carolinas-second-wind-farm</v>
      </c>
      <c r="C34" s="2"/>
      <c r="D34" s="2" t="s">
        <v>90</v>
      </c>
      <c r="E34" s="4">
        <v>45167.354166666657</v>
      </c>
      <c r="F34" s="2" t="s">
        <v>91</v>
      </c>
      <c r="G34" s="2">
        <v>3864771</v>
      </c>
      <c r="H34" s="2">
        <v>0</v>
      </c>
      <c r="I34" s="2">
        <v>0</v>
      </c>
      <c r="J34" s="2">
        <v>0</v>
      </c>
      <c r="K34" s="2" t="s">
        <v>26</v>
      </c>
      <c r="L34" s="2"/>
    </row>
    <row r="35" spans="1:12" ht="132" x14ac:dyDescent="0.3">
      <c r="A35" s="2" t="s">
        <v>37</v>
      </c>
      <c r="B35" s="2" t="str">
        <f>HYPERLINK("http://business.inyoregister.com/inyoregister/article/bizwire-2023-8-29-apex-and-google-partner-to-advance-north-carolinas-second-wind-farm")</f>
        <v>http://business.inyoregister.com/inyoregister/article/bizwire-2023-8-29-apex-and-google-partner-to-advance-north-carolinas-second-wind-farm</v>
      </c>
      <c r="C35" s="2"/>
      <c r="D35" s="2" t="s">
        <v>92</v>
      </c>
      <c r="E35" s="4">
        <v>45167.354166666657</v>
      </c>
      <c r="F35" s="2" t="s">
        <v>79</v>
      </c>
      <c r="G35" s="2">
        <v>1927</v>
      </c>
      <c r="H35" s="2">
        <v>0</v>
      </c>
      <c r="I35" s="2">
        <v>0</v>
      </c>
      <c r="J35" s="2">
        <v>0</v>
      </c>
      <c r="K35" s="2" t="s">
        <v>26</v>
      </c>
      <c r="L35" s="2"/>
    </row>
    <row r="36" spans="1:12" ht="132" x14ac:dyDescent="0.3">
      <c r="A36" s="2" t="s">
        <v>37</v>
      </c>
      <c r="B36" s="2" t="str">
        <f>HYPERLINK("http://business.smdailypress.com/smdailypress/article/bizwire-2023-8-29-apex-and-google-partner-to-advance-north-carolinas-second-wind-farm")</f>
        <v>http://business.smdailypress.com/smdailypress/article/bizwire-2023-8-29-apex-and-google-partner-to-advance-north-carolinas-second-wind-farm</v>
      </c>
      <c r="C36" s="2"/>
      <c r="D36" s="2" t="s">
        <v>93</v>
      </c>
      <c r="E36" s="4">
        <v>45167.354166666657</v>
      </c>
      <c r="F36" s="2" t="s">
        <v>79</v>
      </c>
      <c r="G36" s="2">
        <v>5198</v>
      </c>
      <c r="H36" s="2">
        <v>0</v>
      </c>
      <c r="I36" s="2">
        <v>0</v>
      </c>
      <c r="J36" s="2">
        <v>0</v>
      </c>
      <c r="K36" s="2" t="s">
        <v>26</v>
      </c>
      <c r="L36" s="2"/>
    </row>
    <row r="37" spans="1:12" ht="132" x14ac:dyDescent="0.3">
      <c r="A37" s="2" t="s">
        <v>37</v>
      </c>
      <c r="B37" s="2" t="str">
        <f>HYPERLINK("http://business.malvern-online.com/malvern-online/article/bizwire-2023-8-29-apex-and-google-partner-to-advance-north-carolinas-second-wind-farm")</f>
        <v>http://business.malvern-online.com/malvern-online/article/bizwire-2023-8-29-apex-and-google-partner-to-advance-north-carolinas-second-wind-farm</v>
      </c>
      <c r="C37" s="2"/>
      <c r="D37" s="2" t="s">
        <v>94</v>
      </c>
      <c r="E37" s="4">
        <v>45167.354166666657</v>
      </c>
      <c r="F37" s="2" t="s">
        <v>79</v>
      </c>
      <c r="G37" s="2">
        <v>11926</v>
      </c>
      <c r="H37" s="2">
        <v>0</v>
      </c>
      <c r="I37" s="2">
        <v>0</v>
      </c>
      <c r="J37" s="2">
        <v>0</v>
      </c>
      <c r="K37" s="2" t="s">
        <v>26</v>
      </c>
      <c r="L37" s="2"/>
    </row>
    <row r="38" spans="1:12" ht="132" x14ac:dyDescent="0.3">
      <c r="A38" s="2" t="s">
        <v>37</v>
      </c>
      <c r="B38" s="2" t="str">
        <f>HYPERLINK("http://business.minstercommunitypost.com/minstercommunitypost/article/bizwire-2023-8-29-apex-and-google-partner-to-advance-north-carolinas-second-wind-farm")</f>
        <v>http://business.minstercommunitypost.com/minstercommunitypost/article/bizwire-2023-8-29-apex-and-google-partner-to-advance-north-carolinas-second-wind-farm</v>
      </c>
      <c r="C38" s="2"/>
      <c r="D38" s="2" t="s">
        <v>95</v>
      </c>
      <c r="E38" s="4">
        <v>45167.354166666657</v>
      </c>
      <c r="F38" s="2" t="s">
        <v>79</v>
      </c>
      <c r="G38" s="2">
        <v>246</v>
      </c>
      <c r="H38" s="2">
        <v>0</v>
      </c>
      <c r="I38" s="2">
        <v>0</v>
      </c>
      <c r="J38" s="2">
        <v>0</v>
      </c>
      <c r="K38" s="2" t="s">
        <v>26</v>
      </c>
      <c r="L38" s="2"/>
    </row>
    <row r="39" spans="1:12" ht="132" x14ac:dyDescent="0.3">
      <c r="A39" s="2" t="s">
        <v>37</v>
      </c>
      <c r="B39" s="2" t="str">
        <f>HYPERLINK("http://business.sweetwaterreporter.com/sweetwaterreporter/article/bizwire-2023-8-29-apex-and-google-partner-to-advance-north-carolinas-second-wind-farm")</f>
        <v>http://business.sweetwaterreporter.com/sweetwaterreporter/article/bizwire-2023-8-29-apex-and-google-partner-to-advance-north-carolinas-second-wind-farm</v>
      </c>
      <c r="C39" s="2"/>
      <c r="D39" s="2" t="s">
        <v>96</v>
      </c>
      <c r="E39" s="4">
        <v>45167.354166666657</v>
      </c>
      <c r="F39" s="2" t="s">
        <v>79</v>
      </c>
      <c r="G39" s="2">
        <v>110</v>
      </c>
      <c r="H39" s="2">
        <v>0</v>
      </c>
      <c r="I39" s="2">
        <v>0</v>
      </c>
      <c r="J39" s="2">
        <v>0</v>
      </c>
      <c r="K39" s="2" t="s">
        <v>26</v>
      </c>
      <c r="L39" s="2"/>
    </row>
    <row r="40" spans="1:12" ht="132" x14ac:dyDescent="0.3">
      <c r="A40" s="2" t="s">
        <v>37</v>
      </c>
      <c r="B40" s="2" t="str">
        <f>HYPERLINK("https://lasvegassun.com/news/2023/aug/29/apex-and-google-partner-to-advance-north-carolinas/")</f>
        <v>https://lasvegassun.com/news/2023/aug/29/apex-and-google-partner-to-advance-north-carolinas/</v>
      </c>
      <c r="C40" s="2"/>
      <c r="D40" s="2" t="s">
        <v>97</v>
      </c>
      <c r="E40" s="4">
        <v>45167.229166666657</v>
      </c>
      <c r="F40" s="2" t="s">
        <v>98</v>
      </c>
      <c r="G40" s="2">
        <v>476800</v>
      </c>
      <c r="H40" s="2">
        <v>0</v>
      </c>
      <c r="I40" s="2">
        <v>0</v>
      </c>
      <c r="J40" s="2">
        <v>0</v>
      </c>
      <c r="K40" s="2" t="s">
        <v>26</v>
      </c>
      <c r="L40" s="2"/>
    </row>
    <row r="41" spans="1:12" ht="132" x14ac:dyDescent="0.3">
      <c r="A41" s="2" t="s">
        <v>37</v>
      </c>
      <c r="B41" s="2" t="str">
        <f>HYPERLINK("https://www.galvnews.com/news_ap/business/apex-and-google-partner-to-advance-north-carolina-s-second-wind-farm/article_8bfa2bf9-bdfd-5f7a-8f04-db587bb35d1d.html?block_id=531919")</f>
        <v>https://www.galvnews.com/news_ap/business/apex-and-google-partner-to-advance-north-carolina-s-second-wind-farm/article_8bfa2bf9-bdfd-5f7a-8f04-db587bb35d1d.html?block_id=531919</v>
      </c>
      <c r="C41" s="2"/>
      <c r="D41" s="2" t="s">
        <v>99</v>
      </c>
      <c r="E41" s="4">
        <v>45167</v>
      </c>
      <c r="F41" s="2" t="s">
        <v>39</v>
      </c>
      <c r="G41" s="2">
        <v>213448</v>
      </c>
      <c r="H41" s="2">
        <v>0</v>
      </c>
      <c r="I41" s="2">
        <v>0</v>
      </c>
      <c r="J41" s="2">
        <v>0</v>
      </c>
      <c r="K41" s="2" t="s">
        <v>26</v>
      </c>
      <c r="L41" s="2"/>
    </row>
    <row r="42" spans="1:12" ht="105.6" x14ac:dyDescent="0.3">
      <c r="A42" s="2" t="s">
        <v>58</v>
      </c>
      <c r="B42" s="2" t="str">
        <f>HYPERLINK("https://technews.tmcnet.com/news/2023/08/29/9871496.htm")</f>
        <v>https://technews.tmcnet.com/news/2023/08/29/9871496.htm</v>
      </c>
      <c r="C42" s="2"/>
      <c r="D42" s="2" t="s">
        <v>100</v>
      </c>
      <c r="E42" s="4">
        <v>45167</v>
      </c>
      <c r="F42" s="2" t="s">
        <v>101</v>
      </c>
      <c r="G42" s="2">
        <v>31333</v>
      </c>
      <c r="H42" s="2">
        <v>0</v>
      </c>
      <c r="I42" s="2">
        <v>0</v>
      </c>
      <c r="J42" s="2">
        <v>0</v>
      </c>
      <c r="K42" s="2" t="s">
        <v>26</v>
      </c>
      <c r="L42" s="2"/>
    </row>
    <row r="43" spans="1:12" ht="92.4" x14ac:dyDescent="0.3">
      <c r="A43" s="2" t="s">
        <v>102</v>
      </c>
      <c r="B43" s="2" t="str">
        <f>HYPERLINK("https://www.energytech.com/renewables/article/21272615/google-enters-power-purchase-agreement-with-north-carolina-wind-farm")</f>
        <v>https://www.energytech.com/renewables/article/21272615/google-enters-power-purchase-agreement-with-north-carolina-wind-farm</v>
      </c>
      <c r="C43" s="2" t="s">
        <v>103</v>
      </c>
      <c r="D43" s="2" t="s">
        <v>104</v>
      </c>
      <c r="E43" s="4">
        <v>45167</v>
      </c>
      <c r="F43" s="2" t="s">
        <v>105</v>
      </c>
      <c r="G43" s="2">
        <v>6095</v>
      </c>
      <c r="H43" s="2">
        <v>0</v>
      </c>
      <c r="I43" s="2">
        <v>0</v>
      </c>
      <c r="J43" s="2">
        <v>0</v>
      </c>
      <c r="K43" s="2" t="s">
        <v>26</v>
      </c>
      <c r="L43" s="2"/>
    </row>
    <row r="44" spans="1:12" ht="66" x14ac:dyDescent="0.3">
      <c r="A44" s="2" t="s">
        <v>37</v>
      </c>
      <c r="B44" s="2" t="str">
        <f>HYPERLINK("http://business.theantlersamerican.com/theantlersamerican/article/bizwire-2023-8-29-apex-and-google-partner-to-advance-north-carolinas-second-wind-farm")</f>
        <v>http://business.theantlersamerican.com/theantlersamerican/article/bizwire-2023-8-29-apex-and-google-partner-to-advance-north-carolinas-second-wind-farm</v>
      </c>
      <c r="C44" s="2"/>
      <c r="D44" s="2" t="s">
        <v>106</v>
      </c>
      <c r="E44" s="4">
        <v>45167</v>
      </c>
      <c r="F44" s="2" t="s">
        <v>107</v>
      </c>
      <c r="G44" s="2">
        <v>15998</v>
      </c>
      <c r="H44" s="2">
        <v>0</v>
      </c>
      <c r="I44" s="2">
        <v>0</v>
      </c>
      <c r="J44" s="2">
        <v>0</v>
      </c>
      <c r="K44" s="2" t="s">
        <v>36</v>
      </c>
      <c r="L44" s="2"/>
    </row>
    <row r="45" spans="1:12" ht="118.8" x14ac:dyDescent="0.3">
      <c r="A45" s="2" t="s">
        <v>58</v>
      </c>
      <c r="B45" s="2" t="str">
        <f>HYPERLINK("https://www.tmcnet.com/usubmit/-apex-google-partner-advance-north-carolinas-second-wind-/2023/08/29/9871496.htm")</f>
        <v>https://www.tmcnet.com/usubmit/-apex-google-partner-advance-north-carolinas-second-wind-/2023/08/29/9871496.htm</v>
      </c>
      <c r="C45" s="2"/>
      <c r="D45" s="2" t="s">
        <v>100</v>
      </c>
      <c r="E45" s="4">
        <v>45167</v>
      </c>
      <c r="F45" s="2" t="s">
        <v>108</v>
      </c>
      <c r="G45" s="2">
        <v>31333</v>
      </c>
      <c r="H45" s="2">
        <v>0</v>
      </c>
      <c r="I45" s="2">
        <v>0</v>
      </c>
      <c r="J45" s="2">
        <v>0</v>
      </c>
      <c r="K45" s="2" t="s">
        <v>26</v>
      </c>
      <c r="L45" s="2"/>
    </row>
    <row r="46" spans="1:12" ht="105.6" x14ac:dyDescent="0.3">
      <c r="A46" s="2" t="s">
        <v>37</v>
      </c>
      <c r="B46" s="2" t="str">
        <f>HYPERLINK("https://www.tullahomanews.com/news/business/apex-and-google-partner-to-advance-north-carolina-s-second-wind-farm/article_16d0bb76-0177-56ff-829f-cd4220413512.html")</f>
        <v>https://www.tullahomanews.com/news/business/apex-and-google-partner-to-advance-north-carolina-s-second-wind-farm/article_16d0bb76-0177-56ff-829f-cd4220413512.html</v>
      </c>
      <c r="C46" s="2"/>
      <c r="D46" s="2" t="s">
        <v>109</v>
      </c>
      <c r="E46" s="4">
        <v>45167</v>
      </c>
      <c r="F46" s="2" t="s">
        <v>41</v>
      </c>
      <c r="G46" s="2">
        <v>34016</v>
      </c>
      <c r="H46" s="2">
        <v>0</v>
      </c>
      <c r="I46" s="2">
        <v>0</v>
      </c>
      <c r="J46" s="2">
        <v>0</v>
      </c>
      <c r="K46" s="2" t="s">
        <v>26</v>
      </c>
      <c r="L46" s="2"/>
    </row>
    <row r="47" spans="1:12" ht="158.4" x14ac:dyDescent="0.3">
      <c r="A47" s="2" t="s">
        <v>110</v>
      </c>
      <c r="B47" s="2" t="str">
        <f>HYPERLINK("https://www.poweronline.com/doc/apex-and-google-partner-to-advance-north-carolinas-second-wind-farm-0001")</f>
        <v>https://www.poweronline.com/doc/apex-and-google-partner-to-advance-north-carolinas-second-wind-farm-0001</v>
      </c>
      <c r="C47" s="2"/>
      <c r="D47" s="2" t="s">
        <v>111</v>
      </c>
      <c r="E47" s="4">
        <v>45167</v>
      </c>
      <c r="F47" s="2" t="s">
        <v>112</v>
      </c>
      <c r="G47" s="2">
        <v>1236</v>
      </c>
      <c r="H47" s="2">
        <v>0</v>
      </c>
      <c r="I47" s="2">
        <v>0</v>
      </c>
      <c r="J47" s="2">
        <v>0</v>
      </c>
      <c r="K47" s="2" t="s">
        <v>26</v>
      </c>
      <c r="L47" s="2"/>
    </row>
    <row r="48" spans="1:12" ht="105.6" x14ac:dyDescent="0.3">
      <c r="A48" s="2" t="s">
        <v>113</v>
      </c>
      <c r="B48" s="2" t="str">
        <f>HYPERLINK("https://www.supermarketnews.com/technology/amazon-wind-farm-mississippi-will-power-local-whole-foods-market-fulfillment-centers")</f>
        <v>https://www.supermarketnews.com/technology/amazon-wind-farm-mississippi-will-power-local-whole-foods-market-fulfillment-centers</v>
      </c>
      <c r="C48" s="2" t="s">
        <v>114</v>
      </c>
      <c r="D48" s="2" t="s">
        <v>115</v>
      </c>
      <c r="E48" s="4">
        <v>45135.5549537037</v>
      </c>
      <c r="F48" s="2" t="s">
        <v>116</v>
      </c>
      <c r="G48" s="2">
        <v>232787</v>
      </c>
      <c r="H48" s="2">
        <v>0</v>
      </c>
      <c r="I48" s="2">
        <v>0</v>
      </c>
      <c r="J48" s="2">
        <v>1</v>
      </c>
      <c r="K48" s="2" t="s">
        <v>26</v>
      </c>
      <c r="L48" s="2"/>
    </row>
    <row r="49" spans="1:12" ht="105.6" x14ac:dyDescent="0.3">
      <c r="A49" s="2" t="s">
        <v>113</v>
      </c>
      <c r="B49" s="2" t="str">
        <f>HYPERLINK("https://rmi.muckrack.com/link/ytUu6T/amazon-wind-farm-in-mississippi-will-power-local-whole-foods-market-fulfillment-centers")</f>
        <v>https://rmi.muckrack.com/link/ytUu6T/amazon-wind-farm-in-mississippi-will-power-local-whole-foods-market-fulfillment-centers</v>
      </c>
      <c r="C49" s="2"/>
      <c r="D49" s="2" t="s">
        <v>115</v>
      </c>
      <c r="E49" s="4">
        <v>45135.333333333343</v>
      </c>
      <c r="F49" s="2" t="s">
        <v>117</v>
      </c>
      <c r="G49" s="2"/>
      <c r="H49" s="2">
        <v>0</v>
      </c>
      <c r="I49" s="2">
        <v>0</v>
      </c>
      <c r="J49" s="2">
        <v>0</v>
      </c>
      <c r="K49" s="2" t="s">
        <v>26</v>
      </c>
      <c r="L49" s="2"/>
    </row>
    <row r="50" spans="1:12" ht="105.6" x14ac:dyDescent="0.3">
      <c r="A50" s="2" t="s">
        <v>118</v>
      </c>
      <c r="B50" s="2" t="str">
        <f>HYPERLINK("https://finance.yahoo.com/news/could-amazon-wind-farm-bring-190906546.html")</f>
        <v>https://finance.yahoo.com/news/could-amazon-wind-farm-bring-190906546.html</v>
      </c>
      <c r="C50" s="2"/>
      <c r="D50" s="2" t="s">
        <v>80</v>
      </c>
      <c r="E50" s="4">
        <v>45128.696296296293</v>
      </c>
      <c r="F50" s="2" t="s">
        <v>119</v>
      </c>
      <c r="G50" s="2">
        <v>46919838</v>
      </c>
      <c r="H50" s="2">
        <v>0</v>
      </c>
      <c r="I50" s="2">
        <v>0</v>
      </c>
      <c r="J50" s="2">
        <v>0</v>
      </c>
      <c r="K50" s="2" t="s">
        <v>26</v>
      </c>
      <c r="L50" s="2"/>
    </row>
    <row r="51" spans="1:12" ht="105.6" x14ac:dyDescent="0.3">
      <c r="A51" s="2" t="s">
        <v>118</v>
      </c>
      <c r="B51" s="2" t="str">
        <f>HYPERLINK("https://afrotech.com/amazon-wind-farm-coming-to-mississippi")</f>
        <v>https://afrotech.com/amazon-wind-farm-coming-to-mississippi</v>
      </c>
      <c r="C51" s="2" t="s">
        <v>120</v>
      </c>
      <c r="D51" s="2" t="s">
        <v>121</v>
      </c>
      <c r="E51" s="4">
        <v>45128.631319444437</v>
      </c>
      <c r="F51" s="2" t="s">
        <v>122</v>
      </c>
      <c r="G51" s="2">
        <v>444572</v>
      </c>
      <c r="H51" s="2">
        <v>0</v>
      </c>
      <c r="I51" s="2">
        <v>0</v>
      </c>
      <c r="J51" s="2">
        <v>6</v>
      </c>
      <c r="K51" s="2" t="s">
        <v>26</v>
      </c>
      <c r="L51" s="2"/>
    </row>
    <row r="52" spans="1:12" ht="105.6" x14ac:dyDescent="0.3">
      <c r="A52" s="2" t="s">
        <v>118</v>
      </c>
      <c r="B52" s="2" t="str">
        <f>HYPERLINK("https://es-us.finanzas.yahoo.com/news/could-amazon-wind-farm-bring-190906546.html")</f>
        <v>https://es-us.finanzas.yahoo.com/news/could-amazon-wind-farm-bring-190906546.html</v>
      </c>
      <c r="C52" s="2" t="s">
        <v>120</v>
      </c>
      <c r="D52" s="2" t="s">
        <v>123</v>
      </c>
      <c r="E52" s="4">
        <v>45128.631319444437</v>
      </c>
      <c r="F52" s="2" t="s">
        <v>124</v>
      </c>
      <c r="G52" s="2">
        <v>2839485</v>
      </c>
      <c r="H52" s="2">
        <v>0</v>
      </c>
      <c r="I52" s="2">
        <v>0</v>
      </c>
      <c r="J52" s="2">
        <v>0</v>
      </c>
      <c r="K52" s="2" t="s">
        <v>26</v>
      </c>
      <c r="L52" s="2"/>
    </row>
    <row r="53" spans="1:12" ht="105.6" x14ac:dyDescent="0.3">
      <c r="A53" s="2" t="s">
        <v>125</v>
      </c>
      <c r="B53" s="2" t="str">
        <f>HYPERLINK("https://www.blackenterprise.com/amazon-announces-construction-of-wind-farm-in-mississippi-casino-county/")</f>
        <v>https://www.blackenterprise.com/amazon-announces-construction-of-wind-farm-in-mississippi-casino-county/</v>
      </c>
      <c r="C53" s="2" t="s">
        <v>126</v>
      </c>
      <c r="D53" s="2" t="s">
        <v>127</v>
      </c>
      <c r="E53" s="4">
        <v>45128.462812500002</v>
      </c>
      <c r="F53" s="2" t="s">
        <v>128</v>
      </c>
      <c r="G53" s="2">
        <v>725352</v>
      </c>
      <c r="H53" s="2">
        <v>0</v>
      </c>
      <c r="I53" s="2">
        <v>0</v>
      </c>
      <c r="J53" s="2">
        <v>53</v>
      </c>
      <c r="K53" s="2" t="s">
        <v>36</v>
      </c>
      <c r="L53" s="2"/>
    </row>
    <row r="54" spans="1:12" ht="79.2" x14ac:dyDescent="0.3">
      <c r="A54" s="2" t="s">
        <v>129</v>
      </c>
      <c r="B54" s="2" t="str">
        <f>HYPERLINK("https://wtop.com/sponsored-content/2023/07/with-net-zero-carbon-emissions-from-day-1-new-amazon-headquarters-in-arlington-virginia-aims-to-be-model-for-sustainable-building/")</f>
        <v>https://wtop.com/sponsored-content/2023/07/with-net-zero-carbon-emissions-from-day-1-new-amazon-headquarters-in-arlington-virginia-aims-to-be-model-for-sustainable-building/</v>
      </c>
      <c r="C54" s="2"/>
      <c r="D54" s="2" t="s">
        <v>130</v>
      </c>
      <c r="E54" s="4">
        <v>45128.401909722219</v>
      </c>
      <c r="F54" s="2" t="s">
        <v>131</v>
      </c>
      <c r="G54" s="2">
        <v>2181800</v>
      </c>
      <c r="H54" s="2">
        <v>0</v>
      </c>
      <c r="I54" s="2">
        <v>0</v>
      </c>
      <c r="J54" s="2">
        <v>0</v>
      </c>
      <c r="K54" s="2" t="s">
        <v>36</v>
      </c>
      <c r="L54" s="2"/>
    </row>
    <row r="55" spans="1:12" ht="79.2" x14ac:dyDescent="0.3">
      <c r="A55" s="2" t="s">
        <v>132</v>
      </c>
      <c r="B55" s="2" t="str">
        <f>HYPERLINK("https://energycentral.com/news/amazon-backed-wind-farm-coming-struggling-mississippi-delta-community")</f>
        <v>https://energycentral.com/news/amazon-backed-wind-farm-coming-struggling-mississippi-delta-community</v>
      </c>
      <c r="C55" s="2"/>
      <c r="D55" s="2" t="s">
        <v>32</v>
      </c>
      <c r="E55" s="4">
        <v>45126.55400462963</v>
      </c>
      <c r="F55" s="2" t="s">
        <v>133</v>
      </c>
      <c r="G55" s="2">
        <v>42842</v>
      </c>
      <c r="H55" s="2">
        <v>0</v>
      </c>
      <c r="I55" s="2">
        <v>0</v>
      </c>
      <c r="J55" s="2">
        <v>0</v>
      </c>
      <c r="K55" s="2" t="s">
        <v>26</v>
      </c>
      <c r="L55" s="2"/>
    </row>
    <row r="56" spans="1:12" ht="39.6" x14ac:dyDescent="0.3">
      <c r="A56" s="2" t="s">
        <v>134</v>
      </c>
      <c r="B56" s="2" t="str">
        <f>HYPERLINK("https://u93.com/google-news/4d97c5c68c1ba73182df67f2536b0b63")</f>
        <v>https://u93.com/google-news/4d97c5c68c1ba73182df67f2536b0b63</v>
      </c>
      <c r="C56" s="2"/>
      <c r="D56" s="2" t="s">
        <v>135</v>
      </c>
      <c r="E56" s="4">
        <v>45126.442453703698</v>
      </c>
      <c r="F56" s="2" t="s">
        <v>136</v>
      </c>
      <c r="G56" s="2">
        <v>1934</v>
      </c>
      <c r="H56" s="2">
        <v>0</v>
      </c>
      <c r="I56" s="2">
        <v>0</v>
      </c>
      <c r="J56" s="2">
        <v>0</v>
      </c>
      <c r="K56" s="2" t="s">
        <v>36</v>
      </c>
      <c r="L56" s="2"/>
    </row>
    <row r="57" spans="1:12" ht="92.4" x14ac:dyDescent="0.3">
      <c r="A57" s="2" t="s">
        <v>137</v>
      </c>
      <c r="B57" s="2" t="str">
        <f>HYPERLINK("https://news.yahoo.com/mississippi-casino-country-places-bet-140007607.html")</f>
        <v>https://news.yahoo.com/mississippi-casino-country-places-bet-140007607.html</v>
      </c>
      <c r="C57" s="2" t="s">
        <v>138</v>
      </c>
      <c r="D57" s="2" t="s">
        <v>139</v>
      </c>
      <c r="E57" s="4">
        <v>45126.428194444437</v>
      </c>
      <c r="F57" s="2" t="s">
        <v>140</v>
      </c>
      <c r="G57" s="2">
        <v>58768090</v>
      </c>
      <c r="H57" s="2">
        <v>0</v>
      </c>
      <c r="I57" s="2">
        <v>0</v>
      </c>
      <c r="J57" s="2">
        <v>1</v>
      </c>
      <c r="K57" s="2" t="s">
        <v>26</v>
      </c>
      <c r="L57" s="2"/>
    </row>
    <row r="58" spans="1:12" ht="39.6" x14ac:dyDescent="0.3">
      <c r="A58" s="2" t="s">
        <v>134</v>
      </c>
      <c r="B58" s="2" t="str">
        <f>HYPERLINK("https://u93.com/google-news/5d1f3919849d6a1a6ae5b726184b518e")</f>
        <v>https://u93.com/google-news/5d1f3919849d6a1a6ae5b726184b518e</v>
      </c>
      <c r="C58" s="2"/>
      <c r="D58" s="2" t="s">
        <v>135</v>
      </c>
      <c r="E58" s="4">
        <v>45126.405694444453</v>
      </c>
      <c r="F58" s="2" t="s">
        <v>136</v>
      </c>
      <c r="G58" s="2">
        <v>1934</v>
      </c>
      <c r="H58" s="2">
        <v>0</v>
      </c>
      <c r="I58" s="2">
        <v>0</v>
      </c>
      <c r="J58" s="2">
        <v>0</v>
      </c>
      <c r="K58" s="2" t="s">
        <v>36</v>
      </c>
      <c r="L58" s="2"/>
    </row>
    <row r="59" spans="1:12" ht="92.4" x14ac:dyDescent="0.3">
      <c r="A59" s="2" t="s">
        <v>132</v>
      </c>
      <c r="B59" s="2" t="str">
        <f>HYPERLINK("https://www.aol.com/news/mississippi-casino-country-places-bet-120007085.html")</f>
        <v>https://www.aol.com/news/mississippi-casino-country-places-bet-120007085.html</v>
      </c>
      <c r="C59" s="2"/>
      <c r="D59" s="2" t="s">
        <v>141</v>
      </c>
      <c r="E59" s="4">
        <v>45126.383298611108</v>
      </c>
      <c r="F59" s="2" t="s">
        <v>142</v>
      </c>
      <c r="G59" s="2">
        <v>20398615</v>
      </c>
      <c r="H59" s="2">
        <v>0</v>
      </c>
      <c r="I59" s="2">
        <v>0</v>
      </c>
      <c r="J59" s="2">
        <v>0</v>
      </c>
      <c r="K59" s="2" t="s">
        <v>143</v>
      </c>
      <c r="L59" s="2"/>
    </row>
    <row r="60" spans="1:12" ht="92.4" x14ac:dyDescent="0.3">
      <c r="A60" s="2" t="s">
        <v>132</v>
      </c>
      <c r="B60" s="2" t="str">
        <f>HYPERLINK("https://news.knowledia.com/US/en/articles/an-amazon-backed-wind-farm-is-coming-to-a-struggling-mississippi-delta-cebb973b1d98d46d4b0208a9738e7ec3557c56df")</f>
        <v>https://news.knowledia.com/US/en/articles/an-amazon-backed-wind-farm-is-coming-to-a-struggling-mississippi-delta-cebb973b1d98d46d4b0208a9738e7ec3557c56df</v>
      </c>
      <c r="C60" s="2"/>
      <c r="D60" s="2" t="s">
        <v>144</v>
      </c>
      <c r="E60" s="4">
        <v>45126.350763888891</v>
      </c>
      <c r="F60" s="2" t="s">
        <v>145</v>
      </c>
      <c r="G60" s="2">
        <v>108152</v>
      </c>
      <c r="H60" s="2">
        <v>0</v>
      </c>
      <c r="I60" s="2">
        <v>0</v>
      </c>
      <c r="J60" s="2">
        <v>0</v>
      </c>
      <c r="K60" s="2" t="s">
        <v>143</v>
      </c>
      <c r="L60" s="2"/>
    </row>
    <row r="61" spans="1:12" ht="118.8" x14ac:dyDescent="0.3">
      <c r="A61" s="2" t="s">
        <v>132</v>
      </c>
      <c r="B61" s="2" t="str">
        <f>HYPERLINK("https://dnyuz.com/2023/07/19/an-amazon-backed-wind-farm-is-coming-to-a-struggling-mississippi-delta-community/")</f>
        <v>https://dnyuz.com/2023/07/19/an-amazon-backed-wind-farm-is-coming-to-a-struggling-mississippi-delta-community/</v>
      </c>
      <c r="C61" s="2"/>
      <c r="D61" s="2" t="s">
        <v>146</v>
      </c>
      <c r="E61" s="4">
        <v>45126.347592592603</v>
      </c>
      <c r="F61" s="2" t="s">
        <v>147</v>
      </c>
      <c r="G61" s="2">
        <v>1222439</v>
      </c>
      <c r="H61" s="2">
        <v>0</v>
      </c>
      <c r="I61" s="2">
        <v>0</v>
      </c>
      <c r="J61" s="2">
        <v>0</v>
      </c>
      <c r="K61" s="2" t="s">
        <v>143</v>
      </c>
      <c r="L61" s="2"/>
    </row>
    <row r="62" spans="1:12" ht="105.6" x14ac:dyDescent="0.3">
      <c r="A62" s="2" t="s">
        <v>148</v>
      </c>
      <c r="B62" s="2" t="str">
        <f>HYPERLINK("https://newsnetdaily.com/amazon-backed-wind-farm-comes-to-struggling-mississippi-delta-community/")</f>
        <v>https://newsnetdaily.com/amazon-backed-wind-farm-comes-to-struggling-mississippi-delta-community/</v>
      </c>
      <c r="C62" s="2"/>
      <c r="D62" s="2" t="s">
        <v>149</v>
      </c>
      <c r="E62" s="4">
        <v>45126.347303240742</v>
      </c>
      <c r="F62" s="2" t="s">
        <v>150</v>
      </c>
      <c r="G62" s="2">
        <v>615</v>
      </c>
      <c r="H62" s="2">
        <v>0</v>
      </c>
      <c r="I62" s="2">
        <v>0</v>
      </c>
      <c r="J62" s="2">
        <v>0</v>
      </c>
      <c r="K62" s="2" t="s">
        <v>143</v>
      </c>
      <c r="L62" s="2"/>
    </row>
    <row r="63" spans="1:12" ht="92.4" x14ac:dyDescent="0.3">
      <c r="A63" s="2" t="s">
        <v>151</v>
      </c>
      <c r="B63" s="2" t="str">
        <f>HYPERLINK("https://www.msn.com/en-us/money/companies/mississippi-casino-country-places-a-new-bet-on-an-amazon-backed-wind-farm/ar-AA1e4dmi?ocid=Peregrine")</f>
        <v>https://www.msn.com/en-us/money/companies/mississippi-casino-country-places-a-new-bet-on-an-amazon-backed-wind-farm/ar-AA1e4dmi?ocid=Peregrine</v>
      </c>
      <c r="C63" s="2" t="s">
        <v>138</v>
      </c>
      <c r="D63" s="2" t="s">
        <v>47</v>
      </c>
      <c r="E63" s="4">
        <v>45126.343900462962</v>
      </c>
      <c r="F63" s="2" t="s">
        <v>140</v>
      </c>
      <c r="G63" s="2">
        <v>135281915</v>
      </c>
      <c r="H63" s="2">
        <v>0</v>
      </c>
      <c r="I63" s="2">
        <v>0</v>
      </c>
      <c r="J63" s="2">
        <v>0</v>
      </c>
      <c r="K63" s="2" t="s">
        <v>26</v>
      </c>
      <c r="L63" s="2"/>
    </row>
    <row r="64" spans="1:12" ht="92.4" x14ac:dyDescent="0.3">
      <c r="A64" s="2" t="s">
        <v>132</v>
      </c>
      <c r="B64" s="2" t="str">
        <f>HYPERLINK("https://www.nbcnews.com/news/us-news/tunica-county-mississippi-amazon-wind-farm-rcna94949")</f>
        <v>https://www.nbcnews.com/news/us-news/tunica-county-mississippi-amazon-wind-farm-rcna94949</v>
      </c>
      <c r="C64" s="2" t="s">
        <v>138</v>
      </c>
      <c r="D64" s="2" t="s">
        <v>152</v>
      </c>
      <c r="E64" s="4">
        <v>45126.336770833332</v>
      </c>
      <c r="F64" s="2" t="s">
        <v>140</v>
      </c>
      <c r="G64" s="2">
        <v>38264167</v>
      </c>
      <c r="H64" s="2">
        <v>7</v>
      </c>
      <c r="I64" s="2">
        <v>62930</v>
      </c>
      <c r="J64" s="2">
        <v>210</v>
      </c>
      <c r="K64" s="2" t="s">
        <v>143</v>
      </c>
      <c r="L64" s="2"/>
    </row>
    <row r="65" spans="1:12" ht="39.6" x14ac:dyDescent="0.3">
      <c r="A65" s="2" t="s">
        <v>153</v>
      </c>
      <c r="B65" s="2" t="str">
        <f>HYPERLINK("https://article.wn.com/view/2023/07/10/amazon_to_construct_mississippi_8217s_first_utilityscale_win/")</f>
        <v>https://article.wn.com/view/2023/07/10/amazon_to_construct_mississippi_8217s_first_utilityscale_win/</v>
      </c>
      <c r="C65" s="2"/>
      <c r="D65" s="2" t="s">
        <v>45</v>
      </c>
      <c r="E65" s="4">
        <v>45116.833333333343</v>
      </c>
      <c r="F65" s="2"/>
      <c r="G65" s="2">
        <v>345494</v>
      </c>
      <c r="H65" s="2">
        <v>0</v>
      </c>
      <c r="I65" s="2">
        <v>0</v>
      </c>
      <c r="J65" s="2">
        <v>0</v>
      </c>
      <c r="K65" s="2"/>
      <c r="L65" s="2"/>
    </row>
    <row r="66" spans="1:12" ht="105.6" x14ac:dyDescent="0.3">
      <c r="A66" s="2" t="s">
        <v>154</v>
      </c>
      <c r="B66" s="2" t="str">
        <f>HYPERLINK("https://energycentral.com/news/amazon-aes-partner-first-utility-scale-wind-farm-mississippi")</f>
        <v>https://energycentral.com/news/amazon-aes-partner-first-utility-scale-wind-farm-mississippi</v>
      </c>
      <c r="C66" s="2"/>
      <c r="D66" s="2" t="s">
        <v>32</v>
      </c>
      <c r="E66" s="4">
        <v>45114.731631944444</v>
      </c>
      <c r="F66" s="2" t="s">
        <v>155</v>
      </c>
      <c r="G66" s="2">
        <v>42842</v>
      </c>
      <c r="H66" s="2">
        <v>0</v>
      </c>
      <c r="I66" s="2">
        <v>0</v>
      </c>
      <c r="J66" s="2">
        <v>0</v>
      </c>
      <c r="K66" s="2" t="s">
        <v>26</v>
      </c>
      <c r="L66" s="2"/>
    </row>
    <row r="67" spans="1:12" ht="118.8" x14ac:dyDescent="0.3">
      <c r="A67" s="2" t="s">
        <v>154</v>
      </c>
      <c r="B67" s="2" t="str">
        <f>HYPERLINK("https://www.powermag.com/amazon-aes-partner-on-first-utility-scale-wind-farm-in-mississippi/")</f>
        <v>https://www.powermag.com/amazon-aes-partner-on-first-utility-scale-wind-farm-in-mississippi/</v>
      </c>
      <c r="C67" s="2" t="s">
        <v>156</v>
      </c>
      <c r="D67" s="2" t="s">
        <v>157</v>
      </c>
      <c r="E67" s="4">
        <v>45114.596701388888</v>
      </c>
      <c r="F67" s="2" t="s">
        <v>158</v>
      </c>
      <c r="G67" s="2">
        <v>105281</v>
      </c>
      <c r="H67" s="2">
        <v>1</v>
      </c>
      <c r="I67" s="2">
        <v>744</v>
      </c>
      <c r="J67" s="2">
        <v>62</v>
      </c>
      <c r="K67" s="2" t="s">
        <v>26</v>
      </c>
      <c r="L67" s="2"/>
    </row>
    <row r="68" spans="1:12" ht="118.8" x14ac:dyDescent="0.3">
      <c r="A68" s="2" t="s">
        <v>159</v>
      </c>
      <c r="B68" s="2" t="str">
        <f>HYPERLINK("https://www.magnoliastatelive.com/2023/07/07/amazon-to-plant-windmills-in-mississippi-delta-creating-states-first-utility-scale-wind-farm/")</f>
        <v>https://www.magnoliastatelive.com/2023/07/07/amazon-to-plant-windmills-in-mississippi-delta-creating-states-first-utility-scale-wind-farm/</v>
      </c>
      <c r="C68" s="2"/>
      <c r="D68" s="2" t="s">
        <v>160</v>
      </c>
      <c r="E68" s="4">
        <v>45114.514861111107</v>
      </c>
      <c r="F68" s="2" t="s">
        <v>161</v>
      </c>
      <c r="G68" s="2">
        <v>76750</v>
      </c>
      <c r="H68" s="2">
        <v>0</v>
      </c>
      <c r="I68" s="2">
        <v>0</v>
      </c>
      <c r="J68" s="2">
        <v>6</v>
      </c>
      <c r="K68" s="2" t="s">
        <v>26</v>
      </c>
      <c r="L68" s="2"/>
    </row>
    <row r="69" spans="1:12" ht="66" x14ac:dyDescent="0.3">
      <c r="A69" s="2" t="s">
        <v>162</v>
      </c>
      <c r="B69" s="2" t="str">
        <f>HYPERLINK("https://biztoc.com/x/69f05f48b07ad783")</f>
        <v>https://biztoc.com/x/69f05f48b07ad783</v>
      </c>
      <c r="C69" s="2"/>
      <c r="D69" s="2" t="s">
        <v>163</v>
      </c>
      <c r="E69" s="4">
        <v>45114.323136574072</v>
      </c>
      <c r="F69" s="2" t="s">
        <v>164</v>
      </c>
      <c r="G69" s="2">
        <v>18569</v>
      </c>
      <c r="H69" s="2">
        <v>0</v>
      </c>
      <c r="I69" s="2">
        <v>0</v>
      </c>
      <c r="J69" s="2">
        <v>0</v>
      </c>
      <c r="K69" s="2" t="s">
        <v>36</v>
      </c>
      <c r="L69" s="2"/>
    </row>
    <row r="70" spans="1:12" ht="132" x14ac:dyDescent="0.3">
      <c r="A70" s="2" t="s">
        <v>165</v>
      </c>
      <c r="B70" s="2" t="str">
        <f>HYPERLINK("https://energycentral.com/news/amazon-plant-windmills-mississippi-delta-creating-states-first-utility-scale-wind-farm")</f>
        <v>https://energycentral.com/news/amazon-plant-windmills-mississippi-delta-creating-states-first-utility-scale-wind-farm</v>
      </c>
      <c r="C70" s="2"/>
      <c r="D70" s="2" t="s">
        <v>32</v>
      </c>
      <c r="E70" s="4">
        <v>45114</v>
      </c>
      <c r="F70" s="2" t="s">
        <v>166</v>
      </c>
      <c r="G70" s="2">
        <v>42842</v>
      </c>
      <c r="H70" s="2">
        <v>0</v>
      </c>
      <c r="I70" s="2">
        <v>0</v>
      </c>
      <c r="J70" s="2">
        <v>0</v>
      </c>
      <c r="K70" s="2" t="s">
        <v>26</v>
      </c>
      <c r="L70" s="2"/>
    </row>
    <row r="71" spans="1:12" ht="105.6" x14ac:dyDescent="0.3">
      <c r="A71" s="2" t="s">
        <v>162</v>
      </c>
      <c r="B71" s="2" t="str">
        <f>HYPERLINK("https://www.wdam.com/2023/07/06/amazon-announces-construction-mississippis-first-utility-scale-wind-farm/")</f>
        <v>https://www.wdam.com/2023/07/06/amazon-announces-construction-mississippis-first-utility-scale-wind-farm/</v>
      </c>
      <c r="C71" s="2"/>
      <c r="D71" s="2" t="s">
        <v>167</v>
      </c>
      <c r="E71" s="4">
        <v>45113.850416666668</v>
      </c>
      <c r="F71" s="2" t="s">
        <v>168</v>
      </c>
      <c r="G71" s="2">
        <v>141531</v>
      </c>
      <c r="H71" s="2">
        <v>0</v>
      </c>
      <c r="I71" s="2">
        <v>0</v>
      </c>
      <c r="J71" s="2">
        <v>16</v>
      </c>
      <c r="K71" s="2" t="s">
        <v>26</v>
      </c>
      <c r="L71" s="2"/>
    </row>
    <row r="72" spans="1:12" ht="105.6" x14ac:dyDescent="0.3">
      <c r="A72" s="2" t="s">
        <v>162</v>
      </c>
      <c r="B72" s="2" t="str">
        <f>HYPERLINK("https://www.wlox.com/2023/07/06/amazon-announces-construction-mississippis-first-utility-scale-wind-farm/")</f>
        <v>https://www.wlox.com/2023/07/06/amazon-announces-construction-mississippis-first-utility-scale-wind-farm/</v>
      </c>
      <c r="C72" s="2" t="s">
        <v>169</v>
      </c>
      <c r="D72" s="2" t="s">
        <v>170</v>
      </c>
      <c r="E72" s="4">
        <v>45113.850416666668</v>
      </c>
      <c r="F72" s="2" t="s">
        <v>168</v>
      </c>
      <c r="G72" s="2">
        <v>415127</v>
      </c>
      <c r="H72" s="2">
        <v>0</v>
      </c>
      <c r="I72" s="2">
        <v>0</v>
      </c>
      <c r="J72" s="2">
        <v>65</v>
      </c>
      <c r="K72" s="2" t="s">
        <v>26</v>
      </c>
      <c r="L72" s="2"/>
    </row>
    <row r="73" spans="1:12" ht="105.6" x14ac:dyDescent="0.3">
      <c r="A73" s="2" t="s">
        <v>162</v>
      </c>
      <c r="B73" s="2" t="str">
        <f>HYPERLINK("https://www.wtok.com/2023/07/06/amazon-announces-construction-mississippis-first-utility-scale-wind-farm/")</f>
        <v>https://www.wtok.com/2023/07/06/amazon-announces-construction-mississippis-first-utility-scale-wind-farm/</v>
      </c>
      <c r="C73" s="2"/>
      <c r="D73" s="2" t="s">
        <v>171</v>
      </c>
      <c r="E73" s="4">
        <v>45113.766087962962</v>
      </c>
      <c r="F73" s="2" t="s">
        <v>168</v>
      </c>
      <c r="G73" s="2">
        <v>124172</v>
      </c>
      <c r="H73" s="2">
        <v>0</v>
      </c>
      <c r="I73" s="2">
        <v>0</v>
      </c>
      <c r="J73" s="2">
        <v>32</v>
      </c>
      <c r="K73" s="2" t="s">
        <v>26</v>
      </c>
      <c r="L73" s="2"/>
    </row>
    <row r="74" spans="1:12" ht="105.6" x14ac:dyDescent="0.3">
      <c r="A74" s="2" t="s">
        <v>162</v>
      </c>
      <c r="B74" s="2" t="str">
        <f>HYPERLINK("https://www.wlbt.com/2023/07/06/amazon-announces-construction-mississippis-first-utility-scale-wind-farm/")</f>
        <v>https://www.wlbt.com/2023/07/06/amazon-announces-construction-mississippis-first-utility-scale-wind-farm/</v>
      </c>
      <c r="C74" s="2"/>
      <c r="D74" s="2" t="s">
        <v>172</v>
      </c>
      <c r="E74" s="4">
        <v>45113.737662037027</v>
      </c>
      <c r="F74" s="2" t="s">
        <v>168</v>
      </c>
      <c r="G74" s="2">
        <v>479183</v>
      </c>
      <c r="H74" s="2">
        <v>0</v>
      </c>
      <c r="I74" s="2">
        <v>0</v>
      </c>
      <c r="J74" s="2">
        <v>127</v>
      </c>
      <c r="K74" s="2" t="s">
        <v>26</v>
      </c>
      <c r="L74" s="2"/>
    </row>
    <row r="75" spans="1:12" ht="105.6" x14ac:dyDescent="0.3">
      <c r="A75" s="2" t="s">
        <v>162</v>
      </c>
      <c r="B75" s="2" t="str">
        <f>HYPERLINK("https://www.actionnews5.com/2023/07/06/amazon-announces-construction-mississippis-first-utility-scale-wind-farm/")</f>
        <v>https://www.actionnews5.com/2023/07/06/amazon-announces-construction-mississippis-first-utility-scale-wind-farm/</v>
      </c>
      <c r="C75" s="2"/>
      <c r="D75" s="2" t="s">
        <v>173</v>
      </c>
      <c r="E75" s="4">
        <v>45113.687361111108</v>
      </c>
      <c r="F75" s="2" t="s">
        <v>168</v>
      </c>
      <c r="G75" s="2">
        <v>2017045</v>
      </c>
      <c r="H75" s="2">
        <v>1</v>
      </c>
      <c r="I75" s="2">
        <v>1770</v>
      </c>
      <c r="J75" s="2">
        <v>288</v>
      </c>
      <c r="K75" s="2" t="s">
        <v>26</v>
      </c>
      <c r="L75" s="2"/>
    </row>
    <row r="76" spans="1:12" ht="105.6" x14ac:dyDescent="0.3">
      <c r="A76" s="2" t="s">
        <v>174</v>
      </c>
      <c r="B76" s="2" t="str">
        <f>HYPERLINK("https://www.fox10tv.com/2023/07/06/amazon-announces-construction-mississippis-first-utility-scale-wind-farm/")</f>
        <v>https://www.fox10tv.com/2023/07/06/amazon-announces-construction-mississippis-first-utility-scale-wind-farm/</v>
      </c>
      <c r="C76" s="2"/>
      <c r="D76" s="2" t="s">
        <v>175</v>
      </c>
      <c r="E76" s="4">
        <v>45113.683749999997</v>
      </c>
      <c r="F76" s="2" t="s">
        <v>176</v>
      </c>
      <c r="G76" s="2">
        <v>389204</v>
      </c>
      <c r="H76" s="2">
        <v>0</v>
      </c>
      <c r="I76" s="2">
        <v>0</v>
      </c>
      <c r="J76" s="2">
        <v>0</v>
      </c>
      <c r="K76" s="2" t="s">
        <v>26</v>
      </c>
      <c r="L76" s="2"/>
    </row>
    <row r="77" spans="1:12" ht="52.8" x14ac:dyDescent="0.3">
      <c r="A77" s="2" t="s">
        <v>162</v>
      </c>
      <c r="B77" s="2" t="str">
        <f>HYPERLINK("http://www.wflx.com/video/2023/07/06/amazon-announces-construction-mississippis-first-utility-scale-wind-farm/")</f>
        <v>http://www.wflx.com/video/2023/07/06/amazon-announces-construction-mississippis-first-utility-scale-wind-farm/</v>
      </c>
      <c r="C77" s="2"/>
      <c r="D77" s="2" t="s">
        <v>177</v>
      </c>
      <c r="E77" s="4">
        <v>45113.679861111108</v>
      </c>
      <c r="F77" s="2"/>
      <c r="G77" s="2">
        <v>169167</v>
      </c>
      <c r="H77" s="2">
        <v>0</v>
      </c>
      <c r="I77" s="2">
        <v>0</v>
      </c>
      <c r="J77" s="2">
        <v>0</v>
      </c>
      <c r="K77" s="2"/>
      <c r="L77" s="2"/>
    </row>
    <row r="78" spans="1:12" ht="52.8" x14ac:dyDescent="0.3">
      <c r="A78" s="2" t="s">
        <v>162</v>
      </c>
      <c r="B78" s="2" t="str">
        <f>HYPERLINK("http://www.wmbfnews.com/video/2023/07/06/amazon-announces-construction-mississippis-first-utility-scale-wind-farm/")</f>
        <v>http://www.wmbfnews.com/video/2023/07/06/amazon-announces-construction-mississippis-first-utility-scale-wind-farm/</v>
      </c>
      <c r="C78" s="2"/>
      <c r="D78" s="2" t="s">
        <v>178</v>
      </c>
      <c r="E78" s="4">
        <v>45113.679861111108</v>
      </c>
      <c r="F78" s="2" t="s">
        <v>179</v>
      </c>
      <c r="G78" s="2">
        <v>335258</v>
      </c>
      <c r="H78" s="2">
        <v>0</v>
      </c>
      <c r="I78" s="2">
        <v>0</v>
      </c>
      <c r="J78" s="2">
        <v>0</v>
      </c>
      <c r="K78" s="2" t="s">
        <v>143</v>
      </c>
      <c r="L78" s="2"/>
    </row>
    <row r="79" spans="1:12" ht="92.4" x14ac:dyDescent="0.3">
      <c r="A79" s="2" t="s">
        <v>162</v>
      </c>
      <c r="B79" s="2" t="str">
        <f>HYPERLINK("https://www.kwtx.com/video/2023/07/06/amazon-announces-construction-mississippis-first-utility-scale-wind-farm/")</f>
        <v>https://www.kwtx.com/video/2023/07/06/amazon-announces-construction-mississippis-first-utility-scale-wind-farm/</v>
      </c>
      <c r="C79" s="2"/>
      <c r="D79" s="2" t="s">
        <v>180</v>
      </c>
      <c r="E79" s="4">
        <v>45113.679861111108</v>
      </c>
      <c r="F79" s="2" t="s">
        <v>181</v>
      </c>
      <c r="G79" s="2">
        <v>727605</v>
      </c>
      <c r="H79" s="2">
        <v>0</v>
      </c>
      <c r="I79" s="2">
        <v>0</v>
      </c>
      <c r="J79" s="2">
        <v>0</v>
      </c>
      <c r="K79" s="2" t="s">
        <v>143</v>
      </c>
      <c r="L79" s="2"/>
    </row>
    <row r="80" spans="1:12" ht="66" x14ac:dyDescent="0.3">
      <c r="A80" s="2" t="s">
        <v>162</v>
      </c>
      <c r="B80" s="2" t="str">
        <f>HYPERLINK("http://www.fox19.com/video/2023/07/06/amazon-announces-construction-mississippis-first-utility-scale-wind-farm/")</f>
        <v>http://www.fox19.com/video/2023/07/06/amazon-announces-construction-mississippis-first-utility-scale-wind-farm/</v>
      </c>
      <c r="C80" s="2" t="s">
        <v>169</v>
      </c>
      <c r="D80" s="2" t="s">
        <v>182</v>
      </c>
      <c r="E80" s="4">
        <v>45113.679861111108</v>
      </c>
      <c r="F80" s="2" t="s">
        <v>183</v>
      </c>
      <c r="G80" s="2">
        <v>1284669</v>
      </c>
      <c r="H80" s="2">
        <v>0</v>
      </c>
      <c r="I80" s="2">
        <v>0</v>
      </c>
      <c r="J80" s="2">
        <v>0</v>
      </c>
      <c r="K80" s="2" t="s">
        <v>143</v>
      </c>
      <c r="L80" s="2"/>
    </row>
    <row r="81" spans="1:12" ht="52.8" x14ac:dyDescent="0.3">
      <c r="A81" s="2" t="s">
        <v>162</v>
      </c>
      <c r="B81" s="2" t="str">
        <f>HYPERLINK("https://www.webcenterfairbanks.com/video/2023/07/06/amazon-announces-construction-mississippis-first-utility-scale-wind-farm/")</f>
        <v>https://www.webcenterfairbanks.com/video/2023/07/06/amazon-announces-construction-mississippis-first-utility-scale-wind-farm/</v>
      </c>
      <c r="C81" s="2"/>
      <c r="D81" s="2" t="s">
        <v>184</v>
      </c>
      <c r="E81" s="4">
        <v>45113.679861111108</v>
      </c>
      <c r="F81" s="2" t="s">
        <v>185</v>
      </c>
      <c r="G81" s="2">
        <v>26017</v>
      </c>
      <c r="H81" s="2">
        <v>0</v>
      </c>
      <c r="I81" s="2">
        <v>0</v>
      </c>
      <c r="J81" s="2">
        <v>0</v>
      </c>
      <c r="K81" s="2" t="s">
        <v>26</v>
      </c>
      <c r="L81" s="2"/>
    </row>
    <row r="82" spans="1:12" ht="52.8" x14ac:dyDescent="0.3">
      <c r="A82" s="2" t="s">
        <v>162</v>
      </c>
      <c r="B82" s="2" t="str">
        <f>HYPERLINK("https://www.wtok.com/video/2023/07/06/amazon-announces-construction-mississippis-first-utility-scale-wind-farm/")</f>
        <v>https://www.wtok.com/video/2023/07/06/amazon-announces-construction-mississippis-first-utility-scale-wind-farm/</v>
      </c>
      <c r="C82" s="2"/>
      <c r="D82" s="2" t="s">
        <v>171</v>
      </c>
      <c r="E82" s="4">
        <v>45113.679861111108</v>
      </c>
      <c r="F82" s="2" t="s">
        <v>186</v>
      </c>
      <c r="G82" s="2">
        <v>124172</v>
      </c>
      <c r="H82" s="2">
        <v>0</v>
      </c>
      <c r="I82" s="2">
        <v>0</v>
      </c>
      <c r="J82" s="2">
        <v>0</v>
      </c>
      <c r="K82" s="2" t="s">
        <v>26</v>
      </c>
      <c r="L82" s="2"/>
    </row>
    <row r="83" spans="1:12" ht="52.8" x14ac:dyDescent="0.3">
      <c r="A83" s="2" t="s">
        <v>162</v>
      </c>
      <c r="B83" s="2" t="str">
        <f>HYPERLINK("https://www.1011now.com/video/2023/07/06/amazon-announces-construction-mississippis-first-utility-scale-wind-farm/")</f>
        <v>https://www.1011now.com/video/2023/07/06/amazon-announces-construction-mississippis-first-utility-scale-wind-farm/</v>
      </c>
      <c r="C83" s="2"/>
      <c r="D83" s="2" t="s">
        <v>187</v>
      </c>
      <c r="E83" s="4">
        <v>45113.679861111108</v>
      </c>
      <c r="F83" s="2" t="s">
        <v>188</v>
      </c>
      <c r="G83" s="2">
        <v>471535</v>
      </c>
      <c r="H83" s="2">
        <v>0</v>
      </c>
      <c r="I83" s="2">
        <v>0</v>
      </c>
      <c r="J83" s="2">
        <v>0</v>
      </c>
      <c r="K83" s="2" t="s">
        <v>26</v>
      </c>
      <c r="L83" s="2"/>
    </row>
    <row r="84" spans="1:12" ht="52.8" x14ac:dyDescent="0.3">
      <c r="A84" s="2" t="s">
        <v>162</v>
      </c>
      <c r="B84" s="2" t="str">
        <f>HYPERLINK("https://www.whsv.com/video/2023/07/06/amazon-announces-construction-mississippis-first-utility-scale-wind-farm/")</f>
        <v>https://www.whsv.com/video/2023/07/06/amazon-announces-construction-mississippis-first-utility-scale-wind-farm/</v>
      </c>
      <c r="C84" s="2"/>
      <c r="D84" s="2" t="s">
        <v>189</v>
      </c>
      <c r="E84" s="4">
        <v>45113.679861111108</v>
      </c>
      <c r="F84" s="2" t="s">
        <v>188</v>
      </c>
      <c r="G84" s="2">
        <v>537876</v>
      </c>
      <c r="H84" s="2">
        <v>0</v>
      </c>
      <c r="I84" s="2">
        <v>0</v>
      </c>
      <c r="J84" s="2">
        <v>0</v>
      </c>
      <c r="K84" s="2" t="s">
        <v>26</v>
      </c>
      <c r="L84" s="2"/>
    </row>
    <row r="85" spans="1:12" ht="66" x14ac:dyDescent="0.3">
      <c r="A85" s="2" t="s">
        <v>162</v>
      </c>
      <c r="B85" s="2" t="str">
        <f>HYPERLINK("https://www.nbcnebraskascottsbluff.com/video/2023/07/06/amazon-announces-construction-mississippis-first-utility-scale-wind-farm/")</f>
        <v>https://www.nbcnebraskascottsbluff.com/video/2023/07/06/amazon-announces-construction-mississippis-first-utility-scale-wind-farm/</v>
      </c>
      <c r="C85" s="2"/>
      <c r="D85" s="2" t="s">
        <v>190</v>
      </c>
      <c r="E85" s="4">
        <v>45113.679861111108</v>
      </c>
      <c r="F85" s="2" t="s">
        <v>191</v>
      </c>
      <c r="G85" s="2">
        <v>11955</v>
      </c>
      <c r="H85" s="2">
        <v>0</v>
      </c>
      <c r="I85" s="2">
        <v>0</v>
      </c>
      <c r="J85" s="2">
        <v>0</v>
      </c>
      <c r="K85" s="2" t="s">
        <v>143</v>
      </c>
      <c r="L85" s="2"/>
    </row>
    <row r="86" spans="1:12" ht="52.8" x14ac:dyDescent="0.3">
      <c r="A86" s="2" t="s">
        <v>162</v>
      </c>
      <c r="B86" s="2" t="str">
        <f>HYPERLINK("http://www.kait8.com/video/2023/07/06/amazon-announces-construction-mississippis-first-utility-scale-wind-farm/")</f>
        <v>http://www.kait8.com/video/2023/07/06/amazon-announces-construction-mississippis-first-utility-scale-wind-farm/</v>
      </c>
      <c r="C86" s="2"/>
      <c r="D86" s="2" t="s">
        <v>192</v>
      </c>
      <c r="E86" s="4">
        <v>45113.679861111108</v>
      </c>
      <c r="F86" s="2"/>
      <c r="G86" s="2">
        <v>315841</v>
      </c>
      <c r="H86" s="2">
        <v>0</v>
      </c>
      <c r="I86" s="2">
        <v>0</v>
      </c>
      <c r="J86" s="2">
        <v>0</v>
      </c>
      <c r="K86" s="2"/>
      <c r="L86" s="2"/>
    </row>
    <row r="87" spans="1:12" ht="52.8" x14ac:dyDescent="0.3">
      <c r="A87" s="2" t="s">
        <v>162</v>
      </c>
      <c r="B87" s="2" t="str">
        <f>HYPERLINK("http://www.mysuncoast.com/video/2023/07/06/amazon-announces-construction-mississippis-first-utility-scale-wind-farm/")</f>
        <v>http://www.mysuncoast.com/video/2023/07/06/amazon-announces-construction-mississippis-first-utility-scale-wind-farm/</v>
      </c>
      <c r="C87" s="2"/>
      <c r="D87" s="2" t="s">
        <v>193</v>
      </c>
      <c r="E87" s="4">
        <v>45113.679861111108</v>
      </c>
      <c r="F87" s="2" t="s">
        <v>179</v>
      </c>
      <c r="G87" s="2">
        <v>582820</v>
      </c>
      <c r="H87" s="2">
        <v>0</v>
      </c>
      <c r="I87" s="2">
        <v>0</v>
      </c>
      <c r="J87" s="2">
        <v>0</v>
      </c>
      <c r="K87" s="2" t="s">
        <v>143</v>
      </c>
      <c r="L87" s="2"/>
    </row>
    <row r="88" spans="1:12" ht="52.8" x14ac:dyDescent="0.3">
      <c r="A88" s="2" t="s">
        <v>162</v>
      </c>
      <c r="B88" s="2" t="str">
        <f>HYPERLINK("https://www.wbko.com/video/2023/07/06/amazon-announces-construction-mississippis-first-utility-scale-wind-farm/")</f>
        <v>https://www.wbko.com/video/2023/07/06/amazon-announces-construction-mississippis-first-utility-scale-wind-farm/</v>
      </c>
      <c r="C88" s="2"/>
      <c r="D88" s="2" t="s">
        <v>194</v>
      </c>
      <c r="E88" s="4">
        <v>45113.679861111108</v>
      </c>
      <c r="F88" s="2"/>
      <c r="G88" s="2">
        <v>172799</v>
      </c>
      <c r="H88" s="2">
        <v>0</v>
      </c>
      <c r="I88" s="2">
        <v>0</v>
      </c>
      <c r="J88" s="2">
        <v>0</v>
      </c>
      <c r="K88" s="2"/>
      <c r="L88" s="2"/>
    </row>
    <row r="89" spans="1:12" ht="118.8" x14ac:dyDescent="0.3">
      <c r="A89" s="2" t="s">
        <v>162</v>
      </c>
      <c r="B89" s="2" t="str">
        <f>HYPERLINK("https://www.kwqc.com/video/2023/07/06/amazon-announces-construction-mississippis-first-utility-scale-wind-farm/")</f>
        <v>https://www.kwqc.com/video/2023/07/06/amazon-announces-construction-mississippis-first-utility-scale-wind-farm/</v>
      </c>
      <c r="C89" s="2"/>
      <c r="D89" s="2" t="s">
        <v>195</v>
      </c>
      <c r="E89" s="4">
        <v>45113.679861111108</v>
      </c>
      <c r="F89" s="2" t="s">
        <v>196</v>
      </c>
      <c r="G89" s="2">
        <v>323090</v>
      </c>
      <c r="H89" s="2">
        <v>0</v>
      </c>
      <c r="I89" s="2">
        <v>0</v>
      </c>
      <c r="J89" s="2">
        <v>0</v>
      </c>
      <c r="K89" s="2" t="s">
        <v>26</v>
      </c>
      <c r="L89" s="2"/>
    </row>
    <row r="90" spans="1:12" ht="52.8" x14ac:dyDescent="0.3">
      <c r="A90" s="2" t="s">
        <v>162</v>
      </c>
      <c r="B90" s="2" t="str">
        <f>HYPERLINK("https://www.wsaw.com/video/2023/07/06/amazon-announces-construction-mississippis-first-utility-scale-wind-farm/")</f>
        <v>https://www.wsaw.com/video/2023/07/06/amazon-announces-construction-mississippis-first-utility-scale-wind-farm/</v>
      </c>
      <c r="C90" s="2"/>
      <c r="D90" s="2" t="s">
        <v>197</v>
      </c>
      <c r="E90" s="4">
        <v>45113.679861111108</v>
      </c>
      <c r="F90" s="2" t="s">
        <v>198</v>
      </c>
      <c r="G90" s="2">
        <v>414973</v>
      </c>
      <c r="H90" s="2">
        <v>0</v>
      </c>
      <c r="I90" s="2">
        <v>0</v>
      </c>
      <c r="J90" s="2">
        <v>0</v>
      </c>
      <c r="K90" s="2" t="s">
        <v>26</v>
      </c>
      <c r="L90" s="2"/>
    </row>
    <row r="91" spans="1:12" ht="118.8" x14ac:dyDescent="0.3">
      <c r="A91" s="2" t="s">
        <v>162</v>
      </c>
      <c r="B91" s="2" t="str">
        <f>HYPERLINK("http://www.hawaiinewsnow.com/video/2023/07/06/amazon-announces-construction-mississippis-first-utility-scale-wind-farm/")</f>
        <v>http://www.hawaiinewsnow.com/video/2023/07/06/amazon-announces-construction-mississippis-first-utility-scale-wind-farm/</v>
      </c>
      <c r="C91" s="2"/>
      <c r="D91" s="2" t="s">
        <v>199</v>
      </c>
      <c r="E91" s="4">
        <v>45113.679861111108</v>
      </c>
      <c r="F91" s="2" t="s">
        <v>200</v>
      </c>
      <c r="G91" s="2">
        <v>946729</v>
      </c>
      <c r="H91" s="2">
        <v>0</v>
      </c>
      <c r="I91" s="2">
        <v>0</v>
      </c>
      <c r="J91" s="2">
        <v>0</v>
      </c>
      <c r="K91" s="2" t="s">
        <v>26</v>
      </c>
      <c r="L91" s="2"/>
    </row>
    <row r="92" spans="1:12" ht="52.8" x14ac:dyDescent="0.3">
      <c r="A92" s="2" t="s">
        <v>162</v>
      </c>
      <c r="B92" s="2" t="str">
        <f>HYPERLINK("https://www.wctv.tv/video/2023/07/06/amazon-announces-construction-mississippis-first-utility-scale-wind-farm/")</f>
        <v>https://www.wctv.tv/video/2023/07/06/amazon-announces-construction-mississippis-first-utility-scale-wind-farm/</v>
      </c>
      <c r="C92" s="2"/>
      <c r="D92" s="2" t="s">
        <v>201</v>
      </c>
      <c r="E92" s="4">
        <v>45113.679861111108</v>
      </c>
      <c r="F92" s="2" t="s">
        <v>188</v>
      </c>
      <c r="G92" s="2">
        <v>338988</v>
      </c>
      <c r="H92" s="2">
        <v>0</v>
      </c>
      <c r="I92" s="2">
        <v>0</v>
      </c>
      <c r="J92" s="2">
        <v>0</v>
      </c>
      <c r="K92" s="2" t="s">
        <v>26</v>
      </c>
      <c r="L92" s="2"/>
    </row>
    <row r="93" spans="1:12" ht="52.8" x14ac:dyDescent="0.3">
      <c r="A93" s="2" t="s">
        <v>162</v>
      </c>
      <c r="B93" s="2" t="str">
        <f>HYPERLINK("https://www.wrdw.com/video/2023/07/06/amazon-announces-construction-mississippis-first-utility-scale-wind-farm/")</f>
        <v>https://www.wrdw.com/video/2023/07/06/amazon-announces-construction-mississippis-first-utility-scale-wind-farm/</v>
      </c>
      <c r="C93" s="2"/>
      <c r="D93" s="2" t="s">
        <v>202</v>
      </c>
      <c r="E93" s="4">
        <v>45113.679861111108</v>
      </c>
      <c r="F93" s="2"/>
      <c r="G93" s="2">
        <v>558340</v>
      </c>
      <c r="H93" s="2">
        <v>0</v>
      </c>
      <c r="I93" s="2">
        <v>0</v>
      </c>
      <c r="J93" s="2">
        <v>0</v>
      </c>
      <c r="K93" s="2"/>
      <c r="L93" s="2"/>
    </row>
    <row r="94" spans="1:12" ht="52.8" x14ac:dyDescent="0.3">
      <c r="A94" s="2" t="s">
        <v>174</v>
      </c>
      <c r="B94" s="2" t="str">
        <f>HYPERLINK("https://www.kolotv.com/video/2023/07/06/amazon-announces-construction-mississippis-first-utility-scale-wind-farm/")</f>
        <v>https://www.kolotv.com/video/2023/07/06/amazon-announces-construction-mississippis-first-utility-scale-wind-farm/</v>
      </c>
      <c r="C94" s="2"/>
      <c r="D94" s="2" t="s">
        <v>203</v>
      </c>
      <c r="E94" s="4">
        <v>45113</v>
      </c>
      <c r="F94" s="2"/>
      <c r="G94" s="2">
        <v>644080</v>
      </c>
      <c r="H94" s="2">
        <v>0</v>
      </c>
      <c r="I94" s="2">
        <v>0</v>
      </c>
      <c r="J94" s="2">
        <v>0</v>
      </c>
      <c r="K94" s="2"/>
      <c r="L94" s="2"/>
    </row>
    <row r="95" spans="1:12" ht="52.8" x14ac:dyDescent="0.3">
      <c r="A95" s="2" t="s">
        <v>174</v>
      </c>
      <c r="B95" s="2" t="str">
        <f>HYPERLINK("https://www.wcax.com/video/2023/07/06/amazon-announces-construction-mississippis-first-utility-scale-wind-farm/")</f>
        <v>https://www.wcax.com/video/2023/07/06/amazon-announces-construction-mississippis-first-utility-scale-wind-farm/</v>
      </c>
      <c r="C95" s="2"/>
      <c r="D95" s="2" t="s">
        <v>204</v>
      </c>
      <c r="E95" s="4">
        <v>45113</v>
      </c>
      <c r="F95" s="2"/>
      <c r="G95" s="2">
        <v>892674</v>
      </c>
      <c r="H95" s="2">
        <v>0</v>
      </c>
      <c r="I95" s="2">
        <v>0</v>
      </c>
      <c r="J95" s="2">
        <v>0</v>
      </c>
      <c r="K95" s="2"/>
      <c r="L95" s="2"/>
    </row>
    <row r="96" spans="1:12" ht="52.8" x14ac:dyDescent="0.3">
      <c r="A96" s="2" t="s">
        <v>162</v>
      </c>
      <c r="B96" s="2" t="str">
        <f>HYPERLINK("https://www.nbc11news.com/video/2023/07/06/amazon-announces-construction-mississippis-first-utility-scale-wind-farm/")</f>
        <v>https://www.nbc11news.com/video/2023/07/06/amazon-announces-construction-mississippis-first-utility-scale-wind-farm/</v>
      </c>
      <c r="C96" s="2"/>
      <c r="D96" s="2" t="s">
        <v>205</v>
      </c>
      <c r="E96" s="4">
        <v>45113</v>
      </c>
      <c r="F96" s="2"/>
      <c r="G96" s="2"/>
      <c r="H96" s="2">
        <v>0</v>
      </c>
      <c r="I96" s="2">
        <v>0</v>
      </c>
      <c r="J96" s="2">
        <v>0</v>
      </c>
      <c r="K96" s="2"/>
      <c r="L96" s="2"/>
    </row>
    <row r="97" spans="1:12" ht="52.8" x14ac:dyDescent="0.3">
      <c r="A97" s="2" t="s">
        <v>162</v>
      </c>
      <c r="B97" s="2" t="str">
        <f>HYPERLINK("https://www.newschannel10.com/video/2023/07/06/amazon-announces-construction-mississippis-first-utility-scale-wind-farm/")</f>
        <v>https://www.newschannel10.com/video/2023/07/06/amazon-announces-construction-mississippis-first-utility-scale-wind-farm/</v>
      </c>
      <c r="C97" s="2"/>
      <c r="D97" s="2" t="s">
        <v>206</v>
      </c>
      <c r="E97" s="4">
        <v>45113</v>
      </c>
      <c r="F97" s="2"/>
      <c r="G97" s="2">
        <v>126896</v>
      </c>
      <c r="H97" s="2">
        <v>0</v>
      </c>
      <c r="I97" s="2">
        <v>0</v>
      </c>
      <c r="J97" s="2">
        <v>0</v>
      </c>
      <c r="K97" s="2"/>
      <c r="L97" s="2"/>
    </row>
    <row r="98" spans="1:12" ht="52.8" x14ac:dyDescent="0.3">
      <c r="A98" s="2" t="s">
        <v>162</v>
      </c>
      <c r="B98" s="2" t="str">
        <f>HYPERLINK("https://www.uppermichiganssource.com/video/2023/07/06/amazon-announces-construction-mississippis-first-utility-scale-wind-farm/")</f>
        <v>https://www.uppermichiganssource.com/video/2023/07/06/amazon-announces-construction-mississippis-first-utility-scale-wind-farm/</v>
      </c>
      <c r="C98" s="2"/>
      <c r="D98" s="2" t="s">
        <v>207</v>
      </c>
      <c r="E98" s="4">
        <v>45113</v>
      </c>
      <c r="F98" s="2" t="s">
        <v>208</v>
      </c>
      <c r="G98" s="2">
        <v>326714</v>
      </c>
      <c r="H98" s="2">
        <v>0</v>
      </c>
      <c r="I98" s="2">
        <v>0</v>
      </c>
      <c r="J98" s="2">
        <v>0</v>
      </c>
      <c r="K98" s="2" t="s">
        <v>26</v>
      </c>
      <c r="L98" s="2"/>
    </row>
    <row r="99" spans="1:12" ht="52.8" x14ac:dyDescent="0.3">
      <c r="A99" s="2" t="s">
        <v>174</v>
      </c>
      <c r="B99" s="2" t="str">
        <f>HYPERLINK("https://www.wafb.com/video/2023/07/06/amazon-announces-construction-mississippis-first-utility-scale-wind-farm/")</f>
        <v>https://www.wafb.com/video/2023/07/06/amazon-announces-construction-mississippis-first-utility-scale-wind-farm/</v>
      </c>
      <c r="C99" s="2"/>
      <c r="D99" s="2" t="s">
        <v>209</v>
      </c>
      <c r="E99" s="4">
        <v>45113</v>
      </c>
      <c r="F99" s="2"/>
      <c r="G99" s="2">
        <v>723611</v>
      </c>
      <c r="H99" s="2">
        <v>0</v>
      </c>
      <c r="I99" s="2">
        <v>0</v>
      </c>
      <c r="J99" s="2">
        <v>0</v>
      </c>
      <c r="K99" s="2"/>
      <c r="L99" s="2"/>
    </row>
    <row r="100" spans="1:12" ht="52.8" x14ac:dyDescent="0.3">
      <c r="A100" s="2" t="s">
        <v>162</v>
      </c>
      <c r="B100" s="2" t="str">
        <f>HYPERLINK("https://www.live5news.com/video/2023/07/06/amazon-announces-construction-mississippis-first-utility-scale-wind-farm/")</f>
        <v>https://www.live5news.com/video/2023/07/06/amazon-announces-construction-mississippis-first-utility-scale-wind-farm/</v>
      </c>
      <c r="C100" s="2"/>
      <c r="D100" s="2" t="s">
        <v>210</v>
      </c>
      <c r="E100" s="4">
        <v>45113</v>
      </c>
      <c r="F100" s="2" t="s">
        <v>211</v>
      </c>
      <c r="G100" s="2">
        <v>759175</v>
      </c>
      <c r="H100" s="2">
        <v>0</v>
      </c>
      <c r="I100" s="2">
        <v>0</v>
      </c>
      <c r="J100" s="2">
        <v>0</v>
      </c>
      <c r="K100" s="2" t="s">
        <v>26</v>
      </c>
      <c r="L100" s="2"/>
    </row>
    <row r="101" spans="1:12" ht="52.8" x14ac:dyDescent="0.3">
      <c r="A101" s="2" t="s">
        <v>162</v>
      </c>
      <c r="B101" s="2" t="str">
        <f>HYPERLINK("https://www.wdam.com/video/2023/07/06/amazon-announces-construction-mississippis-first-utility-scale-wind-farm/")</f>
        <v>https://www.wdam.com/video/2023/07/06/amazon-announces-construction-mississippis-first-utility-scale-wind-farm/</v>
      </c>
      <c r="C101" s="2"/>
      <c r="D101" s="2" t="s">
        <v>167</v>
      </c>
      <c r="E101" s="4">
        <v>45113</v>
      </c>
      <c r="F101" s="2"/>
      <c r="G101" s="2">
        <v>141531</v>
      </c>
      <c r="H101" s="2">
        <v>0</v>
      </c>
      <c r="I101" s="2">
        <v>0</v>
      </c>
      <c r="J101" s="2">
        <v>0</v>
      </c>
      <c r="K101" s="2"/>
      <c r="L101" s="2"/>
    </row>
    <row r="102" spans="1:12" ht="52.8" x14ac:dyDescent="0.3">
      <c r="A102" s="2" t="s">
        <v>162</v>
      </c>
      <c r="B102" s="2" t="str">
        <f>HYPERLINK("https://www.kcbd.com/video/2023/07/06/amazon-announces-construction-mississippis-first-utility-scale-wind-farm/")</f>
        <v>https://www.kcbd.com/video/2023/07/06/amazon-announces-construction-mississippis-first-utility-scale-wind-farm/</v>
      </c>
      <c r="C102" s="2"/>
      <c r="D102" s="2" t="s">
        <v>212</v>
      </c>
      <c r="E102" s="4">
        <v>45113</v>
      </c>
      <c r="F102" s="2"/>
      <c r="G102" s="2">
        <v>244369</v>
      </c>
      <c r="H102" s="2">
        <v>0</v>
      </c>
      <c r="I102" s="2">
        <v>0</v>
      </c>
      <c r="J102" s="2">
        <v>0</v>
      </c>
      <c r="K102" s="2"/>
      <c r="L102" s="2"/>
    </row>
    <row r="103" spans="1:12" ht="52.8" x14ac:dyDescent="0.3">
      <c r="A103" s="2" t="s">
        <v>174</v>
      </c>
      <c r="B103" s="2" t="str">
        <f>HYPERLINK("https://www.wowt.com/video/2023/07/06/amazon-announces-construction-mississippis-first-utility-scale-wind-farm/")</f>
        <v>https://www.wowt.com/video/2023/07/06/amazon-announces-construction-mississippis-first-utility-scale-wind-farm/</v>
      </c>
      <c r="C103" s="2"/>
      <c r="D103" s="2" t="s">
        <v>213</v>
      </c>
      <c r="E103" s="4">
        <v>45113</v>
      </c>
      <c r="F103" s="2"/>
      <c r="G103" s="2">
        <v>648516</v>
      </c>
      <c r="H103" s="2">
        <v>0</v>
      </c>
      <c r="I103" s="2">
        <v>0</v>
      </c>
      <c r="J103" s="2">
        <v>0</v>
      </c>
      <c r="K103" s="2"/>
      <c r="L103" s="2"/>
    </row>
    <row r="104" spans="1:12" ht="52.8" x14ac:dyDescent="0.3">
      <c r="A104" s="2" t="s">
        <v>162</v>
      </c>
      <c r="B104" s="2" t="str">
        <f>HYPERLINK("https://www.14news.com/video/2023/07/06/amazon-announces-construction-mississippis-first-utility-scale-wind-farm/")</f>
        <v>https://www.14news.com/video/2023/07/06/amazon-announces-construction-mississippis-first-utility-scale-wind-farm/</v>
      </c>
      <c r="C104" s="2"/>
      <c r="D104" s="2" t="s">
        <v>214</v>
      </c>
      <c r="E104" s="4">
        <v>45113</v>
      </c>
      <c r="F104" s="2"/>
      <c r="G104" s="2">
        <v>372855</v>
      </c>
      <c r="H104" s="2">
        <v>0</v>
      </c>
      <c r="I104" s="2">
        <v>0</v>
      </c>
      <c r="J104" s="2">
        <v>0</v>
      </c>
      <c r="K104" s="2"/>
      <c r="L104" s="2"/>
    </row>
    <row r="105" spans="1:12" ht="52.8" x14ac:dyDescent="0.3">
      <c r="A105" s="2" t="s">
        <v>162</v>
      </c>
      <c r="B105" s="2" t="str">
        <f>HYPERLINK("https://www.wcjb.com/video/2023/07/06/amazon-announces-construction-mississippis-first-utility-scale-wind-farm/")</f>
        <v>https://www.wcjb.com/video/2023/07/06/amazon-announces-construction-mississippis-first-utility-scale-wind-farm/</v>
      </c>
      <c r="C105" s="2"/>
      <c r="D105" s="2" t="s">
        <v>215</v>
      </c>
      <c r="E105" s="4">
        <v>45113</v>
      </c>
      <c r="F105" s="2" t="s">
        <v>208</v>
      </c>
      <c r="G105" s="2">
        <v>599851</v>
      </c>
      <c r="H105" s="2">
        <v>0</v>
      </c>
      <c r="I105" s="2">
        <v>0</v>
      </c>
      <c r="J105" s="2">
        <v>0</v>
      </c>
      <c r="K105" s="2" t="s">
        <v>26</v>
      </c>
      <c r="L105" s="2"/>
    </row>
    <row r="106" spans="1:12" ht="52.8" x14ac:dyDescent="0.3">
      <c r="A106" s="2" t="s">
        <v>162</v>
      </c>
      <c r="B106" s="2" t="str">
        <f>HYPERLINK("https://www.wbtv.com/video/2023/07/06/amazon-announces-construction-mississippis-first-utility-scale-wind-farm/")</f>
        <v>https://www.wbtv.com/video/2023/07/06/amazon-announces-construction-mississippis-first-utility-scale-wind-farm/</v>
      </c>
      <c r="C106" s="2"/>
      <c r="D106" s="2" t="s">
        <v>216</v>
      </c>
      <c r="E106" s="4">
        <v>45113</v>
      </c>
      <c r="F106" s="2"/>
      <c r="G106" s="2">
        <v>1441665</v>
      </c>
      <c r="H106" s="2">
        <v>0</v>
      </c>
      <c r="I106" s="2">
        <v>0</v>
      </c>
      <c r="J106" s="2">
        <v>0</v>
      </c>
      <c r="K106" s="2"/>
      <c r="L106" s="2"/>
    </row>
    <row r="107" spans="1:12" ht="52.8" x14ac:dyDescent="0.3">
      <c r="A107" s="2" t="s">
        <v>162</v>
      </c>
      <c r="B107" s="2" t="str">
        <f>HYPERLINK("https://www.knoe.com/video/2023/07/06/amazon-announces-construction-mississippis-first-utility-scale-wind-farm/")</f>
        <v>https://www.knoe.com/video/2023/07/06/amazon-announces-construction-mississippis-first-utility-scale-wind-farm/</v>
      </c>
      <c r="C107" s="2"/>
      <c r="D107" s="2" t="s">
        <v>217</v>
      </c>
      <c r="E107" s="4">
        <v>45113</v>
      </c>
      <c r="F107" s="2"/>
      <c r="G107" s="2">
        <v>174072</v>
      </c>
      <c r="H107" s="2">
        <v>0</v>
      </c>
      <c r="I107" s="2">
        <v>0</v>
      </c>
      <c r="J107" s="2">
        <v>0</v>
      </c>
      <c r="K107" s="2"/>
      <c r="L107" s="2"/>
    </row>
    <row r="108" spans="1:12" ht="52.8" x14ac:dyDescent="0.3">
      <c r="A108" s="2" t="s">
        <v>162</v>
      </c>
      <c r="B108" s="2" t="str">
        <f>HYPERLINK("https://www.ksla.com/video/2023/07/06/amazon-announces-construction-mississippis-first-utility-scale-wind-farm/")</f>
        <v>https://www.ksla.com/video/2023/07/06/amazon-announces-construction-mississippis-first-utility-scale-wind-farm/</v>
      </c>
      <c r="C108" s="2"/>
      <c r="D108" s="2" t="s">
        <v>218</v>
      </c>
      <c r="E108" s="4">
        <v>45113</v>
      </c>
      <c r="F108" s="2"/>
      <c r="G108" s="2">
        <v>283645</v>
      </c>
      <c r="H108" s="2">
        <v>0</v>
      </c>
      <c r="I108" s="2">
        <v>0</v>
      </c>
      <c r="J108" s="2">
        <v>0</v>
      </c>
      <c r="K108" s="2"/>
      <c r="L108" s="2"/>
    </row>
    <row r="109" spans="1:12" ht="52.8" x14ac:dyDescent="0.3">
      <c r="A109" s="2" t="s">
        <v>174</v>
      </c>
      <c r="B109" s="2" t="str">
        <f>HYPERLINK("https://www.wtvm.com/video/2023/07/06/amazon-announces-construction-mississippis-first-utility-scale-wind-farm/")</f>
        <v>https://www.wtvm.com/video/2023/07/06/amazon-announces-construction-mississippis-first-utility-scale-wind-farm/</v>
      </c>
      <c r="C109" s="2"/>
      <c r="D109" s="2" t="s">
        <v>219</v>
      </c>
      <c r="E109" s="4">
        <v>45113</v>
      </c>
      <c r="F109" s="2"/>
      <c r="G109" s="2">
        <v>249236</v>
      </c>
      <c r="H109" s="2">
        <v>0</v>
      </c>
      <c r="I109" s="2">
        <v>0</v>
      </c>
      <c r="J109" s="2">
        <v>0</v>
      </c>
      <c r="K109" s="2"/>
      <c r="L109" s="2"/>
    </row>
    <row r="110" spans="1:12" ht="52.8" x14ac:dyDescent="0.3">
      <c r="A110" s="2" t="s">
        <v>162</v>
      </c>
      <c r="B110" s="2" t="str">
        <f>HYPERLINK("https://www.kgns.tv/video/2023/07/06/amazon-announces-construction-mississippis-first-utility-scale-wind-farm/")</f>
        <v>https://www.kgns.tv/video/2023/07/06/amazon-announces-construction-mississippis-first-utility-scale-wind-farm/</v>
      </c>
      <c r="C110" s="2"/>
      <c r="D110" s="2" t="s">
        <v>220</v>
      </c>
      <c r="E110" s="4">
        <v>45113</v>
      </c>
      <c r="F110" s="2" t="s">
        <v>221</v>
      </c>
      <c r="G110" s="2">
        <v>147837</v>
      </c>
      <c r="H110" s="2">
        <v>0</v>
      </c>
      <c r="I110" s="2">
        <v>0</v>
      </c>
      <c r="J110" s="2">
        <v>0</v>
      </c>
      <c r="K110" s="2" t="s">
        <v>26</v>
      </c>
      <c r="L110" s="2"/>
    </row>
    <row r="111" spans="1:12" ht="52.8" x14ac:dyDescent="0.3">
      <c r="A111" s="2" t="s">
        <v>162</v>
      </c>
      <c r="B111" s="2" t="str">
        <f>HYPERLINK("https://www.wlbt.com/video/2023/07/06/amazon-announces-construction-mississippis-first-utility-scale-wind-farm/")</f>
        <v>https://www.wlbt.com/video/2023/07/06/amazon-announces-construction-mississippis-first-utility-scale-wind-farm/</v>
      </c>
      <c r="C111" s="2"/>
      <c r="D111" s="2" t="s">
        <v>172</v>
      </c>
      <c r="E111" s="4">
        <v>45113</v>
      </c>
      <c r="F111" s="2"/>
      <c r="G111" s="2">
        <v>479183</v>
      </c>
      <c r="H111" s="2">
        <v>0</v>
      </c>
      <c r="I111" s="2">
        <v>0</v>
      </c>
      <c r="J111" s="2">
        <v>0</v>
      </c>
      <c r="K111" s="2"/>
      <c r="L111" s="2"/>
    </row>
    <row r="112" spans="1:12" ht="52.8" x14ac:dyDescent="0.3">
      <c r="A112" s="2" t="s">
        <v>162</v>
      </c>
      <c r="B112" s="2" t="str">
        <f>HYPERLINK("https://www.wilx.com/video/2023/07/06/amazon-announces-construction-mississippis-first-utility-scale-wind-farm/")</f>
        <v>https://www.wilx.com/video/2023/07/06/amazon-announces-construction-mississippis-first-utility-scale-wind-farm/</v>
      </c>
      <c r="C112" s="2"/>
      <c r="D112" s="2" t="s">
        <v>222</v>
      </c>
      <c r="E112" s="4">
        <v>45113</v>
      </c>
      <c r="F112" s="2"/>
      <c r="G112" s="2">
        <v>582449</v>
      </c>
      <c r="H112" s="2">
        <v>0</v>
      </c>
      <c r="I112" s="2">
        <v>0</v>
      </c>
      <c r="J112" s="2">
        <v>0</v>
      </c>
      <c r="K112" s="2"/>
      <c r="L112" s="2"/>
    </row>
    <row r="113" spans="1:12" ht="52.8" x14ac:dyDescent="0.3">
      <c r="A113" s="2" t="s">
        <v>174</v>
      </c>
      <c r="B113" s="2" t="str">
        <f>HYPERLINK("https://www.wave3.com/video/2023/07/06/amazon-announces-construction-mississippis-first-utility-scale-wind-farm/")</f>
        <v>https://www.wave3.com/video/2023/07/06/amazon-announces-construction-mississippis-first-utility-scale-wind-farm/</v>
      </c>
      <c r="C113" s="2"/>
      <c r="D113" s="2" t="s">
        <v>223</v>
      </c>
      <c r="E113" s="4">
        <v>45113</v>
      </c>
      <c r="F113" s="2"/>
      <c r="G113" s="2">
        <v>596642</v>
      </c>
      <c r="H113" s="2">
        <v>0</v>
      </c>
      <c r="I113" s="2">
        <v>0</v>
      </c>
      <c r="J113" s="2">
        <v>0</v>
      </c>
      <c r="K113" s="2"/>
      <c r="L113" s="2"/>
    </row>
    <row r="114" spans="1:12" ht="52.8" x14ac:dyDescent="0.3">
      <c r="A114" s="2" t="s">
        <v>162</v>
      </c>
      <c r="B114" s="2" t="str">
        <f>HYPERLINK("https://www.wibw.com/video/2023/07/06/amazon-announces-construction-mississippis-first-utility-scale-wind-farm/")</f>
        <v>https://www.wibw.com/video/2023/07/06/amazon-announces-construction-mississippis-first-utility-scale-wind-farm/</v>
      </c>
      <c r="C114" s="2"/>
      <c r="D114" s="2" t="s">
        <v>224</v>
      </c>
      <c r="E114" s="4">
        <v>45113</v>
      </c>
      <c r="F114" s="2" t="s">
        <v>225</v>
      </c>
      <c r="G114" s="2">
        <v>730671</v>
      </c>
      <c r="H114" s="2">
        <v>0</v>
      </c>
      <c r="I114" s="2">
        <v>0</v>
      </c>
      <c r="J114" s="2">
        <v>0</v>
      </c>
      <c r="K114" s="2" t="s">
        <v>26</v>
      </c>
      <c r="L114" s="2"/>
    </row>
    <row r="115" spans="1:12" ht="52.8" x14ac:dyDescent="0.3">
      <c r="A115" s="2" t="s">
        <v>162</v>
      </c>
      <c r="B115" s="2" t="str">
        <f>HYPERLINK("https://www.wdtv.com/video/2023/07/06/amazon-announces-construction-mississippis-first-utility-scale-wind-farm/")</f>
        <v>https://www.wdtv.com/video/2023/07/06/amazon-announces-construction-mississippis-first-utility-scale-wind-farm/</v>
      </c>
      <c r="C115" s="2"/>
      <c r="D115" s="2" t="s">
        <v>226</v>
      </c>
      <c r="E115" s="4">
        <v>45113</v>
      </c>
      <c r="F115" s="2"/>
      <c r="G115" s="2">
        <v>231234</v>
      </c>
      <c r="H115" s="2">
        <v>0</v>
      </c>
      <c r="I115" s="2">
        <v>0</v>
      </c>
      <c r="J115" s="2">
        <v>0</v>
      </c>
      <c r="K115" s="2"/>
      <c r="L115" s="2"/>
    </row>
    <row r="116" spans="1:12" ht="52.8" x14ac:dyDescent="0.3">
      <c r="A116" s="2" t="s">
        <v>162</v>
      </c>
      <c r="B116" s="2" t="str">
        <f>HYPERLINK("https://www.wbrc.com/video/2023/07/06/amazon-announces-construction-mississippis-first-utility-scale-wind-farm/")</f>
        <v>https://www.wbrc.com/video/2023/07/06/amazon-announces-construction-mississippis-first-utility-scale-wind-farm/</v>
      </c>
      <c r="C116" s="2"/>
      <c r="D116" s="2" t="s">
        <v>227</v>
      </c>
      <c r="E116" s="4">
        <v>45113</v>
      </c>
      <c r="F116" s="2"/>
      <c r="G116" s="2">
        <v>972903</v>
      </c>
      <c r="H116" s="2">
        <v>0</v>
      </c>
      <c r="I116" s="2">
        <v>0</v>
      </c>
      <c r="J116" s="2">
        <v>0</v>
      </c>
      <c r="K116" s="2"/>
      <c r="L116" s="2"/>
    </row>
    <row r="117" spans="1:12" ht="118.8" x14ac:dyDescent="0.3">
      <c r="A117" s="2" t="s">
        <v>228</v>
      </c>
      <c r="B117" s="2" t="str">
        <f>HYPERLINK("https://www.nprillinois.org/illinois/2023-06-30/dewitt-county-wind-farm-that-helps-power-meta-goes-online")</f>
        <v>https://www.nprillinois.org/illinois/2023-06-30/dewitt-county-wind-farm-that-helps-power-meta-goes-online</v>
      </c>
      <c r="C117" s="2" t="s">
        <v>229</v>
      </c>
      <c r="D117" s="2" t="s">
        <v>230</v>
      </c>
      <c r="E117" s="4">
        <v>45107.727407407408</v>
      </c>
      <c r="F117" s="2" t="s">
        <v>231</v>
      </c>
      <c r="G117" s="2">
        <v>62141</v>
      </c>
      <c r="H117" s="2">
        <v>0</v>
      </c>
      <c r="I117" s="2">
        <v>0</v>
      </c>
      <c r="J117" s="2">
        <v>0</v>
      </c>
      <c r="K117" s="2" t="s">
        <v>26</v>
      </c>
      <c r="L117" s="2"/>
    </row>
    <row r="118" spans="1:12" ht="118.8" x14ac:dyDescent="0.3">
      <c r="A118" s="2" t="s">
        <v>228</v>
      </c>
      <c r="B118" s="2" t="str">
        <f>HYPERLINK("https://www.wsiu.org/state-of-illinois/2023-06-30/dewitt-county-wind-farm-that-helps-power-meta-goes-online")</f>
        <v>https://www.wsiu.org/state-of-illinois/2023-06-30/dewitt-county-wind-farm-that-helps-power-meta-goes-online</v>
      </c>
      <c r="C118" s="2" t="s">
        <v>229</v>
      </c>
      <c r="D118" s="2" t="s">
        <v>232</v>
      </c>
      <c r="E118" s="4">
        <v>45107.712395833332</v>
      </c>
      <c r="F118" s="2" t="s">
        <v>231</v>
      </c>
      <c r="G118" s="2">
        <v>30463</v>
      </c>
      <c r="H118" s="2">
        <v>0</v>
      </c>
      <c r="I118" s="2">
        <v>0</v>
      </c>
      <c r="J118" s="2">
        <v>0</v>
      </c>
      <c r="K118" s="2" t="s">
        <v>26</v>
      </c>
      <c r="L118" s="2"/>
    </row>
    <row r="119" spans="1:12" ht="118.8" x14ac:dyDescent="0.3">
      <c r="A119" s="2" t="s">
        <v>228</v>
      </c>
      <c r="B119" s="2" t="str">
        <f>HYPERLINK("https://www.wvik.org/illinois/2023-06-30/dewitt-county-wind-farm-that-helps-power-meta-goes-online")</f>
        <v>https://www.wvik.org/illinois/2023-06-30/dewitt-county-wind-farm-that-helps-power-meta-goes-online</v>
      </c>
      <c r="C119" s="2" t="s">
        <v>229</v>
      </c>
      <c r="D119" s="2" t="s">
        <v>233</v>
      </c>
      <c r="E119" s="4">
        <v>45107.711006944453</v>
      </c>
      <c r="F119" s="2" t="s">
        <v>231</v>
      </c>
      <c r="G119" s="2">
        <v>9253</v>
      </c>
      <c r="H119" s="2">
        <v>0</v>
      </c>
      <c r="I119" s="2">
        <v>0</v>
      </c>
      <c r="J119" s="2">
        <v>0</v>
      </c>
      <c r="K119" s="2" t="s">
        <v>26</v>
      </c>
      <c r="L119" s="2"/>
    </row>
    <row r="120" spans="1:12" ht="118.8" x14ac:dyDescent="0.3">
      <c r="A120" s="2" t="s">
        <v>228</v>
      </c>
      <c r="B120" s="2" t="str">
        <f>HYPERLINK("https://www.northernpublicradio.org/illinois/2023-06-30/dewitt-county-wind-farm-that-helps-power-meta-goes-online")</f>
        <v>https://www.northernpublicradio.org/illinois/2023-06-30/dewitt-county-wind-farm-that-helps-power-meta-goes-online</v>
      </c>
      <c r="C120" s="2" t="s">
        <v>229</v>
      </c>
      <c r="D120" s="2" t="s">
        <v>234</v>
      </c>
      <c r="E120" s="4">
        <v>45107.70957175926</v>
      </c>
      <c r="F120" s="2" t="s">
        <v>231</v>
      </c>
      <c r="G120" s="2">
        <v>25500</v>
      </c>
      <c r="H120" s="2">
        <v>0</v>
      </c>
      <c r="I120" s="2">
        <v>0</v>
      </c>
      <c r="J120" s="2">
        <v>0</v>
      </c>
      <c r="K120" s="2" t="s">
        <v>26</v>
      </c>
      <c r="L120" s="2"/>
    </row>
    <row r="121" spans="1:12" ht="118.8" x14ac:dyDescent="0.3">
      <c r="A121" s="2" t="s">
        <v>228</v>
      </c>
      <c r="B121" s="2" t="str">
        <f>HYPERLINK("https://www.tspr.org/illinois-public-radio/2023-06-30/dewitt-county-wind-farm-that-helps-power-meta-goes-online")</f>
        <v>https://www.tspr.org/illinois-public-radio/2023-06-30/dewitt-county-wind-farm-that-helps-power-meta-goes-online</v>
      </c>
      <c r="C121" s="2" t="s">
        <v>229</v>
      </c>
      <c r="D121" s="2" t="s">
        <v>235</v>
      </c>
      <c r="E121" s="4">
        <v>45107.708923611113</v>
      </c>
      <c r="F121" s="2" t="s">
        <v>231</v>
      </c>
      <c r="G121" s="2">
        <v>7896</v>
      </c>
      <c r="H121" s="2">
        <v>0</v>
      </c>
      <c r="I121" s="2">
        <v>0</v>
      </c>
      <c r="J121" s="2">
        <v>0</v>
      </c>
      <c r="K121" s="2" t="s">
        <v>26</v>
      </c>
      <c r="L121" s="2"/>
    </row>
    <row r="122" spans="1:12" ht="105.6" x14ac:dyDescent="0.3">
      <c r="A122" s="2" t="s">
        <v>236</v>
      </c>
      <c r="B122" s="2" t="str">
        <f>HYPERLINK("https://www.nacleanenergy.com/wind/enel-begins-operating-alta-farms-wind-farm-generating-clean-power-for-meta-in-illinois")</f>
        <v>https://www.nacleanenergy.com/wind/enel-begins-operating-alta-farms-wind-farm-generating-clean-power-for-meta-in-illinois</v>
      </c>
      <c r="C122" s="2"/>
      <c r="D122" s="2" t="s">
        <v>74</v>
      </c>
      <c r="E122" s="4">
        <v>45098.465185185189</v>
      </c>
      <c r="F122" s="2" t="s">
        <v>237</v>
      </c>
      <c r="G122" s="2">
        <v>3625</v>
      </c>
      <c r="H122" s="2">
        <v>0</v>
      </c>
      <c r="I122" s="2">
        <v>0</v>
      </c>
      <c r="J122" s="2">
        <v>0</v>
      </c>
      <c r="K122" s="2" t="s">
        <v>26</v>
      </c>
      <c r="L122" s="2"/>
    </row>
    <row r="123" spans="1:12" ht="39.6" x14ac:dyDescent="0.3">
      <c r="A123" s="2" t="s">
        <v>238</v>
      </c>
      <c r="B123" s="2" t="str">
        <f>HYPERLINK("https://article.wn.com/view/2023/06/01/Cordelio_seals_funds_for_171MW_Illinois_wind_farm_to_power_M/")</f>
        <v>https://article.wn.com/view/2023/06/01/Cordelio_seals_funds_for_171MW_Illinois_wind_farm_to_power_M/</v>
      </c>
      <c r="C123" s="2"/>
      <c r="D123" s="2" t="s">
        <v>45</v>
      </c>
      <c r="E123" s="4">
        <v>45077.833333333343</v>
      </c>
      <c r="F123" s="2"/>
      <c r="G123" s="2">
        <v>345494</v>
      </c>
      <c r="H123" s="2">
        <v>0</v>
      </c>
      <c r="I123" s="2">
        <v>0</v>
      </c>
      <c r="J123" s="2">
        <v>0</v>
      </c>
      <c r="K123" s="2"/>
      <c r="L123" s="2"/>
    </row>
    <row r="124" spans="1:12" ht="79.2" x14ac:dyDescent="0.3">
      <c r="A124" s="2" t="s">
        <v>239</v>
      </c>
      <c r="B124" s="2" t="str">
        <f>HYPERLINK("https://rmi.muckrack.com/link/yh7jha/hydrogen-company-to-build-in-michigan-work-with-gm")</f>
        <v>https://rmi.muckrack.com/link/yh7jha/hydrogen-company-to-build-in-michigan-work-with-gm</v>
      </c>
      <c r="C124" s="2"/>
      <c r="D124" s="2" t="s">
        <v>240</v>
      </c>
      <c r="E124" s="4">
        <v>45055.333333333343</v>
      </c>
      <c r="F124" s="2" t="s">
        <v>241</v>
      </c>
      <c r="G124" s="2"/>
      <c r="H124" s="2">
        <v>0</v>
      </c>
      <c r="I124" s="2">
        <v>0</v>
      </c>
      <c r="J124" s="2">
        <v>0</v>
      </c>
      <c r="K124" s="2" t="s">
        <v>26</v>
      </c>
      <c r="L124" s="2"/>
    </row>
    <row r="125" spans="1:12" ht="79.2" x14ac:dyDescent="0.3">
      <c r="A125" s="2" t="s">
        <v>239</v>
      </c>
      <c r="B125" s="2" t="str">
        <f>HYPERLINK("https://rmi.muckrack.com/link/yhddcL/hydrogen-company-to-build-in-michigan-work-with-gm")</f>
        <v>https://rmi.muckrack.com/link/yhddcL/hydrogen-company-to-build-in-michigan-work-with-gm</v>
      </c>
      <c r="C125" s="2"/>
      <c r="D125" s="2" t="s">
        <v>242</v>
      </c>
      <c r="E125" s="4">
        <v>45055.333333333343</v>
      </c>
      <c r="F125" s="2" t="s">
        <v>241</v>
      </c>
      <c r="G125" s="2"/>
      <c r="H125" s="2">
        <v>0</v>
      </c>
      <c r="I125" s="2">
        <v>0</v>
      </c>
      <c r="J125" s="2">
        <v>0</v>
      </c>
      <c r="K125" s="2" t="s">
        <v>26</v>
      </c>
      <c r="L125" s="2"/>
    </row>
    <row r="126" spans="1:12" ht="79.2" x14ac:dyDescent="0.3">
      <c r="A126" s="2" t="s">
        <v>239</v>
      </c>
      <c r="B126" s="2" t="str">
        <f>HYPERLINK("https://rmi.muckrack.com/link/yh7Al6/hydrogen-company-to-build-in-michigan-work-with-gm")</f>
        <v>https://rmi.muckrack.com/link/yh7Al6/hydrogen-company-to-build-in-michigan-work-with-gm</v>
      </c>
      <c r="C126" s="2"/>
      <c r="D126" s="2" t="s">
        <v>243</v>
      </c>
      <c r="E126" s="4">
        <v>45055.333333333343</v>
      </c>
      <c r="F126" s="2" t="s">
        <v>241</v>
      </c>
      <c r="G126" s="2"/>
      <c r="H126" s="2">
        <v>0</v>
      </c>
      <c r="I126" s="2">
        <v>0</v>
      </c>
      <c r="J126" s="2">
        <v>0</v>
      </c>
      <c r="K126" s="2" t="s">
        <v>26</v>
      </c>
      <c r="L126" s="2"/>
    </row>
    <row r="127" spans="1:12" ht="79.2" x14ac:dyDescent="0.3">
      <c r="A127" s="2" t="s">
        <v>239</v>
      </c>
      <c r="B127" s="2" t="str">
        <f>HYPERLINK("https://rmi.muckrack.com/link/yhZ6Qw/hydrogen-company-to-build-in-michigan-work-with-gm")</f>
        <v>https://rmi.muckrack.com/link/yhZ6Qw/hydrogen-company-to-build-in-michigan-work-with-gm</v>
      </c>
      <c r="C127" s="2"/>
      <c r="D127" s="2" t="s">
        <v>244</v>
      </c>
      <c r="E127" s="4">
        <v>45055.276539351849</v>
      </c>
      <c r="F127" s="2" t="s">
        <v>241</v>
      </c>
      <c r="G127" s="2"/>
      <c r="H127" s="2">
        <v>0</v>
      </c>
      <c r="I127" s="2">
        <v>0</v>
      </c>
      <c r="J127" s="2">
        <v>0</v>
      </c>
      <c r="K127" s="2" t="s">
        <v>26</v>
      </c>
      <c r="L127" s="2"/>
    </row>
    <row r="128" spans="1:12" ht="79.2" x14ac:dyDescent="0.3">
      <c r="A128" s="2" t="s">
        <v>245</v>
      </c>
      <c r="B128" s="2" t="str">
        <f>HYPERLINK("https://www.heraldstandard.com/news/national/going-green-nel-hydrogen-to-build-in-michigan-work-with-gm/article_dcdcb898-2bdb-59ce-a070-7ed213ee777d.html")</f>
        <v>https://www.heraldstandard.com/news/national/going-green-nel-hydrogen-to-build-in-michigan-work-with-gm/article_dcdcb898-2bdb-59ce-a070-7ed213ee777d.html</v>
      </c>
      <c r="C128" s="2" t="s">
        <v>246</v>
      </c>
      <c r="D128" s="2" t="s">
        <v>247</v>
      </c>
      <c r="E128" s="4">
        <v>45053.719189814823</v>
      </c>
      <c r="F128" s="2" t="s">
        <v>248</v>
      </c>
      <c r="G128" s="2">
        <v>51159</v>
      </c>
      <c r="H128" s="2">
        <v>0</v>
      </c>
      <c r="I128" s="2">
        <v>0</v>
      </c>
      <c r="J128" s="2">
        <v>0</v>
      </c>
      <c r="K128" s="2" t="s">
        <v>26</v>
      </c>
      <c r="L128" s="2"/>
    </row>
    <row r="129" spans="1:12" ht="79.2" x14ac:dyDescent="0.3">
      <c r="A129" s="2" t="s">
        <v>249</v>
      </c>
      <c r="B129" s="2" t="str">
        <f>HYPERLINK("https://finance-commerce.com/2023/05/nel-hydrogen-to-build-in-michigan-work-with-gm-to-lower-costs/")</f>
        <v>https://finance-commerce.com/2023/05/nel-hydrogen-to-build-in-michigan-work-with-gm-to-lower-costs/</v>
      </c>
      <c r="C129" s="2"/>
      <c r="D129" s="2" t="s">
        <v>250</v>
      </c>
      <c r="E129" s="4">
        <v>45050.690300925933</v>
      </c>
      <c r="F129" s="2" t="s">
        <v>248</v>
      </c>
      <c r="G129" s="2">
        <v>58348</v>
      </c>
      <c r="H129" s="2">
        <v>0</v>
      </c>
      <c r="I129" s="2">
        <v>0</v>
      </c>
      <c r="J129" s="2">
        <v>0</v>
      </c>
      <c r="K129" s="2" t="s">
        <v>143</v>
      </c>
      <c r="L129" s="2"/>
    </row>
    <row r="130" spans="1:12" ht="79.2" x14ac:dyDescent="0.3">
      <c r="A130" s="2" t="s">
        <v>251</v>
      </c>
      <c r="B130" s="2" t="str">
        <f>HYPERLINK("https://www.ien.com/operations/news/22860949/nel-hydrogen-plans-massive-michigan-plant-work-with-gm")</f>
        <v>https://www.ien.com/operations/news/22860949/nel-hydrogen-plans-massive-michigan-plant-work-with-gm</v>
      </c>
      <c r="C130" s="2" t="s">
        <v>246</v>
      </c>
      <c r="D130" s="2" t="s">
        <v>252</v>
      </c>
      <c r="E130" s="4">
        <v>45050.497199074067</v>
      </c>
      <c r="F130" s="2" t="s">
        <v>248</v>
      </c>
      <c r="G130" s="2">
        <v>17671</v>
      </c>
      <c r="H130" s="2">
        <v>0</v>
      </c>
      <c r="I130" s="2">
        <v>0</v>
      </c>
      <c r="J130" s="2">
        <v>17</v>
      </c>
      <c r="K130" s="2" t="s">
        <v>26</v>
      </c>
      <c r="L130" s="2"/>
    </row>
    <row r="131" spans="1:12" ht="79.2" x14ac:dyDescent="0.3">
      <c r="A131" s="2" t="s">
        <v>251</v>
      </c>
      <c r="B131" s="2" t="str">
        <f>HYPERLINK("https://www.manufacturing.net/operations/news/22860949/nel-hydrogen-plans-massive-michigan-plant-work-with-gm")</f>
        <v>https://www.manufacturing.net/operations/news/22860949/nel-hydrogen-plans-massive-michigan-plant-work-with-gm</v>
      </c>
      <c r="C131" s="2" t="s">
        <v>246</v>
      </c>
      <c r="D131" s="2" t="s">
        <v>253</v>
      </c>
      <c r="E131" s="4">
        <v>45050.49491898148</v>
      </c>
      <c r="F131" s="2" t="s">
        <v>248</v>
      </c>
      <c r="G131" s="2">
        <v>47426</v>
      </c>
      <c r="H131" s="2">
        <v>0</v>
      </c>
      <c r="I131" s="2">
        <v>0</v>
      </c>
      <c r="J131" s="2">
        <v>12</v>
      </c>
      <c r="K131" s="2" t="s">
        <v>26</v>
      </c>
      <c r="L131" s="2"/>
    </row>
    <row r="132" spans="1:12" ht="79.2" x14ac:dyDescent="0.3">
      <c r="A132" s="2" t="s">
        <v>251</v>
      </c>
      <c r="B132" s="2" t="str">
        <f>HYPERLINK("https://www.mbtmag.com/business-intelligence/news/22860949/nel-hydrogen-plans-massive-michigan-plant-work-with-gm")</f>
        <v>https://www.mbtmag.com/business-intelligence/news/22860949/nel-hydrogen-plans-massive-michigan-plant-work-with-gm</v>
      </c>
      <c r="C132" s="2" t="s">
        <v>246</v>
      </c>
      <c r="D132" s="2" t="s">
        <v>254</v>
      </c>
      <c r="E132" s="4">
        <v>45050.49491898148</v>
      </c>
      <c r="F132" s="2" t="s">
        <v>248</v>
      </c>
      <c r="G132" s="2">
        <v>5763</v>
      </c>
      <c r="H132" s="2">
        <v>0</v>
      </c>
      <c r="I132" s="2">
        <v>0</v>
      </c>
      <c r="J132" s="2">
        <v>0</v>
      </c>
      <c r="K132" s="2" t="s">
        <v>26</v>
      </c>
      <c r="L132" s="2"/>
    </row>
    <row r="133" spans="1:12" ht="79.2" x14ac:dyDescent="0.3">
      <c r="A133" s="2" t="s">
        <v>251</v>
      </c>
      <c r="B133" s="2" t="str">
        <f>HYPERLINK("https://www.impomag.com/operations/news/22860949/nel-hydrogen-plans-massive-michigan-plant-work-with-gm")</f>
        <v>https://www.impomag.com/operations/news/22860949/nel-hydrogen-plans-massive-michigan-plant-work-with-gm</v>
      </c>
      <c r="C133" s="2" t="s">
        <v>246</v>
      </c>
      <c r="D133" s="2" t="s">
        <v>255</v>
      </c>
      <c r="E133" s="4">
        <v>45050.49491898148</v>
      </c>
      <c r="F133" s="2" t="s">
        <v>248</v>
      </c>
      <c r="G133" s="2">
        <v>3309</v>
      </c>
      <c r="H133" s="2">
        <v>0</v>
      </c>
      <c r="I133" s="2">
        <v>0</v>
      </c>
      <c r="J133" s="2">
        <v>0</v>
      </c>
      <c r="K133" s="2" t="s">
        <v>26</v>
      </c>
      <c r="L133" s="2"/>
    </row>
    <row r="134" spans="1:12" ht="105.6" x14ac:dyDescent="0.3">
      <c r="A134" s="2" t="s">
        <v>245</v>
      </c>
      <c r="B134" s="2" t="str">
        <f>HYPERLINK("https://www.power-grid.com/der-grid-edge/going-green-nel-hydrogen-to-build-in-michigan-work-with-gm/")</f>
        <v>https://www.power-grid.com/der-grid-edge/going-green-nel-hydrogen-to-build-in-michigan-work-with-gm/</v>
      </c>
      <c r="C134" s="2" t="s">
        <v>246</v>
      </c>
      <c r="D134" s="2" t="s">
        <v>256</v>
      </c>
      <c r="E134" s="4">
        <v>45050.408761574072</v>
      </c>
      <c r="F134" s="2" t="s">
        <v>257</v>
      </c>
      <c r="G134" s="2">
        <v>15190</v>
      </c>
      <c r="H134" s="2">
        <v>0</v>
      </c>
      <c r="I134" s="2">
        <v>0</v>
      </c>
      <c r="J134" s="2">
        <v>54</v>
      </c>
      <c r="K134" s="2" t="s">
        <v>26</v>
      </c>
      <c r="L134" s="2"/>
    </row>
    <row r="135" spans="1:12" ht="79.2" x14ac:dyDescent="0.3">
      <c r="A135" s="2" t="s">
        <v>258</v>
      </c>
      <c r="B135" s="2" t="str">
        <f>HYPERLINK("https://rmi.muckrack.com/link/yhp5aW/nel-hydrogen-to-build-in-michigan-work-with-gm")</f>
        <v>https://rmi.muckrack.com/link/yhp5aW/nel-hydrogen-to-build-in-michigan-work-with-gm</v>
      </c>
      <c r="C135" s="2"/>
      <c r="D135" s="2" t="s">
        <v>259</v>
      </c>
      <c r="E135" s="4">
        <v>45050.333333333343</v>
      </c>
      <c r="F135" s="2" t="s">
        <v>248</v>
      </c>
      <c r="G135" s="2"/>
      <c r="H135" s="2">
        <v>0</v>
      </c>
      <c r="I135" s="2">
        <v>0</v>
      </c>
      <c r="J135" s="2">
        <v>0</v>
      </c>
      <c r="K135" s="2" t="s">
        <v>26</v>
      </c>
      <c r="L135" s="2"/>
    </row>
    <row r="136" spans="1:12" ht="105.6" x14ac:dyDescent="0.3">
      <c r="A136" s="2" t="s">
        <v>260</v>
      </c>
      <c r="B136" s="2" t="s">
        <v>261</v>
      </c>
      <c r="C136" s="2"/>
      <c r="D136" s="2" t="s">
        <v>262</v>
      </c>
      <c r="E136" s="4">
        <v>45050.262499999997</v>
      </c>
      <c r="F136" s="2" t="s">
        <v>248</v>
      </c>
      <c r="G136" s="2"/>
      <c r="H136" s="2">
        <v>0</v>
      </c>
      <c r="I136" s="2">
        <v>0</v>
      </c>
      <c r="J136" s="2">
        <v>0</v>
      </c>
      <c r="K136" s="2" t="s">
        <v>26</v>
      </c>
      <c r="L136" s="2"/>
    </row>
    <row r="137" spans="1:12" ht="92.4" x14ac:dyDescent="0.3">
      <c r="A137" s="2" t="s">
        <v>245</v>
      </c>
      <c r="B137" s="2" t="str">
        <f>HYPERLINK("https://legalnews.com/oakland/1522812/")</f>
        <v>https://legalnews.com/oakland/1522812/</v>
      </c>
      <c r="C137" s="2" t="s">
        <v>246</v>
      </c>
      <c r="D137" s="2" t="s">
        <v>263</v>
      </c>
      <c r="E137" s="4">
        <v>45050</v>
      </c>
      <c r="F137" s="2" t="s">
        <v>264</v>
      </c>
      <c r="G137" s="2">
        <v>19649</v>
      </c>
      <c r="H137" s="2">
        <v>0</v>
      </c>
      <c r="I137" s="2">
        <v>0</v>
      </c>
      <c r="J137" s="2">
        <v>0</v>
      </c>
      <c r="K137" s="2" t="s">
        <v>26</v>
      </c>
      <c r="L137" s="2"/>
    </row>
    <row r="138" spans="1:12" ht="92.4" x14ac:dyDescent="0.3">
      <c r="A138" s="2" t="s">
        <v>245</v>
      </c>
      <c r="B138" s="2" t="str">
        <f>HYPERLINK("https://www.miningjournal.net/news/2023/05/going-green-nel-hydrogen-to-build-in-michigan-work-with-gm/")</f>
        <v>https://www.miningjournal.net/news/2023/05/going-green-nel-hydrogen-to-build-in-michigan-work-with-gm/</v>
      </c>
      <c r="C138" s="2"/>
      <c r="D138" s="2" t="s">
        <v>265</v>
      </c>
      <c r="E138" s="4">
        <v>45050</v>
      </c>
      <c r="F138" s="2" t="s">
        <v>266</v>
      </c>
      <c r="G138" s="2">
        <v>59392</v>
      </c>
      <c r="H138" s="2">
        <v>0</v>
      </c>
      <c r="I138" s="2">
        <v>0</v>
      </c>
      <c r="J138" s="2">
        <v>0</v>
      </c>
      <c r="K138" s="2" t="s">
        <v>26</v>
      </c>
      <c r="L138" s="2"/>
    </row>
    <row r="139" spans="1:12" ht="79.2" x14ac:dyDescent="0.3">
      <c r="A139" s="2" t="s">
        <v>245</v>
      </c>
      <c r="B139" s="2" t="str">
        <f>HYPERLINK("https://www.wtol.com/article/news/state/going-green-nel-hydrogen-to-build-in-michigan-work-with-general-motors/69-139a39be-3670-4e92-892b-514a046edfd5")</f>
        <v>https://www.wtol.com/article/news/state/going-green-nel-hydrogen-to-build-in-michigan-work-with-general-motors/69-139a39be-3670-4e92-892b-514a046edfd5</v>
      </c>
      <c r="C139" s="2"/>
      <c r="D139" s="2" t="s">
        <v>267</v>
      </c>
      <c r="E139" s="4">
        <v>45050</v>
      </c>
      <c r="F139" s="2" t="s">
        <v>268</v>
      </c>
      <c r="G139" s="2">
        <v>532082</v>
      </c>
      <c r="H139" s="2">
        <v>0</v>
      </c>
      <c r="I139" s="2">
        <v>0</v>
      </c>
      <c r="J139" s="2">
        <v>16</v>
      </c>
      <c r="K139" s="2" t="s">
        <v>26</v>
      </c>
      <c r="L139" s="2"/>
    </row>
    <row r="140" spans="1:12" ht="79.2" x14ac:dyDescent="0.3">
      <c r="A140" s="2" t="s">
        <v>258</v>
      </c>
      <c r="B140" s="2" t="str">
        <f>HYPERLINK("https://www.mininggazette.com/news/2023/05/nel-hydrogen-to-build-in-michigan-work-with-gm/")</f>
        <v>https://www.mininggazette.com/news/2023/05/nel-hydrogen-to-build-in-michigan-work-with-gm/</v>
      </c>
      <c r="C140" s="2"/>
      <c r="D140" s="2" t="s">
        <v>269</v>
      </c>
      <c r="E140" s="4">
        <v>45050</v>
      </c>
      <c r="F140" s="2" t="s">
        <v>248</v>
      </c>
      <c r="G140" s="2">
        <v>32553</v>
      </c>
      <c r="H140" s="2">
        <v>0</v>
      </c>
      <c r="I140" s="2">
        <v>0</v>
      </c>
      <c r="J140" s="2">
        <v>0</v>
      </c>
      <c r="K140" s="2" t="s">
        <v>26</v>
      </c>
      <c r="L140" s="2"/>
    </row>
    <row r="141" spans="1:12" ht="118.8" x14ac:dyDescent="0.3">
      <c r="A141" s="2" t="s">
        <v>245</v>
      </c>
      <c r="B141" s="2" t="str">
        <f>HYPERLINK("https://www.wzzm13.com/article/news/local/going-green-nel-hydrogen-to-build-in-michigan-work-with-general-motors/69-139a39be-3670-4e92-892b-514a046edfd5")</f>
        <v>https://www.wzzm13.com/article/news/local/going-green-nel-hydrogen-to-build-in-michigan-work-with-general-motors/69-139a39be-3670-4e92-892b-514a046edfd5</v>
      </c>
      <c r="C141" s="2"/>
      <c r="D141" s="2" t="s">
        <v>270</v>
      </c>
      <c r="E141" s="4">
        <v>45050</v>
      </c>
      <c r="F141" s="2" t="s">
        <v>271</v>
      </c>
      <c r="G141" s="2">
        <v>698098</v>
      </c>
      <c r="H141" s="2">
        <v>0</v>
      </c>
      <c r="I141" s="2">
        <v>0</v>
      </c>
      <c r="J141" s="2">
        <v>24</v>
      </c>
      <c r="K141" s="2" t="s">
        <v>26</v>
      </c>
      <c r="L141" s="2"/>
    </row>
    <row r="142" spans="1:12" ht="52.8" x14ac:dyDescent="0.3">
      <c r="A142" s="2" t="s">
        <v>258</v>
      </c>
      <c r="B142" s="2" t="str">
        <f>HYPERLINK("https://www.cbsnews.com/detroit/video/going-green-nel-hydrogen-to-build-in-michigan-work-with-gm/")</f>
        <v>https://www.cbsnews.com/detroit/video/going-green-nel-hydrogen-to-build-in-michigan-work-with-gm/</v>
      </c>
      <c r="C142" s="2"/>
      <c r="D142" s="2" t="s">
        <v>272</v>
      </c>
      <c r="E142" s="4">
        <v>45049.978310185194</v>
      </c>
      <c r="F142" s="2" t="s">
        <v>273</v>
      </c>
      <c r="G142" s="2">
        <v>43092355</v>
      </c>
      <c r="H142" s="2">
        <v>0</v>
      </c>
      <c r="I142" s="2">
        <v>0</v>
      </c>
      <c r="J142" s="2">
        <v>0</v>
      </c>
      <c r="K142" s="2"/>
      <c r="L142" s="2"/>
    </row>
    <row r="143" spans="1:12" ht="79.2" x14ac:dyDescent="0.3">
      <c r="A143" s="2" t="s">
        <v>245</v>
      </c>
      <c r="B143" s="2" t="str">
        <f>HYPERLINK("https://www.thewesterlysun.com/news/national/going-green-nel-hydrogen-to-build-in-michigan-work-with-gm/article_c3207f37-86c6-5d60-b10f-4e810a1f8b44.html")</f>
        <v>https://www.thewesterlysun.com/news/national/going-green-nel-hydrogen-to-build-in-michigan-work-with-gm/article_c3207f37-86c6-5d60-b10f-4e810a1f8b44.html</v>
      </c>
      <c r="C143" s="2" t="s">
        <v>246</v>
      </c>
      <c r="D143" s="2" t="s">
        <v>274</v>
      </c>
      <c r="E143" s="4">
        <v>45049.861111111109</v>
      </c>
      <c r="F143" s="2" t="s">
        <v>248</v>
      </c>
      <c r="G143" s="2">
        <v>42953</v>
      </c>
      <c r="H143" s="2">
        <v>0</v>
      </c>
      <c r="I143" s="2">
        <v>0</v>
      </c>
      <c r="J143" s="2">
        <v>0</v>
      </c>
      <c r="K143" s="2" t="s">
        <v>26</v>
      </c>
      <c r="L143" s="2"/>
    </row>
    <row r="144" spans="1:12" ht="118.8" x14ac:dyDescent="0.3">
      <c r="A144" s="2" t="s">
        <v>258</v>
      </c>
      <c r="B144" s="2" t="str">
        <f>HYPERLINK("https://www.wtva.com/news/national/going-green-nel-hydrogen-to-build-in-michigan-work-with-gm/article_0b8ccfe8-c5af-5da5-8861-15f3bc2cb17c.html")</f>
        <v>https://www.wtva.com/news/national/going-green-nel-hydrogen-to-build-in-michigan-work-with-gm/article_0b8ccfe8-c5af-5da5-8861-15f3bc2cb17c.html</v>
      </c>
      <c r="C144" s="2" t="s">
        <v>246</v>
      </c>
      <c r="D144" s="2" t="s">
        <v>275</v>
      </c>
      <c r="E144" s="4">
        <v>45049.728136574071</v>
      </c>
      <c r="F144" s="2" t="s">
        <v>276</v>
      </c>
      <c r="G144" s="2">
        <v>116043</v>
      </c>
      <c r="H144" s="2">
        <v>0</v>
      </c>
      <c r="I144" s="2">
        <v>0</v>
      </c>
      <c r="J144" s="2">
        <v>0</v>
      </c>
      <c r="K144" s="2" t="s">
        <v>36</v>
      </c>
      <c r="L144" s="2"/>
    </row>
    <row r="145" spans="1:12" ht="79.2" x14ac:dyDescent="0.3">
      <c r="A145" s="2" t="s">
        <v>245</v>
      </c>
      <c r="B145" s="2" t="str">
        <f>HYPERLINK("https://www.wdbo.com/news/world/going-green-nel/DEMKE47GM7CIZ6MESWO3TSZ4DA/")</f>
        <v>https://www.wdbo.com/news/world/going-green-nel/DEMKE47GM7CIZ6MESWO3TSZ4DA/</v>
      </c>
      <c r="C145" s="2" t="s">
        <v>246</v>
      </c>
      <c r="D145" s="2" t="s">
        <v>277</v>
      </c>
      <c r="E145" s="4">
        <v>45049.713634259257</v>
      </c>
      <c r="F145" s="2" t="s">
        <v>248</v>
      </c>
      <c r="G145" s="2">
        <v>150108</v>
      </c>
      <c r="H145" s="2">
        <v>0</v>
      </c>
      <c r="I145" s="2">
        <v>0</v>
      </c>
      <c r="J145" s="2">
        <v>0</v>
      </c>
      <c r="K145" s="2" t="s">
        <v>26</v>
      </c>
      <c r="L145" s="2"/>
    </row>
    <row r="146" spans="1:12" ht="79.2" x14ac:dyDescent="0.3">
      <c r="A146" s="2" t="s">
        <v>245</v>
      </c>
      <c r="B146" s="2" t="str">
        <f>HYPERLINK("https://www.krmg.com/news/world/going-green-nel/DEMKE47GM7CIZ6MESWO3TSZ4DA/")</f>
        <v>https://www.krmg.com/news/world/going-green-nel/DEMKE47GM7CIZ6MESWO3TSZ4DA/</v>
      </c>
      <c r="C146" s="2" t="s">
        <v>246</v>
      </c>
      <c r="D146" s="2" t="s">
        <v>278</v>
      </c>
      <c r="E146" s="4">
        <v>45049.7028125</v>
      </c>
      <c r="F146" s="2" t="s">
        <v>248</v>
      </c>
      <c r="G146" s="2">
        <v>42481</v>
      </c>
      <c r="H146" s="2">
        <v>0</v>
      </c>
      <c r="I146" s="2">
        <v>0</v>
      </c>
      <c r="J146" s="2">
        <v>0</v>
      </c>
      <c r="K146" s="2" t="s">
        <v>26</v>
      </c>
      <c r="L146" s="2"/>
    </row>
    <row r="147" spans="1:12" ht="79.2" x14ac:dyDescent="0.3">
      <c r="A147" s="2" t="s">
        <v>245</v>
      </c>
      <c r="B147" s="2" t="str">
        <f>HYPERLINK("https://www.tv20detroit.com/news/going-green-nel-hydrogen-to-build-in-michigan-work-with-gm")</f>
        <v>https://www.tv20detroit.com/news/going-green-nel-hydrogen-to-build-in-michigan-work-with-gm</v>
      </c>
      <c r="C147" s="2" t="s">
        <v>279</v>
      </c>
      <c r="D147" s="2" t="s">
        <v>280</v>
      </c>
      <c r="E147" s="4">
        <v>45049.678900462961</v>
      </c>
      <c r="F147" s="2" t="s">
        <v>248</v>
      </c>
      <c r="G147" s="2">
        <v>6985</v>
      </c>
      <c r="H147" s="2">
        <v>0</v>
      </c>
      <c r="I147" s="2">
        <v>0</v>
      </c>
      <c r="J147" s="2">
        <v>0</v>
      </c>
      <c r="K147" s="2" t="s">
        <v>26</v>
      </c>
      <c r="L147" s="2"/>
    </row>
    <row r="148" spans="1:12" ht="79.2" x14ac:dyDescent="0.3">
      <c r="A148" s="2" t="s">
        <v>245</v>
      </c>
      <c r="B148" s="2" t="str">
        <f>HYPERLINK("https://www.timesdaily.com/news/nation/going-green-nel-hydrogen-to-build-in-michigan-work-with-gm/article_48042cec-73a1-5ee4-a9f1-c479a578f6c6.html")</f>
        <v>https://www.timesdaily.com/news/nation/going-green-nel-hydrogen-to-build-in-michigan-work-with-gm/article_48042cec-73a1-5ee4-a9f1-c479a578f6c6.html</v>
      </c>
      <c r="C148" s="2" t="s">
        <v>246</v>
      </c>
      <c r="D148" s="2" t="s">
        <v>281</v>
      </c>
      <c r="E148" s="4">
        <v>45049.67728009259</v>
      </c>
      <c r="F148" s="2" t="s">
        <v>248</v>
      </c>
      <c r="G148" s="2">
        <v>49321</v>
      </c>
      <c r="H148" s="2">
        <v>0</v>
      </c>
      <c r="I148" s="2">
        <v>0</v>
      </c>
      <c r="J148" s="2">
        <v>0</v>
      </c>
      <c r="K148" s="2" t="s">
        <v>26</v>
      </c>
      <c r="L148" s="2"/>
    </row>
    <row r="149" spans="1:12" ht="92.4" x14ac:dyDescent="0.3">
      <c r="A149" s="2" t="s">
        <v>245</v>
      </c>
      <c r="B149" s="2" t="str">
        <f>HYPERLINK("https://www.woodtv.com/news/michigan/going-green-nel-hydrogen-to-build-in-michigan-work-with-gm/")</f>
        <v>https://www.woodtv.com/news/michigan/going-green-nel-hydrogen-to-build-in-michigan-work-with-gm/</v>
      </c>
      <c r="C149" s="2" t="s">
        <v>246</v>
      </c>
      <c r="D149" s="2" t="s">
        <v>282</v>
      </c>
      <c r="E149" s="4">
        <v>45049.675497685188</v>
      </c>
      <c r="F149" s="2" t="s">
        <v>283</v>
      </c>
      <c r="G149" s="2">
        <v>1292858</v>
      </c>
      <c r="H149" s="2">
        <v>0</v>
      </c>
      <c r="I149" s="2">
        <v>0</v>
      </c>
      <c r="J149" s="2">
        <v>110</v>
      </c>
      <c r="K149" s="2" t="s">
        <v>26</v>
      </c>
      <c r="L149" s="2"/>
    </row>
    <row r="150" spans="1:12" ht="79.2" x14ac:dyDescent="0.3">
      <c r="A150" s="2" t="s">
        <v>245</v>
      </c>
      <c r="B150" s="2" t="str">
        <f>HYPERLINK("https://abcnews.go.com/US/wireStory/green-nel-hydrogen-build-michigan-work-gm-99047226")</f>
        <v>https://abcnews.go.com/US/wireStory/green-nel-hydrogen-build-michigan-work-gm-99047226</v>
      </c>
      <c r="C150" s="2"/>
      <c r="D150" s="2" t="s">
        <v>284</v>
      </c>
      <c r="E150" s="4">
        <v>45049.652037037027</v>
      </c>
      <c r="F150" s="2" t="s">
        <v>248</v>
      </c>
      <c r="G150" s="2">
        <v>26455614</v>
      </c>
      <c r="H150" s="2">
        <v>0</v>
      </c>
      <c r="I150" s="2">
        <v>0</v>
      </c>
      <c r="J150" s="2">
        <v>26</v>
      </c>
      <c r="K150" s="2" t="s">
        <v>26</v>
      </c>
      <c r="L150" s="2"/>
    </row>
    <row r="151" spans="1:12" ht="79.2" x14ac:dyDescent="0.3">
      <c r="A151" s="2" t="s">
        <v>258</v>
      </c>
      <c r="B151" s="2" t="str">
        <f>HYPERLINK("https://www.toledoblade.com/business/energy/2023/05/03/nel-hydrogen-michigan-plant-gm/stories/20230503112")</f>
        <v>https://www.toledoblade.com/business/energy/2023/05/03/nel-hydrogen-michigan-plant-gm/stories/20230503112</v>
      </c>
      <c r="C151" s="2"/>
      <c r="D151" s="2" t="s">
        <v>285</v>
      </c>
      <c r="E151" s="4">
        <v>45049.650243055563</v>
      </c>
      <c r="F151" s="2" t="s">
        <v>248</v>
      </c>
      <c r="G151" s="2">
        <v>407382</v>
      </c>
      <c r="H151" s="2">
        <v>0</v>
      </c>
      <c r="I151" s="2">
        <v>0</v>
      </c>
      <c r="J151" s="2">
        <v>0</v>
      </c>
      <c r="K151" s="2" t="s">
        <v>26</v>
      </c>
      <c r="L151" s="2"/>
    </row>
    <row r="152" spans="1:12" ht="79.2" x14ac:dyDescent="0.3">
      <c r="A152" s="2" t="s">
        <v>245</v>
      </c>
      <c r="B152" s="2" t="str">
        <f>HYPERLINK("https://www.wlns.com/news/ap-technology/going-green-nel-hydrogen-to-build-in-michigan-work-with-gm/")</f>
        <v>https://www.wlns.com/news/ap-technology/going-green-nel-hydrogen-to-build-in-michigan-work-with-gm/</v>
      </c>
      <c r="C152" s="2" t="s">
        <v>246</v>
      </c>
      <c r="D152" s="2" t="s">
        <v>286</v>
      </c>
      <c r="E152" s="4">
        <v>45049.649097222216</v>
      </c>
      <c r="F152" s="2" t="s">
        <v>248</v>
      </c>
      <c r="G152" s="2">
        <v>330203</v>
      </c>
      <c r="H152" s="2">
        <v>0</v>
      </c>
      <c r="I152" s="2">
        <v>0</v>
      </c>
      <c r="J152" s="2">
        <v>33</v>
      </c>
      <c r="K152" s="2" t="s">
        <v>26</v>
      </c>
      <c r="L152" s="2"/>
    </row>
    <row r="153" spans="1:12" ht="79.2" x14ac:dyDescent="0.3">
      <c r="A153" s="2" t="s">
        <v>245</v>
      </c>
      <c r="B153" s="2" t="str">
        <f>HYPERLINK("https://kdhnews.com/news/nation/going-green-nel-hydrogen-to-build-in-michigan-work-with-gm/article_ed39e3dc-38b4-55af-a667-67f969a37ae1.html")</f>
        <v>https://kdhnews.com/news/nation/going-green-nel-hydrogen-to-build-in-michigan-work-with-gm/article_ed39e3dc-38b4-55af-a667-67f969a37ae1.html</v>
      </c>
      <c r="C153" s="2" t="s">
        <v>246</v>
      </c>
      <c r="D153" s="2" t="s">
        <v>287</v>
      </c>
      <c r="E153" s="4">
        <v>45049.6406712963</v>
      </c>
      <c r="F153" s="2" t="s">
        <v>248</v>
      </c>
      <c r="G153" s="2">
        <v>380319</v>
      </c>
      <c r="H153" s="2">
        <v>0</v>
      </c>
      <c r="I153" s="2">
        <v>0</v>
      </c>
      <c r="J153" s="2">
        <v>0</v>
      </c>
      <c r="K153" s="2" t="s">
        <v>26</v>
      </c>
      <c r="L153" s="2"/>
    </row>
    <row r="154" spans="1:12" ht="105.6" x14ac:dyDescent="0.3">
      <c r="A154" s="2" t="s">
        <v>245</v>
      </c>
      <c r="B154" s="2" t="str">
        <f>HYPERLINK("https://www.thehour.com/news/article/going-green-nel-hydrogen-to-build-in-michigan-18076247.php")</f>
        <v>https://www.thehour.com/news/article/going-green-nel-hydrogen-to-build-in-michigan-18076247.php</v>
      </c>
      <c r="C154" s="2" t="s">
        <v>246</v>
      </c>
      <c r="D154" s="2" t="s">
        <v>288</v>
      </c>
      <c r="E154" s="4">
        <v>45049.6406712963</v>
      </c>
      <c r="F154" s="2" t="s">
        <v>289</v>
      </c>
      <c r="G154" s="2">
        <v>198123</v>
      </c>
      <c r="H154" s="2">
        <v>0</v>
      </c>
      <c r="I154" s="2">
        <v>0</v>
      </c>
      <c r="J154" s="2">
        <v>0</v>
      </c>
      <c r="K154" s="2" t="s">
        <v>26</v>
      </c>
      <c r="L154" s="2"/>
    </row>
    <row r="155" spans="1:12" ht="79.2" x14ac:dyDescent="0.3">
      <c r="A155" s="2" t="s">
        <v>245</v>
      </c>
      <c r="B155" s="2" t="str">
        <f>HYPERLINK("https://spectrumnews1.com/ky/louisville/ap-top-news/2023/05/03/going-green-nel-hydrogen-to-build-in-michigan-work-with-gm")</f>
        <v>https://spectrumnews1.com/ky/louisville/ap-top-news/2023/05/03/going-green-nel-hydrogen-to-build-in-michigan-work-with-gm</v>
      </c>
      <c r="C155" s="2"/>
      <c r="D155" s="2" t="s">
        <v>290</v>
      </c>
      <c r="E155" s="4">
        <v>45049.6406712963</v>
      </c>
      <c r="F155" s="2" t="s">
        <v>268</v>
      </c>
      <c r="G155" s="2">
        <v>1110632</v>
      </c>
      <c r="H155" s="2">
        <v>0</v>
      </c>
      <c r="I155" s="2">
        <v>0</v>
      </c>
      <c r="J155" s="2">
        <v>0</v>
      </c>
      <c r="K155" s="2" t="s">
        <v>26</v>
      </c>
      <c r="L155" s="2"/>
    </row>
    <row r="156" spans="1:12" ht="105.6" x14ac:dyDescent="0.3">
      <c r="A156" s="2" t="s">
        <v>245</v>
      </c>
      <c r="B156" s="2" t="str">
        <f>HYPERLINK("https://www.chron.com/news/article/going-green-nel-hydrogen-to-build-in-michigan-18076247.php")</f>
        <v>https://www.chron.com/news/article/going-green-nel-hydrogen-to-build-in-michigan-18076247.php</v>
      </c>
      <c r="C156" s="2" t="s">
        <v>246</v>
      </c>
      <c r="D156" s="2" t="s">
        <v>291</v>
      </c>
      <c r="E156" s="4">
        <v>45049.6406712963</v>
      </c>
      <c r="F156" s="2" t="s">
        <v>292</v>
      </c>
      <c r="G156" s="2">
        <v>6833350</v>
      </c>
      <c r="H156" s="2">
        <v>0</v>
      </c>
      <c r="I156" s="2">
        <v>0</v>
      </c>
      <c r="J156" s="2">
        <v>0</v>
      </c>
      <c r="K156" s="2" t="s">
        <v>26</v>
      </c>
      <c r="L156" s="2"/>
    </row>
    <row r="157" spans="1:12" ht="79.2" x14ac:dyDescent="0.3">
      <c r="A157" s="2" t="s">
        <v>245</v>
      </c>
      <c r="B157" s="2" t="str">
        <f>HYPERLINK("https://www.thesunchronicle.com/news/nation_world/going-green-nel-hydrogen-to-build-in-michigan-work-with-gm/article_72234f63-2a60-57bc-9ec1-a9afa0d816c0.html")</f>
        <v>https://www.thesunchronicle.com/news/nation_world/going-green-nel-hydrogen-to-build-in-michigan-work-with-gm/article_72234f63-2a60-57bc-9ec1-a9afa0d816c0.html</v>
      </c>
      <c r="C157" s="2" t="s">
        <v>246</v>
      </c>
      <c r="D157" s="2" t="s">
        <v>293</v>
      </c>
      <c r="E157" s="4">
        <v>45049.6406712963</v>
      </c>
      <c r="F157" s="2" t="s">
        <v>248</v>
      </c>
      <c r="G157" s="2">
        <v>201764</v>
      </c>
      <c r="H157" s="2">
        <v>0</v>
      </c>
      <c r="I157" s="2">
        <v>0</v>
      </c>
      <c r="J157" s="2">
        <v>0</v>
      </c>
      <c r="K157" s="2" t="s">
        <v>26</v>
      </c>
      <c r="L157" s="2"/>
    </row>
    <row r="158" spans="1:12" ht="79.2" x14ac:dyDescent="0.3">
      <c r="A158" s="2" t="s">
        <v>245</v>
      </c>
      <c r="B158" s="2" t="str">
        <f>HYPERLINK("https://www.reformer.com/ap/national/going-green-nel-hydrogen-to-build-in-michigan-work-with-gm/article_21f06e82-feb5-58ad-a61d-5807e59f4199.html")</f>
        <v>https://www.reformer.com/ap/national/going-green-nel-hydrogen-to-build-in-michigan-work-with-gm/article_21f06e82-feb5-58ad-a61d-5807e59f4199.html</v>
      </c>
      <c r="C158" s="2" t="s">
        <v>246</v>
      </c>
      <c r="D158" s="2" t="s">
        <v>294</v>
      </c>
      <c r="E158" s="4">
        <v>45049.6406712963</v>
      </c>
      <c r="F158" s="2" t="s">
        <v>248</v>
      </c>
      <c r="G158" s="2">
        <v>57408</v>
      </c>
      <c r="H158" s="2">
        <v>0</v>
      </c>
      <c r="I158" s="2">
        <v>0</v>
      </c>
      <c r="J158" s="2">
        <v>0</v>
      </c>
      <c r="K158" s="2" t="s">
        <v>26</v>
      </c>
      <c r="L158" s="2"/>
    </row>
    <row r="159" spans="1:12" ht="79.2" x14ac:dyDescent="0.3">
      <c r="A159" s="2" t="s">
        <v>245</v>
      </c>
      <c r="B159" s="2" t="str">
        <f>HYPERLINK("https://spectrumlocalnews.com/nc/triad/ap-top-news/2023/05/03/going-green-nel-hydrogen-to-build-in-michigan-work-with-gm")</f>
        <v>https://spectrumlocalnews.com/nc/triad/ap-top-news/2023/05/03/going-green-nel-hydrogen-to-build-in-michigan-work-with-gm</v>
      </c>
      <c r="C159" s="2"/>
      <c r="D159" s="2" t="s">
        <v>295</v>
      </c>
      <c r="E159" s="4">
        <v>45049.6406712963</v>
      </c>
      <c r="F159" s="2" t="s">
        <v>268</v>
      </c>
      <c r="G159" s="2">
        <v>1716662</v>
      </c>
      <c r="H159" s="2">
        <v>0</v>
      </c>
      <c r="I159" s="2">
        <v>0</v>
      </c>
      <c r="J159" s="2">
        <v>0</v>
      </c>
      <c r="K159" s="2" t="s">
        <v>26</v>
      </c>
      <c r="L159" s="2"/>
    </row>
    <row r="160" spans="1:12" ht="79.2" x14ac:dyDescent="0.3">
      <c r="A160" s="2" t="s">
        <v>245</v>
      </c>
      <c r="B160" s="2" t="str">
        <f>HYPERLINK("https://wdet.org/2023/05/03/going-green-nel-hydrogen-to-build-in-michigan-work-with-gm/")</f>
        <v>https://wdet.org/2023/05/03/going-green-nel-hydrogen-to-build-in-michigan-work-with-gm/</v>
      </c>
      <c r="C160" s="2"/>
      <c r="D160" s="2" t="s">
        <v>296</v>
      </c>
      <c r="E160" s="4">
        <v>45049.625810185193</v>
      </c>
      <c r="F160" s="2" t="s">
        <v>248</v>
      </c>
      <c r="G160" s="2">
        <v>63870</v>
      </c>
      <c r="H160" s="2">
        <v>0</v>
      </c>
      <c r="I160" s="2">
        <v>0</v>
      </c>
      <c r="J160" s="2">
        <v>0</v>
      </c>
      <c r="K160" s="2" t="s">
        <v>26</v>
      </c>
      <c r="L160" s="2"/>
    </row>
    <row r="161" spans="1:12" ht="118.8" x14ac:dyDescent="0.3">
      <c r="A161" s="2" t="s">
        <v>245</v>
      </c>
      <c r="B161" s="2" t="str">
        <f>HYPERLINK("https://www.fox28spokane.com/going-green-nel-hydrogen-to-build-in-michigan-work-with-gm/")</f>
        <v>https://www.fox28spokane.com/going-green-nel-hydrogen-to-build-in-michigan-work-with-gm/</v>
      </c>
      <c r="C161" s="2" t="s">
        <v>246</v>
      </c>
      <c r="D161" s="2" t="s">
        <v>297</v>
      </c>
      <c r="E161" s="4">
        <v>45049.619016203702</v>
      </c>
      <c r="F161" s="2" t="s">
        <v>276</v>
      </c>
      <c r="G161" s="2">
        <v>24271</v>
      </c>
      <c r="H161" s="2">
        <v>0</v>
      </c>
      <c r="I161" s="2">
        <v>0</v>
      </c>
      <c r="J161" s="2">
        <v>0</v>
      </c>
      <c r="K161" s="2" t="s">
        <v>36</v>
      </c>
      <c r="L161" s="2"/>
    </row>
    <row r="162" spans="1:12" ht="79.2" x14ac:dyDescent="0.3">
      <c r="A162" s="2" t="s">
        <v>245</v>
      </c>
      <c r="B162" s="2" t="str">
        <f>HYPERLINK("https://www.wxyz.com/news/going-green-nel-hydrogen-to-build-in-michigan-work-with-gm")</f>
        <v>https://www.wxyz.com/news/going-green-nel-hydrogen-to-build-in-michigan-work-with-gm</v>
      </c>
      <c r="C162" s="2" t="s">
        <v>279</v>
      </c>
      <c r="D162" s="2" t="s">
        <v>298</v>
      </c>
      <c r="E162" s="4">
        <v>45049.613495370373</v>
      </c>
      <c r="F162" s="2" t="s">
        <v>248</v>
      </c>
      <c r="G162" s="2">
        <v>1070335</v>
      </c>
      <c r="H162" s="2">
        <v>0</v>
      </c>
      <c r="I162" s="2">
        <v>0</v>
      </c>
      <c r="J162" s="2">
        <v>42</v>
      </c>
      <c r="K162" s="2" t="s">
        <v>26</v>
      </c>
      <c r="L162" s="2"/>
    </row>
    <row r="163" spans="1:12" ht="118.8" x14ac:dyDescent="0.3">
      <c r="A163" s="2" t="s">
        <v>299</v>
      </c>
      <c r="B163" s="2" t="str">
        <f>HYPERLINK("https://kion546.com/news/2023/05/03/going-green-nel-hydrogen-to-build-in-michigan-work-with-gm/")</f>
        <v>https://kion546.com/news/2023/05/03/going-green-nel-hydrogen-to-build-in-michigan-work-with-gm/</v>
      </c>
      <c r="C163" s="2" t="s">
        <v>246</v>
      </c>
      <c r="D163" s="2" t="s">
        <v>300</v>
      </c>
      <c r="E163" s="4">
        <v>45049.589224537027</v>
      </c>
      <c r="F163" s="2" t="s">
        <v>301</v>
      </c>
      <c r="G163" s="2">
        <v>131913</v>
      </c>
      <c r="H163" s="2">
        <v>0</v>
      </c>
      <c r="I163" s="2">
        <v>0</v>
      </c>
      <c r="J163" s="2">
        <v>0</v>
      </c>
      <c r="K163" s="2" t="s">
        <v>36</v>
      </c>
      <c r="L163" s="2"/>
    </row>
    <row r="164" spans="1:12" ht="118.8" x14ac:dyDescent="0.3">
      <c r="A164" s="2" t="s">
        <v>245</v>
      </c>
      <c r="B164" s="2" t="str">
        <f>HYPERLINK("https://kyma.com/news/2023/05/03/going-green-nel-hydrogen-to-build-in-michigan-work-with-gm/")</f>
        <v>https://kyma.com/news/2023/05/03/going-green-nel-hydrogen-to-build-in-michigan-work-with-gm/</v>
      </c>
      <c r="C164" s="2" t="s">
        <v>246</v>
      </c>
      <c r="D164" s="2" t="s">
        <v>302</v>
      </c>
      <c r="E164" s="4">
        <v>45049.583587962959</v>
      </c>
      <c r="F164" s="2" t="s">
        <v>301</v>
      </c>
      <c r="G164" s="2">
        <v>134938</v>
      </c>
      <c r="H164" s="2">
        <v>0</v>
      </c>
      <c r="I164" s="2">
        <v>0</v>
      </c>
      <c r="J164" s="2">
        <v>0</v>
      </c>
      <c r="K164" s="2" t="s">
        <v>36</v>
      </c>
      <c r="L164" s="2"/>
    </row>
    <row r="165" spans="1:12" ht="79.2" x14ac:dyDescent="0.3">
      <c r="A165" s="2" t="s">
        <v>245</v>
      </c>
      <c r="B165" s="2" t="str">
        <f>HYPERLINK("https://www.960theref.com/news/going-green-nel/DEMKE47GM7CIZ6MESWO3TSZ4DA/")</f>
        <v>https://www.960theref.com/news/going-green-nel/DEMKE47GM7CIZ6MESWO3TSZ4DA/</v>
      </c>
      <c r="C165" s="2" t="s">
        <v>246</v>
      </c>
      <c r="D165" s="2" t="s">
        <v>303</v>
      </c>
      <c r="E165" s="4">
        <v>45049.579884259263</v>
      </c>
      <c r="F165" s="2" t="s">
        <v>248</v>
      </c>
      <c r="G165" s="2">
        <v>7074</v>
      </c>
      <c r="H165" s="2">
        <v>0</v>
      </c>
      <c r="I165" s="2">
        <v>0</v>
      </c>
      <c r="J165" s="2">
        <v>0</v>
      </c>
      <c r="K165" s="2" t="s">
        <v>26</v>
      </c>
      <c r="L165" s="2"/>
    </row>
    <row r="166" spans="1:12" ht="66" x14ac:dyDescent="0.3">
      <c r="A166" s="2" t="s">
        <v>245</v>
      </c>
      <c r="B166" s="2" t="str">
        <f>HYPERLINK("https://biztoc.com/x/974b88e8d14cece5")</f>
        <v>https://biztoc.com/x/974b88e8d14cece5</v>
      </c>
      <c r="C166" s="2"/>
      <c r="D166" s="2" t="s">
        <v>163</v>
      </c>
      <c r="E166" s="4">
        <v>45049.579317129632</v>
      </c>
      <c r="F166" s="2" t="s">
        <v>304</v>
      </c>
      <c r="G166" s="2">
        <v>18569</v>
      </c>
      <c r="H166" s="2">
        <v>0</v>
      </c>
      <c r="I166" s="2">
        <v>0</v>
      </c>
      <c r="J166" s="2">
        <v>0</v>
      </c>
      <c r="K166" s="2" t="s">
        <v>143</v>
      </c>
      <c r="L166" s="2"/>
    </row>
    <row r="167" spans="1:12" ht="92.4" x14ac:dyDescent="0.3">
      <c r="A167" s="2" t="s">
        <v>258</v>
      </c>
      <c r="B167" s="2" t="str">
        <f>HYPERLINK("https://www.cbsnews.com/detroit/news/going-green-nel-hydrogen-to-build-in-michigan-work-with-gm-2/")</f>
        <v>https://www.cbsnews.com/detroit/news/going-green-nel-hydrogen-to-build-in-michigan-work-with-gm-2/</v>
      </c>
      <c r="C167" s="2"/>
      <c r="D167" s="2" t="s">
        <v>272</v>
      </c>
      <c r="E167" s="4">
        <v>45049.573611111111</v>
      </c>
      <c r="F167" s="2" t="s">
        <v>305</v>
      </c>
      <c r="G167" s="2">
        <v>43092355</v>
      </c>
      <c r="H167" s="2">
        <v>0</v>
      </c>
      <c r="I167" s="2">
        <v>0</v>
      </c>
      <c r="J167" s="2">
        <v>36</v>
      </c>
      <c r="K167" s="2" t="s">
        <v>26</v>
      </c>
      <c r="L167" s="2"/>
    </row>
    <row r="168" spans="1:12" ht="118.8" x14ac:dyDescent="0.3">
      <c r="A168" s="2" t="s">
        <v>245</v>
      </c>
      <c r="B168" s="2" t="str">
        <f>HYPERLINK("https://keyt.com/news/2023/05/03/going-green-nel-hydrogen-to-build-in-michigan-work-with-gm/")</f>
        <v>https://keyt.com/news/2023/05/03/going-green-nel-hydrogen-to-build-in-michigan-work-with-gm/</v>
      </c>
      <c r="C168" s="2" t="s">
        <v>246</v>
      </c>
      <c r="D168" s="2" t="s">
        <v>306</v>
      </c>
      <c r="E168" s="4">
        <v>45049.571666666663</v>
      </c>
      <c r="F168" s="2" t="s">
        <v>301</v>
      </c>
      <c r="G168" s="2">
        <v>267394</v>
      </c>
      <c r="H168" s="2">
        <v>0</v>
      </c>
      <c r="I168" s="2">
        <v>0</v>
      </c>
      <c r="J168" s="2">
        <v>0</v>
      </c>
      <c r="K168" s="2" t="s">
        <v>36</v>
      </c>
      <c r="L168" s="2"/>
    </row>
    <row r="169" spans="1:12" ht="79.2" x14ac:dyDescent="0.3">
      <c r="A169" s="2" t="s">
        <v>258</v>
      </c>
      <c r="B169" s="2" t="str">
        <f>HYPERLINK("https://www.thederrick.com/ap/national/going-green-nel-hydrogen-to-build-in-michigan-work-with-gm/article_60ed92f1-296a-5d26-9a30-ed3aa7f7d930.html")</f>
        <v>https://www.thederrick.com/ap/national/going-green-nel-hydrogen-to-build-in-michigan-work-with-gm/article_60ed92f1-296a-5d26-9a30-ed3aa7f7d930.html</v>
      </c>
      <c r="C169" s="2" t="s">
        <v>246</v>
      </c>
      <c r="D169" s="2" t="s">
        <v>307</v>
      </c>
      <c r="E169" s="4">
        <v>45049.563310185193</v>
      </c>
      <c r="F169" s="2" t="s">
        <v>248</v>
      </c>
      <c r="G169" s="2">
        <v>43576</v>
      </c>
      <c r="H169" s="2">
        <v>0</v>
      </c>
      <c r="I169" s="2">
        <v>0</v>
      </c>
      <c r="J169" s="2">
        <v>0</v>
      </c>
      <c r="K169" s="2" t="s">
        <v>36</v>
      </c>
      <c r="L169" s="2"/>
    </row>
    <row r="170" spans="1:12" ht="79.2" x14ac:dyDescent="0.3">
      <c r="A170" s="2" t="s">
        <v>245</v>
      </c>
      <c r="B170" s="2" t="str">
        <f>HYPERLINK("https://am970theanswer.com/news/national/going-green-nel-hydrogen-to-build-in-michigan-work-with-gm/57c90cd27e3d7c06dc5b60b6fcf6813d")</f>
        <v>https://am970theanswer.com/news/national/going-green-nel-hydrogen-to-build-in-michigan-work-with-gm/57c90cd27e3d7c06dc5b60b6fcf6813d</v>
      </c>
      <c r="C170" s="2" t="s">
        <v>246</v>
      </c>
      <c r="D170" s="2" t="s">
        <v>308</v>
      </c>
      <c r="E170" s="4">
        <v>45049.558634259258</v>
      </c>
      <c r="F170" s="2" t="s">
        <v>248</v>
      </c>
      <c r="G170" s="2">
        <v>30427</v>
      </c>
      <c r="H170" s="2">
        <v>0</v>
      </c>
      <c r="I170" s="2">
        <v>0</v>
      </c>
      <c r="J170" s="2">
        <v>0</v>
      </c>
      <c r="K170" s="2" t="s">
        <v>26</v>
      </c>
      <c r="L170" s="2"/>
    </row>
    <row r="171" spans="1:12" ht="105.6" x14ac:dyDescent="0.3">
      <c r="A171" s="2" t="s">
        <v>245</v>
      </c>
      <c r="B171" s="2" t="str">
        <f>HYPERLINK("https://www.bryantimes.com/news/associated_press/going-green-nel-hydrogen-to-build-in-michigan-work-with-gm/article_83b3414b-5e33-5dd3-9eaa-3e4e42f9a2ef.html")</f>
        <v>https://www.bryantimes.com/news/associated_press/going-green-nel-hydrogen-to-build-in-michigan-work-with-gm/article_83b3414b-5e33-5dd3-9eaa-3e4e42f9a2ef.html</v>
      </c>
      <c r="C171" s="2" t="s">
        <v>246</v>
      </c>
      <c r="D171" s="2" t="s">
        <v>309</v>
      </c>
      <c r="E171" s="4">
        <v>45049.557997685188</v>
      </c>
      <c r="F171" s="2" t="s">
        <v>310</v>
      </c>
      <c r="G171" s="2">
        <v>8801</v>
      </c>
      <c r="H171" s="2">
        <v>0</v>
      </c>
      <c r="I171" s="2">
        <v>0</v>
      </c>
      <c r="J171" s="2">
        <v>0</v>
      </c>
      <c r="K171" s="2" t="s">
        <v>36</v>
      </c>
      <c r="L171" s="2"/>
    </row>
    <row r="172" spans="1:12" ht="79.2" x14ac:dyDescent="0.3">
      <c r="A172" s="2" t="s">
        <v>245</v>
      </c>
      <c r="B172" s="2" t="str">
        <f>HYPERLINK("https://www.timesdaily.com/business/going-green-nel-hydrogen-to-build-in-michigan-work-with-gm/article_48042cec-73a1-5ee4-a9f1-c479a578f6c6.html")</f>
        <v>https://www.timesdaily.com/business/going-green-nel-hydrogen-to-build-in-michigan-work-with-gm/article_48042cec-73a1-5ee4-a9f1-c479a578f6c6.html</v>
      </c>
      <c r="C172" s="2" t="s">
        <v>246</v>
      </c>
      <c r="D172" s="2" t="s">
        <v>281</v>
      </c>
      <c r="E172" s="4">
        <v>45049.557430555556</v>
      </c>
      <c r="F172" s="2" t="s">
        <v>248</v>
      </c>
      <c r="G172" s="2">
        <v>49321</v>
      </c>
      <c r="H172" s="2">
        <v>0</v>
      </c>
      <c r="I172" s="2">
        <v>0</v>
      </c>
      <c r="J172" s="2">
        <v>0</v>
      </c>
      <c r="K172" s="2" t="s">
        <v>26</v>
      </c>
      <c r="L172" s="2"/>
    </row>
    <row r="173" spans="1:12" ht="79.2" x14ac:dyDescent="0.3">
      <c r="A173" s="2" t="s">
        <v>245</v>
      </c>
      <c r="B173" s="2" t="str">
        <f>HYPERLINK("https://www.heraldpalladium.com/news/national/going-green-nel-hydrogen-to-build-in-michigan-work-with-gm/article_51ac1742-1b58-56fe-ae23-49268592ff5d.html")</f>
        <v>https://www.heraldpalladium.com/news/national/going-green-nel-hydrogen-to-build-in-michigan-work-with-gm/article_51ac1742-1b58-56fe-ae23-49268592ff5d.html</v>
      </c>
      <c r="C173" s="2" t="s">
        <v>246</v>
      </c>
      <c r="D173" s="2" t="s">
        <v>311</v>
      </c>
      <c r="E173" s="4">
        <v>45049.555046296293</v>
      </c>
      <c r="F173" s="2" t="s">
        <v>248</v>
      </c>
      <c r="G173" s="2">
        <v>71007</v>
      </c>
      <c r="H173" s="2">
        <v>0</v>
      </c>
      <c r="I173" s="2">
        <v>0</v>
      </c>
      <c r="J173" s="2">
        <v>0</v>
      </c>
      <c r="K173" s="2" t="s">
        <v>26</v>
      </c>
      <c r="L173" s="2"/>
    </row>
    <row r="174" spans="1:12" ht="105.6" x14ac:dyDescent="0.3">
      <c r="A174" s="2" t="s">
        <v>312</v>
      </c>
      <c r="B174" s="2" t="str">
        <f>HYPERLINK("https://www.yourvalley.net/stories/going-green-nel-hydrogen-to-build-in-michigan-work-with-gm,392094")</f>
        <v>https://www.yourvalley.net/stories/going-green-nel-hydrogen-to-build-in-michigan-work-with-gm,392094</v>
      </c>
      <c r="C174" s="2" t="s">
        <v>246</v>
      </c>
      <c r="D174" s="2" t="s">
        <v>313</v>
      </c>
      <c r="E174" s="4">
        <v>45049.551354166673</v>
      </c>
      <c r="F174" s="2" t="s">
        <v>314</v>
      </c>
      <c r="G174" s="2">
        <v>193348</v>
      </c>
      <c r="H174" s="2">
        <v>0</v>
      </c>
      <c r="I174" s="2">
        <v>0</v>
      </c>
      <c r="J174" s="2">
        <v>0</v>
      </c>
      <c r="K174" s="2" t="s">
        <v>26</v>
      </c>
      <c r="L174" s="2"/>
    </row>
    <row r="175" spans="1:12" ht="79.2" x14ac:dyDescent="0.3">
      <c r="A175" s="2" t="s">
        <v>245</v>
      </c>
      <c r="B175" s="2" t="str">
        <f>HYPERLINK("https://am1070theanswer.com/news/national/going-green-nel-hydrogen-to-build-in-michigan-work-with-gm/57c90cd27e3d7c06dc5b60b6fcf6813d")</f>
        <v>https://am1070theanswer.com/news/national/going-green-nel-hydrogen-to-build-in-michigan-work-with-gm/57c90cd27e3d7c06dc5b60b6fcf6813d</v>
      </c>
      <c r="C175" s="2" t="s">
        <v>246</v>
      </c>
      <c r="D175" s="2" t="s">
        <v>315</v>
      </c>
      <c r="E175" s="4">
        <v>45049.55023148148</v>
      </c>
      <c r="F175" s="2" t="s">
        <v>248</v>
      </c>
      <c r="G175" s="2">
        <v>0</v>
      </c>
      <c r="H175" s="2">
        <v>0</v>
      </c>
      <c r="I175" s="2">
        <v>0</v>
      </c>
      <c r="J175" s="2">
        <v>0</v>
      </c>
      <c r="K175" s="2" t="s">
        <v>26</v>
      </c>
      <c r="L175" s="2"/>
    </row>
    <row r="176" spans="1:12" ht="79.2" x14ac:dyDescent="0.3">
      <c r="A176" s="2" t="s">
        <v>245</v>
      </c>
      <c r="B176" s="2" t="str">
        <f>HYPERLINK("https://www.newsbreak.com/michigan-state/3013404602428-going-green-nel-hydrogen-to-build-in-michigan-work-with-gm")</f>
        <v>https://www.newsbreak.com/michigan-state/3013404602428-going-green-nel-hydrogen-to-build-in-michigan-work-with-gm</v>
      </c>
      <c r="C176" s="2" t="s">
        <v>246</v>
      </c>
      <c r="D176" s="2" t="s">
        <v>316</v>
      </c>
      <c r="E176" s="4">
        <v>45049.550115740742</v>
      </c>
      <c r="F176" s="2" t="s">
        <v>248</v>
      </c>
      <c r="G176" s="2">
        <v>10615061</v>
      </c>
      <c r="H176" s="2">
        <v>0</v>
      </c>
      <c r="I176" s="2">
        <v>0</v>
      </c>
      <c r="J176" s="2">
        <v>0</v>
      </c>
      <c r="K176" s="2" t="s">
        <v>26</v>
      </c>
      <c r="L176" s="2"/>
    </row>
    <row r="177" spans="1:12" ht="79.2" x14ac:dyDescent="0.3">
      <c r="A177" s="2" t="s">
        <v>258</v>
      </c>
      <c r="B177" s="2" t="str">
        <f>HYPERLINK("https://www.caledonianrecord.com/news/national/going-green-nel-hydrogen-to-build-in-michigan-work-with-gm/article_d3e98994-741e-52a0-9ec6-662900831354.html")</f>
        <v>https://www.caledonianrecord.com/news/national/going-green-nel-hydrogen-to-build-in-michigan-work-with-gm/article_d3e98994-741e-52a0-9ec6-662900831354.html</v>
      </c>
      <c r="C177" s="2" t="s">
        <v>246</v>
      </c>
      <c r="D177" s="2" t="s">
        <v>317</v>
      </c>
      <c r="E177" s="4">
        <v>45049.55</v>
      </c>
      <c r="F177" s="2" t="s">
        <v>248</v>
      </c>
      <c r="G177" s="2">
        <v>63203</v>
      </c>
      <c r="H177" s="2">
        <v>0</v>
      </c>
      <c r="I177" s="2">
        <v>0</v>
      </c>
      <c r="J177" s="2">
        <v>0</v>
      </c>
      <c r="K177" s="2" t="s">
        <v>36</v>
      </c>
      <c r="L177" s="2"/>
    </row>
    <row r="178" spans="1:12" ht="79.2" x14ac:dyDescent="0.3">
      <c r="A178" s="2" t="s">
        <v>258</v>
      </c>
      <c r="B178" s="2" t="str">
        <f>HYPERLINK("https://www.wfmz.com/news/going-green-nel-hydrogen-to-build-in-michigan-work-with-gm/article_5943a748-1b33-5627-946f-16c6d4e8c971.html")</f>
        <v>https://www.wfmz.com/news/going-green-nel-hydrogen-to-build-in-michigan-work-with-gm/article_5943a748-1b33-5627-946f-16c6d4e8c971.html</v>
      </c>
      <c r="C178" s="2" t="s">
        <v>246</v>
      </c>
      <c r="D178" s="2" t="s">
        <v>318</v>
      </c>
      <c r="E178" s="4">
        <v>45049.549050925933</v>
      </c>
      <c r="F178" s="2" t="s">
        <v>248</v>
      </c>
      <c r="G178" s="2">
        <v>1473461</v>
      </c>
      <c r="H178" s="2">
        <v>0</v>
      </c>
      <c r="I178" s="2">
        <v>0</v>
      </c>
      <c r="J178" s="2">
        <v>9</v>
      </c>
      <c r="K178" s="2" t="s">
        <v>26</v>
      </c>
      <c r="L178" s="2"/>
    </row>
    <row r="179" spans="1:12" ht="132" x14ac:dyDescent="0.3">
      <c r="A179" s="2" t="s">
        <v>245</v>
      </c>
      <c r="B179" s="2" t="str">
        <f>HYPERLINK("https://www.breitbart.com/news/going-green-nel-hydrogen-to-build-in-michigan-work-with-gm/")</f>
        <v>https://www.breitbart.com/news/going-green-nel-hydrogen-to-build-in-michigan-work-with-gm/</v>
      </c>
      <c r="C179" s="2"/>
      <c r="D179" s="2" t="s">
        <v>319</v>
      </c>
      <c r="E179" s="4">
        <v>45049.545474537037</v>
      </c>
      <c r="F179" s="2" t="s">
        <v>320</v>
      </c>
      <c r="G179" s="2">
        <v>3538381</v>
      </c>
      <c r="H179" s="2">
        <v>0</v>
      </c>
      <c r="I179" s="2">
        <v>0</v>
      </c>
      <c r="J179" s="2">
        <v>0</v>
      </c>
      <c r="K179" s="2" t="s">
        <v>26</v>
      </c>
      <c r="L179" s="2"/>
    </row>
    <row r="180" spans="1:12" ht="79.2" x14ac:dyDescent="0.3">
      <c r="A180" s="2" t="s">
        <v>245</v>
      </c>
      <c r="B180" s="2" t="str">
        <f>HYPERLINK("https://www.wilx.com/2023/05/03/going-green-nel-hydrogen-build-michigan-work-with-gm/")</f>
        <v>https://www.wilx.com/2023/05/03/going-green-nel-hydrogen-build-michigan-work-with-gm/</v>
      </c>
      <c r="C180" s="2"/>
      <c r="D180" s="2" t="s">
        <v>222</v>
      </c>
      <c r="E180" s="4">
        <v>45049.544930555552</v>
      </c>
      <c r="F180" s="2" t="s">
        <v>248</v>
      </c>
      <c r="G180" s="2">
        <v>582449</v>
      </c>
      <c r="H180" s="2">
        <v>0</v>
      </c>
      <c r="I180" s="2">
        <v>0</v>
      </c>
      <c r="J180" s="2">
        <v>0</v>
      </c>
      <c r="K180" s="2" t="s">
        <v>26</v>
      </c>
      <c r="L180" s="2"/>
    </row>
    <row r="181" spans="1:12" ht="79.2" x14ac:dyDescent="0.3">
      <c r="A181" s="2" t="s">
        <v>245</v>
      </c>
      <c r="B181" s="2" t="str">
        <f>HYPERLINK("https://centurylink.net/news/read/article/the_associated_press-going_green_nel_hydrogen_to_build_in_michigan_work-ap/vendor/The%20Associated%20Press")</f>
        <v>https://centurylink.net/news/read/article/the_associated_press-going_green_nel_hydrogen_to_build_in_michigan_work-ap/vendor/The%20Associated%20Press</v>
      </c>
      <c r="C181" s="2"/>
      <c r="D181" s="2" t="s">
        <v>321</v>
      </c>
      <c r="E181" s="4">
        <v>45049.544756944437</v>
      </c>
      <c r="F181" s="2" t="s">
        <v>248</v>
      </c>
      <c r="G181" s="2">
        <v>604769</v>
      </c>
      <c r="H181" s="2">
        <v>0</v>
      </c>
      <c r="I181" s="2">
        <v>0</v>
      </c>
      <c r="J181" s="2">
        <v>17527</v>
      </c>
      <c r="K181" s="2" t="s">
        <v>26</v>
      </c>
      <c r="L181" s="2"/>
    </row>
    <row r="182" spans="1:12" ht="79.2" x14ac:dyDescent="0.3">
      <c r="A182" s="2" t="s">
        <v>322</v>
      </c>
      <c r="B182" s="2" t="str">
        <f>HYPERLINK("https://www.newsmax.com/world/globaltalk/nel-green-hydrogen-factory-general-motors-michigan/2023/05/03/id/1118454/")</f>
        <v>https://www.newsmax.com/world/globaltalk/nel-green-hydrogen-factory-general-motors-michigan/2023/05/03/id/1118454/</v>
      </c>
      <c r="C182" s="2"/>
      <c r="D182" s="2" t="s">
        <v>323</v>
      </c>
      <c r="E182" s="4">
        <v>45049.542129629634</v>
      </c>
      <c r="F182" s="2" t="s">
        <v>248</v>
      </c>
      <c r="G182" s="2">
        <v>4400226</v>
      </c>
      <c r="H182" s="2">
        <v>0</v>
      </c>
      <c r="I182" s="2">
        <v>0</v>
      </c>
      <c r="J182" s="2">
        <v>0</v>
      </c>
      <c r="K182" s="2" t="s">
        <v>26</v>
      </c>
      <c r="L182" s="2"/>
    </row>
    <row r="183" spans="1:12" ht="79.2" x14ac:dyDescent="0.3">
      <c r="A183" s="2" t="s">
        <v>245</v>
      </c>
      <c r="B183" s="2" t="str">
        <f>HYPERLINK("https://www.kokomotribune.com/news/nation_world_news/going-green-nel-hydrogen-to-build-in-michigan-work-with-gm/article_3b88d67b-ff66-507b-b971-d8e3f37c538f.html")</f>
        <v>https://www.kokomotribune.com/news/nation_world_news/going-green-nel-hydrogen-to-build-in-michigan-work-with-gm/article_3b88d67b-ff66-507b-b971-d8e3f37c538f.html</v>
      </c>
      <c r="C183" s="2" t="s">
        <v>246</v>
      </c>
      <c r="D183" s="2" t="s">
        <v>324</v>
      </c>
      <c r="E183" s="4">
        <v>45049.541990740741</v>
      </c>
      <c r="F183" s="2" t="s">
        <v>248</v>
      </c>
      <c r="G183" s="2">
        <v>139260</v>
      </c>
      <c r="H183" s="2">
        <v>0</v>
      </c>
      <c r="I183" s="2">
        <v>0</v>
      </c>
      <c r="J183" s="2">
        <v>0</v>
      </c>
      <c r="K183" s="2" t="s">
        <v>26</v>
      </c>
      <c r="L183" s="2"/>
    </row>
    <row r="184" spans="1:12" ht="79.2" x14ac:dyDescent="0.3">
      <c r="A184" s="2" t="s">
        <v>245</v>
      </c>
      <c r="B184" s="2" t="str">
        <f>HYPERLINK("https://theanswerorlando.com/news/national/going-green-nel-hydrogen-to-build-in-michigan-work-with-gm/57c90cd27e3d7c06dc5b60b6fcf6813d")</f>
        <v>https://theanswerorlando.com/news/national/going-green-nel-hydrogen-to-build-in-michigan-work-with-gm/57c90cd27e3d7c06dc5b60b6fcf6813d</v>
      </c>
      <c r="C184" s="2" t="s">
        <v>246</v>
      </c>
      <c r="D184" s="2" t="s">
        <v>325</v>
      </c>
      <c r="E184" s="4">
        <v>45049.540937500002</v>
      </c>
      <c r="F184" s="2" t="s">
        <v>248</v>
      </c>
      <c r="G184" s="2">
        <v>780</v>
      </c>
      <c r="H184" s="2">
        <v>0</v>
      </c>
      <c r="I184" s="2">
        <v>0</v>
      </c>
      <c r="J184" s="2">
        <v>0</v>
      </c>
      <c r="K184" s="2" t="s">
        <v>26</v>
      </c>
      <c r="L184" s="2"/>
    </row>
    <row r="185" spans="1:12" ht="79.2" x14ac:dyDescent="0.3">
      <c r="A185" s="2" t="s">
        <v>245</v>
      </c>
      <c r="B185" s="2" t="str">
        <f>HYPERLINK("https://www.yankton.net/news/national_ap/article_a37a17d6-60b4-552e-9dc0-2f6279ba9210.html")</f>
        <v>https://www.yankton.net/news/national_ap/article_a37a17d6-60b4-552e-9dc0-2f6279ba9210.html</v>
      </c>
      <c r="C185" s="2" t="s">
        <v>246</v>
      </c>
      <c r="D185" s="2" t="s">
        <v>326</v>
      </c>
      <c r="E185" s="4">
        <v>45049.539398148147</v>
      </c>
      <c r="F185" s="2" t="s">
        <v>248</v>
      </c>
      <c r="G185" s="2">
        <v>30673</v>
      </c>
      <c r="H185" s="2">
        <v>0</v>
      </c>
      <c r="I185" s="2">
        <v>0</v>
      </c>
      <c r="J185" s="2">
        <v>0</v>
      </c>
      <c r="K185" s="2" t="s">
        <v>26</v>
      </c>
      <c r="L185" s="2"/>
    </row>
    <row r="186" spans="1:12" ht="79.2" x14ac:dyDescent="0.3">
      <c r="A186" s="2" t="s">
        <v>258</v>
      </c>
      <c r="B186" s="2" t="str">
        <f>HYPERLINK("https://tulsaworld.com/ap/national/going-green-nel-hydrogen-to-build-in-michigan-work-with-gm/article_be2f1333-558f-51f7-a1af-222e54e32f89.html")</f>
        <v>https://tulsaworld.com/ap/national/going-green-nel-hydrogen-to-build-in-michigan-work-with-gm/article_be2f1333-558f-51f7-a1af-222e54e32f89.html</v>
      </c>
      <c r="C186" s="2" t="s">
        <v>246</v>
      </c>
      <c r="D186" s="2" t="s">
        <v>327</v>
      </c>
      <c r="E186" s="4">
        <v>45049.538668981477</v>
      </c>
      <c r="F186" s="2" t="s">
        <v>248</v>
      </c>
      <c r="G186" s="2">
        <v>1004434</v>
      </c>
      <c r="H186" s="2">
        <v>0</v>
      </c>
      <c r="I186" s="2">
        <v>0</v>
      </c>
      <c r="J186" s="2">
        <v>0</v>
      </c>
      <c r="K186" s="2" t="s">
        <v>26</v>
      </c>
      <c r="L186" s="2"/>
    </row>
    <row r="187" spans="1:12" ht="118.8" x14ac:dyDescent="0.3">
      <c r="A187" s="2" t="s">
        <v>245</v>
      </c>
      <c r="B187" s="2" t="str">
        <f>HYPERLINK("https://www.compuserve.com/pf/story/0001/20230503/57c90cd27e3d7c06dc5b60b6fcf6813d")</f>
        <v>https://www.compuserve.com/pf/story/0001/20230503/57c90cd27e3d7c06dc5b60b6fcf6813d</v>
      </c>
      <c r="C187" s="2" t="s">
        <v>246</v>
      </c>
      <c r="D187" s="2" t="s">
        <v>328</v>
      </c>
      <c r="E187" s="4">
        <v>45049.535532407397</v>
      </c>
      <c r="F187" s="2" t="s">
        <v>329</v>
      </c>
      <c r="G187" s="2">
        <v>72740</v>
      </c>
      <c r="H187" s="2">
        <v>0</v>
      </c>
      <c r="I187" s="2">
        <v>0</v>
      </c>
      <c r="J187" s="2">
        <v>0</v>
      </c>
      <c r="K187" s="2" t="s">
        <v>26</v>
      </c>
      <c r="L187" s="2"/>
    </row>
    <row r="188" spans="1:12" ht="79.2" x14ac:dyDescent="0.3">
      <c r="A188" s="2" t="s">
        <v>245</v>
      </c>
      <c r="B188" s="2" t="str">
        <f>HYPERLINK("https://www.beaumontenterprise.com/news/article/going-green-nel-hydrogen-to-build-in-michigan-18076247.php")</f>
        <v>https://www.beaumontenterprise.com/news/article/going-green-nel-hydrogen-to-build-in-michigan-18076247.php</v>
      </c>
      <c r="C188" s="2" t="s">
        <v>246</v>
      </c>
      <c r="D188" s="2" t="s">
        <v>330</v>
      </c>
      <c r="E188" s="4">
        <v>45049.535462962973</v>
      </c>
      <c r="F188" s="2" t="s">
        <v>331</v>
      </c>
      <c r="G188" s="2">
        <v>209140</v>
      </c>
      <c r="H188" s="2">
        <v>0</v>
      </c>
      <c r="I188" s="2">
        <v>0</v>
      </c>
      <c r="J188" s="2">
        <v>0</v>
      </c>
      <c r="K188" s="2" t="s">
        <v>26</v>
      </c>
      <c r="L188" s="2"/>
    </row>
    <row r="189" spans="1:12" ht="118.8" x14ac:dyDescent="0.3">
      <c r="A189" s="2" t="s">
        <v>245</v>
      </c>
      <c r="B189" s="2" t="str">
        <f>HYPERLINK("https://www.compuserve.com/news/world/story/0001/20230503/57c90cd27e3d7c06dc5b60b6fcf6813d")</f>
        <v>https://www.compuserve.com/news/world/story/0001/20230503/57c90cd27e3d7c06dc5b60b6fcf6813d</v>
      </c>
      <c r="C189" s="2" t="s">
        <v>246</v>
      </c>
      <c r="D189" s="2" t="s">
        <v>328</v>
      </c>
      <c r="E189" s="4">
        <v>45049.535312499997</v>
      </c>
      <c r="F189" s="2" t="s">
        <v>329</v>
      </c>
      <c r="G189" s="2">
        <v>72740</v>
      </c>
      <c r="H189" s="2">
        <v>0</v>
      </c>
      <c r="I189" s="2">
        <v>0</v>
      </c>
      <c r="J189" s="2">
        <v>0</v>
      </c>
      <c r="K189" s="2" t="s">
        <v>26</v>
      </c>
      <c r="L189" s="2"/>
    </row>
    <row r="190" spans="1:12" ht="79.2" x14ac:dyDescent="0.3">
      <c r="A190" s="2" t="s">
        <v>245</v>
      </c>
      <c r="B190" s="2" t="str">
        <f>HYPERLINK("https://wtop.com/national/2023/05/going-green-nel-hydrogen-to-build-in-michigan-work-with-gm/")</f>
        <v>https://wtop.com/national/2023/05/going-green-nel-hydrogen-to-build-in-michigan-work-with-gm/</v>
      </c>
      <c r="C190" s="2"/>
      <c r="D190" s="2" t="s">
        <v>130</v>
      </c>
      <c r="E190" s="4">
        <v>45049.53466435185</v>
      </c>
      <c r="F190" s="2" t="s">
        <v>248</v>
      </c>
      <c r="G190" s="2">
        <v>2181800</v>
      </c>
      <c r="H190" s="2">
        <v>0</v>
      </c>
      <c r="I190" s="2">
        <v>0</v>
      </c>
      <c r="J190" s="2">
        <v>12</v>
      </c>
      <c r="K190" s="2" t="s">
        <v>26</v>
      </c>
      <c r="L190" s="2"/>
    </row>
    <row r="191" spans="1:12" ht="79.2" x14ac:dyDescent="0.3">
      <c r="A191" s="2" t="s">
        <v>258</v>
      </c>
      <c r="B191" s="2" t="str">
        <f>HYPERLINK("https://www.ccenterdispatch.com/news/national/article_dec55744-cf2b-57f3-a7b4-87695ad678d6.html")</f>
        <v>https://www.ccenterdispatch.com/news/national/article_dec55744-cf2b-57f3-a7b4-87695ad678d6.html</v>
      </c>
      <c r="C191" s="2" t="s">
        <v>332</v>
      </c>
      <c r="D191" s="2" t="s">
        <v>333</v>
      </c>
      <c r="E191" s="4">
        <v>45049.534259259257</v>
      </c>
      <c r="F191" s="2" t="s">
        <v>248</v>
      </c>
      <c r="G191" s="2">
        <v>8098</v>
      </c>
      <c r="H191" s="2">
        <v>0</v>
      </c>
      <c r="I191" s="2">
        <v>0</v>
      </c>
      <c r="J191" s="2">
        <v>0</v>
      </c>
      <c r="K191" s="2" t="s">
        <v>36</v>
      </c>
      <c r="L191" s="2"/>
    </row>
    <row r="192" spans="1:12" ht="79.2" x14ac:dyDescent="0.3">
      <c r="A192" s="2" t="s">
        <v>245</v>
      </c>
      <c r="B192" s="2" t="str">
        <f>HYPERLINK("https://www.sandiegouniontribune.com/news/nation-world/story/2023-05-03/going-green-nel-hydrogen-to-build-in-michigan-work-with-gm")</f>
        <v>https://www.sandiegouniontribune.com/news/nation-world/story/2023-05-03/going-green-nel-hydrogen-to-build-in-michigan-work-with-gm</v>
      </c>
      <c r="C192" s="2" t="s">
        <v>246</v>
      </c>
      <c r="D192" s="2" t="s">
        <v>334</v>
      </c>
      <c r="E192" s="4">
        <v>45049.532430555562</v>
      </c>
      <c r="F192" s="2" t="s">
        <v>248</v>
      </c>
      <c r="G192" s="2">
        <v>3273711</v>
      </c>
      <c r="H192" s="2">
        <v>0</v>
      </c>
      <c r="I192" s="2">
        <v>0</v>
      </c>
      <c r="J192" s="2">
        <v>0</v>
      </c>
      <c r="K192" s="2" t="s">
        <v>26</v>
      </c>
      <c r="L192" s="2"/>
    </row>
    <row r="193" spans="1:12" ht="79.2" x14ac:dyDescent="0.3">
      <c r="A193" s="2" t="s">
        <v>245</v>
      </c>
      <c r="B193" s="2" t="str">
        <f>HYPERLINK("https://kdhnews.com/news/ap/going-green-nel-hydrogen-to-build-in-michigan-work-with-gm/article_ed39e3dc-38b4-55af-a667-67f969a37ae1.html")</f>
        <v>https://kdhnews.com/news/ap/going-green-nel-hydrogen-to-build-in-michigan-work-with-gm/article_ed39e3dc-38b4-55af-a667-67f969a37ae1.html</v>
      </c>
      <c r="C193" s="2" t="s">
        <v>246</v>
      </c>
      <c r="D193" s="2" t="s">
        <v>287</v>
      </c>
      <c r="E193" s="4">
        <v>45049.532314814824</v>
      </c>
      <c r="F193" s="2" t="s">
        <v>248</v>
      </c>
      <c r="G193" s="2">
        <v>380319</v>
      </c>
      <c r="H193" s="2">
        <v>0</v>
      </c>
      <c r="I193" s="2">
        <v>0</v>
      </c>
      <c r="J193" s="2">
        <v>0</v>
      </c>
      <c r="K193" s="2" t="s">
        <v>26</v>
      </c>
      <c r="L193" s="2"/>
    </row>
    <row r="194" spans="1:12" ht="79.2" x14ac:dyDescent="0.3">
      <c r="A194" s="2" t="s">
        <v>245</v>
      </c>
      <c r="B194" s="2" t="str">
        <f>HYPERLINK("https://portal.tds.net/news/read/article/the_associated_press-going_green_nel_hydrogen_to_build_in_michigan_work-ap/vendor/The%20Associated%20Press")</f>
        <v>https://portal.tds.net/news/read/article/the_associated_press-going_green_nel_hydrogen_to_build_in_michigan_work-ap/vendor/The%20Associated%20Press</v>
      </c>
      <c r="C194" s="2"/>
      <c r="D194" s="2" t="s">
        <v>335</v>
      </c>
      <c r="E194" s="4">
        <v>45049.532256944447</v>
      </c>
      <c r="F194" s="2" t="s">
        <v>248</v>
      </c>
      <c r="G194" s="2">
        <v>111718</v>
      </c>
      <c r="H194" s="2">
        <v>0</v>
      </c>
      <c r="I194" s="2">
        <v>0</v>
      </c>
      <c r="J194" s="2">
        <v>0</v>
      </c>
      <c r="K194" s="2" t="s">
        <v>26</v>
      </c>
      <c r="L194" s="2"/>
    </row>
    <row r="195" spans="1:12" ht="79.2" x14ac:dyDescent="0.3">
      <c r="A195" s="2" t="s">
        <v>245</v>
      </c>
      <c r="B195" s="2" t="str">
        <f>HYPERLINK("https://www.wral.com/story/going-green-nel-hydrogen-to-build-in-michigan-work-with-gm/20841241/")</f>
        <v>https://www.wral.com/story/going-green-nel-hydrogen-to-build-in-michigan-work-with-gm/20841241/</v>
      </c>
      <c r="C195" s="2"/>
      <c r="D195" s="2" t="s">
        <v>336</v>
      </c>
      <c r="E195" s="4">
        <v>45049.532106481478</v>
      </c>
      <c r="F195" s="2" t="s">
        <v>248</v>
      </c>
      <c r="G195" s="2">
        <v>2472497</v>
      </c>
      <c r="H195" s="2">
        <v>0</v>
      </c>
      <c r="I195" s="2">
        <v>0</v>
      </c>
      <c r="J195" s="2">
        <v>0</v>
      </c>
      <c r="K195" s="2" t="s">
        <v>26</v>
      </c>
      <c r="L195" s="2"/>
    </row>
    <row r="196" spans="1:12" ht="79.2" x14ac:dyDescent="0.3">
      <c r="A196" s="2" t="s">
        <v>258</v>
      </c>
      <c r="B196" s="2" t="str">
        <f>HYPERLINK("https://www.krqe.com/news/technology/going-green-nel-hydrogen-to-build-in-michigan-work-with-gm/")</f>
        <v>https://www.krqe.com/news/technology/going-green-nel-hydrogen-to-build-in-michigan-work-with-gm/</v>
      </c>
      <c r="C196" s="2"/>
      <c r="D196" s="2" t="s">
        <v>337</v>
      </c>
      <c r="E196" s="4">
        <v>45049.531666666669</v>
      </c>
      <c r="F196" s="2" t="s">
        <v>248</v>
      </c>
      <c r="G196" s="2">
        <v>972009</v>
      </c>
      <c r="H196" s="2">
        <v>0</v>
      </c>
      <c r="I196" s="2">
        <v>0</v>
      </c>
      <c r="J196" s="2">
        <v>0</v>
      </c>
      <c r="K196" s="2" t="s">
        <v>26</v>
      </c>
      <c r="L196" s="2"/>
    </row>
    <row r="197" spans="1:12" ht="79.2" x14ac:dyDescent="0.3">
      <c r="A197" s="2" t="s">
        <v>245</v>
      </c>
      <c r="B197" s="2" t="str">
        <f>HYPERLINK("https://www.stamfordadvocate.com/news/article/going-green-nel-hydrogen-to-build-in-michigan-18076247.php")</f>
        <v>https://www.stamfordadvocate.com/news/article/going-green-nel-hydrogen-to-build-in-michigan-18076247.php</v>
      </c>
      <c r="C197" s="2" t="s">
        <v>246</v>
      </c>
      <c r="D197" s="2" t="s">
        <v>338</v>
      </c>
      <c r="E197" s="4">
        <v>45049.530509259261</v>
      </c>
      <c r="F197" s="2" t="s">
        <v>339</v>
      </c>
      <c r="G197" s="2">
        <v>272929</v>
      </c>
      <c r="H197" s="2">
        <v>0</v>
      </c>
      <c r="I197" s="2">
        <v>0</v>
      </c>
      <c r="J197" s="2">
        <v>0</v>
      </c>
      <c r="K197" s="2" t="s">
        <v>26</v>
      </c>
      <c r="L197" s="2"/>
    </row>
    <row r="198" spans="1:12" ht="79.2" x14ac:dyDescent="0.3">
      <c r="A198" s="2" t="s">
        <v>245</v>
      </c>
      <c r="B198" s="2" t="str">
        <f>HYPERLINK("http://www.mynews13.com/fl/orlando/ap-top-news/2023/05/03/going-green-nel-hydrogen-to-build-in-michigan-work-with-gm")</f>
        <v>http://www.mynews13.com/fl/orlando/ap-top-news/2023/05/03/going-green-nel-hydrogen-to-build-in-michigan-work-with-gm</v>
      </c>
      <c r="C198" s="2"/>
      <c r="D198" s="2" t="s">
        <v>340</v>
      </c>
      <c r="E198" s="4">
        <v>45049.529560185183</v>
      </c>
      <c r="F198" s="2" t="s">
        <v>268</v>
      </c>
      <c r="G198" s="2">
        <v>311871</v>
      </c>
      <c r="H198" s="2">
        <v>0</v>
      </c>
      <c r="I198" s="2">
        <v>0</v>
      </c>
      <c r="J198" s="2">
        <v>0</v>
      </c>
      <c r="K198" s="2" t="s">
        <v>26</v>
      </c>
      <c r="L198" s="2"/>
    </row>
    <row r="199" spans="1:12" ht="79.2" x14ac:dyDescent="0.3">
      <c r="A199" s="2" t="s">
        <v>245</v>
      </c>
      <c r="B199" s="2" t="str">
        <f>HYPERLINK("https://kstp.com/kstp-news/business-news/going-green-nel-hydrogen-to-build-in-michigan-work-with-gm/")</f>
        <v>https://kstp.com/kstp-news/business-news/going-green-nel-hydrogen-to-build-in-michigan-work-with-gm/</v>
      </c>
      <c r="C199" s="2" t="s">
        <v>246</v>
      </c>
      <c r="D199" s="2" t="s">
        <v>341</v>
      </c>
      <c r="E199" s="4">
        <v>45049.529340277782</v>
      </c>
      <c r="F199" s="2" t="s">
        <v>248</v>
      </c>
      <c r="G199" s="2">
        <v>1199199</v>
      </c>
      <c r="H199" s="2">
        <v>0</v>
      </c>
      <c r="I199" s="2">
        <v>0</v>
      </c>
      <c r="J199" s="2">
        <v>0</v>
      </c>
      <c r="K199" s="2" t="s">
        <v>26</v>
      </c>
      <c r="L199" s="2"/>
    </row>
    <row r="200" spans="1:12" ht="92.4" x14ac:dyDescent="0.3">
      <c r="A200" s="2" t="s">
        <v>245</v>
      </c>
      <c r="B200" s="2" t="str">
        <f>HYPERLINK("https://www.seattlepi.com/news/article/going-green-nel-hydrogen-to-build-in-michigan-18076247.php")</f>
        <v>https://www.seattlepi.com/news/article/going-green-nel-hydrogen-to-build-in-michigan-18076247.php</v>
      </c>
      <c r="C200" s="2" t="s">
        <v>246</v>
      </c>
      <c r="D200" s="2" t="s">
        <v>342</v>
      </c>
      <c r="E200" s="4">
        <v>45049.529131944437</v>
      </c>
      <c r="F200" s="2" t="s">
        <v>343</v>
      </c>
      <c r="G200" s="2">
        <v>353379</v>
      </c>
      <c r="H200" s="2">
        <v>0</v>
      </c>
      <c r="I200" s="2">
        <v>0</v>
      </c>
      <c r="J200" s="2">
        <v>0</v>
      </c>
      <c r="K200" s="2" t="s">
        <v>26</v>
      </c>
      <c r="L200" s="2"/>
    </row>
    <row r="201" spans="1:12" ht="79.2" x14ac:dyDescent="0.3">
      <c r="A201" s="2" t="s">
        <v>245</v>
      </c>
      <c r="B201" s="2" t="str">
        <f>HYPERLINK("https://wnyt.com/us-news/going-green-nel-hydrogen-to-build-in-michigan-work-with-gm/")</f>
        <v>https://wnyt.com/us-news/going-green-nel-hydrogen-to-build-in-michigan-work-with-gm/</v>
      </c>
      <c r="C201" s="2" t="s">
        <v>246</v>
      </c>
      <c r="D201" s="2" t="s">
        <v>344</v>
      </c>
      <c r="E201" s="4">
        <v>45049.529004629629</v>
      </c>
      <c r="F201" s="2" t="s">
        <v>248</v>
      </c>
      <c r="G201" s="2">
        <v>312989</v>
      </c>
      <c r="H201" s="2">
        <v>0</v>
      </c>
      <c r="I201" s="2">
        <v>0</v>
      </c>
      <c r="J201" s="2">
        <v>0</v>
      </c>
      <c r="K201" s="2" t="s">
        <v>26</v>
      </c>
      <c r="L201" s="2"/>
    </row>
    <row r="202" spans="1:12" ht="92.4" x14ac:dyDescent="0.3">
      <c r="A202" s="2" t="s">
        <v>345</v>
      </c>
      <c r="B202" s="2" t="str">
        <f>HYPERLINK("https://www.barchart.com/story/news/16547800/going-green-nel-hydrogen-to-build-in-michigan-work-with-gm")</f>
        <v>https://www.barchart.com/story/news/16547800/going-green-nel-hydrogen-to-build-in-michigan-work-with-gm</v>
      </c>
      <c r="C202" s="2" t="s">
        <v>346</v>
      </c>
      <c r="D202" s="2" t="s">
        <v>347</v>
      </c>
      <c r="E202" s="4">
        <v>45049.528877314813</v>
      </c>
      <c r="F202" s="2" t="s">
        <v>348</v>
      </c>
      <c r="G202" s="2">
        <v>1493688</v>
      </c>
      <c r="H202" s="2">
        <v>0</v>
      </c>
      <c r="I202" s="2">
        <v>0</v>
      </c>
      <c r="J202" s="2">
        <v>0</v>
      </c>
      <c r="K202" s="2" t="s">
        <v>26</v>
      </c>
      <c r="L202" s="2"/>
    </row>
    <row r="203" spans="1:12" ht="79.2" x14ac:dyDescent="0.3">
      <c r="A203" s="2" t="s">
        <v>245</v>
      </c>
      <c r="B203" s="2" t="str">
        <f>HYPERLINK("https://www.timesunion.com/news/article/going-green-nel-hydrogen-to-build-in-michigan-18076247.php")</f>
        <v>https://www.timesunion.com/news/article/going-green-nel-hydrogen-to-build-in-michigan-18076247.php</v>
      </c>
      <c r="C203" s="2" t="s">
        <v>246</v>
      </c>
      <c r="D203" s="2" t="s">
        <v>349</v>
      </c>
      <c r="E203" s="4">
        <v>45049.52851851852</v>
      </c>
      <c r="F203" s="2" t="s">
        <v>331</v>
      </c>
      <c r="G203" s="2">
        <v>1743690</v>
      </c>
      <c r="H203" s="2">
        <v>0</v>
      </c>
      <c r="I203" s="2">
        <v>0</v>
      </c>
      <c r="J203" s="2">
        <v>0</v>
      </c>
      <c r="K203" s="2" t="s">
        <v>26</v>
      </c>
      <c r="L203" s="2"/>
    </row>
    <row r="204" spans="1:12" ht="79.2" x14ac:dyDescent="0.3">
      <c r="A204" s="2" t="s">
        <v>245</v>
      </c>
      <c r="B204" s="2" t="str">
        <f>HYPERLINK("https://biztoc.com/x/fbafa8e1bd0ae995")</f>
        <v>https://biztoc.com/x/fbafa8e1bd0ae995</v>
      </c>
      <c r="C204" s="2"/>
      <c r="D204" s="2" t="s">
        <v>163</v>
      </c>
      <c r="E204" s="4">
        <v>45049.528495370367</v>
      </c>
      <c r="F204" s="2" t="s">
        <v>248</v>
      </c>
      <c r="G204" s="2">
        <v>18569</v>
      </c>
      <c r="H204" s="2">
        <v>0</v>
      </c>
      <c r="I204" s="2">
        <v>0</v>
      </c>
      <c r="J204" s="2">
        <v>0</v>
      </c>
      <c r="K204" s="2" t="s">
        <v>36</v>
      </c>
      <c r="L204" s="2"/>
    </row>
    <row r="205" spans="1:12" ht="79.2" x14ac:dyDescent="0.3">
      <c r="A205" s="2" t="s">
        <v>350</v>
      </c>
      <c r="B205" s="2" t="str">
        <f>HYPERLINK("https://www.usnews.com/news/business/articles/2023-05-03/going-green-nel-hydrogen-to-build-in-michigan-work-with-gm")</f>
        <v>https://www.usnews.com/news/business/articles/2023-05-03/going-green-nel-hydrogen-to-build-in-michigan-work-with-gm</v>
      </c>
      <c r="C205" s="2" t="s">
        <v>351</v>
      </c>
      <c r="D205" s="2" t="s">
        <v>352</v>
      </c>
      <c r="E205" s="4">
        <v>45049.528391203698</v>
      </c>
      <c r="F205" s="2" t="s">
        <v>248</v>
      </c>
      <c r="G205" s="2">
        <v>31257486</v>
      </c>
      <c r="H205" s="2">
        <v>1</v>
      </c>
      <c r="I205" s="2">
        <v>5470</v>
      </c>
      <c r="J205" s="2">
        <v>54</v>
      </c>
      <c r="K205" s="2" t="s">
        <v>26</v>
      </c>
      <c r="L205" s="2"/>
    </row>
    <row r="206" spans="1:12" ht="92.4" x14ac:dyDescent="0.3">
      <c r="A206" s="2" t="s">
        <v>245</v>
      </c>
      <c r="B206" s="2" t="str">
        <f>HYPERLINK("https://wtmj.com/national/2023/05/03/going-green-nel-hydrogen-to-build-in-michigan-work-with-gm/")</f>
        <v>https://wtmj.com/national/2023/05/03/going-green-nel-hydrogen-to-build-in-michigan-work-with-gm/</v>
      </c>
      <c r="C206" s="2"/>
      <c r="D206" s="2" t="s">
        <v>353</v>
      </c>
      <c r="E206" s="4">
        <v>45049.528148148151</v>
      </c>
      <c r="F206" s="2" t="s">
        <v>354</v>
      </c>
      <c r="G206" s="2">
        <v>68310</v>
      </c>
      <c r="H206" s="2">
        <v>0</v>
      </c>
      <c r="I206" s="2">
        <v>0</v>
      </c>
      <c r="J206" s="2">
        <v>0</v>
      </c>
      <c r="K206" s="2" t="s">
        <v>26</v>
      </c>
      <c r="L206" s="2"/>
    </row>
    <row r="207" spans="1:12" ht="79.2" x14ac:dyDescent="0.3">
      <c r="A207" s="2" t="s">
        <v>245</v>
      </c>
      <c r="B207" s="2" t="str">
        <f>HYPERLINK("https://www.seattletimes.com/business/going-green-nel-hydrogen-to-build-in-michigan-work-with-gm/")</f>
        <v>https://www.seattletimes.com/business/going-green-nel-hydrogen-to-build-in-michigan-work-with-gm/</v>
      </c>
      <c r="C207" s="2" t="s">
        <v>246</v>
      </c>
      <c r="D207" s="2" t="s">
        <v>355</v>
      </c>
      <c r="E207" s="4">
        <v>45049.527824074074</v>
      </c>
      <c r="F207" s="2" t="s">
        <v>248</v>
      </c>
      <c r="G207" s="2">
        <v>6123843</v>
      </c>
      <c r="H207" s="2">
        <v>0</v>
      </c>
      <c r="I207" s="2">
        <v>0</v>
      </c>
      <c r="J207" s="2">
        <v>0</v>
      </c>
      <c r="K207" s="2" t="s">
        <v>26</v>
      </c>
      <c r="L207" s="2"/>
    </row>
    <row r="208" spans="1:12" ht="79.2" x14ac:dyDescent="0.3">
      <c r="A208" s="2" t="s">
        <v>245</v>
      </c>
      <c r="B208" s="2" t="str">
        <f>HYPERLINK("https://www.krmg.com/news/going-green-nel/DEMKE47GM7CIZ6MESWO3TSZ4DA/")</f>
        <v>https://www.krmg.com/news/going-green-nel/DEMKE47GM7CIZ6MESWO3TSZ4DA/</v>
      </c>
      <c r="C208" s="2" t="s">
        <v>246</v>
      </c>
      <c r="D208" s="2" t="s">
        <v>278</v>
      </c>
      <c r="E208" s="4">
        <v>45049.527766203697</v>
      </c>
      <c r="F208" s="2" t="s">
        <v>248</v>
      </c>
      <c r="G208" s="2">
        <v>42481</v>
      </c>
      <c r="H208" s="2">
        <v>0</v>
      </c>
      <c r="I208" s="2">
        <v>0</v>
      </c>
      <c r="J208" s="2">
        <v>0</v>
      </c>
      <c r="K208" s="2" t="s">
        <v>26</v>
      </c>
      <c r="L208" s="2"/>
    </row>
    <row r="209" spans="1:12" ht="79.2" x14ac:dyDescent="0.3">
      <c r="A209" s="2" t="s">
        <v>245</v>
      </c>
      <c r="B209" s="2" t="str">
        <f>HYPERLINK("https://www.wsls.com/business/2023/05/03/going-green-nel-hydrogen-to-build-in-michigan-work-with-gm/")</f>
        <v>https://www.wsls.com/business/2023/05/03/going-green-nel-hydrogen-to-build-in-michigan-work-with-gm/</v>
      </c>
      <c r="C209" s="2" t="s">
        <v>346</v>
      </c>
      <c r="D209" s="2" t="s">
        <v>356</v>
      </c>
      <c r="E209" s="4">
        <v>45049.527615740742</v>
      </c>
      <c r="F209" s="2" t="s">
        <v>248</v>
      </c>
      <c r="G209" s="2">
        <v>672890</v>
      </c>
      <c r="H209" s="2">
        <v>0</v>
      </c>
      <c r="I209" s="2">
        <v>0</v>
      </c>
      <c r="J209" s="2">
        <v>0</v>
      </c>
      <c r="K209" s="2" t="s">
        <v>26</v>
      </c>
      <c r="L209" s="2"/>
    </row>
    <row r="210" spans="1:12" ht="79.2" x14ac:dyDescent="0.3">
      <c r="A210" s="2" t="s">
        <v>245</v>
      </c>
      <c r="B210" s="2" t="str">
        <f>HYPERLINK("https://www.ourmidland.com/news/article/going-green-nel-hydrogen-to-build-in-michigan-18076247.php")</f>
        <v>https://www.ourmidland.com/news/article/going-green-nel-hydrogen-to-build-in-michigan-18076247.php</v>
      </c>
      <c r="C210" s="2" t="s">
        <v>246</v>
      </c>
      <c r="D210" s="2" t="s">
        <v>357</v>
      </c>
      <c r="E210" s="4">
        <v>45049.527511574073</v>
      </c>
      <c r="F210" s="2" t="s">
        <v>331</v>
      </c>
      <c r="G210" s="2">
        <v>205947</v>
      </c>
      <c r="H210" s="2">
        <v>0</v>
      </c>
      <c r="I210" s="2">
        <v>0</v>
      </c>
      <c r="J210" s="2">
        <v>5</v>
      </c>
      <c r="K210" s="2" t="s">
        <v>26</v>
      </c>
      <c r="L210" s="2"/>
    </row>
    <row r="211" spans="1:12" ht="118.8" x14ac:dyDescent="0.3">
      <c r="A211" s="2" t="s">
        <v>245</v>
      </c>
      <c r="B211" s="2" t="str">
        <f>HYPERLINK("https://federalnewsnetwork.com/business-news/2023/05/going-green-nel-hydrogen-to-build-in-michigan-work-with-gm/")</f>
        <v>https://federalnewsnetwork.com/business-news/2023/05/going-green-nel-hydrogen-to-build-in-michigan-work-with-gm/</v>
      </c>
      <c r="C211" s="2" t="s">
        <v>246</v>
      </c>
      <c r="D211" s="2" t="s">
        <v>358</v>
      </c>
      <c r="E211" s="4">
        <v>45049.527060185188</v>
      </c>
      <c r="F211" s="2" t="s">
        <v>359</v>
      </c>
      <c r="G211" s="2">
        <v>438510</v>
      </c>
      <c r="H211" s="2">
        <v>0</v>
      </c>
      <c r="I211" s="2">
        <v>0</v>
      </c>
      <c r="J211" s="2">
        <v>0</v>
      </c>
      <c r="K211" s="2" t="s">
        <v>26</v>
      </c>
      <c r="L211" s="2"/>
    </row>
    <row r="212" spans="1:12" ht="79.2" x14ac:dyDescent="0.3">
      <c r="A212" s="2" t="s">
        <v>245</v>
      </c>
      <c r="B212" s="2" t="str">
        <f>HYPERLINK("https://www.whec.com/national-world/going-green-nel-hydrogen-to-build-in-michigan-work-with-gm/")</f>
        <v>https://www.whec.com/national-world/going-green-nel-hydrogen-to-build-in-michigan-work-with-gm/</v>
      </c>
      <c r="C212" s="2" t="s">
        <v>246</v>
      </c>
      <c r="D212" s="2" t="s">
        <v>360</v>
      </c>
      <c r="E212" s="4">
        <v>45049.526134259257</v>
      </c>
      <c r="F212" s="2" t="s">
        <v>248</v>
      </c>
      <c r="G212" s="2">
        <v>725278</v>
      </c>
      <c r="H212" s="2">
        <v>0</v>
      </c>
      <c r="I212" s="2">
        <v>0</v>
      </c>
      <c r="J212" s="2">
        <v>0</v>
      </c>
      <c r="K212" s="2" t="s">
        <v>26</v>
      </c>
      <c r="L212" s="2"/>
    </row>
    <row r="213" spans="1:12" ht="79.2" x14ac:dyDescent="0.3">
      <c r="A213" s="2" t="s">
        <v>245</v>
      </c>
      <c r="B213" s="2" t="str">
        <f>HYPERLINK("https://www.kaaltv.com/news/business-news/going-green-nel-hydrogen-to-build-in-michigan-work-with-gm/")</f>
        <v>https://www.kaaltv.com/news/business-news/going-green-nel-hydrogen-to-build-in-michigan-work-with-gm/</v>
      </c>
      <c r="C213" s="2" t="s">
        <v>246</v>
      </c>
      <c r="D213" s="2" t="s">
        <v>361</v>
      </c>
      <c r="E213" s="4">
        <v>45049.526064814818</v>
      </c>
      <c r="F213" s="2" t="s">
        <v>248</v>
      </c>
      <c r="G213" s="2">
        <v>226831</v>
      </c>
      <c r="H213" s="2">
        <v>0</v>
      </c>
      <c r="I213" s="2">
        <v>0</v>
      </c>
      <c r="J213" s="2">
        <v>0</v>
      </c>
      <c r="K213" s="2" t="s">
        <v>26</v>
      </c>
      <c r="L213" s="2"/>
    </row>
    <row r="214" spans="1:12" ht="79.2" x14ac:dyDescent="0.3">
      <c r="A214" s="2" t="s">
        <v>245</v>
      </c>
      <c r="B214" s="2" t="str">
        <f>HYPERLINK("http://www.baynews9.com/fl/tampa/ap-top-news/2023/05/03/going-green-nel-hydrogen-to-build-in-michigan-work-with-gm")</f>
        <v>http://www.baynews9.com/fl/tampa/ap-top-news/2023/05/03/going-green-nel-hydrogen-to-build-in-michigan-work-with-gm</v>
      </c>
      <c r="C214" s="2"/>
      <c r="D214" s="2" t="s">
        <v>362</v>
      </c>
      <c r="E214" s="4">
        <v>45049.52547453704</v>
      </c>
      <c r="F214" s="2" t="s">
        <v>268</v>
      </c>
      <c r="G214" s="2">
        <v>693397</v>
      </c>
      <c r="H214" s="2">
        <v>0</v>
      </c>
      <c r="I214" s="2">
        <v>0</v>
      </c>
      <c r="J214" s="2">
        <v>0</v>
      </c>
      <c r="K214" s="2" t="s">
        <v>26</v>
      </c>
      <c r="L214" s="2"/>
    </row>
    <row r="215" spans="1:12" ht="79.2" x14ac:dyDescent="0.3">
      <c r="A215" s="2" t="s">
        <v>245</v>
      </c>
      <c r="B215" s="2" t="str">
        <f>HYPERLINK("https://www.wokv.com/news/going-green-nel/DEMKE47GM7CIZ6MESWO3TSZ4DA/")</f>
        <v>https://www.wokv.com/news/going-green-nel/DEMKE47GM7CIZ6MESWO3TSZ4DA/</v>
      </c>
      <c r="C215" s="2" t="s">
        <v>246</v>
      </c>
      <c r="D215" s="2" t="s">
        <v>363</v>
      </c>
      <c r="E215" s="4">
        <v>45049.524548611109</v>
      </c>
      <c r="F215" s="2" t="s">
        <v>248</v>
      </c>
      <c r="G215" s="2">
        <v>41569</v>
      </c>
      <c r="H215" s="2">
        <v>0</v>
      </c>
      <c r="I215" s="2">
        <v>0</v>
      </c>
      <c r="J215" s="2">
        <v>0</v>
      </c>
      <c r="K215" s="2" t="s">
        <v>26</v>
      </c>
      <c r="L215" s="2"/>
    </row>
    <row r="216" spans="1:12" ht="79.2" x14ac:dyDescent="0.3">
      <c r="A216" s="2" t="s">
        <v>245</v>
      </c>
      <c r="B216" s="2" t="str">
        <f>HYPERLINK("https://www.news4jax.com/business/2023/05/03/going-green-nel-hydrogen-to-build-in-michigan-work-with-gm/")</f>
        <v>https://www.news4jax.com/business/2023/05/03/going-green-nel-hydrogen-to-build-in-michigan-work-with-gm/</v>
      </c>
      <c r="C216" s="2" t="s">
        <v>346</v>
      </c>
      <c r="D216" s="2" t="s">
        <v>364</v>
      </c>
      <c r="E216" s="4">
        <v>45049.524409722217</v>
      </c>
      <c r="F216" s="2" t="s">
        <v>248</v>
      </c>
      <c r="G216" s="2">
        <v>2014813</v>
      </c>
      <c r="H216" s="2">
        <v>0</v>
      </c>
      <c r="I216" s="2">
        <v>0</v>
      </c>
      <c r="J216" s="2">
        <v>0</v>
      </c>
      <c r="K216" s="2" t="s">
        <v>26</v>
      </c>
      <c r="L216" s="2"/>
    </row>
    <row r="217" spans="1:12" ht="79.2" x14ac:dyDescent="0.3">
      <c r="A217" s="2" t="s">
        <v>258</v>
      </c>
      <c r="B217" s="2" t="str">
        <f>HYPERLINK("https://apnews.com/article/nel-green-hydrogen-factory-general-motors-michigan-57c90cd27e3d7c06dc5b60b6fcf6813d")</f>
        <v>https://apnews.com/article/nel-green-hydrogen-factory-general-motors-michigan-57c90cd27e3d7c06dc5b60b6fcf6813d</v>
      </c>
      <c r="C217" s="2"/>
      <c r="D217" s="2" t="s">
        <v>365</v>
      </c>
      <c r="E217" s="4">
        <v>45049.524398148147</v>
      </c>
      <c r="F217" s="2" t="s">
        <v>248</v>
      </c>
      <c r="G217" s="2">
        <v>38341852</v>
      </c>
      <c r="H217" s="2">
        <v>5</v>
      </c>
      <c r="I217" s="2">
        <v>12443</v>
      </c>
      <c r="J217" s="2">
        <v>1054</v>
      </c>
      <c r="K217" s="2" t="s">
        <v>26</v>
      </c>
      <c r="L217" s="2"/>
    </row>
    <row r="218" spans="1:12" ht="79.2" x14ac:dyDescent="0.3">
      <c r="A218" s="2" t="s">
        <v>258</v>
      </c>
      <c r="B218" s="2" t="str">
        <f>HYPERLINK("https://finance.yahoo.com/news/going-green-nel-hydrogen-build-162830622.html")</f>
        <v>https://finance.yahoo.com/news/going-green-nel-hydrogen-build-162830622.html</v>
      </c>
      <c r="C218" s="2"/>
      <c r="D218" s="2" t="s">
        <v>80</v>
      </c>
      <c r="E218" s="4">
        <v>45049.524189814823</v>
      </c>
      <c r="F218" s="2" t="s">
        <v>248</v>
      </c>
      <c r="G218" s="2">
        <v>46919838</v>
      </c>
      <c r="H218" s="2">
        <v>0</v>
      </c>
      <c r="I218" s="2">
        <v>0</v>
      </c>
      <c r="J218" s="2">
        <v>0</v>
      </c>
      <c r="K218" s="2" t="s">
        <v>26</v>
      </c>
      <c r="L218" s="2"/>
    </row>
    <row r="219" spans="1:12" ht="79.2" x14ac:dyDescent="0.3">
      <c r="A219" s="2" t="s">
        <v>245</v>
      </c>
      <c r="B219" s="2" t="str">
        <f>HYPERLINK("https://www.startribune.com/going-green-nel-hydrogen-to-build-in-michigan-work-with-gm/600272074/")</f>
        <v>https://www.startribune.com/going-green-nel-hydrogen-to-build-in-michigan-work-with-gm/600272074/</v>
      </c>
      <c r="C219" s="2" t="s">
        <v>246</v>
      </c>
      <c r="D219" s="2" t="s">
        <v>366</v>
      </c>
      <c r="E219" s="4">
        <v>45049.52412037037</v>
      </c>
      <c r="F219" s="2" t="s">
        <v>367</v>
      </c>
      <c r="G219" s="2">
        <v>3650694</v>
      </c>
      <c r="H219" s="2">
        <v>0</v>
      </c>
      <c r="I219" s="2">
        <v>0</v>
      </c>
      <c r="J219" s="2">
        <v>0</v>
      </c>
      <c r="K219" s="2" t="s">
        <v>26</v>
      </c>
      <c r="L219" s="2"/>
    </row>
    <row r="220" spans="1:12" ht="79.2" x14ac:dyDescent="0.3">
      <c r="A220" s="2" t="s">
        <v>245</v>
      </c>
      <c r="B220" s="2" t="str">
        <f>HYPERLINK("https://www.kob.com/news/business-money/going-green-nel-hydrogen-to-build-in-michigan-work-with-gm/")</f>
        <v>https://www.kob.com/news/business-money/going-green-nel-hydrogen-to-build-in-michigan-work-with-gm/</v>
      </c>
      <c r="C220" s="2" t="s">
        <v>246</v>
      </c>
      <c r="D220" s="2" t="s">
        <v>368</v>
      </c>
      <c r="E220" s="4">
        <v>45049.5237037037</v>
      </c>
      <c r="F220" s="2" t="s">
        <v>248</v>
      </c>
      <c r="G220" s="2">
        <v>695542</v>
      </c>
      <c r="H220" s="2">
        <v>0</v>
      </c>
      <c r="I220" s="2">
        <v>0</v>
      </c>
      <c r="J220" s="2">
        <v>0</v>
      </c>
      <c r="K220" s="2" t="s">
        <v>26</v>
      </c>
      <c r="L220" s="2"/>
    </row>
    <row r="221" spans="1:12" ht="79.2" x14ac:dyDescent="0.3">
      <c r="A221" s="2" t="s">
        <v>245</v>
      </c>
      <c r="B221" s="2" t="str">
        <f>HYPERLINK("https://www.wsbradio.com/news/going-green-nel/DEMKE47GM7CIZ6MESWO3TSZ4DA/")</f>
        <v>https://www.wsbradio.com/news/going-green-nel/DEMKE47GM7CIZ6MESWO3TSZ4DA/</v>
      </c>
      <c r="C221" s="2" t="s">
        <v>246</v>
      </c>
      <c r="D221" s="2" t="s">
        <v>369</v>
      </c>
      <c r="E221" s="4">
        <v>45049.523692129631</v>
      </c>
      <c r="F221" s="2" t="s">
        <v>248</v>
      </c>
      <c r="G221" s="2">
        <v>128142</v>
      </c>
      <c r="H221" s="2">
        <v>0</v>
      </c>
      <c r="I221" s="2">
        <v>0</v>
      </c>
      <c r="J221" s="2">
        <v>0</v>
      </c>
      <c r="K221" s="2" t="s">
        <v>26</v>
      </c>
      <c r="L221" s="2"/>
    </row>
    <row r="222" spans="1:12" ht="79.2" x14ac:dyDescent="0.3">
      <c r="A222" s="2" t="s">
        <v>258</v>
      </c>
      <c r="B222" s="2" t="str">
        <f>HYPERLINK("https://www.clickorlando.com/business/2023/05/03/going-green-nel-hydrogen-to-build-in-michigan-work-with-gm/")</f>
        <v>https://www.clickorlando.com/business/2023/05/03/going-green-nel-hydrogen-to-build-in-michigan-work-with-gm/</v>
      </c>
      <c r="C222" s="2" t="s">
        <v>346</v>
      </c>
      <c r="D222" s="2" t="s">
        <v>370</v>
      </c>
      <c r="E222" s="4">
        <v>45049.523668981477</v>
      </c>
      <c r="F222" s="2" t="s">
        <v>248</v>
      </c>
      <c r="G222" s="2">
        <v>2614708</v>
      </c>
      <c r="H222" s="2">
        <v>0</v>
      </c>
      <c r="I222" s="2">
        <v>0</v>
      </c>
      <c r="J222" s="2">
        <v>0</v>
      </c>
      <c r="K222" s="2" t="s">
        <v>26</v>
      </c>
      <c r="L222" s="2"/>
    </row>
    <row r="223" spans="1:12" ht="118.8" x14ac:dyDescent="0.3">
      <c r="A223" s="2" t="s">
        <v>245</v>
      </c>
      <c r="B223" s="2" t="str">
        <f>HYPERLINK("https://www.clickondetroit.com/business/2023/05/03/going-green-nel-hydrogen-to-build-in-michigan-work-with-gm/")</f>
        <v>https://www.clickondetroit.com/business/2023/05/03/going-green-nel-hydrogen-to-build-in-michigan-work-with-gm/</v>
      </c>
      <c r="C223" s="2" t="s">
        <v>346</v>
      </c>
      <c r="D223" s="2" t="s">
        <v>371</v>
      </c>
      <c r="E223" s="4">
        <v>45049.523495370369</v>
      </c>
      <c r="F223" s="2" t="s">
        <v>372</v>
      </c>
      <c r="G223" s="2">
        <v>3801556</v>
      </c>
      <c r="H223" s="2">
        <v>0</v>
      </c>
      <c r="I223" s="2">
        <v>0</v>
      </c>
      <c r="J223" s="2">
        <v>29</v>
      </c>
      <c r="K223" s="2" t="s">
        <v>26</v>
      </c>
      <c r="L223" s="2"/>
    </row>
    <row r="224" spans="1:12" ht="118.8" x14ac:dyDescent="0.3">
      <c r="A224" s="2" t="s">
        <v>245</v>
      </c>
      <c r="B224" s="2" t="str">
        <f>HYPERLINK("https://www.local10.com/business/2023/05/03/going-green-nel-hydrogen-to-build-in-michigan-work-with-gm/")</f>
        <v>https://www.local10.com/business/2023/05/03/going-green-nel-hydrogen-to-build-in-michigan-work-with-gm/</v>
      </c>
      <c r="C224" s="2" t="s">
        <v>346</v>
      </c>
      <c r="D224" s="2" t="s">
        <v>373</v>
      </c>
      <c r="E224" s="4">
        <v>45049.523310185177</v>
      </c>
      <c r="F224" s="2" t="s">
        <v>372</v>
      </c>
      <c r="G224" s="2">
        <v>1612593</v>
      </c>
      <c r="H224" s="2">
        <v>0</v>
      </c>
      <c r="I224" s="2">
        <v>0</v>
      </c>
      <c r="J224" s="2">
        <v>26</v>
      </c>
      <c r="K224" s="2" t="s">
        <v>26</v>
      </c>
      <c r="L224" s="2"/>
    </row>
    <row r="225" spans="1:12" ht="79.2" x14ac:dyDescent="0.3">
      <c r="A225" s="2" t="s">
        <v>245</v>
      </c>
      <c r="B225" s="2" t="str">
        <f>HYPERLINK("https://mynorthwest.com/3884562/going-green-nel-hydrogen-to-build-in-michigan-work-with-gm/")</f>
        <v>https://mynorthwest.com/3884562/going-green-nel-hydrogen-to-build-in-michigan-work-with-gm/</v>
      </c>
      <c r="C225" s="2"/>
      <c r="D225" s="2" t="s">
        <v>374</v>
      </c>
      <c r="E225" s="4">
        <v>45049.523263888892</v>
      </c>
      <c r="F225" s="2" t="s">
        <v>248</v>
      </c>
      <c r="G225" s="2">
        <v>1131126</v>
      </c>
      <c r="H225" s="2">
        <v>0</v>
      </c>
      <c r="I225" s="2">
        <v>0</v>
      </c>
      <c r="J225" s="2">
        <v>0</v>
      </c>
      <c r="K225" s="2" t="s">
        <v>26</v>
      </c>
      <c r="L225" s="2"/>
    </row>
    <row r="226" spans="1:12" ht="79.2" x14ac:dyDescent="0.3">
      <c r="A226" s="2" t="s">
        <v>245</v>
      </c>
      <c r="B226" s="2" t="str">
        <f>HYPERLINK("https://www.wdbo.com/news/going-green-nel/DEMKE47GM7CIZ6MESWO3TSZ4DA/")</f>
        <v>https://www.wdbo.com/news/going-green-nel/DEMKE47GM7CIZ6MESWO3TSZ4DA/</v>
      </c>
      <c r="C226" s="2" t="s">
        <v>246</v>
      </c>
      <c r="D226" s="2" t="s">
        <v>277</v>
      </c>
      <c r="E226" s="4">
        <v>45049.522962962961</v>
      </c>
      <c r="F226" s="2" t="s">
        <v>248</v>
      </c>
      <c r="G226" s="2">
        <v>150108</v>
      </c>
      <c r="H226" s="2">
        <v>0</v>
      </c>
      <c r="I226" s="2">
        <v>0</v>
      </c>
      <c r="J226" s="2">
        <v>0</v>
      </c>
      <c r="K226" s="2" t="s">
        <v>26</v>
      </c>
      <c r="L226" s="2"/>
    </row>
    <row r="227" spans="1:12" ht="79.2" x14ac:dyDescent="0.3">
      <c r="A227" s="2" t="s">
        <v>245</v>
      </c>
      <c r="B227" s="2" t="str">
        <f>HYPERLINK("https://ktar.com/story/5491359/going-green-nel-hydrogen-to-build-in-michigan-work-with-gm/")</f>
        <v>https://ktar.com/story/5491359/going-green-nel-hydrogen-to-build-in-michigan-work-with-gm/</v>
      </c>
      <c r="C227" s="2"/>
      <c r="D227" s="2" t="s">
        <v>375</v>
      </c>
      <c r="E227" s="4">
        <v>45049.522928240738</v>
      </c>
      <c r="F227" s="2" t="s">
        <v>248</v>
      </c>
      <c r="G227" s="2">
        <v>997572</v>
      </c>
      <c r="H227" s="2">
        <v>0</v>
      </c>
      <c r="I227" s="2">
        <v>0</v>
      </c>
      <c r="J227" s="2">
        <v>0</v>
      </c>
      <c r="K227" s="2" t="s">
        <v>26</v>
      </c>
      <c r="L227" s="2"/>
    </row>
    <row r="228" spans="1:12" ht="79.2" x14ac:dyDescent="0.3">
      <c r="A228" s="2" t="s">
        <v>258</v>
      </c>
      <c r="B228" s="2" t="str">
        <f>HYPERLINK("https://www.washingtonpost.com/national/2023/05/03/nel-green-hydrogen-factory-general-motors-michigan/a4afebee-e9cf-11ed-869e-986dd5713bc8_story.html")</f>
        <v>https://www.washingtonpost.com/national/2023/05/03/nel-green-hydrogen-factory-general-motors-michigan/a4afebee-e9cf-11ed-869e-986dd5713bc8_story.html</v>
      </c>
      <c r="C228" s="2"/>
      <c r="D228" s="2" t="s">
        <v>376</v>
      </c>
      <c r="E228" s="4">
        <v>45049.522905092592</v>
      </c>
      <c r="F228" s="2" t="s">
        <v>248</v>
      </c>
      <c r="G228" s="2">
        <v>46882332</v>
      </c>
      <c r="H228" s="2">
        <v>0</v>
      </c>
      <c r="I228" s="2">
        <v>0</v>
      </c>
      <c r="J228" s="2">
        <v>0</v>
      </c>
      <c r="K228" s="2" t="s">
        <v>26</v>
      </c>
      <c r="L228" s="2"/>
    </row>
    <row r="229" spans="1:12" ht="79.2" x14ac:dyDescent="0.3">
      <c r="A229" s="2" t="s">
        <v>258</v>
      </c>
      <c r="B229" s="2" t="str">
        <f>HYPERLINK("https://news.yahoo.com/going-green-nel-hydrogen-build-162830034.html")</f>
        <v>https://news.yahoo.com/going-green-nel-hydrogen-build-162830034.html</v>
      </c>
      <c r="C229" s="2"/>
      <c r="D229" s="2" t="s">
        <v>139</v>
      </c>
      <c r="E229" s="4">
        <v>45049.522835648153</v>
      </c>
      <c r="F229" s="2" t="s">
        <v>248</v>
      </c>
      <c r="G229" s="2">
        <v>58768090</v>
      </c>
      <c r="H229" s="2">
        <v>0</v>
      </c>
      <c r="I229" s="2">
        <v>0</v>
      </c>
      <c r="J229" s="2">
        <v>14</v>
      </c>
      <c r="K229" s="2" t="s">
        <v>26</v>
      </c>
      <c r="L229" s="2"/>
    </row>
    <row r="230" spans="1:12" ht="118.8" x14ac:dyDescent="0.3">
      <c r="A230" s="2" t="s">
        <v>245</v>
      </c>
      <c r="B230" s="2" t="str">
        <f>HYPERLINK("https://www.ksat.com/business/2023/05/03/going-green-nel-hydrogen-to-build-in-michigan-work-with-gm/")</f>
        <v>https://www.ksat.com/business/2023/05/03/going-green-nel-hydrogen-to-build-in-michigan-work-with-gm/</v>
      </c>
      <c r="C230" s="2" t="s">
        <v>346</v>
      </c>
      <c r="D230" s="2" t="s">
        <v>377</v>
      </c>
      <c r="E230" s="4">
        <v>45049.522372685176</v>
      </c>
      <c r="F230" s="2" t="s">
        <v>372</v>
      </c>
      <c r="G230" s="2">
        <v>2977471</v>
      </c>
      <c r="H230" s="2">
        <v>0</v>
      </c>
      <c r="I230" s="2">
        <v>0</v>
      </c>
      <c r="J230" s="2">
        <v>16</v>
      </c>
      <c r="K230" s="2" t="s">
        <v>26</v>
      </c>
      <c r="L230" s="2"/>
    </row>
    <row r="231" spans="1:12" ht="79.2" x14ac:dyDescent="0.3">
      <c r="A231" s="2" t="s">
        <v>245</v>
      </c>
      <c r="B231" s="2" t="str">
        <f>HYPERLINK("https://www.wgauradio.com/news/going-green-nel/DEMKE47GM7CIZ6MESWO3TSZ4DA/")</f>
        <v>https://www.wgauradio.com/news/going-green-nel/DEMKE47GM7CIZ6MESWO3TSZ4DA/</v>
      </c>
      <c r="C231" s="2" t="s">
        <v>246</v>
      </c>
      <c r="D231" s="2" t="s">
        <v>378</v>
      </c>
      <c r="E231" s="4">
        <v>45049.522060185183</v>
      </c>
      <c r="F231" s="2" t="s">
        <v>248</v>
      </c>
      <c r="G231" s="2">
        <v>29636</v>
      </c>
      <c r="H231" s="2">
        <v>0</v>
      </c>
      <c r="I231" s="2">
        <v>0</v>
      </c>
      <c r="J231" s="2">
        <v>0</v>
      </c>
      <c r="K231" s="2" t="s">
        <v>26</v>
      </c>
      <c r="L231" s="2"/>
    </row>
    <row r="232" spans="1:12" ht="79.2" x14ac:dyDescent="0.3">
      <c r="A232" s="2" t="s">
        <v>245</v>
      </c>
      <c r="B232" s="2" t="str">
        <f>HYPERLINK("https://www.click2houston.com/business/2023/05/03/going-green-nel-hydrogen-to-build-in-michigan-work-with-gm/")</f>
        <v>https://www.click2houston.com/business/2023/05/03/going-green-nel-hydrogen-to-build-in-michigan-work-with-gm/</v>
      </c>
      <c r="C232" s="2" t="s">
        <v>346</v>
      </c>
      <c r="D232" s="2" t="s">
        <v>379</v>
      </c>
      <c r="E232" s="4">
        <v>45049.521828703713</v>
      </c>
      <c r="F232" s="2" t="s">
        <v>248</v>
      </c>
      <c r="G232" s="2">
        <v>2424379</v>
      </c>
      <c r="H232" s="2">
        <v>0</v>
      </c>
      <c r="I232" s="2">
        <v>0</v>
      </c>
      <c r="J232" s="2">
        <v>0</v>
      </c>
      <c r="K232" s="2" t="s">
        <v>26</v>
      </c>
      <c r="L232" s="2"/>
    </row>
    <row r="233" spans="1:12" ht="118.8" x14ac:dyDescent="0.3">
      <c r="A233" s="2" t="s">
        <v>245</v>
      </c>
      <c r="B233" s="2" t="str">
        <f>HYPERLINK("http://hosted.ap.org/article/57c90cd27e3d7c06dc5b60b6fcf6813d/going-green-nel-hydrogen-build-michigan-work-gm")</f>
        <v>http://hosted.ap.org/article/57c90cd27e3d7c06dc5b60b6fcf6813d/going-green-nel-hydrogen-build-michigan-work-gm</v>
      </c>
      <c r="C233" s="2" t="s">
        <v>246</v>
      </c>
      <c r="D233" s="2" t="s">
        <v>365</v>
      </c>
      <c r="E233" s="4">
        <v>45049.521678240737</v>
      </c>
      <c r="F233" s="2" t="s">
        <v>380</v>
      </c>
      <c r="G233" s="2">
        <v>38341852</v>
      </c>
      <c r="H233" s="2">
        <v>0</v>
      </c>
      <c r="I233" s="2">
        <v>0</v>
      </c>
      <c r="J233" s="2">
        <v>0</v>
      </c>
      <c r="K233" s="2" t="s">
        <v>26</v>
      </c>
      <c r="L233" s="2"/>
    </row>
    <row r="234" spans="1:12" ht="79.2" x14ac:dyDescent="0.3">
      <c r="A234" s="2" t="s">
        <v>381</v>
      </c>
      <c r="B234" s="2" t="str">
        <f>HYPERLINK("https://www.metro.us/going-green-nel-hydrogen-to-build-in-michigan-work-with-gm/")</f>
        <v>https://www.metro.us/going-green-nel-hydrogen-to-build-in-michigan-work-with-gm/</v>
      </c>
      <c r="C234" s="2" t="s">
        <v>246</v>
      </c>
      <c r="D234" s="2" t="s">
        <v>382</v>
      </c>
      <c r="E234" s="4">
        <v>45049.521666666667</v>
      </c>
      <c r="F234" s="2" t="s">
        <v>248</v>
      </c>
      <c r="G234" s="2">
        <v>85165</v>
      </c>
      <c r="H234" s="2">
        <v>0</v>
      </c>
      <c r="I234" s="2">
        <v>0</v>
      </c>
      <c r="J234" s="2">
        <v>0</v>
      </c>
      <c r="K234" s="2" t="s">
        <v>26</v>
      </c>
      <c r="L234" s="2"/>
    </row>
    <row r="235" spans="1:12" ht="79.2" x14ac:dyDescent="0.3">
      <c r="A235" s="2" t="s">
        <v>245</v>
      </c>
      <c r="B235" s="2" t="str">
        <f>HYPERLINK("https://www.springfieldnewssun.com/nation-world/going-green-nel-hydrogen-to-build-in-michigan-work-with-gm/BSULSG2EUFFHXN3VZY3U6UVR4I/")</f>
        <v>https://www.springfieldnewssun.com/nation-world/going-green-nel-hydrogen-to-build-in-michigan-work-with-gm/BSULSG2EUFFHXN3VZY3U6UVR4I/</v>
      </c>
      <c r="C235" s="2" t="s">
        <v>246</v>
      </c>
      <c r="D235" s="2" t="s">
        <v>383</v>
      </c>
      <c r="E235" s="4">
        <v>45049.521516203713</v>
      </c>
      <c r="F235" s="2" t="s">
        <v>248</v>
      </c>
      <c r="G235" s="2">
        <v>90137</v>
      </c>
      <c r="H235" s="2">
        <v>0</v>
      </c>
      <c r="I235" s="2">
        <v>0</v>
      </c>
      <c r="J235" s="2">
        <v>0</v>
      </c>
      <c r="K235" s="2" t="s">
        <v>26</v>
      </c>
      <c r="L235" s="2"/>
    </row>
    <row r="236" spans="1:12" ht="79.2" x14ac:dyDescent="0.3">
      <c r="A236" s="2" t="s">
        <v>245</v>
      </c>
      <c r="B236" s="2" t="str">
        <f>HYPERLINK("https://www.journal-news.com/nation-world/going-green-nel-hydrogen-to-build-in-michigan-work-with-gm/BSULSG2EUFFHXN3VZY3U6UVR4I/")</f>
        <v>https://www.journal-news.com/nation-world/going-green-nel-hydrogen-to-build-in-michigan-work-with-gm/BSULSG2EUFFHXN3VZY3U6UVR4I/</v>
      </c>
      <c r="C236" s="2" t="s">
        <v>246</v>
      </c>
      <c r="D236" s="2" t="s">
        <v>384</v>
      </c>
      <c r="E236" s="4">
        <v>45049.521516203713</v>
      </c>
      <c r="F236" s="2" t="s">
        <v>248</v>
      </c>
      <c r="G236" s="2">
        <v>232451</v>
      </c>
      <c r="H236" s="2">
        <v>0</v>
      </c>
      <c r="I236" s="2">
        <v>0</v>
      </c>
      <c r="J236" s="2">
        <v>0</v>
      </c>
      <c r="K236" s="2" t="s">
        <v>26</v>
      </c>
      <c r="L236" s="2"/>
    </row>
    <row r="237" spans="1:12" ht="79.2" x14ac:dyDescent="0.3">
      <c r="A237" s="2" t="s">
        <v>245</v>
      </c>
      <c r="B237" s="2" t="str">
        <f>HYPERLINK("https://www.daytondailynews.com/nation-world/going-green-nel-hydrogen-to-build-in-michigan-work-with-gm/BSULSG2EUFFHXN3VZY3U6UVR4I/")</f>
        <v>https://www.daytondailynews.com/nation-world/going-green-nel-hydrogen-to-build-in-michigan-work-with-gm/BSULSG2EUFFHXN3VZY3U6UVR4I/</v>
      </c>
      <c r="C237" s="2" t="s">
        <v>246</v>
      </c>
      <c r="D237" s="2" t="s">
        <v>262</v>
      </c>
      <c r="E237" s="4">
        <v>45049.521516203713</v>
      </c>
      <c r="F237" s="2" t="s">
        <v>248</v>
      </c>
      <c r="G237" s="2">
        <v>1092147</v>
      </c>
      <c r="H237" s="2">
        <v>0</v>
      </c>
      <c r="I237" s="2">
        <v>0</v>
      </c>
      <c r="J237" s="2">
        <v>0</v>
      </c>
      <c r="K237" s="2" t="s">
        <v>26</v>
      </c>
      <c r="L237" s="2"/>
    </row>
    <row r="238" spans="1:12" ht="79.2" x14ac:dyDescent="0.3">
      <c r="A238" s="2" t="s">
        <v>245</v>
      </c>
      <c r="B238" s="2" t="str">
        <f>HYPERLINK("https://www.ajc.com/news/nation-world/going-green-nel-hydrogen-to-build-in-michigan-work-with-gm/Z64HN5DJRFAEXHXZXGOI4KX6KM/")</f>
        <v>https://www.ajc.com/news/nation-world/going-green-nel-hydrogen-to-build-in-michigan-work-with-gm/Z64HN5DJRFAEXHXZXGOI4KX6KM/</v>
      </c>
      <c r="C238" s="2" t="s">
        <v>246</v>
      </c>
      <c r="D238" s="2" t="s">
        <v>385</v>
      </c>
      <c r="E238" s="4">
        <v>45049.521481481483</v>
      </c>
      <c r="F238" s="2" t="s">
        <v>248</v>
      </c>
      <c r="G238" s="2">
        <v>3096437</v>
      </c>
      <c r="H238" s="2">
        <v>0</v>
      </c>
      <c r="I238" s="2">
        <v>0</v>
      </c>
      <c r="J238" s="2">
        <v>0</v>
      </c>
      <c r="K238" s="2" t="s">
        <v>26</v>
      </c>
      <c r="L238" s="2"/>
    </row>
    <row r="239" spans="1:12" ht="79.2" x14ac:dyDescent="0.3">
      <c r="A239" s="2" t="s">
        <v>258</v>
      </c>
      <c r="B239" s="2" t="str">
        <f>HYPERLINK("https://www.audacy.com/wbbm780/news/world/going-green-nel-hydrogen-to-build-in-michigan-work-with-gm")</f>
        <v>https://www.audacy.com/wbbm780/news/world/going-green-nel-hydrogen-to-build-in-michigan-work-with-gm</v>
      </c>
      <c r="C239" s="2"/>
      <c r="D239" s="2" t="s">
        <v>386</v>
      </c>
      <c r="E239" s="4">
        <v>45049.520856481482</v>
      </c>
      <c r="F239" s="2" t="s">
        <v>248</v>
      </c>
      <c r="G239" s="2">
        <v>5391892</v>
      </c>
      <c r="H239" s="2">
        <v>0</v>
      </c>
      <c r="I239" s="2">
        <v>0</v>
      </c>
      <c r="J239" s="2">
        <v>0</v>
      </c>
      <c r="K239" s="2" t="s">
        <v>26</v>
      </c>
      <c r="L239" s="2"/>
    </row>
    <row r="240" spans="1:12" ht="79.2" x14ac:dyDescent="0.3">
      <c r="A240" s="2" t="s">
        <v>245</v>
      </c>
      <c r="B240" s="2" t="str">
        <f>HYPERLINK("https://www.wjfw.com/news/regional/going-green-nel-hydrogen-to-build-in-michigan-work-with-gm/article_f81294bd-e835-5d87-be58-b022ee702341.html")</f>
        <v>https://www.wjfw.com/news/regional/going-green-nel-hydrogen-to-build-in-michigan-work-with-gm/article_f81294bd-e835-5d87-be58-b022ee702341.html</v>
      </c>
      <c r="C240" s="2" t="s">
        <v>246</v>
      </c>
      <c r="D240" s="2" t="s">
        <v>387</v>
      </c>
      <c r="E240" s="4">
        <v>45049.519803240742</v>
      </c>
      <c r="F240" s="2" t="s">
        <v>248</v>
      </c>
      <c r="G240" s="2">
        <v>88647</v>
      </c>
      <c r="H240" s="2">
        <v>0</v>
      </c>
      <c r="I240" s="2">
        <v>0</v>
      </c>
      <c r="J240" s="2">
        <v>0</v>
      </c>
      <c r="K240" s="2" t="s">
        <v>26</v>
      </c>
      <c r="L240" s="2"/>
    </row>
    <row r="241" spans="1:12" ht="79.2" x14ac:dyDescent="0.3">
      <c r="A241" s="2" t="s">
        <v>245</v>
      </c>
      <c r="B241" s="2" t="str">
        <f>HYPERLINK("https://www.wboy.com/technology/going-green-nel-hydrogen-to-build-in-michigan-work-with-gm/")</f>
        <v>https://www.wboy.com/technology/going-green-nel-hydrogen-to-build-in-michigan-work-with-gm/</v>
      </c>
      <c r="C241" s="2" t="s">
        <v>246</v>
      </c>
      <c r="D241" s="2" t="s">
        <v>388</v>
      </c>
      <c r="E241" s="4">
        <v>45049.519803240742</v>
      </c>
      <c r="F241" s="2" t="s">
        <v>248</v>
      </c>
      <c r="G241" s="2">
        <v>497533</v>
      </c>
      <c r="H241" s="2">
        <v>0</v>
      </c>
      <c r="I241" s="2">
        <v>0</v>
      </c>
      <c r="J241" s="2">
        <v>0</v>
      </c>
      <c r="K241" s="2" t="s">
        <v>26</v>
      </c>
      <c r="L241" s="2"/>
    </row>
    <row r="242" spans="1:12" ht="118.8" x14ac:dyDescent="0.3">
      <c r="A242" s="2" t="s">
        <v>245</v>
      </c>
      <c r="B242" s="2" t="str">
        <f>HYPERLINK("https://www.wandtv.com/news/national/going-green-nel-hydrogen-to-build-in-michigan-work-with-gm/article_19c16d2a-bd67-51e8-8e20-0d734faae5d0.html")</f>
        <v>https://www.wandtv.com/news/national/going-green-nel-hydrogen-to-build-in-michigan-work-with-gm/article_19c16d2a-bd67-51e8-8e20-0d734faae5d0.html</v>
      </c>
      <c r="C242" s="2" t="s">
        <v>246</v>
      </c>
      <c r="D242" s="2" t="s">
        <v>389</v>
      </c>
      <c r="E242" s="4">
        <v>45049.519803240742</v>
      </c>
      <c r="F242" s="2" t="s">
        <v>276</v>
      </c>
      <c r="G242" s="2">
        <v>283789</v>
      </c>
      <c r="H242" s="2">
        <v>0</v>
      </c>
      <c r="I242" s="2">
        <v>0</v>
      </c>
      <c r="J242" s="2">
        <v>0</v>
      </c>
      <c r="K242" s="2" t="s">
        <v>36</v>
      </c>
      <c r="L242" s="2"/>
    </row>
    <row r="243" spans="1:12" ht="79.2" x14ac:dyDescent="0.3">
      <c r="A243" s="2" t="s">
        <v>245</v>
      </c>
      <c r="B243" s="2" t="str">
        <f>HYPERLINK("https://www.goshennews.com/news/national_news/going-green-nel-hydrogen-to-build-in-michigan-work-with-gm/article_bf0d786c-6a8f-5679-9b62-34d66f17c5bd.html")</f>
        <v>https://www.goshennews.com/news/national_news/going-green-nel-hydrogen-to-build-in-michigan-work-with-gm/article_bf0d786c-6a8f-5679-9b62-34d66f17c5bd.html</v>
      </c>
      <c r="C243" s="2" t="s">
        <v>246</v>
      </c>
      <c r="D243" s="2" t="s">
        <v>390</v>
      </c>
      <c r="E243" s="4">
        <v>45049.519803240742</v>
      </c>
      <c r="F243" s="2" t="s">
        <v>248</v>
      </c>
      <c r="G243" s="2">
        <v>91716</v>
      </c>
      <c r="H243" s="2">
        <v>0</v>
      </c>
      <c r="I243" s="2">
        <v>0</v>
      </c>
      <c r="J243" s="2">
        <v>0</v>
      </c>
      <c r="K243" s="2" t="s">
        <v>26</v>
      </c>
      <c r="L243" s="2"/>
    </row>
    <row r="244" spans="1:12" ht="79.2" x14ac:dyDescent="0.3">
      <c r="A244" s="2" t="s">
        <v>245</v>
      </c>
      <c r="B244" s="2" t="str">
        <f>HYPERLINK("https://www.cadillacnews.com/ap/national/going-green-nel-hydrogen-to-build-in-michigan-work-with-gm/article_6552fd12-acd6-5b03-b287-1106edfa3175.html")</f>
        <v>https://www.cadillacnews.com/ap/national/going-green-nel-hydrogen-to-build-in-michigan-work-with-gm/article_6552fd12-acd6-5b03-b287-1106edfa3175.html</v>
      </c>
      <c r="C244" s="2" t="s">
        <v>246</v>
      </c>
      <c r="D244" s="2" t="s">
        <v>391</v>
      </c>
      <c r="E244" s="4">
        <v>45049.519803240742</v>
      </c>
      <c r="F244" s="2" t="s">
        <v>248</v>
      </c>
      <c r="G244" s="2">
        <v>33611</v>
      </c>
      <c r="H244" s="2">
        <v>0</v>
      </c>
      <c r="I244" s="2">
        <v>0</v>
      </c>
      <c r="J244" s="2">
        <v>0</v>
      </c>
      <c r="K244" s="2" t="s">
        <v>26</v>
      </c>
      <c r="L244" s="2"/>
    </row>
    <row r="245" spans="1:12" ht="79.2" x14ac:dyDescent="0.3">
      <c r="A245" s="2" t="s">
        <v>245</v>
      </c>
      <c r="B245" s="2" t="str">
        <f>HYPERLINK("https://www.expressnews.com/news/article/going-green-nel-hydrogen-to-build-in-michigan-18076247.php")</f>
        <v>https://www.expressnews.com/news/article/going-green-nel-hydrogen-to-build-in-michigan-18076247.php</v>
      </c>
      <c r="C245" s="2" t="s">
        <v>246</v>
      </c>
      <c r="D245" s="2" t="s">
        <v>392</v>
      </c>
      <c r="E245" s="4">
        <v>45049.519803240742</v>
      </c>
      <c r="F245" s="2" t="s">
        <v>393</v>
      </c>
      <c r="G245" s="2">
        <v>1779537</v>
      </c>
      <c r="H245" s="2">
        <v>0</v>
      </c>
      <c r="I245" s="2">
        <v>0</v>
      </c>
      <c r="J245" s="2">
        <v>0</v>
      </c>
      <c r="K245" s="2" t="s">
        <v>26</v>
      </c>
      <c r="L245" s="2"/>
    </row>
    <row r="246" spans="1:12" ht="79.2" x14ac:dyDescent="0.3">
      <c r="A246" s="2" t="s">
        <v>245</v>
      </c>
      <c r="B246" s="2" t="str">
        <f>HYPERLINK("https://www.newmilfordspectrum.com/news/article/going-green-nel-hydrogen-to-build-in-michigan-18076247.php")</f>
        <v>https://www.newmilfordspectrum.com/news/article/going-green-nel-hydrogen-to-build-in-michigan-18076247.php</v>
      </c>
      <c r="C246" s="2" t="s">
        <v>246</v>
      </c>
      <c r="D246" s="2" t="s">
        <v>394</v>
      </c>
      <c r="E246" s="4">
        <v>45049.519803240742</v>
      </c>
      <c r="F246" s="2" t="s">
        <v>339</v>
      </c>
      <c r="G246" s="2">
        <v>1236522</v>
      </c>
      <c r="H246" s="2">
        <v>0</v>
      </c>
      <c r="I246" s="2">
        <v>0</v>
      </c>
      <c r="J246" s="2">
        <v>0</v>
      </c>
      <c r="K246" s="2" t="s">
        <v>26</v>
      </c>
      <c r="L246" s="2"/>
    </row>
    <row r="247" spans="1:12" ht="79.2" x14ac:dyDescent="0.3">
      <c r="A247" s="2" t="s">
        <v>245</v>
      </c>
      <c r="B247" s="2" t="str">
        <f>HYPERLINK("https://www.registercitizen.com/news/article/going-green-nel-hydrogen-to-build-in-michigan-18076247.php")</f>
        <v>https://www.registercitizen.com/news/article/going-green-nel-hydrogen-to-build-in-michigan-18076247.php</v>
      </c>
      <c r="C247" s="2" t="s">
        <v>246</v>
      </c>
      <c r="D247" s="2" t="s">
        <v>395</v>
      </c>
      <c r="E247" s="4">
        <v>45049.519803240742</v>
      </c>
      <c r="F247" s="2" t="s">
        <v>331</v>
      </c>
      <c r="G247" s="2">
        <v>52571</v>
      </c>
      <c r="H247" s="2">
        <v>0</v>
      </c>
      <c r="I247" s="2">
        <v>0</v>
      </c>
      <c r="J247" s="2">
        <v>0</v>
      </c>
      <c r="K247" s="2" t="s">
        <v>26</v>
      </c>
      <c r="L247" s="2"/>
    </row>
    <row r="248" spans="1:12" ht="79.2" x14ac:dyDescent="0.3">
      <c r="A248" s="2" t="s">
        <v>245</v>
      </c>
      <c r="B248" s="2" t="str">
        <f>HYPERLINK("https://wgnradio.com/news/technology-news/going-green-nel-hydrogen-to-build-in-michigan-work-with-gm/")</f>
        <v>https://wgnradio.com/news/technology-news/going-green-nel-hydrogen-to-build-in-michigan-work-with-gm/</v>
      </c>
      <c r="C248" s="2" t="s">
        <v>246</v>
      </c>
      <c r="D248" s="2" t="s">
        <v>396</v>
      </c>
      <c r="E248" s="4">
        <v>45049.519803240742</v>
      </c>
      <c r="F248" s="2" t="s">
        <v>248</v>
      </c>
      <c r="G248" s="2"/>
      <c r="H248" s="2">
        <v>0</v>
      </c>
      <c r="I248" s="2">
        <v>0</v>
      </c>
      <c r="J248" s="2">
        <v>0</v>
      </c>
      <c r="K248" s="2" t="s">
        <v>26</v>
      </c>
      <c r="L248" s="2"/>
    </row>
    <row r="249" spans="1:12" ht="79.2" x14ac:dyDescent="0.3">
      <c r="A249" s="2" t="s">
        <v>245</v>
      </c>
      <c r="B249" s="2" t="str">
        <f>HYPERLINK("https://www.wjtv.com/news/national/going-green-nel-hydrogen-to-build-in-michigan-work-with-gm/")</f>
        <v>https://www.wjtv.com/news/national/going-green-nel-hydrogen-to-build-in-michigan-work-with-gm/</v>
      </c>
      <c r="C249" s="2" t="s">
        <v>246</v>
      </c>
      <c r="D249" s="2" t="s">
        <v>397</v>
      </c>
      <c r="E249" s="4">
        <v>45049.519803240742</v>
      </c>
      <c r="F249" s="2" t="s">
        <v>248</v>
      </c>
      <c r="G249" s="2">
        <v>247375</v>
      </c>
      <c r="H249" s="2">
        <v>0</v>
      </c>
      <c r="I249" s="2">
        <v>0</v>
      </c>
      <c r="J249" s="2">
        <v>0</v>
      </c>
      <c r="K249" s="2" t="s">
        <v>26</v>
      </c>
      <c r="L249" s="2"/>
    </row>
    <row r="250" spans="1:12" ht="79.2" x14ac:dyDescent="0.3">
      <c r="A250" s="2" t="s">
        <v>245</v>
      </c>
      <c r="B250" s="2" t="str">
        <f>HYPERLINK("https://www.chronicleonline.com/news/national/going-green-nel-hydrogen-to-build-in-michigan-work-with-gm/article_d82b0781-e9fd-57aa-958b-9ba27c3ec21b.html")</f>
        <v>https://www.chronicleonline.com/news/national/going-green-nel-hydrogen-to-build-in-michigan-work-with-gm/article_d82b0781-e9fd-57aa-958b-9ba27c3ec21b.html</v>
      </c>
      <c r="C250" s="2" t="s">
        <v>246</v>
      </c>
      <c r="D250" s="2" t="s">
        <v>398</v>
      </c>
      <c r="E250" s="4">
        <v>45049.519803240742</v>
      </c>
      <c r="F250" s="2" t="s">
        <v>248</v>
      </c>
      <c r="G250" s="2">
        <v>188584</v>
      </c>
      <c r="H250" s="2">
        <v>0</v>
      </c>
      <c r="I250" s="2">
        <v>0</v>
      </c>
      <c r="J250" s="2">
        <v>0</v>
      </c>
      <c r="K250" s="2" t="s">
        <v>26</v>
      </c>
      <c r="L250" s="2"/>
    </row>
    <row r="251" spans="1:12" ht="79.2" x14ac:dyDescent="0.3">
      <c r="A251" s="2" t="s">
        <v>245</v>
      </c>
      <c r="B251" s="2" t="str">
        <f>HYPERLINK("https://www.ivpressonline.com/news/nation/going-green-nel-hydrogen-to-build-in-michigan-work-with-gm/article_d180eb65-9e2c-5c05-9346-c592c8e8d090.html")</f>
        <v>https://www.ivpressonline.com/news/nation/going-green-nel-hydrogen-to-build-in-michigan-work-with-gm/article_d180eb65-9e2c-5c05-9346-c592c8e8d090.html</v>
      </c>
      <c r="C251" s="2" t="s">
        <v>246</v>
      </c>
      <c r="D251" s="2" t="s">
        <v>399</v>
      </c>
      <c r="E251" s="4">
        <v>45049.519803240742</v>
      </c>
      <c r="F251" s="2" t="s">
        <v>248</v>
      </c>
      <c r="G251" s="2">
        <v>56027</v>
      </c>
      <c r="H251" s="2">
        <v>0</v>
      </c>
      <c r="I251" s="2">
        <v>0</v>
      </c>
      <c r="J251" s="2">
        <v>0</v>
      </c>
      <c r="K251" s="2" t="s">
        <v>26</v>
      </c>
      <c r="L251" s="2"/>
    </row>
    <row r="252" spans="1:12" ht="79.2" x14ac:dyDescent="0.3">
      <c r="A252" s="2" t="s">
        <v>245</v>
      </c>
      <c r="B252" s="2" t="str">
        <f>HYPERLINK("https://www.lmtribune.com/nation/going-green-nel-hydrogen-to-build-in-michigan-work-with-gm/article_3434bad9-b36a-56df-b4a4-c1ce4c4066eb.html")</f>
        <v>https://www.lmtribune.com/nation/going-green-nel-hydrogen-to-build-in-michigan-work-with-gm/article_3434bad9-b36a-56df-b4a4-c1ce4c4066eb.html</v>
      </c>
      <c r="C252" s="2" t="s">
        <v>246</v>
      </c>
      <c r="D252" s="2" t="s">
        <v>400</v>
      </c>
      <c r="E252" s="4">
        <v>45049.519803240742</v>
      </c>
      <c r="F252" s="2" t="s">
        <v>248</v>
      </c>
      <c r="G252" s="2">
        <v>101844</v>
      </c>
      <c r="H252" s="2">
        <v>0</v>
      </c>
      <c r="I252" s="2">
        <v>0</v>
      </c>
      <c r="J252" s="2">
        <v>0</v>
      </c>
      <c r="K252" s="2" t="s">
        <v>26</v>
      </c>
      <c r="L252" s="2"/>
    </row>
    <row r="253" spans="1:12" ht="79.2" x14ac:dyDescent="0.3">
      <c r="A253" s="2" t="s">
        <v>245</v>
      </c>
      <c r="B253" s="2" t="str">
        <f>HYPERLINK("https://860amtheanswer.com/news/national/going-green-nel-hydrogen-to-build-in-michigan-work-with-gm/57c90cd27e3d7c06dc5b60b6fcf6813d")</f>
        <v>https://860amtheanswer.com/news/national/going-green-nel-hydrogen-to-build-in-michigan-work-with-gm/57c90cd27e3d7c06dc5b60b6fcf6813d</v>
      </c>
      <c r="C253" s="2" t="s">
        <v>246</v>
      </c>
      <c r="D253" s="2" t="s">
        <v>401</v>
      </c>
      <c r="E253" s="4">
        <v>45049.519803240742</v>
      </c>
      <c r="F253" s="2" t="s">
        <v>248</v>
      </c>
      <c r="G253" s="2">
        <v>14871</v>
      </c>
      <c r="H253" s="2">
        <v>0</v>
      </c>
      <c r="I253" s="2">
        <v>0</v>
      </c>
      <c r="J253" s="2">
        <v>0</v>
      </c>
      <c r="K253" s="2" t="s">
        <v>26</v>
      </c>
      <c r="L253" s="2"/>
    </row>
    <row r="254" spans="1:12" ht="79.2" x14ac:dyDescent="0.3">
      <c r="A254" s="2" t="s">
        <v>245</v>
      </c>
      <c r="B254" s="2" t="str">
        <f>HYPERLINK("https://www.michigansthumb.com/news/article/going-green-nel-hydrogen-to-build-in-michigan-18076247.php")</f>
        <v>https://www.michigansthumb.com/news/article/going-green-nel-hydrogen-to-build-in-michigan-18076247.php</v>
      </c>
      <c r="C254" s="2" t="s">
        <v>246</v>
      </c>
      <c r="D254" s="2" t="s">
        <v>402</v>
      </c>
      <c r="E254" s="4">
        <v>45049.519803240742</v>
      </c>
      <c r="F254" s="2" t="s">
        <v>331</v>
      </c>
      <c r="G254" s="2">
        <v>90493</v>
      </c>
      <c r="H254" s="2">
        <v>0</v>
      </c>
      <c r="I254" s="2">
        <v>0</v>
      </c>
      <c r="J254" s="2">
        <v>0</v>
      </c>
      <c r="K254" s="2" t="s">
        <v>26</v>
      </c>
      <c r="L254" s="2"/>
    </row>
    <row r="255" spans="1:12" ht="79.2" x14ac:dyDescent="0.3">
      <c r="A255" s="2" t="s">
        <v>245</v>
      </c>
      <c r="B255" s="2" t="str">
        <f>HYPERLINK("https://www.gjsentinel.com/news/us/going-green-nel-hydrogen-to-build-in-michigan-work-with-gm/article_f0942551-547f-533f-9021-19250209be76.html")</f>
        <v>https://www.gjsentinel.com/news/us/going-green-nel-hydrogen-to-build-in-michigan-work-with-gm/article_f0942551-547f-533f-9021-19250209be76.html</v>
      </c>
      <c r="C255" s="2" t="s">
        <v>403</v>
      </c>
      <c r="D255" s="2" t="s">
        <v>404</v>
      </c>
      <c r="E255" s="4">
        <v>45049.519803240742</v>
      </c>
      <c r="F255" s="2" t="s">
        <v>248</v>
      </c>
      <c r="G255" s="2">
        <v>147318</v>
      </c>
      <c r="H255" s="2">
        <v>0</v>
      </c>
      <c r="I255" s="2">
        <v>0</v>
      </c>
      <c r="J255" s="2">
        <v>0</v>
      </c>
      <c r="K255" s="2" t="s">
        <v>26</v>
      </c>
      <c r="L255" s="2"/>
    </row>
    <row r="256" spans="1:12" ht="118.8" x14ac:dyDescent="0.3">
      <c r="A256" s="2" t="s">
        <v>245</v>
      </c>
      <c r="B256" s="2" t="str">
        <f>HYPERLINK("https://www.montanarightnow.com/national_news/going-green-nel-hydrogen-to-build-in-michigan-work-with-gm/article_14dec04e-8623-5278-8cc1-4c1682b350f1.html")</f>
        <v>https://www.montanarightnow.com/national_news/going-green-nel-hydrogen-to-build-in-michigan-work-with-gm/article_14dec04e-8623-5278-8cc1-4c1682b350f1.html</v>
      </c>
      <c r="C256" s="2" t="s">
        <v>246</v>
      </c>
      <c r="D256" s="2" t="s">
        <v>405</v>
      </c>
      <c r="E256" s="4">
        <v>45049.519803240742</v>
      </c>
      <c r="F256" s="2" t="s">
        <v>276</v>
      </c>
      <c r="G256" s="2">
        <v>228407</v>
      </c>
      <c r="H256" s="2">
        <v>0</v>
      </c>
      <c r="I256" s="2">
        <v>0</v>
      </c>
      <c r="J256" s="2">
        <v>0</v>
      </c>
      <c r="K256" s="2" t="s">
        <v>36</v>
      </c>
      <c r="L256" s="2"/>
    </row>
    <row r="257" spans="1:12" ht="79.2" x14ac:dyDescent="0.3">
      <c r="A257" s="2" t="s">
        <v>245</v>
      </c>
      <c r="B257" s="2" t="str">
        <f>HYPERLINK("https://www.wowktv.com/news/u-s-world/going-green-nel-hydrogen-to-build-in-michigan-work-with-gm/")</f>
        <v>https://www.wowktv.com/news/u-s-world/going-green-nel-hydrogen-to-build-in-michigan-work-with-gm/</v>
      </c>
      <c r="C257" s="2" t="s">
        <v>246</v>
      </c>
      <c r="D257" s="2" t="s">
        <v>406</v>
      </c>
      <c r="E257" s="4">
        <v>45049.519803240742</v>
      </c>
      <c r="F257" s="2" t="s">
        <v>248</v>
      </c>
      <c r="G257" s="2">
        <v>217004</v>
      </c>
      <c r="H257" s="2">
        <v>0</v>
      </c>
      <c r="I257" s="2">
        <v>0</v>
      </c>
      <c r="J257" s="2">
        <v>0</v>
      </c>
      <c r="K257" s="2" t="s">
        <v>26</v>
      </c>
      <c r="L257" s="2"/>
    </row>
    <row r="258" spans="1:12" ht="79.2" x14ac:dyDescent="0.3">
      <c r="A258" s="2" t="s">
        <v>245</v>
      </c>
      <c r="B258" s="2" t="str">
        <f>HYPERLINK("https://wacotrib.com/ap/national/going-green-nel-hydrogen-to-build-in-michigan-work-with-gm/article_e722588b-9ece-52a2-ad76-302792cdcc4d.html")</f>
        <v>https://wacotrib.com/ap/national/going-green-nel-hydrogen-to-build-in-michigan-work-with-gm/article_e722588b-9ece-52a2-ad76-302792cdcc4d.html</v>
      </c>
      <c r="C258" s="2" t="s">
        <v>246</v>
      </c>
      <c r="D258" s="2" t="s">
        <v>407</v>
      </c>
      <c r="E258" s="4">
        <v>45049.519803240742</v>
      </c>
      <c r="F258" s="2" t="s">
        <v>248</v>
      </c>
      <c r="G258" s="2">
        <v>146674</v>
      </c>
      <c r="H258" s="2">
        <v>0</v>
      </c>
      <c r="I258" s="2">
        <v>0</v>
      </c>
      <c r="J258" s="2">
        <v>0</v>
      </c>
      <c r="K258" s="2" t="s">
        <v>26</v>
      </c>
      <c r="L258" s="2"/>
    </row>
    <row r="259" spans="1:12" ht="79.2" x14ac:dyDescent="0.3">
      <c r="A259" s="2" t="s">
        <v>245</v>
      </c>
      <c r="B259" s="2" t="str">
        <f>HYPERLINK("https://www.bigrapidsnews.com/news/article/going-green-nel-hydrogen-to-build-in-michigan-18076247.php")</f>
        <v>https://www.bigrapidsnews.com/news/article/going-green-nel-hydrogen-to-build-in-michigan-18076247.php</v>
      </c>
      <c r="C259" s="2" t="s">
        <v>246</v>
      </c>
      <c r="D259" s="2" t="s">
        <v>408</v>
      </c>
      <c r="E259" s="4">
        <v>45049.519803240742</v>
      </c>
      <c r="F259" s="2" t="s">
        <v>331</v>
      </c>
      <c r="G259" s="2">
        <v>127394</v>
      </c>
      <c r="H259" s="2">
        <v>0</v>
      </c>
      <c r="I259" s="2">
        <v>0</v>
      </c>
      <c r="J259" s="2">
        <v>17</v>
      </c>
      <c r="K259" s="2" t="s">
        <v>26</v>
      </c>
      <c r="L259" s="2"/>
    </row>
    <row r="260" spans="1:12" ht="79.2" x14ac:dyDescent="0.3">
      <c r="A260" s="2" t="s">
        <v>245</v>
      </c>
      <c r="B260" s="2" t="str">
        <f>HYPERLINK("https://www.theintelligencer.com/news/article/going-green-nel-hydrogen-to-build-in-michigan-18076247.php")</f>
        <v>https://www.theintelligencer.com/news/article/going-green-nel-hydrogen-to-build-in-michigan-18076247.php</v>
      </c>
      <c r="C260" s="2" t="s">
        <v>246</v>
      </c>
      <c r="D260" s="2" t="s">
        <v>409</v>
      </c>
      <c r="E260" s="4">
        <v>45049.519803240742</v>
      </c>
      <c r="F260" s="2" t="s">
        <v>331</v>
      </c>
      <c r="G260" s="2">
        <v>141516</v>
      </c>
      <c r="H260" s="2">
        <v>0</v>
      </c>
      <c r="I260" s="2">
        <v>0</v>
      </c>
      <c r="J260" s="2">
        <v>0</v>
      </c>
      <c r="K260" s="2" t="s">
        <v>26</v>
      </c>
      <c r="L260" s="2"/>
    </row>
    <row r="261" spans="1:12" ht="79.2" x14ac:dyDescent="0.3">
      <c r="A261" s="2" t="s">
        <v>245</v>
      </c>
      <c r="B261" s="2" t="str">
        <f>HYPERLINK("https://www.yourcentralvalley.com/news/tech-news/going-green-nel-hydrogen-to-build-in-michigan-work-with-gm/")</f>
        <v>https://www.yourcentralvalley.com/news/tech-news/going-green-nel-hydrogen-to-build-in-michigan-work-with-gm/</v>
      </c>
      <c r="C261" s="2" t="s">
        <v>246</v>
      </c>
      <c r="D261" s="2" t="s">
        <v>410</v>
      </c>
      <c r="E261" s="4">
        <v>45049.519803240742</v>
      </c>
      <c r="F261" s="2" t="s">
        <v>248</v>
      </c>
      <c r="G261" s="2">
        <v>194752</v>
      </c>
      <c r="H261" s="2">
        <v>0</v>
      </c>
      <c r="I261" s="2">
        <v>0</v>
      </c>
      <c r="J261" s="2">
        <v>0</v>
      </c>
      <c r="K261" s="2" t="s">
        <v>26</v>
      </c>
      <c r="L261" s="2"/>
    </row>
    <row r="262" spans="1:12" ht="79.2" x14ac:dyDescent="0.3">
      <c r="A262" s="2" t="s">
        <v>245</v>
      </c>
      <c r="B262" s="2" t="str">
        <f>HYPERLINK("https://www.nhregister.com/news/article/going-green-nel-hydrogen-to-build-in-michigan-18076247.php")</f>
        <v>https://www.nhregister.com/news/article/going-green-nel-hydrogen-to-build-in-michigan-18076247.php</v>
      </c>
      <c r="C262" s="2" t="s">
        <v>246</v>
      </c>
      <c r="D262" s="2" t="s">
        <v>411</v>
      </c>
      <c r="E262" s="4">
        <v>45049.519803240742</v>
      </c>
      <c r="F262" s="2" t="s">
        <v>331</v>
      </c>
      <c r="G262" s="2">
        <v>454933</v>
      </c>
      <c r="H262" s="2">
        <v>0</v>
      </c>
      <c r="I262" s="2">
        <v>0</v>
      </c>
      <c r="J262" s="2">
        <v>0</v>
      </c>
      <c r="K262" s="2" t="s">
        <v>26</v>
      </c>
      <c r="L262" s="2"/>
    </row>
    <row r="263" spans="1:12" ht="79.2" x14ac:dyDescent="0.3">
      <c r="A263" s="2" t="s">
        <v>245</v>
      </c>
      <c r="B263" s="2" t="str">
        <f>HYPERLINK("https://www.sfgate.com/news/article/going-green-nel-hydrogen-to-build-in-michigan-18076247.php")</f>
        <v>https://www.sfgate.com/news/article/going-green-nel-hydrogen-to-build-in-michigan-18076247.php</v>
      </c>
      <c r="C263" s="2" t="s">
        <v>246</v>
      </c>
      <c r="D263" s="2" t="s">
        <v>412</v>
      </c>
      <c r="E263" s="4">
        <v>45049.519803240742</v>
      </c>
      <c r="F263" s="2" t="s">
        <v>339</v>
      </c>
      <c r="G263" s="2">
        <v>14722984</v>
      </c>
      <c r="H263" s="2">
        <v>0</v>
      </c>
      <c r="I263" s="2">
        <v>0</v>
      </c>
      <c r="J263" s="2">
        <v>0</v>
      </c>
      <c r="K263" s="2" t="s">
        <v>26</v>
      </c>
      <c r="L263" s="2"/>
    </row>
    <row r="264" spans="1:12" ht="79.2" x14ac:dyDescent="0.3">
      <c r="A264" s="2" t="s">
        <v>245</v>
      </c>
      <c r="B264" s="2" t="str">
        <f>HYPERLINK("https://www.myplainview.com/news/article/going-green-nel-hydrogen-to-build-in-michigan-18076247.php")</f>
        <v>https://www.myplainview.com/news/article/going-green-nel-hydrogen-to-build-in-michigan-18076247.php</v>
      </c>
      <c r="C264" s="2" t="s">
        <v>246</v>
      </c>
      <c r="D264" s="2" t="s">
        <v>413</v>
      </c>
      <c r="E264" s="4">
        <v>45049.519803240742</v>
      </c>
      <c r="F264" s="2" t="s">
        <v>331</v>
      </c>
      <c r="G264" s="2">
        <v>140659</v>
      </c>
      <c r="H264" s="2">
        <v>0</v>
      </c>
      <c r="I264" s="2">
        <v>0</v>
      </c>
      <c r="J264" s="2">
        <v>0</v>
      </c>
      <c r="K264" s="2" t="s">
        <v>26</v>
      </c>
      <c r="L264" s="2"/>
    </row>
    <row r="265" spans="1:12" ht="79.2" x14ac:dyDescent="0.3">
      <c r="A265" s="2" t="s">
        <v>245</v>
      </c>
      <c r="B265" s="2" t="str">
        <f>HYPERLINK("https://kdvr.com/news/technology/going-green-nel-hydrogen-to-build-in-michigan-work-with-gm/")</f>
        <v>https://kdvr.com/news/technology/going-green-nel-hydrogen-to-build-in-michigan-work-with-gm/</v>
      </c>
      <c r="C265" s="2" t="s">
        <v>246</v>
      </c>
      <c r="D265" s="2" t="s">
        <v>414</v>
      </c>
      <c r="E265" s="4">
        <v>45049.519803240742</v>
      </c>
      <c r="F265" s="2" t="s">
        <v>248</v>
      </c>
      <c r="G265" s="2">
        <v>2007306</v>
      </c>
      <c r="H265" s="2">
        <v>0</v>
      </c>
      <c r="I265" s="2">
        <v>0</v>
      </c>
      <c r="J265" s="2">
        <v>0</v>
      </c>
      <c r="K265" s="2" t="s">
        <v>26</v>
      </c>
      <c r="L265" s="2"/>
    </row>
    <row r="266" spans="1:12" ht="79.2" x14ac:dyDescent="0.3">
      <c r="A266" s="2" t="s">
        <v>245</v>
      </c>
      <c r="B266" s="2" t="str">
        <f>HYPERLINK("https://www.ktbs.com/news/national/going-green-nel-hydrogen-to-build-in-michigan-work-with-gm/article_2ef18893-5ea4-5623-b758-4380eb4ec38a.html")</f>
        <v>https://www.ktbs.com/news/national/going-green-nel-hydrogen-to-build-in-michigan-work-with-gm/article_2ef18893-5ea4-5623-b758-4380eb4ec38a.html</v>
      </c>
      <c r="C266" s="2" t="s">
        <v>246</v>
      </c>
      <c r="D266" s="2" t="s">
        <v>415</v>
      </c>
      <c r="E266" s="4">
        <v>45049.519803240742</v>
      </c>
      <c r="F266" s="2" t="s">
        <v>248</v>
      </c>
      <c r="G266" s="2">
        <v>313579</v>
      </c>
      <c r="H266" s="2">
        <v>0</v>
      </c>
      <c r="I266" s="2">
        <v>0</v>
      </c>
      <c r="J266" s="2">
        <v>0</v>
      </c>
      <c r="K266" s="2" t="s">
        <v>26</v>
      </c>
      <c r="L266" s="2"/>
    </row>
    <row r="267" spans="1:12" ht="79.2" x14ac:dyDescent="0.3">
      <c r="A267" s="2" t="s">
        <v>245</v>
      </c>
      <c r="B267" s="2" t="str">
        <f>HYPERLINK("https://www.milescitystar.com/ap_news/montana/going-green-nel-hydrogen-to-build-in-michigan-work-with-gm/article_2a65eae6-c209-572b-88a7-2d307b57a63d.html")</f>
        <v>https://www.milescitystar.com/ap_news/montana/going-green-nel-hydrogen-to-build-in-michigan-work-with-gm/article_2a65eae6-c209-572b-88a7-2d307b57a63d.html</v>
      </c>
      <c r="C267" s="2" t="s">
        <v>246</v>
      </c>
      <c r="D267" s="2" t="s">
        <v>416</v>
      </c>
      <c r="E267" s="4">
        <v>45049.519803240742</v>
      </c>
      <c r="F267" s="2" t="s">
        <v>248</v>
      </c>
      <c r="G267" s="2">
        <v>4424</v>
      </c>
      <c r="H267" s="2">
        <v>0</v>
      </c>
      <c r="I267" s="2">
        <v>0</v>
      </c>
      <c r="J267" s="2">
        <v>0</v>
      </c>
      <c r="K267" s="2" t="s">
        <v>26</v>
      </c>
      <c r="L267" s="2"/>
    </row>
    <row r="268" spans="1:12" ht="79.2" x14ac:dyDescent="0.3">
      <c r="A268" s="2" t="s">
        <v>245</v>
      </c>
      <c r="B268" s="2" t="str">
        <f>HYPERLINK("https://www.thetelegraph.com/news/article/going-green-nel-hydrogen-to-build-in-michigan-18076247.php")</f>
        <v>https://www.thetelegraph.com/news/article/going-green-nel-hydrogen-to-build-in-michigan-18076247.php</v>
      </c>
      <c r="C268" s="2" t="s">
        <v>246</v>
      </c>
      <c r="D268" s="2" t="s">
        <v>417</v>
      </c>
      <c r="E268" s="4">
        <v>45049.519803240742</v>
      </c>
      <c r="F268" s="2" t="s">
        <v>331</v>
      </c>
      <c r="G268" s="2">
        <v>258667</v>
      </c>
      <c r="H268" s="2">
        <v>0</v>
      </c>
      <c r="I268" s="2">
        <v>0</v>
      </c>
      <c r="J268" s="2">
        <v>0</v>
      </c>
      <c r="K268" s="2" t="s">
        <v>26</v>
      </c>
      <c r="L268" s="2"/>
    </row>
    <row r="269" spans="1:12" ht="79.2" x14ac:dyDescent="0.3">
      <c r="A269" s="2" t="s">
        <v>245</v>
      </c>
      <c r="B269" s="2" t="str">
        <f>HYPERLINK("https://www.ctinsider.com/news/article/going-green-nel-hydrogen-to-build-in-michigan-18076247.php")</f>
        <v>https://www.ctinsider.com/news/article/going-green-nel-hydrogen-to-build-in-michigan-18076247.php</v>
      </c>
      <c r="C269" s="2" t="s">
        <v>246</v>
      </c>
      <c r="D269" s="2" t="s">
        <v>418</v>
      </c>
      <c r="E269" s="4">
        <v>45049.519803240742</v>
      </c>
      <c r="F269" s="2" t="s">
        <v>331</v>
      </c>
      <c r="G269" s="2">
        <v>1236522</v>
      </c>
      <c r="H269" s="2">
        <v>0</v>
      </c>
      <c r="I269" s="2">
        <v>0</v>
      </c>
      <c r="J269" s="2">
        <v>0</v>
      </c>
      <c r="K269" s="2" t="s">
        <v>26</v>
      </c>
      <c r="L269" s="2"/>
    </row>
    <row r="270" spans="1:12" ht="79.2" x14ac:dyDescent="0.3">
      <c r="A270" s="2" t="s">
        <v>245</v>
      </c>
      <c r="B270" s="2" t="str">
        <f>HYPERLINK("https://www.myjournalcourier.com/news/article/going-green-nel-hydrogen-to-build-in-michigan-18076247.php")</f>
        <v>https://www.myjournalcourier.com/news/article/going-green-nel-hydrogen-to-build-in-michigan-18076247.php</v>
      </c>
      <c r="C270" s="2" t="s">
        <v>246</v>
      </c>
      <c r="D270" s="2" t="s">
        <v>419</v>
      </c>
      <c r="E270" s="4">
        <v>45049.519803240742</v>
      </c>
      <c r="F270" s="2" t="s">
        <v>331</v>
      </c>
      <c r="G270" s="2">
        <v>125327</v>
      </c>
      <c r="H270" s="2">
        <v>0</v>
      </c>
      <c r="I270" s="2">
        <v>0</v>
      </c>
      <c r="J270" s="2">
        <v>0</v>
      </c>
      <c r="K270" s="2" t="s">
        <v>26</v>
      </c>
      <c r="L270" s="2"/>
    </row>
    <row r="271" spans="1:12" ht="79.2" x14ac:dyDescent="0.3">
      <c r="A271" s="2" t="s">
        <v>245</v>
      </c>
      <c r="B271" s="2" t="str">
        <f>HYPERLINK("https://www.lmtonline.com/news/article/going-green-nel-hydrogen-to-build-in-michigan-18076247.php")</f>
        <v>https://www.lmtonline.com/news/article/going-green-nel-hydrogen-to-build-in-michigan-18076247.php</v>
      </c>
      <c r="C271" s="2" t="s">
        <v>246</v>
      </c>
      <c r="D271" s="2" t="s">
        <v>420</v>
      </c>
      <c r="E271" s="4">
        <v>45049.519803240742</v>
      </c>
      <c r="F271" s="2" t="s">
        <v>331</v>
      </c>
      <c r="G271" s="2">
        <v>344462</v>
      </c>
      <c r="H271" s="2">
        <v>0</v>
      </c>
      <c r="I271" s="2">
        <v>0</v>
      </c>
      <c r="J271" s="2">
        <v>0</v>
      </c>
      <c r="K271" s="2" t="s">
        <v>26</v>
      </c>
      <c r="L271" s="2"/>
    </row>
    <row r="272" spans="1:12" ht="79.2" x14ac:dyDescent="0.3">
      <c r="A272" s="2" t="s">
        <v>245</v>
      </c>
      <c r="B272" s="2" t="str">
        <f>HYPERLINK("https://www.swoknews.com/ap/national/going-green-nel-hydrogen-to-build-in-michigan-work-with-gm/article_2e9ad763-dbad-5d43-bb54-21cdf8ff07e9.html")</f>
        <v>https://www.swoknews.com/ap/national/going-green-nel-hydrogen-to-build-in-michigan-work-with-gm/article_2e9ad763-dbad-5d43-bb54-21cdf8ff07e9.html</v>
      </c>
      <c r="C272" s="2" t="s">
        <v>246</v>
      </c>
      <c r="D272" s="2" t="s">
        <v>421</v>
      </c>
      <c r="E272" s="4">
        <v>45049.519803240742</v>
      </c>
      <c r="F272" s="2" t="s">
        <v>248</v>
      </c>
      <c r="G272" s="2">
        <v>62465</v>
      </c>
      <c r="H272" s="2">
        <v>0</v>
      </c>
      <c r="I272" s="2">
        <v>0</v>
      </c>
      <c r="J272" s="2">
        <v>0</v>
      </c>
      <c r="K272" s="2" t="s">
        <v>26</v>
      </c>
      <c r="L272" s="2"/>
    </row>
    <row r="273" spans="1:12" ht="79.2" x14ac:dyDescent="0.3">
      <c r="A273" s="2" t="s">
        <v>245</v>
      </c>
      <c r="B273" s="2" t="str">
        <f>HYPERLINK("https://www.fairfieldcitizenonline.com/news/article/going-green-nel-hydrogen-to-build-in-michigan-18076247.php")</f>
        <v>https://www.fairfieldcitizenonline.com/news/article/going-green-nel-hydrogen-to-build-in-michigan-18076247.php</v>
      </c>
      <c r="C273" s="2" t="s">
        <v>246</v>
      </c>
      <c r="D273" s="2" t="s">
        <v>422</v>
      </c>
      <c r="E273" s="4">
        <v>45049.519803240742</v>
      </c>
      <c r="F273" s="2" t="s">
        <v>339</v>
      </c>
      <c r="G273" s="2">
        <v>1236522</v>
      </c>
      <c r="H273" s="2">
        <v>0</v>
      </c>
      <c r="I273" s="2">
        <v>0</v>
      </c>
      <c r="J273" s="2">
        <v>0</v>
      </c>
      <c r="K273" s="2" t="s">
        <v>26</v>
      </c>
      <c r="L273" s="2"/>
    </row>
    <row r="274" spans="1:12" ht="79.2" x14ac:dyDescent="0.3">
      <c r="A274" s="2" t="s">
        <v>245</v>
      </c>
      <c r="B274" s="2" t="str">
        <f>HYPERLINK("https://www.mrt.com/news/article/going-green-nel-hydrogen-to-build-in-michigan-18076247.php")</f>
        <v>https://www.mrt.com/news/article/going-green-nel-hydrogen-to-build-in-michigan-18076247.php</v>
      </c>
      <c r="C274" s="2" t="s">
        <v>246</v>
      </c>
      <c r="D274" s="2" t="s">
        <v>423</v>
      </c>
      <c r="E274" s="4">
        <v>45049.519803240742</v>
      </c>
      <c r="F274" s="2" t="s">
        <v>331</v>
      </c>
      <c r="G274" s="2">
        <v>143503</v>
      </c>
      <c r="H274" s="2">
        <v>0</v>
      </c>
      <c r="I274" s="2">
        <v>0</v>
      </c>
      <c r="J274" s="2">
        <v>0</v>
      </c>
      <c r="K274" s="2" t="s">
        <v>26</v>
      </c>
      <c r="L274" s="2"/>
    </row>
    <row r="275" spans="1:12" ht="79.2" x14ac:dyDescent="0.3">
      <c r="A275" s="2" t="s">
        <v>245</v>
      </c>
      <c r="B275" s="2" t="str">
        <f>HYPERLINK("https://www.berkshireeagle.com/lifestyle/going-green-nel-hydrogen-to-build-in-michigan-work-with-gm/article_7a0965d2-1924-517a-9525-b8d45f4ef6a4.html")</f>
        <v>https://www.berkshireeagle.com/lifestyle/going-green-nel-hydrogen-to-build-in-michigan-work-with-gm/article_7a0965d2-1924-517a-9525-b8d45f4ef6a4.html</v>
      </c>
      <c r="C275" s="2" t="s">
        <v>246</v>
      </c>
      <c r="D275" s="2" t="s">
        <v>424</v>
      </c>
      <c r="E275" s="4">
        <v>45049.519803240742</v>
      </c>
      <c r="F275" s="2" t="s">
        <v>248</v>
      </c>
      <c r="G275" s="2">
        <v>500179</v>
      </c>
      <c r="H275" s="2">
        <v>0</v>
      </c>
      <c r="I275" s="2">
        <v>0</v>
      </c>
      <c r="J275" s="2">
        <v>0</v>
      </c>
      <c r="K275" s="2" t="s">
        <v>26</v>
      </c>
      <c r="L275" s="2"/>
    </row>
    <row r="276" spans="1:12" ht="118.8" x14ac:dyDescent="0.3">
      <c r="A276" s="2" t="s">
        <v>245</v>
      </c>
      <c r="B276" s="2" t="str">
        <f>HYPERLINK("https://www.mykxlg.com/news/national/going-green-nel-hydrogen-to-build-in-michigan-work-with-gm/article_c7835063-82dc-5b84-b7c9-ab2c49c23f10.html")</f>
        <v>https://www.mykxlg.com/news/national/going-green-nel-hydrogen-to-build-in-michigan-work-with-gm/article_c7835063-82dc-5b84-b7c9-ab2c49c23f10.html</v>
      </c>
      <c r="C276" s="2" t="s">
        <v>246</v>
      </c>
      <c r="D276" s="2" t="s">
        <v>425</v>
      </c>
      <c r="E276" s="4">
        <v>45049.519803240742</v>
      </c>
      <c r="F276" s="2" t="s">
        <v>276</v>
      </c>
      <c r="G276" s="2">
        <v>52292</v>
      </c>
      <c r="H276" s="2">
        <v>0</v>
      </c>
      <c r="I276" s="2">
        <v>0</v>
      </c>
      <c r="J276" s="2">
        <v>0</v>
      </c>
      <c r="K276" s="2" t="s">
        <v>36</v>
      </c>
      <c r="L276" s="2"/>
    </row>
    <row r="277" spans="1:12" ht="79.2" x14ac:dyDescent="0.3">
      <c r="A277" s="2" t="s">
        <v>245</v>
      </c>
      <c r="B277" s="2" t="str">
        <f>HYPERLINK("https://www.manisteenews.com/news/article/going-green-nel-hydrogen-to-build-in-michigan-18076247.php")</f>
        <v>https://www.manisteenews.com/news/article/going-green-nel-hydrogen-to-build-in-michigan-18076247.php</v>
      </c>
      <c r="C277" s="2" t="s">
        <v>246</v>
      </c>
      <c r="D277" s="2" t="s">
        <v>426</v>
      </c>
      <c r="E277" s="4">
        <v>45049.519803240742</v>
      </c>
      <c r="F277" s="2" t="s">
        <v>331</v>
      </c>
      <c r="G277" s="2">
        <v>35215</v>
      </c>
      <c r="H277" s="2">
        <v>0</v>
      </c>
      <c r="I277" s="2">
        <v>0</v>
      </c>
      <c r="J277" s="2">
        <v>0</v>
      </c>
      <c r="K277" s="2" t="s">
        <v>26</v>
      </c>
      <c r="L277" s="2"/>
    </row>
    <row r="278" spans="1:12" ht="79.2" x14ac:dyDescent="0.3">
      <c r="A278" s="2" t="s">
        <v>245</v>
      </c>
      <c r="B278" s="2" t="str">
        <f>HYPERLINK("https://www.timesargus.com/news/national/going-green-nel-hydrogen-to-build-in-michigan-work-with-gm/article_1c4634cc-b880-56e5-a295-a9994e576044.html")</f>
        <v>https://www.timesargus.com/news/national/going-green-nel-hydrogen-to-build-in-michigan-work-with-gm/article_1c4634cc-b880-56e5-a295-a9994e576044.html</v>
      </c>
      <c r="C278" s="2" t="s">
        <v>246</v>
      </c>
      <c r="D278" s="2" t="s">
        <v>427</v>
      </c>
      <c r="E278" s="4">
        <v>45049.519803240742</v>
      </c>
      <c r="F278" s="2" t="s">
        <v>248</v>
      </c>
      <c r="G278" s="2">
        <v>43734</v>
      </c>
      <c r="H278" s="2">
        <v>0</v>
      </c>
      <c r="I278" s="2">
        <v>0</v>
      </c>
      <c r="J278" s="2">
        <v>0</v>
      </c>
      <c r="K278" s="2" t="s">
        <v>26</v>
      </c>
      <c r="L278" s="2"/>
    </row>
    <row r="279" spans="1:12" ht="79.2" x14ac:dyDescent="0.3">
      <c r="A279" s="2" t="s">
        <v>245</v>
      </c>
      <c r="B279" s="2" t="str">
        <f>HYPERLINK("https://945theanswer.com/news/national/going-green-nel-hydrogen-to-build-in-michigan-work-with-gm/57c90cd27e3d7c06dc5b60b6fcf6813d")</f>
        <v>https://945theanswer.com/news/national/going-green-nel-hydrogen-to-build-in-michigan-work-with-gm/57c90cd27e3d7c06dc5b60b6fcf6813d</v>
      </c>
      <c r="C279" s="2" t="s">
        <v>246</v>
      </c>
      <c r="D279" s="2" t="s">
        <v>428</v>
      </c>
      <c r="E279" s="4">
        <v>45049.519803240742</v>
      </c>
      <c r="F279" s="2" t="s">
        <v>248</v>
      </c>
      <c r="G279" s="2">
        <v>0</v>
      </c>
      <c r="H279" s="2">
        <v>0</v>
      </c>
      <c r="I279" s="2">
        <v>0</v>
      </c>
      <c r="J279" s="2">
        <v>0</v>
      </c>
      <c r="K279" s="2" t="s">
        <v>26</v>
      </c>
      <c r="L279" s="2"/>
    </row>
    <row r="280" spans="1:12" ht="79.2" x14ac:dyDescent="0.3">
      <c r="A280" s="2" t="s">
        <v>245</v>
      </c>
      <c r="B280" s="2" t="str">
        <f>HYPERLINK("https://www.nvdaily.com/associated_press_national/going-green-nel-hydrogen-to-build-in-michigan-work-with-gm/article_06ea4af4-f27b-5984-80f9-be59773780c6.html")</f>
        <v>https://www.nvdaily.com/associated_press_national/going-green-nel-hydrogen-to-build-in-michigan-work-with-gm/article_06ea4af4-f27b-5984-80f9-be59773780c6.html</v>
      </c>
      <c r="C280" s="2" t="s">
        <v>246</v>
      </c>
      <c r="D280" s="2" t="s">
        <v>429</v>
      </c>
      <c r="E280" s="4">
        <v>45049.519803240742</v>
      </c>
      <c r="F280" s="2" t="s">
        <v>248</v>
      </c>
      <c r="G280" s="2">
        <v>47954</v>
      </c>
      <c r="H280" s="2">
        <v>0</v>
      </c>
      <c r="I280" s="2">
        <v>0</v>
      </c>
      <c r="J280" s="2">
        <v>0</v>
      </c>
      <c r="K280" s="2" t="s">
        <v>26</v>
      </c>
      <c r="L280" s="2"/>
    </row>
    <row r="281" spans="1:12" ht="118.8" x14ac:dyDescent="0.3">
      <c r="A281" s="2" t="s">
        <v>245</v>
      </c>
      <c r="B281" s="2" t="str">
        <f>HYPERLINK("https://www.ctpost.com/news/article/going-green-nel-hydrogen-to-build-in-michigan-18076247.php")</f>
        <v>https://www.ctpost.com/news/article/going-green-nel-hydrogen-to-build-in-michigan-18076247.php</v>
      </c>
      <c r="C281" s="2" t="s">
        <v>246</v>
      </c>
      <c r="D281" s="2" t="s">
        <v>430</v>
      </c>
      <c r="E281" s="4">
        <v>45049.519803240742</v>
      </c>
      <c r="F281" s="2" t="s">
        <v>431</v>
      </c>
      <c r="G281" s="2">
        <v>623806</v>
      </c>
      <c r="H281" s="2">
        <v>0</v>
      </c>
      <c r="I281" s="2">
        <v>0</v>
      </c>
      <c r="J281" s="2">
        <v>8</v>
      </c>
      <c r="K281" s="2" t="s">
        <v>26</v>
      </c>
      <c r="L281" s="2"/>
    </row>
    <row r="282" spans="1:12" ht="79.2" x14ac:dyDescent="0.3">
      <c r="A282" s="2" t="s">
        <v>245</v>
      </c>
      <c r="B282" s="2" t="str">
        <f>HYPERLINK("https://www.2news.com/news/world/going-green-nel-hydrogen-to-build-in-michigan-work-with-gm/article_3f91ee35-8ea8-5ec6-9412-e013bdb346e7.html")</f>
        <v>https://www.2news.com/news/world/going-green-nel-hydrogen-to-build-in-michigan-work-with-gm/article_3f91ee35-8ea8-5ec6-9412-e013bdb346e7.html</v>
      </c>
      <c r="C282" s="2" t="s">
        <v>246</v>
      </c>
      <c r="D282" s="2" t="s">
        <v>432</v>
      </c>
      <c r="E282" s="4">
        <v>45049.519803240742</v>
      </c>
      <c r="F282" s="2" t="s">
        <v>248</v>
      </c>
      <c r="G282" s="2">
        <v>218016</v>
      </c>
      <c r="H282" s="2">
        <v>0</v>
      </c>
      <c r="I282" s="2">
        <v>0</v>
      </c>
      <c r="J282" s="2">
        <v>0</v>
      </c>
      <c r="K282" s="2" t="s">
        <v>26</v>
      </c>
      <c r="L282" s="2"/>
    </row>
    <row r="283" spans="1:12" ht="79.2" x14ac:dyDescent="0.3">
      <c r="A283" s="2" t="s">
        <v>245</v>
      </c>
      <c r="B283" s="2" t="str">
        <f>HYPERLINK("https://www.houstonchronicle.com/news/article/going-green-nel-hydrogen-to-build-in-michigan-18076247.php")</f>
        <v>https://www.houstonchronicle.com/news/article/going-green-nel-hydrogen-to-build-in-michigan-18076247.php</v>
      </c>
      <c r="C283" s="2" t="s">
        <v>246</v>
      </c>
      <c r="D283" s="2" t="s">
        <v>433</v>
      </c>
      <c r="E283" s="4">
        <v>45049.519803240742</v>
      </c>
      <c r="F283" s="2" t="s">
        <v>393</v>
      </c>
      <c r="G283" s="2">
        <v>2813471</v>
      </c>
      <c r="H283" s="2">
        <v>0</v>
      </c>
      <c r="I283" s="2">
        <v>0</v>
      </c>
      <c r="J283" s="2">
        <v>0</v>
      </c>
      <c r="K283" s="2" t="s">
        <v>26</v>
      </c>
      <c r="L283" s="2"/>
    </row>
    <row r="284" spans="1:12" ht="79.2" x14ac:dyDescent="0.3">
      <c r="A284" s="2" t="s">
        <v>245</v>
      </c>
      <c r="B284" s="2" t="str">
        <f>HYPERLINK("https://kfor.com/news/technology-news/ap-technology/going-green-nel-hydrogen-to-build-in-michigan-work-with-gm/")</f>
        <v>https://kfor.com/news/technology-news/ap-technology/going-green-nel-hydrogen-to-build-in-michigan-work-with-gm/</v>
      </c>
      <c r="C284" s="2" t="s">
        <v>246</v>
      </c>
      <c r="D284" s="2" t="s">
        <v>434</v>
      </c>
      <c r="E284" s="4">
        <v>45049.519803240742</v>
      </c>
      <c r="F284" s="2" t="s">
        <v>248</v>
      </c>
      <c r="G284" s="2">
        <v>1249378</v>
      </c>
      <c r="H284" s="2">
        <v>0</v>
      </c>
      <c r="I284" s="2">
        <v>0</v>
      </c>
      <c r="J284" s="2">
        <v>0</v>
      </c>
      <c r="K284" s="2" t="s">
        <v>26</v>
      </c>
      <c r="L284" s="2"/>
    </row>
    <row r="285" spans="1:12" ht="79.2" x14ac:dyDescent="0.3">
      <c r="A285" s="2" t="s">
        <v>245</v>
      </c>
      <c r="B285" s="2" t="str">
        <f>HYPERLINK("https://www.kentuckytoday.com/news/business/going-green-nel-hydrogen-to-build-in-michigan-work-with-gm/article_609c05ba-daad-5df5-95c4-60340e37857e.html")</f>
        <v>https://www.kentuckytoday.com/news/business/going-green-nel-hydrogen-to-build-in-michigan-work-with-gm/article_609c05ba-daad-5df5-95c4-60340e37857e.html</v>
      </c>
      <c r="C285" s="2" t="s">
        <v>246</v>
      </c>
      <c r="D285" s="2" t="s">
        <v>435</v>
      </c>
      <c r="E285" s="4">
        <v>45049.519803240742</v>
      </c>
      <c r="F285" s="2" t="s">
        <v>248</v>
      </c>
      <c r="G285" s="2">
        <v>50548</v>
      </c>
      <c r="H285" s="2">
        <v>0</v>
      </c>
      <c r="I285" s="2">
        <v>0</v>
      </c>
      <c r="J285" s="2">
        <v>0</v>
      </c>
      <c r="K285" s="2" t="s">
        <v>26</v>
      </c>
      <c r="L285" s="2"/>
    </row>
    <row r="286" spans="1:12" ht="79.2" x14ac:dyDescent="0.3">
      <c r="A286" s="2" t="s">
        <v>245</v>
      </c>
      <c r="B286" s="2" t="str">
        <f>HYPERLINK("https://www.newstimes.com/news/article/going-green-nel-hydrogen-to-build-in-michigan-18076247.php")</f>
        <v>https://www.newstimes.com/news/article/going-green-nel-hydrogen-to-build-in-michigan-18076247.php</v>
      </c>
      <c r="C286" s="2" t="s">
        <v>246</v>
      </c>
      <c r="D286" s="2" t="s">
        <v>436</v>
      </c>
      <c r="E286" s="4">
        <v>45049.519803240742</v>
      </c>
      <c r="F286" s="2" t="s">
        <v>331</v>
      </c>
      <c r="G286" s="2">
        <v>237425</v>
      </c>
      <c r="H286" s="2">
        <v>0</v>
      </c>
      <c r="I286" s="2">
        <v>0</v>
      </c>
      <c r="J286" s="2">
        <v>0</v>
      </c>
      <c r="K286" s="2" t="s">
        <v>26</v>
      </c>
      <c r="L286" s="2"/>
    </row>
    <row r="287" spans="1:12" ht="79.2" x14ac:dyDescent="0.3">
      <c r="A287" s="2" t="s">
        <v>245</v>
      </c>
      <c r="B287" s="2" t="str">
        <f>HYPERLINK("https://whkradio.com/news/national/going-green-nel-hydrogen-to-build-in-michigan-work-with-gm/57c90cd27e3d7c06dc5b60b6fcf6813d")</f>
        <v>https://whkradio.com/news/national/going-green-nel-hydrogen-to-build-in-michigan-work-with-gm/57c90cd27e3d7c06dc5b60b6fcf6813d</v>
      </c>
      <c r="C287" s="2" t="s">
        <v>246</v>
      </c>
      <c r="D287" s="2" t="s">
        <v>437</v>
      </c>
      <c r="E287" s="4">
        <v>45049.519803240742</v>
      </c>
      <c r="F287" s="2" t="s">
        <v>248</v>
      </c>
      <c r="G287" s="2">
        <v>8584</v>
      </c>
      <c r="H287" s="2">
        <v>0</v>
      </c>
      <c r="I287" s="2">
        <v>0</v>
      </c>
      <c r="J287" s="2">
        <v>0</v>
      </c>
      <c r="K287" s="2" t="s">
        <v>26</v>
      </c>
      <c r="L287" s="2"/>
    </row>
    <row r="288" spans="1:12" ht="79.2" x14ac:dyDescent="0.3">
      <c r="A288" s="2" t="s">
        <v>245</v>
      </c>
      <c r="B288" s="2" t="str">
        <f>HYPERLINK("https://www.thewesterlysun.com/news/state/going-green-nel-hydrogen-to-build-in-michigan-work-with-gm/article_c3207f37-86c6-5d60-b10f-4e810a1f8b44.html")</f>
        <v>https://www.thewesterlysun.com/news/state/going-green-nel-hydrogen-to-build-in-michigan-work-with-gm/article_c3207f37-86c6-5d60-b10f-4e810a1f8b44.html</v>
      </c>
      <c r="C288" s="2" t="s">
        <v>246</v>
      </c>
      <c r="D288" s="2" t="s">
        <v>274</v>
      </c>
      <c r="E288" s="4">
        <v>45049.519803240742</v>
      </c>
      <c r="F288" s="2" t="s">
        <v>248</v>
      </c>
      <c r="G288" s="2">
        <v>42953</v>
      </c>
      <c r="H288" s="2">
        <v>0</v>
      </c>
      <c r="I288" s="2">
        <v>0</v>
      </c>
      <c r="J288" s="2">
        <v>0</v>
      </c>
      <c r="K288" s="2" t="s">
        <v>26</v>
      </c>
      <c r="L288" s="2"/>
    </row>
    <row r="289" spans="1:12" ht="79.2" x14ac:dyDescent="0.3">
      <c r="A289" s="2" t="s">
        <v>245</v>
      </c>
      <c r="B289" s="2" t="str">
        <f>HYPERLINK("https://www.bgdailynews.com/news/national/going-green-nel-hydrogen-to-build-in-michigan-work-with-gm/article_2bd0676f-9742-5d79-b5bf-1495622a1b2e.html")</f>
        <v>https://www.bgdailynews.com/news/national/going-green-nel-hydrogen-to-build-in-michigan-work-with-gm/article_2bd0676f-9742-5d79-b5bf-1495622a1b2e.html</v>
      </c>
      <c r="C289" s="2" t="s">
        <v>246</v>
      </c>
      <c r="D289" s="2" t="s">
        <v>438</v>
      </c>
      <c r="E289" s="4">
        <v>45049.519803240742</v>
      </c>
      <c r="F289" s="2" t="s">
        <v>248</v>
      </c>
      <c r="G289" s="2">
        <v>66264</v>
      </c>
      <c r="H289" s="2">
        <v>0</v>
      </c>
      <c r="I289" s="2">
        <v>0</v>
      </c>
      <c r="J289" s="2">
        <v>0</v>
      </c>
      <c r="K289" s="2" t="s">
        <v>26</v>
      </c>
      <c r="L289" s="2"/>
    </row>
    <row r="290" spans="1:12" ht="79.2" x14ac:dyDescent="0.3">
      <c r="A290" s="2" t="s">
        <v>245</v>
      </c>
      <c r="B290" s="2" t="str">
        <f>HYPERLINK("https://www.localsyr.com/news/national/going-green-nel-hydrogen-to-build-in-michigan-work-with-gm/")</f>
        <v>https://www.localsyr.com/news/national/going-green-nel-hydrogen-to-build-in-michigan-work-with-gm/</v>
      </c>
      <c r="C290" s="2" t="s">
        <v>246</v>
      </c>
      <c r="D290" s="2" t="s">
        <v>439</v>
      </c>
      <c r="E290" s="4">
        <v>45049.519803240742</v>
      </c>
      <c r="F290" s="2" t="s">
        <v>248</v>
      </c>
      <c r="G290" s="2">
        <v>311781</v>
      </c>
      <c r="H290" s="2">
        <v>0</v>
      </c>
      <c r="I290" s="2">
        <v>0</v>
      </c>
      <c r="J290" s="2">
        <v>0</v>
      </c>
      <c r="K290" s="2" t="s">
        <v>26</v>
      </c>
      <c r="L290" s="2"/>
    </row>
    <row r="291" spans="1:12" ht="79.2" x14ac:dyDescent="0.3">
      <c r="A291" s="2" t="s">
        <v>245</v>
      </c>
      <c r="B291" s="2" t="str">
        <f>HYPERLINK("https://spectrumnews1.com/ca/la-west/ap-top-news/2023/05/03/going-green-nel-hydrogen-to-build-in-michigan-work-with-gm")</f>
        <v>https://spectrumnews1.com/ca/la-west/ap-top-news/2023/05/03/going-green-nel-hydrogen-to-build-in-michigan-work-with-gm</v>
      </c>
      <c r="C291" s="2"/>
      <c r="D291" s="2" t="s">
        <v>440</v>
      </c>
      <c r="E291" s="4">
        <v>45049.519803240742</v>
      </c>
      <c r="F291" s="2" t="s">
        <v>268</v>
      </c>
      <c r="G291" s="2">
        <v>1110632</v>
      </c>
      <c r="H291" s="2">
        <v>0</v>
      </c>
      <c r="I291" s="2">
        <v>0</v>
      </c>
      <c r="J291" s="2">
        <v>0</v>
      </c>
      <c r="K291" s="2" t="s">
        <v>26</v>
      </c>
      <c r="L291" s="2"/>
    </row>
    <row r="292" spans="1:12" ht="79.2" x14ac:dyDescent="0.3">
      <c r="A292" s="2" t="s">
        <v>245</v>
      </c>
      <c r="B292" s="2" t="str">
        <f>HYPERLINK("https://www.informnny.com/news/tech-news/going-green-nel-hydrogen-to-build-in-michigan-work-with-gm/")</f>
        <v>https://www.informnny.com/news/tech-news/going-green-nel-hydrogen-to-build-in-michigan-work-with-gm/</v>
      </c>
      <c r="C292" s="2" t="s">
        <v>246</v>
      </c>
      <c r="D292" s="2" t="s">
        <v>441</v>
      </c>
      <c r="E292" s="4">
        <v>45049.519803240742</v>
      </c>
      <c r="F292" s="2" t="s">
        <v>248</v>
      </c>
      <c r="G292" s="2">
        <v>43502</v>
      </c>
      <c r="H292" s="2">
        <v>0</v>
      </c>
      <c r="I292" s="2">
        <v>0</v>
      </c>
      <c r="J292" s="2">
        <v>0</v>
      </c>
      <c r="K292" s="2" t="s">
        <v>26</v>
      </c>
      <c r="L292" s="2"/>
    </row>
    <row r="293" spans="1:12" ht="79.2" x14ac:dyDescent="0.3">
      <c r="A293" s="2" t="s">
        <v>245</v>
      </c>
      <c r="B293" s="2" t="str">
        <f>HYPERLINK("https://www.ketk.com/news/technology/going-green-nel-hydrogen-to-build-in-michigan-work-with-gm/")</f>
        <v>https://www.ketk.com/news/technology/going-green-nel-hydrogen-to-build-in-michigan-work-with-gm/</v>
      </c>
      <c r="C293" s="2" t="s">
        <v>246</v>
      </c>
      <c r="D293" s="2" t="s">
        <v>442</v>
      </c>
      <c r="E293" s="4">
        <v>45049.519803240742</v>
      </c>
      <c r="F293" s="2" t="s">
        <v>248</v>
      </c>
      <c r="G293" s="2">
        <v>210518</v>
      </c>
      <c r="H293" s="2">
        <v>0</v>
      </c>
      <c r="I293" s="2">
        <v>0</v>
      </c>
      <c r="J293" s="2">
        <v>0</v>
      </c>
      <c r="K293" s="2" t="s">
        <v>26</v>
      </c>
      <c r="L293" s="2"/>
    </row>
    <row r="294" spans="1:12" ht="79.2" x14ac:dyDescent="0.3">
      <c r="A294" s="2" t="s">
        <v>245</v>
      </c>
      <c r="B294" s="2" t="str">
        <f>HYPERLINK("https://theanswerseattle.com/news/national/going-green-nel-hydrogen-to-build-in-michigan-work-with-gm/57c90cd27e3d7c06dc5b60b6fcf6813d")</f>
        <v>https://theanswerseattle.com/news/national/going-green-nel-hydrogen-to-build-in-michigan-work-with-gm/57c90cd27e3d7c06dc5b60b6fcf6813d</v>
      </c>
      <c r="C294" s="2" t="s">
        <v>246</v>
      </c>
      <c r="D294" s="2" t="s">
        <v>443</v>
      </c>
      <c r="E294" s="4">
        <v>45049.519803240742</v>
      </c>
      <c r="F294" s="2" t="s">
        <v>248</v>
      </c>
      <c r="G294" s="2">
        <v>573</v>
      </c>
      <c r="H294" s="2">
        <v>0</v>
      </c>
      <c r="I294" s="2">
        <v>0</v>
      </c>
      <c r="J294" s="2">
        <v>0</v>
      </c>
      <c r="K294" s="2" t="s">
        <v>26</v>
      </c>
      <c r="L294" s="2"/>
    </row>
    <row r="295" spans="1:12" ht="79.2" x14ac:dyDescent="0.3">
      <c r="A295" s="2" t="s">
        <v>245</v>
      </c>
      <c r="B295" s="2" t="str">
        <f>HYPERLINK("https://560theanswer.com/news/national/going-green-nel-hydrogen-to-build-in-michigan-work-with-gm/57c90cd27e3d7c06dc5b60b6fcf6813d")</f>
        <v>https://560theanswer.com/news/national/going-green-nel-hydrogen-to-build-in-michigan-work-with-gm/57c90cd27e3d7c06dc5b60b6fcf6813d</v>
      </c>
      <c r="C295" s="2" t="s">
        <v>246</v>
      </c>
      <c r="D295" s="2" t="s">
        <v>444</v>
      </c>
      <c r="E295" s="4">
        <v>45049.519803240742</v>
      </c>
      <c r="F295" s="2" t="s">
        <v>248</v>
      </c>
      <c r="G295" s="2">
        <v>11428</v>
      </c>
      <c r="H295" s="2">
        <v>0</v>
      </c>
      <c r="I295" s="2">
        <v>0</v>
      </c>
      <c r="J295" s="2">
        <v>0</v>
      </c>
      <c r="K295" s="2" t="s">
        <v>26</v>
      </c>
      <c r="L295" s="2"/>
    </row>
    <row r="296" spans="1:12" ht="79.2" x14ac:dyDescent="0.3">
      <c r="A296" s="2" t="s">
        <v>245</v>
      </c>
      <c r="B296" s="2" t="str">
        <f>HYPERLINK("https://www.sfchronicle.com/news/article/going-green-nel-hydrogen-to-build-in-michigan-18076247.php")</f>
        <v>https://www.sfchronicle.com/news/article/going-green-nel-hydrogen-to-build-in-michigan-18076247.php</v>
      </c>
      <c r="C296" s="2" t="s">
        <v>246</v>
      </c>
      <c r="D296" s="2" t="s">
        <v>445</v>
      </c>
      <c r="E296" s="4">
        <v>45049.519803240742</v>
      </c>
      <c r="F296" s="2" t="s">
        <v>393</v>
      </c>
      <c r="G296" s="2">
        <v>5725802</v>
      </c>
      <c r="H296" s="2">
        <v>0</v>
      </c>
      <c r="I296" s="2">
        <v>0</v>
      </c>
      <c r="J296" s="2">
        <v>0</v>
      </c>
      <c r="K296" s="2" t="s">
        <v>26</v>
      </c>
      <c r="L296" s="2"/>
    </row>
    <row r="297" spans="1:12" ht="79.2" x14ac:dyDescent="0.3">
      <c r="A297" s="2" t="s">
        <v>245</v>
      </c>
      <c r="B297" s="2" t="str">
        <f>HYPERLINK("https://kdow.biz/news/national/going-green-nel-hydrogen-to-build-in-michigan-work-with-gm/57c90cd27e3d7c06dc5b60b6fcf6813d")</f>
        <v>https://kdow.biz/news/national/going-green-nel-hydrogen-to-build-in-michigan-work-with-gm/57c90cd27e3d7c06dc5b60b6fcf6813d</v>
      </c>
      <c r="C297" s="2" t="s">
        <v>246</v>
      </c>
      <c r="D297" s="2" t="s">
        <v>446</v>
      </c>
      <c r="E297" s="4">
        <v>45049.519803240742</v>
      </c>
      <c r="F297" s="2" t="s">
        <v>248</v>
      </c>
      <c r="G297" s="2">
        <v>751</v>
      </c>
      <c r="H297" s="2">
        <v>0</v>
      </c>
      <c r="I297" s="2">
        <v>0</v>
      </c>
      <c r="J297" s="2">
        <v>0</v>
      </c>
      <c r="K297" s="2" t="s">
        <v>26</v>
      </c>
      <c r="L297" s="2"/>
    </row>
    <row r="298" spans="1:12" ht="79.2" x14ac:dyDescent="0.3">
      <c r="A298" s="2" t="s">
        <v>245</v>
      </c>
      <c r="B298" s="2" t="str">
        <f>HYPERLINK("https://www.yourconroenews.com/news/article/going-green-nel-hydrogen-to-build-in-michigan-18076247.php")</f>
        <v>https://www.yourconroenews.com/news/article/going-green-nel-hydrogen-to-build-in-michigan-18076247.php</v>
      </c>
      <c r="C298" s="2" t="s">
        <v>246</v>
      </c>
      <c r="D298" s="2" t="s">
        <v>447</v>
      </c>
      <c r="E298" s="4">
        <v>45049.519803240742</v>
      </c>
      <c r="F298" s="2" t="s">
        <v>331</v>
      </c>
      <c r="G298" s="2">
        <v>116856</v>
      </c>
      <c r="H298" s="2">
        <v>0</v>
      </c>
      <c r="I298" s="2">
        <v>0</v>
      </c>
      <c r="J298" s="2">
        <v>0</v>
      </c>
      <c r="K298" s="2" t="s">
        <v>26</v>
      </c>
      <c r="L298" s="2"/>
    </row>
    <row r="299" spans="1:12" ht="79.2" x14ac:dyDescent="0.3">
      <c r="A299" s="2" t="s">
        <v>245</v>
      </c>
      <c r="B299" s="2" t="str">
        <f>HYPERLINK("https://www.darientimes.com/news/article/going-green-nel-hydrogen-to-build-in-michigan-18076247.php")</f>
        <v>https://www.darientimes.com/news/article/going-green-nel-hydrogen-to-build-in-michigan-18076247.php</v>
      </c>
      <c r="C299" s="2" t="s">
        <v>246</v>
      </c>
      <c r="D299" s="2" t="s">
        <v>448</v>
      </c>
      <c r="E299" s="4">
        <v>45049.519803240742</v>
      </c>
      <c r="F299" s="2" t="s">
        <v>331</v>
      </c>
      <c r="G299" s="2">
        <v>20111</v>
      </c>
      <c r="H299" s="2">
        <v>0</v>
      </c>
      <c r="I299" s="2">
        <v>0</v>
      </c>
      <c r="J299" s="2">
        <v>0</v>
      </c>
      <c r="K299" s="2" t="s">
        <v>26</v>
      </c>
      <c r="L299" s="2"/>
    </row>
    <row r="300" spans="1:12" ht="79.2" x14ac:dyDescent="0.3">
      <c r="A300" s="2" t="s">
        <v>245</v>
      </c>
      <c r="B300" s="2" t="str">
        <f>HYPERLINK("https://www.middletownpress.com/news/article/going-green-nel-hydrogen-to-build-in-michigan-18076247.php")</f>
        <v>https://www.middletownpress.com/news/article/going-green-nel-hydrogen-to-build-in-michigan-18076247.php</v>
      </c>
      <c r="C300" s="2" t="s">
        <v>246</v>
      </c>
      <c r="D300" s="2" t="s">
        <v>449</v>
      </c>
      <c r="E300" s="4">
        <v>45049.519803240742</v>
      </c>
      <c r="F300" s="2" t="s">
        <v>331</v>
      </c>
      <c r="G300" s="2">
        <v>158827</v>
      </c>
      <c r="H300" s="2">
        <v>0</v>
      </c>
      <c r="I300" s="2">
        <v>0</v>
      </c>
      <c r="J300" s="2">
        <v>0</v>
      </c>
      <c r="K300" s="2" t="s">
        <v>26</v>
      </c>
      <c r="L300" s="2"/>
    </row>
    <row r="301" spans="1:12" ht="79.2" x14ac:dyDescent="0.3">
      <c r="A301" s="2" t="s">
        <v>245</v>
      </c>
      <c r="B301" s="2" t="str">
        <f>HYPERLINK("https://www.dnronline.com/associated_press/national/going-green-nel-hydrogen-to-build-in-michigan-work-with-gm/article_c5554c36-18a3-594c-910a-fddc97f8719e.html")</f>
        <v>https://www.dnronline.com/associated_press/national/going-green-nel-hydrogen-to-build-in-michigan-work-with-gm/article_c5554c36-18a3-594c-910a-fddc97f8719e.html</v>
      </c>
      <c r="C301" s="2" t="s">
        <v>246</v>
      </c>
      <c r="D301" s="2" t="s">
        <v>450</v>
      </c>
      <c r="E301" s="4">
        <v>45049.519803240742</v>
      </c>
      <c r="F301" s="2" t="s">
        <v>248</v>
      </c>
      <c r="G301" s="2">
        <v>92132</v>
      </c>
      <c r="H301" s="2">
        <v>0</v>
      </c>
      <c r="I301" s="2">
        <v>0</v>
      </c>
      <c r="J301" s="2">
        <v>0</v>
      </c>
      <c r="K301" s="2" t="s">
        <v>26</v>
      </c>
      <c r="L301" s="2"/>
    </row>
    <row r="302" spans="1:12" ht="79.2" x14ac:dyDescent="0.3">
      <c r="A302" s="2" t="s">
        <v>245</v>
      </c>
      <c r="B302" s="2" t="str">
        <f>HYPERLINK("https://www.hometownstations.com/news/national/going-green-nel-hydrogen-to-build-in-michigan-work-with-gm/article_cd1953e9-d953-550b-b85b-4aa65051be34.html")</f>
        <v>https://www.hometownstations.com/news/national/going-green-nel-hydrogen-to-build-in-michigan-work-with-gm/article_cd1953e9-d953-550b-b85b-4aa65051be34.html</v>
      </c>
      <c r="C302" s="2" t="s">
        <v>246</v>
      </c>
      <c r="D302" s="2" t="s">
        <v>451</v>
      </c>
      <c r="E302" s="4">
        <v>45049.519803240742</v>
      </c>
      <c r="F302" s="2" t="s">
        <v>248</v>
      </c>
      <c r="G302" s="2">
        <v>66312</v>
      </c>
      <c r="H302" s="2">
        <v>0</v>
      </c>
      <c r="I302" s="2">
        <v>0</v>
      </c>
      <c r="J302" s="2">
        <v>0</v>
      </c>
      <c r="K302" s="2" t="s">
        <v>26</v>
      </c>
      <c r="L302" s="2"/>
    </row>
    <row r="303" spans="1:12" ht="79.2" x14ac:dyDescent="0.3">
      <c r="A303" s="2" t="s">
        <v>245</v>
      </c>
      <c r="B303" s="2" t="str">
        <f>HYPERLINK("https://www.record-eagle.com/ap/national/going-green-nel-hydrogen-to-build-in-michigan-work-with-gm/article_81726d34-8949-5e96-92f9-5f94fa9318c0.html")</f>
        <v>https://www.record-eagle.com/ap/national/going-green-nel-hydrogen-to-build-in-michigan-work-with-gm/article_81726d34-8949-5e96-92f9-5f94fa9318c0.html</v>
      </c>
      <c r="C303" s="2" t="s">
        <v>246</v>
      </c>
      <c r="D303" s="2" t="s">
        <v>452</v>
      </c>
      <c r="E303" s="4">
        <v>45049.519803240742</v>
      </c>
      <c r="F303" s="2" t="s">
        <v>248</v>
      </c>
      <c r="G303" s="2">
        <v>99291</v>
      </c>
      <c r="H303" s="2">
        <v>0</v>
      </c>
      <c r="I303" s="2">
        <v>0</v>
      </c>
      <c r="J303" s="2">
        <v>0</v>
      </c>
      <c r="K303" s="2" t="s">
        <v>26</v>
      </c>
      <c r="L303" s="2"/>
    </row>
    <row r="304" spans="1:12" ht="79.2" x14ac:dyDescent="0.3">
      <c r="A304" s="2" t="s">
        <v>258</v>
      </c>
      <c r="B304" s="2" t="str">
        <f>HYPERLINK("https://es-us.finanzas.yahoo.com/news/going-green-nel-hydrogen-build-162830622.html")</f>
        <v>https://es-us.finanzas.yahoo.com/news/going-green-nel-hydrogen-build-162830622.html</v>
      </c>
      <c r="C304" s="2"/>
      <c r="D304" s="2" t="s">
        <v>123</v>
      </c>
      <c r="E304" s="4">
        <v>45049.519791666673</v>
      </c>
      <c r="F304" s="2" t="s">
        <v>248</v>
      </c>
      <c r="G304" s="2">
        <v>2839485</v>
      </c>
      <c r="H304" s="2">
        <v>0</v>
      </c>
      <c r="I304" s="2">
        <v>0</v>
      </c>
      <c r="J304" s="2">
        <v>0</v>
      </c>
      <c r="K304" s="2" t="s">
        <v>26</v>
      </c>
      <c r="L304" s="2"/>
    </row>
    <row r="305" spans="1:12" ht="105.6" x14ac:dyDescent="0.3">
      <c r="A305" s="2" t="s">
        <v>245</v>
      </c>
      <c r="B305" s="2" t="str">
        <f>HYPERLINK("https://www.marketbeat.com/articles/going-green-nel-hydrogen-to-build-in-michigan-work-with-gm-2023-05-03/")</f>
        <v>https://www.marketbeat.com/articles/going-green-nel-hydrogen-to-build-in-michigan-work-with-gm-2023-05-03/</v>
      </c>
      <c r="C305" s="2"/>
      <c r="D305" s="2" t="s">
        <v>453</v>
      </c>
      <c r="E305" s="4">
        <v>45049.519791666673</v>
      </c>
      <c r="F305" s="2" t="s">
        <v>454</v>
      </c>
      <c r="G305" s="2">
        <v>1895336</v>
      </c>
      <c r="H305" s="2">
        <v>0</v>
      </c>
      <c r="I305" s="2">
        <v>0</v>
      </c>
      <c r="J305" s="2">
        <v>0</v>
      </c>
      <c r="K305" s="2" t="s">
        <v>26</v>
      </c>
      <c r="L305" s="2"/>
    </row>
    <row r="306" spans="1:12" ht="79.2" x14ac:dyDescent="0.3">
      <c r="A306" s="2" t="s">
        <v>245</v>
      </c>
      <c r="B306" s="2" t="str">
        <f>HYPERLINK("https://www.abc12.com/news/business/going-green-nel-hydrogen-to-build-in-michigan-work-with-gm/article_80ddbd4f-a256-5051-a606-1e2fefd0f761.html")</f>
        <v>https://www.abc12.com/news/business/going-green-nel-hydrogen-to-build-in-michigan-work-with-gm/article_80ddbd4f-a256-5051-a606-1e2fefd0f761.html</v>
      </c>
      <c r="C306" s="2" t="s">
        <v>246</v>
      </c>
      <c r="D306" s="2" t="s">
        <v>455</v>
      </c>
      <c r="E306" s="4">
        <v>45049.519444444442</v>
      </c>
      <c r="F306" s="2" t="s">
        <v>248</v>
      </c>
      <c r="G306" s="2">
        <v>398798</v>
      </c>
      <c r="H306" s="2">
        <v>0</v>
      </c>
      <c r="I306" s="2">
        <v>0</v>
      </c>
      <c r="J306" s="2">
        <v>44</v>
      </c>
      <c r="K306" s="2" t="s">
        <v>26</v>
      </c>
      <c r="L306" s="2"/>
    </row>
    <row r="307" spans="1:12" ht="52.8" x14ac:dyDescent="0.3">
      <c r="A307" s="2" t="s">
        <v>258</v>
      </c>
      <c r="B307" s="2" t="str">
        <f>HYPERLINK("https://upnorthlive.com/news/local/going-green-nel-hydrogen-to-build-in-michigan-work-with-gm")</f>
        <v>https://upnorthlive.com/news/local/going-green-nel-hydrogen-to-build-in-michigan-work-with-gm</v>
      </c>
      <c r="C307" s="2" t="s">
        <v>246</v>
      </c>
      <c r="D307" s="2" t="s">
        <v>456</v>
      </c>
      <c r="E307" s="4">
        <v>45049.379050925927</v>
      </c>
      <c r="F307" s="2" t="s">
        <v>457</v>
      </c>
      <c r="G307" s="2">
        <v>237248</v>
      </c>
      <c r="H307" s="2">
        <v>0</v>
      </c>
      <c r="I307" s="2">
        <v>0</v>
      </c>
      <c r="J307" s="2">
        <v>35</v>
      </c>
      <c r="K307" s="2"/>
      <c r="L307" s="2"/>
    </row>
    <row r="308" spans="1:12" ht="79.2" x14ac:dyDescent="0.3">
      <c r="A308" s="2" t="s">
        <v>245</v>
      </c>
      <c r="B308" s="2" t="str">
        <f>HYPERLINK("https://nbc25news.com/news/local/going-green-nel-hydrogen-to-build-in-michigan-work-with-gm")</f>
        <v>https://nbc25news.com/news/local/going-green-nel-hydrogen-to-build-in-michigan-work-with-gm</v>
      </c>
      <c r="C308" s="2" t="s">
        <v>246</v>
      </c>
      <c r="D308" s="2" t="s">
        <v>458</v>
      </c>
      <c r="E308" s="4">
        <v>45049.379050925927</v>
      </c>
      <c r="F308" s="2" t="s">
        <v>248</v>
      </c>
      <c r="G308" s="2">
        <v>737</v>
      </c>
      <c r="H308" s="2">
        <v>0</v>
      </c>
      <c r="I308" s="2">
        <v>0</v>
      </c>
      <c r="J308" s="2">
        <v>56</v>
      </c>
      <c r="K308" s="2" t="s">
        <v>26</v>
      </c>
      <c r="L308" s="2"/>
    </row>
    <row r="309" spans="1:12" ht="79.2" x14ac:dyDescent="0.3">
      <c r="A309" s="2" t="s">
        <v>245</v>
      </c>
      <c r="B309" s="2" t="str">
        <f>HYPERLINK("https://nbc25news.com/news/local/gallery/going-green-nel-hydrogen-to-build-in-michigan-work-with-gm")</f>
        <v>https://nbc25news.com/news/local/gallery/going-green-nel-hydrogen-to-build-in-michigan-work-with-gm</v>
      </c>
      <c r="C309" s="2"/>
      <c r="D309" s="2" t="s">
        <v>458</v>
      </c>
      <c r="E309" s="4">
        <v>45049.379050925927</v>
      </c>
      <c r="F309" s="2" t="s">
        <v>459</v>
      </c>
      <c r="G309" s="2">
        <v>737</v>
      </c>
      <c r="H309" s="2">
        <v>0</v>
      </c>
      <c r="I309" s="2">
        <v>0</v>
      </c>
      <c r="J309" s="2">
        <v>0</v>
      </c>
      <c r="K309" s="2" t="s">
        <v>36</v>
      </c>
      <c r="L309" s="2"/>
    </row>
    <row r="310" spans="1:12" ht="79.2" x14ac:dyDescent="0.3">
      <c r="A310" s="2" t="s">
        <v>245</v>
      </c>
      <c r="B310" s="2" t="str">
        <f>HYPERLINK("https://midmichigannow.com/news/local/going-green-nel-hydrogen-to-build-in-michigan-work-with-gm")</f>
        <v>https://midmichigannow.com/news/local/going-green-nel-hydrogen-to-build-in-michigan-work-with-gm</v>
      </c>
      <c r="C310" s="2" t="s">
        <v>246</v>
      </c>
      <c r="D310" s="2" t="s">
        <v>460</v>
      </c>
      <c r="E310" s="4">
        <v>45049.379050925927</v>
      </c>
      <c r="F310" s="2" t="s">
        <v>248</v>
      </c>
      <c r="G310" s="2">
        <v>119622</v>
      </c>
      <c r="H310" s="2">
        <v>0</v>
      </c>
      <c r="I310" s="2">
        <v>0</v>
      </c>
      <c r="J310" s="2">
        <v>45</v>
      </c>
      <c r="K310" s="2" t="s">
        <v>26</v>
      </c>
      <c r="L310" s="2"/>
    </row>
    <row r="311" spans="1:12" ht="105.6" x14ac:dyDescent="0.3">
      <c r="A311" s="2" t="s">
        <v>260</v>
      </c>
      <c r="B311" s="2" t="s">
        <v>461</v>
      </c>
      <c r="C311" s="2"/>
      <c r="D311" s="2" t="s">
        <v>262</v>
      </c>
      <c r="E311" s="4">
        <v>45049.333333333343</v>
      </c>
      <c r="F311" s="2" t="s">
        <v>248</v>
      </c>
      <c r="G311" s="2"/>
      <c r="H311" s="2">
        <v>0</v>
      </c>
      <c r="I311" s="2">
        <v>0</v>
      </c>
      <c r="J311" s="2">
        <v>0</v>
      </c>
      <c r="K311" s="2" t="s">
        <v>26</v>
      </c>
      <c r="L311" s="2"/>
    </row>
    <row r="312" spans="1:12" ht="79.2" x14ac:dyDescent="0.3">
      <c r="A312" s="2" t="s">
        <v>258</v>
      </c>
      <c r="B312" s="2" t="str">
        <f>HYPERLINK("https://www.ny1.com/nyc/all-boroughs/ap-top-news/2023/05/03/going-green-nel-hydrogen-to-build-in-michigan-work-with-gm")</f>
        <v>https://www.ny1.com/nyc/all-boroughs/ap-top-news/2023/05/03/going-green-nel-hydrogen-to-build-in-michigan-work-with-gm</v>
      </c>
      <c r="C312" s="2"/>
      <c r="D312" s="2" t="s">
        <v>462</v>
      </c>
      <c r="E312" s="4">
        <v>45049</v>
      </c>
      <c r="F312" s="2" t="s">
        <v>248</v>
      </c>
      <c r="G312" s="2">
        <v>1062047</v>
      </c>
      <c r="H312" s="2">
        <v>0</v>
      </c>
      <c r="I312" s="2">
        <v>0</v>
      </c>
      <c r="J312" s="2">
        <v>0</v>
      </c>
      <c r="K312" s="2" t="s">
        <v>26</v>
      </c>
      <c r="L312" s="2"/>
    </row>
    <row r="313" spans="1:12" ht="79.2" x14ac:dyDescent="0.3">
      <c r="A313" s="2" t="s">
        <v>245</v>
      </c>
      <c r="B313" s="2" t="str">
        <f>HYPERLINK("http://accesswdun.com/article/2023/5/1181647")</f>
        <v>http://accesswdun.com/article/2023/5/1181647</v>
      </c>
      <c r="C313" s="2"/>
      <c r="D313" s="2" t="s">
        <v>463</v>
      </c>
      <c r="E313" s="4">
        <v>45049</v>
      </c>
      <c r="F313" s="2" t="s">
        <v>248</v>
      </c>
      <c r="G313" s="2">
        <v>182219</v>
      </c>
      <c r="H313" s="2">
        <v>0</v>
      </c>
      <c r="I313" s="2">
        <v>0</v>
      </c>
      <c r="J313" s="2">
        <v>0</v>
      </c>
      <c r="K313" s="2" t="s">
        <v>26</v>
      </c>
      <c r="L313" s="2"/>
    </row>
    <row r="314" spans="1:12" ht="92.4" x14ac:dyDescent="0.3">
      <c r="A314" s="2" t="s">
        <v>245</v>
      </c>
      <c r="B314" s="2" t="str">
        <f>HYPERLINK("https://www.courthousenews.com/going-green-nel-hydrogen-to-build-in-michigan-work-with-gm/")</f>
        <v>https://www.courthousenews.com/going-green-nel-hydrogen-to-build-in-michigan-work-with-gm/</v>
      </c>
      <c r="C314" s="2" t="s">
        <v>246</v>
      </c>
      <c r="D314" s="2" t="s">
        <v>464</v>
      </c>
      <c r="E314" s="4">
        <v>45049</v>
      </c>
      <c r="F314" s="2" t="s">
        <v>465</v>
      </c>
      <c r="G314" s="2">
        <v>493708</v>
      </c>
      <c r="H314" s="2">
        <v>0</v>
      </c>
      <c r="I314" s="2">
        <v>0</v>
      </c>
      <c r="J314" s="2">
        <v>0</v>
      </c>
      <c r="K314" s="2" t="s">
        <v>26</v>
      </c>
      <c r="L314" s="2"/>
    </row>
    <row r="315" spans="1:12" ht="118.8" x14ac:dyDescent="0.3">
      <c r="A315" s="2" t="s">
        <v>466</v>
      </c>
      <c r="B315" s="2" t="str">
        <f>HYPERLINK("https://www.bizjournals.com/portland/news/2022/11/03/triple-oak-power-prairie-switch-wind-meta.html")</f>
        <v>https://www.bizjournals.com/portland/news/2022/11/03/triple-oak-power-prairie-switch-wind-meta.html</v>
      </c>
      <c r="C315" s="2" t="s">
        <v>467</v>
      </c>
      <c r="D315" s="2" t="s">
        <v>468</v>
      </c>
      <c r="E315" s="4">
        <v>44868</v>
      </c>
      <c r="F315" s="2" t="s">
        <v>469</v>
      </c>
      <c r="G315" s="2">
        <v>5704262</v>
      </c>
      <c r="H315" s="2">
        <v>0</v>
      </c>
      <c r="I315" s="2">
        <v>0</v>
      </c>
      <c r="J315" s="2">
        <v>0</v>
      </c>
      <c r="K315" s="2" t="s">
        <v>36</v>
      </c>
      <c r="L315" s="2"/>
    </row>
    <row r="316" spans="1:12" ht="52.8" x14ac:dyDescent="0.3">
      <c r="A316" s="2" t="s">
        <v>470</v>
      </c>
      <c r="B316" s="2" t="str">
        <f>HYPERLINK("https://www.freightwaves.com/news/daily-infographic-ohio-renewable-natural-gas-station-to-fuel-amazon-trucks")</f>
        <v>https://www.freightwaves.com/news/daily-infographic-ohio-renewable-natural-gas-station-to-fuel-amazon-trucks</v>
      </c>
      <c r="C316" s="2" t="s">
        <v>471</v>
      </c>
      <c r="D316" s="2" t="s">
        <v>472</v>
      </c>
      <c r="E316" s="4">
        <v>44848.36928240741</v>
      </c>
      <c r="F316" s="2" t="s">
        <v>473</v>
      </c>
      <c r="G316" s="2">
        <v>624643</v>
      </c>
      <c r="H316" s="2">
        <v>0</v>
      </c>
      <c r="I316" s="2">
        <v>0</v>
      </c>
      <c r="J316" s="2">
        <v>3</v>
      </c>
      <c r="K316" s="2" t="s">
        <v>26</v>
      </c>
      <c r="L316" s="2"/>
    </row>
    <row r="317" spans="1:12" ht="132" x14ac:dyDescent="0.3">
      <c r="A317" s="2" t="s">
        <v>474</v>
      </c>
      <c r="B317" s="2" t="str">
        <f>HYPERLINK("https://www.wyso.org/local-and-statewide-news/2022-10-03/natural-gas-from-local-landfills-and-cow-manure-used-at-ohio-fuel-station-to-power-amazons-fleet")</f>
        <v>https://www.wyso.org/local-and-statewide-news/2022-10-03/natural-gas-from-local-landfills-and-cow-manure-used-at-ohio-fuel-station-to-power-amazons-fleet</v>
      </c>
      <c r="C317" s="2"/>
      <c r="D317" s="2" t="s">
        <v>475</v>
      </c>
      <c r="E317" s="4">
        <v>44837.87295138889</v>
      </c>
      <c r="F317" s="2" t="s">
        <v>476</v>
      </c>
      <c r="G317" s="2">
        <v>30486</v>
      </c>
      <c r="H317" s="2">
        <v>0</v>
      </c>
      <c r="I317" s="2">
        <v>0</v>
      </c>
      <c r="J317" s="2">
        <v>7</v>
      </c>
      <c r="K317" s="2" t="s">
        <v>26</v>
      </c>
      <c r="L317" s="2"/>
    </row>
    <row r="318" spans="1:12" ht="92.4" x14ac:dyDescent="0.3">
      <c r="A318" s="2" t="s">
        <v>477</v>
      </c>
      <c r="B318" s="2" t="str">
        <f>HYPERLINK("https://www.manchestertimes.com/news/business/clean-energy-announces-opening-of-ohio-renewable-natural-gas-station-for-amazon-and-other-trucking/article_b7a775cc-778e-52d6-8785-ddbbe820e049.html")</f>
        <v>https://www.manchestertimes.com/news/business/clean-energy-announces-opening-of-ohio-renewable-natural-gas-station-for-amazon-and-other-trucking/article_b7a775cc-778e-52d6-8785-ddbbe820e049.html</v>
      </c>
      <c r="C318" s="2"/>
      <c r="D318" s="2" t="s">
        <v>38</v>
      </c>
      <c r="E318" s="4">
        <v>44836.442685185182</v>
      </c>
      <c r="F318" s="2" t="s">
        <v>478</v>
      </c>
      <c r="G318" s="2">
        <v>26794</v>
      </c>
      <c r="H318" s="2">
        <v>0</v>
      </c>
      <c r="I318" s="2">
        <v>0</v>
      </c>
      <c r="J318" s="2">
        <v>0</v>
      </c>
      <c r="K318" s="2" t="s">
        <v>26</v>
      </c>
      <c r="L318" s="2"/>
    </row>
    <row r="319" spans="1:12" ht="79.2" x14ac:dyDescent="0.3">
      <c r="A319" s="2" t="s">
        <v>477</v>
      </c>
      <c r="B319" s="2" t="str">
        <f>HYPERLINK("https://advancedbiofuelsusa.info/clean-energy-announces-opening-of-ohio-renewable-natural-gas-station-for-amazon-and-other-trucking-fleets/")</f>
        <v>https://advancedbiofuelsusa.info/clean-energy-announces-opening-of-ohio-renewable-natural-gas-station-for-amazon-and-other-trucking-fleets/</v>
      </c>
      <c r="C319" s="2"/>
      <c r="D319" s="2" t="s">
        <v>479</v>
      </c>
      <c r="E319" s="4">
        <v>44834.910543981481</v>
      </c>
      <c r="F319" s="2" t="s">
        <v>480</v>
      </c>
      <c r="G319" s="2">
        <v>9017</v>
      </c>
      <c r="H319" s="2">
        <v>0</v>
      </c>
      <c r="I319" s="2">
        <v>0</v>
      </c>
      <c r="J319" s="2">
        <v>0</v>
      </c>
      <c r="K319" s="2" t="s">
        <v>26</v>
      </c>
      <c r="L319" s="2"/>
    </row>
    <row r="320" spans="1:12" ht="132" x14ac:dyDescent="0.3">
      <c r="A320" s="2" t="s">
        <v>474</v>
      </c>
      <c r="B320" s="2" t="str">
        <f>HYPERLINK("https://woub.org/2022/09/29/natural-gas-from-local-landfills-and-cow-manure-used-at-ohio-fuel-station-to-power-amazons-fleet/")</f>
        <v>https://woub.org/2022/09/29/natural-gas-from-local-landfills-and-cow-manure-used-at-ohio-fuel-station-to-power-amazons-fleet/</v>
      </c>
      <c r="C320" s="2" t="s">
        <v>481</v>
      </c>
      <c r="D320" s="2" t="s">
        <v>482</v>
      </c>
      <c r="E320" s="4">
        <v>44833.543530092589</v>
      </c>
      <c r="F320" s="2" t="s">
        <v>483</v>
      </c>
      <c r="G320" s="2">
        <v>44824</v>
      </c>
      <c r="H320" s="2">
        <v>0</v>
      </c>
      <c r="I320" s="2">
        <v>0</v>
      </c>
      <c r="J320" s="2">
        <v>1</v>
      </c>
      <c r="K320" s="2" t="s">
        <v>26</v>
      </c>
      <c r="L320" s="2"/>
    </row>
    <row r="321" spans="1:12" ht="132" x14ac:dyDescent="0.3">
      <c r="A321" s="2" t="s">
        <v>474</v>
      </c>
      <c r="B321" s="2" t="str">
        <f>HYPERLINK("https://news.wosu.org/news/2022-09-29/natural-gas-from-local-landfills-and-cow-manure-used-at-ohio-fuel-station-to-power-amazons-fleet")</f>
        <v>https://news.wosu.org/news/2022-09-29/natural-gas-from-local-landfills-and-cow-manure-used-at-ohio-fuel-station-to-power-amazons-fleet</v>
      </c>
      <c r="C321" s="2"/>
      <c r="D321" s="2" t="s">
        <v>484</v>
      </c>
      <c r="E321" s="4">
        <v>44833.522372685176</v>
      </c>
      <c r="F321" s="2" t="s">
        <v>476</v>
      </c>
      <c r="G321" s="2">
        <v>94518</v>
      </c>
      <c r="H321" s="2">
        <v>0</v>
      </c>
      <c r="I321" s="2">
        <v>0</v>
      </c>
      <c r="J321" s="2">
        <v>0</v>
      </c>
      <c r="K321" s="2" t="s">
        <v>26</v>
      </c>
      <c r="L321" s="2"/>
    </row>
    <row r="322" spans="1:12" ht="92.4" x14ac:dyDescent="0.3">
      <c r="A322" s="2" t="s">
        <v>477</v>
      </c>
      <c r="B322" s="2" t="str">
        <f>HYPERLINK("https://fleetnewsdaily.com/clean-energy-announces-opening-of-ohio-renewable-natural-gas-station-for-amazon-and-other-trucking-fleets/")</f>
        <v>https://fleetnewsdaily.com/clean-energy-announces-opening-of-ohio-renewable-natural-gas-station-for-amazon-and-other-trucking-fleets/</v>
      </c>
      <c r="C322" s="2"/>
      <c r="D322" s="2" t="s">
        <v>485</v>
      </c>
      <c r="E322" s="4">
        <v>44833.095347222217</v>
      </c>
      <c r="F322" s="2" t="s">
        <v>486</v>
      </c>
      <c r="G322" s="2">
        <v>495</v>
      </c>
      <c r="H322" s="2">
        <v>0</v>
      </c>
      <c r="I322" s="2">
        <v>0</v>
      </c>
      <c r="J322" s="2">
        <v>0</v>
      </c>
      <c r="K322" s="2" t="s">
        <v>26</v>
      </c>
      <c r="L322" s="2"/>
    </row>
    <row r="323" spans="1:12" ht="132" x14ac:dyDescent="0.3">
      <c r="A323" s="2" t="s">
        <v>474</v>
      </c>
      <c r="B323" s="2" t="str">
        <f>HYPERLINK("https://www.wksu.org/environment-energy/2022-09-28/natural-gas-from-local-landfills-and-cow-manure-used-at-ohio-fuel-station-to-power-amazons-fleet")</f>
        <v>https://www.wksu.org/environment-energy/2022-09-28/natural-gas-from-local-landfills-and-cow-manure-used-at-ohio-fuel-station-to-power-amazons-fleet</v>
      </c>
      <c r="C323" s="2"/>
      <c r="D323" s="2" t="s">
        <v>487</v>
      </c>
      <c r="E323" s="4">
        <v>44832.732048611113</v>
      </c>
      <c r="F323" s="2" t="s">
        <v>476</v>
      </c>
      <c r="G323" s="2">
        <v>886</v>
      </c>
      <c r="H323" s="2">
        <v>0</v>
      </c>
      <c r="I323" s="2">
        <v>0</v>
      </c>
      <c r="J323" s="2">
        <v>23</v>
      </c>
      <c r="K323" s="2" t="s">
        <v>26</v>
      </c>
      <c r="L323" s="2"/>
    </row>
    <row r="324" spans="1:12" ht="105.6" x14ac:dyDescent="0.3">
      <c r="A324" s="2" t="s">
        <v>474</v>
      </c>
      <c r="B324" s="2" t="str">
        <f>HYPERLINK("https://www.statenews.org/government-politics/2022-09-28/natural-gas-from-local-landfills-and-cow-manure-used-at-ohio-fuel-station-to-power-amazons-fleet")</f>
        <v>https://www.statenews.org/government-politics/2022-09-28/natural-gas-from-local-landfills-and-cow-manure-used-at-ohio-fuel-station-to-power-amazons-fleet</v>
      </c>
      <c r="C324" s="2"/>
      <c r="D324" s="2" t="s">
        <v>488</v>
      </c>
      <c r="E324" s="4">
        <v>44832.702523148153</v>
      </c>
      <c r="F324" s="2" t="s">
        <v>489</v>
      </c>
      <c r="G324" s="2">
        <v>25458</v>
      </c>
      <c r="H324" s="2">
        <v>2</v>
      </c>
      <c r="I324" s="2">
        <v>38576</v>
      </c>
      <c r="J324" s="2">
        <v>3</v>
      </c>
      <c r="K324" s="2" t="s">
        <v>26</v>
      </c>
      <c r="L324" s="2"/>
    </row>
    <row r="325" spans="1:12" ht="132" x14ac:dyDescent="0.3">
      <c r="A325" s="2" t="s">
        <v>490</v>
      </c>
      <c r="B325" s="2" t="str">
        <f>HYPERLINK("https://www.freightwaves.com/news/ohio-renewable-natural-gas-station-to-fuel-amazon-trucks")</f>
        <v>https://www.freightwaves.com/news/ohio-renewable-natural-gas-station-to-fuel-amazon-trucks</v>
      </c>
      <c r="C325" s="2" t="s">
        <v>491</v>
      </c>
      <c r="D325" s="2" t="s">
        <v>472</v>
      </c>
      <c r="E325" s="4">
        <v>44832.494976851849</v>
      </c>
      <c r="F325" s="2" t="s">
        <v>492</v>
      </c>
      <c r="G325" s="2">
        <v>624643</v>
      </c>
      <c r="H325" s="2">
        <v>0</v>
      </c>
      <c r="I325" s="2">
        <v>0</v>
      </c>
      <c r="J325" s="2">
        <v>93</v>
      </c>
      <c r="K325" s="2" t="s">
        <v>26</v>
      </c>
      <c r="L325" s="2"/>
    </row>
    <row r="326" spans="1:12" ht="92.4" x14ac:dyDescent="0.3">
      <c r="A326" s="2" t="s">
        <v>493</v>
      </c>
      <c r="B326" s="2" t="str">
        <f>HYPERLINK("https://www.benzinga.com/pressreleases/22/09/b29052986/clean-energy-announces-opening-of-ohio-renewable-natural-gas-station-for-amazon-and-other-trucking")</f>
        <v>https://www.benzinga.com/pressreleases/22/09/b29052986/clean-energy-announces-opening-of-ohio-renewable-natural-gas-station-for-amazon-and-other-trucking</v>
      </c>
      <c r="C326" s="2"/>
      <c r="D326" s="2" t="s">
        <v>90</v>
      </c>
      <c r="E326" s="4">
        <v>44832.488587962973</v>
      </c>
      <c r="F326" s="2" t="s">
        <v>494</v>
      </c>
      <c r="G326" s="2">
        <v>3864771</v>
      </c>
      <c r="H326" s="2">
        <v>0</v>
      </c>
      <c r="I326" s="2">
        <v>0</v>
      </c>
      <c r="J326" s="2">
        <v>0</v>
      </c>
      <c r="K326" s="2" t="s">
        <v>26</v>
      </c>
      <c r="L326" s="2"/>
    </row>
    <row r="327" spans="1:12" ht="66" x14ac:dyDescent="0.3">
      <c r="A327" s="2" t="s">
        <v>477</v>
      </c>
      <c r="B327" s="2" t="str">
        <f>HYPERLINK("https://www.wicz.com/story/47387877/clean-energy-announces-opening-of-ohio-renewable-natural-gas-station-for-amazon-and-other-trucking-fleets")</f>
        <v>https://www.wicz.com/story/47387877/clean-energy-announces-opening-of-ohio-renewable-natural-gas-station-for-amazon-and-other-trucking-fleets</v>
      </c>
      <c r="C327" s="2"/>
      <c r="D327" s="2" t="s">
        <v>495</v>
      </c>
      <c r="E327" s="4">
        <v>44832.453599537039</v>
      </c>
      <c r="F327" s="2" t="s">
        <v>496</v>
      </c>
      <c r="G327" s="2">
        <v>83430</v>
      </c>
      <c r="H327" s="2">
        <v>0</v>
      </c>
      <c r="I327" s="2">
        <v>0</v>
      </c>
      <c r="J327" s="2">
        <v>0</v>
      </c>
      <c r="K327" s="2"/>
      <c r="L327" s="2"/>
    </row>
    <row r="328" spans="1:12" ht="92.4" x14ac:dyDescent="0.3">
      <c r="A328" s="2" t="s">
        <v>477</v>
      </c>
      <c r="B328" s="2" t="str">
        <f>HYPERLINK("https://www.bakersfield.com/ap/news/clean-energy-announces-opening-of-ohio-renewable-natural-gas-station-for-amazon-and-other-trucking/article_4c21ad92-92a5-5e22-8ee8-19f3c8f9ec08.html")</f>
        <v>https://www.bakersfield.com/ap/news/clean-energy-announces-opening-of-ohio-renewable-natural-gas-station-for-amazon-and-other-trucking/article_4c21ad92-92a5-5e22-8ee8-19f3c8f9ec08.html</v>
      </c>
      <c r="C328" s="2"/>
      <c r="D328" s="2" t="s">
        <v>72</v>
      </c>
      <c r="E328" s="4">
        <v>44832.443020833343</v>
      </c>
      <c r="F328" s="2" t="s">
        <v>478</v>
      </c>
      <c r="G328" s="2">
        <v>272003</v>
      </c>
      <c r="H328" s="2">
        <v>0</v>
      </c>
      <c r="I328" s="2">
        <v>0</v>
      </c>
      <c r="J328" s="2">
        <v>0</v>
      </c>
      <c r="K328" s="2" t="s">
        <v>26</v>
      </c>
      <c r="L328" s="2"/>
    </row>
    <row r="329" spans="1:12" ht="92.4" x14ac:dyDescent="0.3">
      <c r="A329" s="2" t="s">
        <v>477</v>
      </c>
      <c r="B329" s="2" t="str">
        <f>HYPERLINK("https://www.bdtonline.com/news/nation_world/clean-energy-announces-opening-of-ohio-renewable-natural-gas-station-for-amazon-and-other-trucking/article_ca5966a3-e634-580f-ab2b-ec0b3909d633.html")</f>
        <v>https://www.bdtonline.com/news/nation_world/clean-energy-announces-opening-of-ohio-renewable-natural-gas-station-for-amazon-and-other-trucking/article_ca5966a3-e634-580f-ab2b-ec0b3909d633.html</v>
      </c>
      <c r="C329" s="2"/>
      <c r="D329" s="2" t="s">
        <v>497</v>
      </c>
      <c r="E329" s="4">
        <v>44832.432916666658</v>
      </c>
      <c r="F329" s="2" t="s">
        <v>478</v>
      </c>
      <c r="G329" s="2">
        <v>109736</v>
      </c>
      <c r="H329" s="2">
        <v>0</v>
      </c>
      <c r="I329" s="2">
        <v>0</v>
      </c>
      <c r="J329" s="2">
        <v>0</v>
      </c>
      <c r="K329" s="2" t="s">
        <v>26</v>
      </c>
      <c r="L329" s="2"/>
    </row>
    <row r="330" spans="1:12" ht="92.4" x14ac:dyDescent="0.3">
      <c r="A330" s="2" t="s">
        <v>477</v>
      </c>
      <c r="B330" s="2" t="str">
        <f>HYPERLINK("https://www.valdostadailytimes.com/ap/business/clean-energy-announces-opening-of-ohio-renewable-natural-gas-station-for-amazon-and-other-trucking/article_35e474fd-0991-530a-bb53-9aa351cab608.html")</f>
        <v>https://www.valdostadailytimes.com/ap/business/clean-energy-announces-opening-of-ohio-renewable-natural-gas-station-for-amazon-and-other-trucking/article_35e474fd-0991-530a-bb53-9aa351cab608.html</v>
      </c>
      <c r="C330" s="2"/>
      <c r="D330" s="2" t="s">
        <v>73</v>
      </c>
      <c r="E330" s="4">
        <v>44832.429224537038</v>
      </c>
      <c r="F330" s="2" t="s">
        <v>478</v>
      </c>
      <c r="G330" s="2">
        <v>69935</v>
      </c>
      <c r="H330" s="2">
        <v>0</v>
      </c>
      <c r="I330" s="2">
        <v>0</v>
      </c>
      <c r="J330" s="2">
        <v>0</v>
      </c>
      <c r="K330" s="2" t="s">
        <v>26</v>
      </c>
      <c r="L330" s="2"/>
    </row>
    <row r="331" spans="1:12" ht="92.4" x14ac:dyDescent="0.3">
      <c r="A331" s="2" t="s">
        <v>477</v>
      </c>
      <c r="B331" s="2" t="str">
        <f>HYPERLINK("https://www.fbherald.com/business/clean-energy-announces-opening-of-ohio-renewable-natural-gas-station-for-amazon-and-other-trucking/article_e13f0ea2-573a-5094-998f-ea6ac3d01d13.html")</f>
        <v>https://www.fbherald.com/business/clean-energy-announces-opening-of-ohio-renewable-natural-gas-station-for-amazon-and-other-trucking/article_e13f0ea2-573a-5094-998f-ea6ac3d01d13.html</v>
      </c>
      <c r="C331" s="2"/>
      <c r="D331" s="2" t="s">
        <v>498</v>
      </c>
      <c r="E331" s="4">
        <v>44832.427268518521</v>
      </c>
      <c r="F331" s="2" t="s">
        <v>478</v>
      </c>
      <c r="G331" s="2">
        <v>44699</v>
      </c>
      <c r="H331" s="2">
        <v>0</v>
      </c>
      <c r="I331" s="2">
        <v>0</v>
      </c>
      <c r="J331" s="2">
        <v>0</v>
      </c>
      <c r="K331" s="2" t="s">
        <v>26</v>
      </c>
      <c r="L331" s="2"/>
    </row>
    <row r="332" spans="1:12" ht="92.4" x14ac:dyDescent="0.3">
      <c r="A332" s="2" t="s">
        <v>477</v>
      </c>
      <c r="B332" s="2" t="str">
        <f>HYPERLINK("https://www.businesswire.com/news/home/20220928005246/en/Clean-Energy-Announces-Opening-of-Ohio-Renewable-Natural-Gas-Station-for-Amazon-and-Other-Trucking-Fleets")</f>
        <v>https://www.businesswire.com/news/home/20220928005246/en/Clean-Energy-Announces-Opening-of-Ohio-Renewable-Natural-Gas-Station-for-Amazon-and-Other-Trucking-Fleets</v>
      </c>
      <c r="C332" s="2"/>
      <c r="D332" s="2" t="s">
        <v>76</v>
      </c>
      <c r="E332" s="4">
        <v>44832.422326388893</v>
      </c>
      <c r="F332" s="2" t="s">
        <v>499</v>
      </c>
      <c r="G332" s="2">
        <v>2120875</v>
      </c>
      <c r="H332" s="2">
        <v>0</v>
      </c>
      <c r="I332" s="2">
        <v>0</v>
      </c>
      <c r="J332" s="2">
        <v>0</v>
      </c>
      <c r="K332" s="2" t="s">
        <v>26</v>
      </c>
      <c r="L332" s="2"/>
    </row>
    <row r="333" spans="1:12" ht="105.6" x14ac:dyDescent="0.3">
      <c r="A333" s="2" t="s">
        <v>477</v>
      </c>
      <c r="B333" s="2" t="str">
        <f>HYPERLINK("https://apnews.com/press-release/business-wire/ohio-agriculture-transportation-clean-energy-fuels-corp-3bef1e4dfa20454fb4b30b3941ef6a60")</f>
        <v>https://apnews.com/press-release/business-wire/ohio-agriculture-transportation-clean-energy-fuels-corp-3bef1e4dfa20454fb4b30b3941ef6a60</v>
      </c>
      <c r="C333" s="2"/>
      <c r="D333" s="2" t="s">
        <v>500</v>
      </c>
      <c r="E333" s="4">
        <v>44832.419363425928</v>
      </c>
      <c r="F333" s="2" t="s">
        <v>501</v>
      </c>
      <c r="G333" s="2">
        <v>38341852</v>
      </c>
      <c r="H333" s="2">
        <v>0</v>
      </c>
      <c r="I333" s="2">
        <v>0</v>
      </c>
      <c r="J333" s="2">
        <v>0</v>
      </c>
      <c r="K333" s="2" t="s">
        <v>26</v>
      </c>
      <c r="L333" s="2"/>
    </row>
    <row r="334" spans="1:12" ht="92.4" x14ac:dyDescent="0.3">
      <c r="A334" s="2" t="s">
        <v>477</v>
      </c>
      <c r="B334" s="2" t="str">
        <f>HYPERLINK("https://www.newsbreak.com/news/2764518745157/clean-energy-announces-opening-of-ohio-renewable-natural-gas-station-for-amazon-and-other-trucking-fleets")</f>
        <v>https://www.newsbreak.com/news/2764518745157/clean-energy-announces-opening-of-ohio-renewable-natural-gas-station-for-amazon-and-other-trucking-fleets</v>
      </c>
      <c r="C334" s="2"/>
      <c r="D334" s="2" t="s">
        <v>316</v>
      </c>
      <c r="E334" s="4">
        <v>44832.418842592589</v>
      </c>
      <c r="F334" s="2" t="s">
        <v>502</v>
      </c>
      <c r="G334" s="2">
        <v>10615061</v>
      </c>
      <c r="H334" s="2">
        <v>0</v>
      </c>
      <c r="I334" s="2">
        <v>0</v>
      </c>
      <c r="J334" s="2">
        <v>0</v>
      </c>
      <c r="K334" s="2" t="s">
        <v>26</v>
      </c>
      <c r="L334" s="2"/>
    </row>
    <row r="335" spans="1:12" ht="92.4" x14ac:dyDescent="0.3">
      <c r="A335" s="2" t="s">
        <v>477</v>
      </c>
      <c r="B335" s="2" t="str">
        <f>HYPERLINK("https://www.tullahomanews.com/news/business/clean-energy-announces-opening-of-ohio-renewable-natural-gas-station-for-amazon-and-other-trucking/article_c539401c-c3a5-5785-90a0-48f3ebc73822.html")</f>
        <v>https://www.tullahomanews.com/news/business/clean-energy-announces-opening-of-ohio-renewable-natural-gas-station-for-amazon-and-other-trucking/article_c539401c-c3a5-5785-90a0-48f3ebc73822.html</v>
      </c>
      <c r="C335" s="2"/>
      <c r="D335" s="2" t="s">
        <v>109</v>
      </c>
      <c r="E335" s="4">
        <v>44832.418819444443</v>
      </c>
      <c r="F335" s="2" t="s">
        <v>478</v>
      </c>
      <c r="G335" s="2">
        <v>34016</v>
      </c>
      <c r="H335" s="2">
        <v>0</v>
      </c>
      <c r="I335" s="2">
        <v>0</v>
      </c>
      <c r="J335" s="2">
        <v>0</v>
      </c>
      <c r="K335" s="2" t="s">
        <v>26</v>
      </c>
      <c r="L335" s="2"/>
    </row>
    <row r="336" spans="1:12" ht="92.4" x14ac:dyDescent="0.3">
      <c r="A336" s="2" t="s">
        <v>477</v>
      </c>
      <c r="B336" s="2" t="str">
        <f>HYPERLINK("https://finance.yahoo.com/news/clean-energy-announces-opening-ohio-140000051.html")</f>
        <v>https://finance.yahoo.com/news/clean-energy-announces-opening-ohio-140000051.html</v>
      </c>
      <c r="C336" s="2"/>
      <c r="D336" s="2" t="s">
        <v>80</v>
      </c>
      <c r="E336" s="4">
        <v>44832.416666666657</v>
      </c>
      <c r="F336" s="2" t="s">
        <v>503</v>
      </c>
      <c r="G336" s="2">
        <v>46919838</v>
      </c>
      <c r="H336" s="2">
        <v>0</v>
      </c>
      <c r="I336" s="2">
        <v>0</v>
      </c>
      <c r="J336" s="2">
        <v>1</v>
      </c>
      <c r="K336" s="2" t="s">
        <v>26</v>
      </c>
      <c r="L336" s="2"/>
    </row>
    <row r="337" spans="1:12" ht="66" x14ac:dyDescent="0.3">
      <c r="A337" s="2" t="s">
        <v>504</v>
      </c>
      <c r="B337" s="2" t="str">
        <f>HYPERLINK("https://www.newsbreak.com/news/2765100129105/natural-gas-from-local-landfills-and-cow-manure-used-at-ohio-fuel-station-to-power-amazon-s-fleet")</f>
        <v>https://www.newsbreak.com/news/2765100129105/natural-gas-from-local-landfills-and-cow-manure-used-at-ohio-fuel-station-to-power-amazon-s-fleet</v>
      </c>
      <c r="C337" s="2"/>
      <c r="D337" s="2" t="s">
        <v>316</v>
      </c>
      <c r="E337" s="4">
        <v>44831.840509259258</v>
      </c>
      <c r="F337" s="2" t="s">
        <v>505</v>
      </c>
      <c r="G337" s="2">
        <v>10615061</v>
      </c>
      <c r="H337" s="2">
        <v>0</v>
      </c>
      <c r="I337" s="2">
        <v>0</v>
      </c>
      <c r="J337" s="2">
        <v>0</v>
      </c>
      <c r="K337" s="2"/>
      <c r="L337" s="2"/>
    </row>
    <row r="338" spans="1:12" ht="409.6" x14ac:dyDescent="0.3">
      <c r="A338" s="2" t="s">
        <v>506</v>
      </c>
      <c r="B338" s="2" t="str">
        <f>HYPERLINK("https://carbuzz.com/news/aston-martin-valhalla-coming-with-1012-hp-bmw-ready-to-produce-hydrogen-x5-tesla-fighting-louisiana-law-cold-start")</f>
        <v>https://carbuzz.com/news/aston-martin-valhalla-coming-with-1012-hp-bmw-ready-to-produce-hydrogen-x5-tesla-fighting-louisiana-law-cold-start</v>
      </c>
      <c r="C338" s="2" t="s">
        <v>507</v>
      </c>
      <c r="D338" s="2" t="s">
        <v>508</v>
      </c>
      <c r="E338" s="4">
        <v>44809.287187499998</v>
      </c>
      <c r="F338" s="2" t="s">
        <v>509</v>
      </c>
      <c r="G338" s="2">
        <v>4358105</v>
      </c>
      <c r="H338" s="2">
        <v>0</v>
      </c>
      <c r="I338" s="2">
        <v>0</v>
      </c>
      <c r="J338" s="2">
        <v>39</v>
      </c>
      <c r="K338" s="2" t="s">
        <v>143</v>
      </c>
      <c r="L338" s="2"/>
    </row>
    <row r="339" spans="1:12" ht="66" x14ac:dyDescent="0.3">
      <c r="A339" s="2" t="s">
        <v>506</v>
      </c>
      <c r="B339" s="2" t="str">
        <f>HYPERLINK("https://www.newsbreak.com/news/2732796909745/aston-martin-valhalla-coming-with-1-012-hp-bmw-ready-to-produce-hydrogen-x5-tesla-fighting-louisiana-law-cold-start")</f>
        <v>https://www.newsbreak.com/news/2732796909745/aston-martin-valhalla-coming-with-1-012-hp-bmw-ready-to-produce-hydrogen-x5-tesla-fighting-louisiana-law-cold-start</v>
      </c>
      <c r="C339" s="2"/>
      <c r="D339" s="2" t="s">
        <v>316</v>
      </c>
      <c r="E339" s="4">
        <v>44797.221712962957</v>
      </c>
      <c r="F339" s="2" t="s">
        <v>510</v>
      </c>
      <c r="G339" s="2">
        <v>10615061</v>
      </c>
      <c r="H339" s="2">
        <v>0</v>
      </c>
      <c r="I339" s="2">
        <v>0</v>
      </c>
      <c r="J339" s="2">
        <v>0</v>
      </c>
      <c r="K339" s="2"/>
      <c r="L339" s="2"/>
    </row>
    <row r="340" spans="1:12" ht="105.6" x14ac:dyDescent="0.3">
      <c r="A340" s="2" t="s">
        <v>511</v>
      </c>
      <c r="B340" s="2" t="str">
        <f>HYPERLINK("https://nawindpower.com/apex-clears-financing-for-224-mw-iowa-wind-farm-with-meta-ppa")</f>
        <v>https://nawindpower.com/apex-clears-financing-for-224-mw-iowa-wind-farm-with-meta-ppa</v>
      </c>
      <c r="C340" s="2" t="s">
        <v>512</v>
      </c>
      <c r="D340" s="2" t="s">
        <v>65</v>
      </c>
      <c r="E340" s="4">
        <v>44789.515405092592</v>
      </c>
      <c r="F340" s="2" t="s">
        <v>513</v>
      </c>
      <c r="G340" s="2">
        <v>2039</v>
      </c>
      <c r="H340" s="2">
        <v>0</v>
      </c>
      <c r="I340" s="2">
        <v>0</v>
      </c>
      <c r="J340" s="2">
        <v>0</v>
      </c>
      <c r="K340" s="2" t="s">
        <v>26</v>
      </c>
      <c r="L340" s="2"/>
    </row>
    <row r="341" spans="1:12" ht="66" x14ac:dyDescent="0.3">
      <c r="A341" s="2" t="s">
        <v>514</v>
      </c>
      <c r="B341" s="2" t="str">
        <f>HYPERLINK("https://podcasts.apple.com/us/podcast/ep-291-shooting-sports-month-dominion-energys-$9-8b/id1435126030?i=1000575393182")</f>
        <v>https://podcasts.apple.com/us/podcast/ep-291-shooting-sports-month-dominion-energys-$9-8b/id1435126030?i=1000575393182</v>
      </c>
      <c r="C341" s="2" t="s">
        <v>515</v>
      </c>
      <c r="D341" s="2" t="s">
        <v>516</v>
      </c>
      <c r="E341" s="4">
        <v>44781</v>
      </c>
      <c r="F341" s="2" t="s">
        <v>517</v>
      </c>
      <c r="G341" s="2">
        <v>8238355</v>
      </c>
      <c r="H341" s="2">
        <v>1</v>
      </c>
      <c r="I341" s="2">
        <v>52801</v>
      </c>
      <c r="J341" s="2">
        <v>33</v>
      </c>
      <c r="K341" s="2" t="s">
        <v>26</v>
      </c>
      <c r="L341" s="2"/>
    </row>
    <row r="342" spans="1:12" ht="105.6" x14ac:dyDescent="0.3">
      <c r="A342" s="2" t="s">
        <v>518</v>
      </c>
      <c r="B342" s="2" t="str">
        <f>HYPERLINK("https://podcasts.apple.com/us/podcast/harry-godfrey-whats-next-for-virginias-proposed-offshore/id1498833592?i=1000570288841")</f>
        <v>https://podcasts.apple.com/us/podcast/harry-godfrey-whats-next-for-virginias-proposed-offshore/id1498833592?i=1000570288841</v>
      </c>
      <c r="C342" s="2"/>
      <c r="D342" s="2" t="s">
        <v>516</v>
      </c>
      <c r="E342" s="4">
        <v>44760</v>
      </c>
      <c r="F342" s="2" t="s">
        <v>519</v>
      </c>
      <c r="G342" s="2">
        <v>8238355</v>
      </c>
      <c r="H342" s="2">
        <v>1</v>
      </c>
      <c r="I342" s="2">
        <v>7159</v>
      </c>
      <c r="J342" s="2">
        <v>31</v>
      </c>
      <c r="K342" s="2" t="s">
        <v>36</v>
      </c>
      <c r="L342" s="2"/>
    </row>
    <row r="343" spans="1:12" ht="105.6" x14ac:dyDescent="0.3">
      <c r="A343" s="2" t="s">
        <v>520</v>
      </c>
      <c r="B343" s="2" t="str">
        <f>HYPERLINK("https://www.bisnow.com/national/news/data-center/meta-data-center-to-use-all-of-iowa-wind-farms-power-111609")</f>
        <v>https://www.bisnow.com/national/news/data-center/meta-data-center-to-use-all-of-iowa-wind-farms-power-111609</v>
      </c>
      <c r="C343" s="2"/>
      <c r="D343" s="2" t="s">
        <v>521</v>
      </c>
      <c r="E343" s="4">
        <v>44586.362800925926</v>
      </c>
      <c r="F343" s="2" t="s">
        <v>522</v>
      </c>
      <c r="G343" s="2">
        <v>308517</v>
      </c>
      <c r="H343" s="2">
        <v>0</v>
      </c>
      <c r="I343" s="2">
        <v>0</v>
      </c>
      <c r="J343" s="2">
        <v>1</v>
      </c>
      <c r="K343" s="2" t="s">
        <v>26</v>
      </c>
      <c r="L343" s="2"/>
    </row>
    <row r="344" spans="1:12" ht="132" x14ac:dyDescent="0.3">
      <c r="A344" s="2" t="s">
        <v>523</v>
      </c>
      <c r="B344" s="2" t="str">
        <f>HYPERLINK("https://www.desmoinesregister.com/story/money/business/2022/01/24/altoona-facebook-data-center-to-use-great-pathfinder-wind-farm-energy-meta-iowa-renewable/6634155001/")</f>
        <v>https://www.desmoinesregister.com/story/money/business/2022/01/24/altoona-facebook-data-center-to-use-great-pathfinder-wind-farm-energy-meta-iowa-renewable/6634155001/</v>
      </c>
      <c r="C344" s="2" t="s">
        <v>524</v>
      </c>
      <c r="D344" s="2" t="s">
        <v>525</v>
      </c>
      <c r="E344" s="4">
        <v>44585.814016203702</v>
      </c>
      <c r="F344" s="2" t="s">
        <v>526</v>
      </c>
      <c r="G344" s="2">
        <v>2108030</v>
      </c>
      <c r="H344" s="2">
        <v>0</v>
      </c>
      <c r="I344" s="2">
        <v>0</v>
      </c>
      <c r="J344" s="2">
        <v>0</v>
      </c>
      <c r="K344" s="2" t="s">
        <v>26</v>
      </c>
      <c r="L344" s="2"/>
    </row>
    <row r="345" spans="1:12" ht="132" x14ac:dyDescent="0.3">
      <c r="A345" s="2" t="s">
        <v>523</v>
      </c>
      <c r="B345" s="2" t="str">
        <f>HYPERLINK("https://news.yahoo.com/facebook-parent-meta-energy-generated-193756944.html")</f>
        <v>https://news.yahoo.com/facebook-parent-meta-energy-generated-193756944.html</v>
      </c>
      <c r="C345" s="2" t="s">
        <v>524</v>
      </c>
      <c r="D345" s="2" t="s">
        <v>139</v>
      </c>
      <c r="E345" s="4">
        <v>44585.609675925924</v>
      </c>
      <c r="F345" s="2" t="s">
        <v>527</v>
      </c>
      <c r="G345" s="2">
        <v>58768090</v>
      </c>
      <c r="H345" s="2">
        <v>0</v>
      </c>
      <c r="I345" s="2">
        <v>0</v>
      </c>
      <c r="J345" s="2">
        <v>1</v>
      </c>
      <c r="K345" s="2" t="s">
        <v>26</v>
      </c>
      <c r="L345" s="2"/>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7178F-B287-45EE-AA23-CCE61AA9DEFE}">
  <dimension ref="A1:L55"/>
  <sheetViews>
    <sheetView tabSelected="1" workbookViewId="0">
      <selection activeCell="E10" sqref="E10"/>
    </sheetView>
  </sheetViews>
  <sheetFormatPr defaultRowHeight="14.4" x14ac:dyDescent="0.3"/>
  <cols>
    <col min="1" max="1" width="64" customWidth="1"/>
    <col min="6" max="6" width="53.88671875" customWidth="1"/>
  </cols>
  <sheetData>
    <row r="1" spans="1:12" x14ac:dyDescent="0.3">
      <c r="A1" s="5" t="s">
        <v>12</v>
      </c>
      <c r="B1" s="5" t="s">
        <v>2</v>
      </c>
      <c r="C1" s="5" t="s">
        <v>13</v>
      </c>
      <c r="D1" s="5" t="s">
        <v>14</v>
      </c>
      <c r="E1" s="5" t="s">
        <v>15</v>
      </c>
      <c r="F1" s="5" t="s">
        <v>16</v>
      </c>
      <c r="G1" s="5" t="s">
        <v>17</v>
      </c>
      <c r="H1" s="5" t="s">
        <v>18</v>
      </c>
      <c r="I1" s="5" t="s">
        <v>19</v>
      </c>
      <c r="J1" s="5" t="s">
        <v>7</v>
      </c>
      <c r="K1" s="5" t="s">
        <v>20</v>
      </c>
      <c r="L1" s="5" t="s">
        <v>21</v>
      </c>
    </row>
    <row r="2" spans="1:12" x14ac:dyDescent="0.3">
      <c r="A2" s="6" t="s">
        <v>22</v>
      </c>
      <c r="B2" s="6" t="str">
        <f>HYPERLINK("https://beststocks.com/teslas-giga-water-loop-revolutionizing-sustai/")</f>
        <v>https://beststocks.com/teslas-giga-water-loop-revolutionizing-sustai/</v>
      </c>
      <c r="C2" s="6" t="s">
        <v>23</v>
      </c>
      <c r="D2" s="6" t="s">
        <v>24</v>
      </c>
      <c r="E2" s="7">
        <v>45205.512152777781</v>
      </c>
      <c r="F2" s="6" t="s">
        <v>25</v>
      </c>
      <c r="G2" s="6">
        <v>177702</v>
      </c>
      <c r="H2" s="6">
        <v>0</v>
      </c>
      <c r="I2" s="6">
        <v>0</v>
      </c>
      <c r="J2" s="6">
        <v>0</v>
      </c>
      <c r="K2" s="6" t="s">
        <v>26</v>
      </c>
      <c r="L2" s="6"/>
    </row>
    <row r="3" spans="1:12" x14ac:dyDescent="0.3">
      <c r="A3" s="6" t="s">
        <v>27</v>
      </c>
      <c r="B3" s="6" t="str">
        <f>HYPERLINK("https://www.bloomberg.com/news/articles/2023-09-12/amazon-invests-in-oxy-s-west-texas-carbon-removal-plant-in-net-zero-bid")</f>
        <v>https://www.bloomberg.com/news/articles/2023-09-12/amazon-invests-in-oxy-s-west-texas-carbon-removal-plant-in-net-zero-bid</v>
      </c>
      <c r="C3" s="6" t="s">
        <v>28</v>
      </c>
      <c r="D3" s="6" t="s">
        <v>29</v>
      </c>
      <c r="E3" s="7">
        <v>45181.250104166669</v>
      </c>
      <c r="F3" s="6" t="s">
        <v>30</v>
      </c>
      <c r="G3" s="6">
        <v>23974096</v>
      </c>
      <c r="H3" s="6">
        <v>4</v>
      </c>
      <c r="I3" s="6">
        <v>33965</v>
      </c>
      <c r="J3" s="6">
        <v>89</v>
      </c>
      <c r="K3" s="6" t="s">
        <v>26</v>
      </c>
      <c r="L3" s="6"/>
    </row>
    <row r="4" spans="1:12" x14ac:dyDescent="0.3">
      <c r="A4" s="6" t="s">
        <v>31</v>
      </c>
      <c r="B4" s="6" t="str">
        <f>HYPERLINK("https://energycentral.com/news/google-signs-ppa-189-megawatt-north-carolina-wind-farm")</f>
        <v>https://energycentral.com/news/google-signs-ppa-189-megawatt-north-carolina-wind-farm</v>
      </c>
      <c r="C4" s="6"/>
      <c r="D4" s="6" t="s">
        <v>32</v>
      </c>
      <c r="E4" s="7">
        <v>45176.458611111113</v>
      </c>
      <c r="F4" s="6" t="s">
        <v>33</v>
      </c>
      <c r="G4" s="6">
        <v>42842</v>
      </c>
      <c r="H4" s="6">
        <v>0</v>
      </c>
      <c r="I4" s="6">
        <v>0</v>
      </c>
      <c r="J4" s="6">
        <v>0</v>
      </c>
      <c r="K4" s="6" t="s">
        <v>26</v>
      </c>
      <c r="L4" s="6"/>
    </row>
    <row r="5" spans="1:12" x14ac:dyDescent="0.3">
      <c r="A5" s="6" t="s">
        <v>37</v>
      </c>
      <c r="B5" s="6" t="str">
        <f>HYPERLINK("https://www.manchestertimes.com/news/business/apex-and-google-partner-to-advance-north-carolina-s-second-wind-farm/article_e72e5c2e-2ef5-5c8c-ba61-d8acb43229e9.html")</f>
        <v>https://www.manchestertimes.com/news/business/apex-and-google-partner-to-advance-north-carolina-s-second-wind-farm/article_e72e5c2e-2ef5-5c8c-ba61-d8acb43229e9.html</v>
      </c>
      <c r="C5" s="6"/>
      <c r="D5" s="6" t="s">
        <v>38</v>
      </c>
      <c r="E5" s="7">
        <v>45170.103877314818</v>
      </c>
      <c r="F5" s="6" t="s">
        <v>39</v>
      </c>
      <c r="G5" s="6">
        <v>26794</v>
      </c>
      <c r="H5" s="6">
        <v>0</v>
      </c>
      <c r="I5" s="6">
        <v>0</v>
      </c>
      <c r="J5" s="6">
        <v>0</v>
      </c>
      <c r="K5" s="6" t="s">
        <v>26</v>
      </c>
      <c r="L5" s="6"/>
    </row>
    <row r="6" spans="1:12" x14ac:dyDescent="0.3">
      <c r="A6" s="6" t="s">
        <v>42</v>
      </c>
      <c r="B6" s="6" t="str">
        <f>HYPERLINK("https://rmi.muckrack.com/link/ySPqkA/how-a-new-wind-farm-in-north-carolina-will-help-power-google")</f>
        <v>https://rmi.muckrack.com/link/ySPqkA/how-a-new-wind-farm-in-north-carolina-will-help-power-google</v>
      </c>
      <c r="C6" s="6"/>
      <c r="D6" s="6" t="s">
        <v>43</v>
      </c>
      <c r="E6" s="7">
        <v>45169.333333333343</v>
      </c>
      <c r="F6" s="6" t="s">
        <v>44</v>
      </c>
      <c r="G6" s="6"/>
      <c r="H6" s="6">
        <v>0</v>
      </c>
      <c r="I6" s="6">
        <v>0</v>
      </c>
      <c r="J6" s="6">
        <v>0</v>
      </c>
      <c r="K6" s="6" t="s">
        <v>26</v>
      </c>
      <c r="L6" s="6"/>
    </row>
    <row r="7" spans="1:12" x14ac:dyDescent="0.3">
      <c r="A7" s="6" t="s">
        <v>46</v>
      </c>
      <c r="B7" s="6" t="str">
        <f>HYPERLINK("https://www.msn.com/en-us/money/companies/google-to-procure-power-from-apex-s-north-carolina-wind-farm/ar-AA1fZ1JD")</f>
        <v>https://www.msn.com/en-us/money/companies/google-to-procure-power-from-apex-s-north-carolina-wind-farm/ar-AA1fZ1JD</v>
      </c>
      <c r="C7" s="6"/>
      <c r="D7" s="6" t="s">
        <v>47</v>
      </c>
      <c r="E7" s="7">
        <v>45168.479629629634</v>
      </c>
      <c r="F7" s="6" t="s">
        <v>48</v>
      </c>
      <c r="G7" s="6">
        <v>135281915</v>
      </c>
      <c r="H7" s="6">
        <v>0</v>
      </c>
      <c r="I7" s="6">
        <v>0</v>
      </c>
      <c r="J7" s="6">
        <v>0</v>
      </c>
      <c r="K7" s="6" t="s">
        <v>26</v>
      </c>
      <c r="L7" s="6"/>
    </row>
    <row r="8" spans="1:12" x14ac:dyDescent="0.3">
      <c r="A8" s="6" t="s">
        <v>49</v>
      </c>
      <c r="B8" s="6" t="str">
        <f>HYPERLINK("https://energycentral.com/news/apex-and-google-partner-sign-ppa-north-carolina%E2%80%99s-second-wind-farm")</f>
        <v>https://energycentral.com/news/apex-and-google-partner-sign-ppa-north-carolina%E2%80%99s-second-wind-farm</v>
      </c>
      <c r="C8" s="6"/>
      <c r="D8" s="6" t="s">
        <v>32</v>
      </c>
      <c r="E8" s="7">
        <v>45168.408761574072</v>
      </c>
      <c r="F8" s="6" t="s">
        <v>50</v>
      </c>
      <c r="G8" s="6">
        <v>42842</v>
      </c>
      <c r="H8" s="6">
        <v>0</v>
      </c>
      <c r="I8" s="6">
        <v>0</v>
      </c>
      <c r="J8" s="6">
        <v>0</v>
      </c>
      <c r="K8" s="6" t="s">
        <v>26</v>
      </c>
      <c r="L8" s="6"/>
    </row>
    <row r="9" spans="1:12" x14ac:dyDescent="0.3">
      <c r="A9" s="6" t="s">
        <v>51</v>
      </c>
      <c r="B9" s="6" t="str">
        <f>HYPERLINK("https://ieefa.org/articles/google-buy-full-output-189-megawatt-north-carolina-wind-farm")</f>
        <v>https://ieefa.org/articles/google-buy-full-output-189-megawatt-north-carolina-wind-farm</v>
      </c>
      <c r="C9" s="6"/>
      <c r="D9" s="6" t="s">
        <v>52</v>
      </c>
      <c r="E9" s="7">
        <v>45168</v>
      </c>
      <c r="F9" s="6" t="s">
        <v>53</v>
      </c>
      <c r="G9" s="6">
        <v>66093</v>
      </c>
      <c r="H9" s="6">
        <v>0</v>
      </c>
      <c r="I9" s="6">
        <v>0</v>
      </c>
      <c r="J9" s="6">
        <v>0</v>
      </c>
      <c r="K9" s="6" t="s">
        <v>26</v>
      </c>
      <c r="L9" s="6"/>
    </row>
    <row r="10" spans="1:12" x14ac:dyDescent="0.3">
      <c r="A10" s="6" t="s">
        <v>54</v>
      </c>
      <c r="B10" s="6" t="str">
        <f>HYPERLINK("https://www.renewableenergyworld.com/wind-power/onshore/google-apex-clean-energy-enter-ppa-for-189-mw-north-carolina-wind-farm/")</f>
        <v>https://www.renewableenergyworld.com/wind-power/onshore/google-apex-clean-energy-enter-ppa-for-189-mw-north-carolina-wind-farm/</v>
      </c>
      <c r="C10" s="6" t="s">
        <v>55</v>
      </c>
      <c r="D10" s="6" t="s">
        <v>56</v>
      </c>
      <c r="E10" s="7">
        <v>45167.565833333327</v>
      </c>
      <c r="F10" s="6" t="s">
        <v>57</v>
      </c>
      <c r="G10" s="6">
        <v>45506</v>
      </c>
      <c r="H10" s="6">
        <v>0</v>
      </c>
      <c r="I10" s="6">
        <v>0</v>
      </c>
      <c r="J10" s="6">
        <v>35</v>
      </c>
      <c r="K10" s="6" t="s">
        <v>26</v>
      </c>
      <c r="L10" s="6"/>
    </row>
    <row r="11" spans="1:12" x14ac:dyDescent="0.3">
      <c r="A11" s="6" t="s">
        <v>58</v>
      </c>
      <c r="B11" s="6" t="str">
        <f>HYPERLINK("https://www.wvnews.com/business/apex-and-google-partner-to-advance-north-carolina-s-second-wind-farm/article_d726b1c1-9dd9-5a11-8a16-0b9709b90b1c.html")</f>
        <v>https://www.wvnews.com/business/apex-and-google-partner-to-advance-north-carolina-s-second-wind-farm/article_d726b1c1-9dd9-5a11-8a16-0b9709b90b1c.html</v>
      </c>
      <c r="C11" s="6"/>
      <c r="D11" s="6" t="s">
        <v>59</v>
      </c>
      <c r="E11" s="7">
        <v>45167.493645833332</v>
      </c>
      <c r="F11" s="6" t="s">
        <v>60</v>
      </c>
      <c r="G11" s="6">
        <v>408502</v>
      </c>
      <c r="H11" s="6">
        <v>0</v>
      </c>
      <c r="I11" s="6">
        <v>0</v>
      </c>
      <c r="J11" s="6">
        <v>0</v>
      </c>
      <c r="K11" s="6" t="s">
        <v>26</v>
      </c>
      <c r="L11" s="6"/>
    </row>
    <row r="12" spans="1:12" x14ac:dyDescent="0.3">
      <c r="A12" s="6" t="s">
        <v>63</v>
      </c>
      <c r="B12" s="6" t="str">
        <f>HYPERLINK("https://nawindpower.com/apex-and-google-ink-ppa-for-189-mw-north-carolina-wind-farm")</f>
        <v>https://nawindpower.com/apex-and-google-ink-ppa-for-189-mw-north-carolina-wind-farm</v>
      </c>
      <c r="C12" s="6" t="s">
        <v>64</v>
      </c>
      <c r="D12" s="6" t="s">
        <v>65</v>
      </c>
      <c r="E12" s="7">
        <v>45167.418310185189</v>
      </c>
      <c r="F12" s="6" t="s">
        <v>66</v>
      </c>
      <c r="G12" s="6">
        <v>2039</v>
      </c>
      <c r="H12" s="6">
        <v>0</v>
      </c>
      <c r="I12" s="6">
        <v>0</v>
      </c>
      <c r="J12" s="6">
        <v>0</v>
      </c>
      <c r="K12" s="6" t="s">
        <v>26</v>
      </c>
      <c r="L12" s="6"/>
    </row>
    <row r="13" spans="1:12" x14ac:dyDescent="0.3">
      <c r="A13" s="6" t="s">
        <v>68</v>
      </c>
      <c r="B13" s="6" t="str">
        <f>HYPERLINK("https://irei.com/news/apex-google-partner-to-advance-north-carolinas-second-wind-farm/")</f>
        <v>https://irei.com/news/apex-google-partner-to-advance-north-carolinas-second-wind-farm/</v>
      </c>
      <c r="C13" s="6"/>
      <c r="D13" s="6" t="s">
        <v>69</v>
      </c>
      <c r="E13" s="7">
        <v>45167.386469907397</v>
      </c>
      <c r="F13" s="6" t="s">
        <v>70</v>
      </c>
      <c r="G13" s="6">
        <v>53203</v>
      </c>
      <c r="H13" s="6">
        <v>0</v>
      </c>
      <c r="I13" s="6">
        <v>0</v>
      </c>
      <c r="J13" s="6">
        <v>0</v>
      </c>
      <c r="K13" s="6" t="s">
        <v>26</v>
      </c>
      <c r="L13" s="6"/>
    </row>
    <row r="14" spans="1:12" x14ac:dyDescent="0.3">
      <c r="A14" s="6" t="s">
        <v>89</v>
      </c>
      <c r="B14" s="6" t="str">
        <f>HYPERLINK("https://www.benzinga.com/pressreleases/23/08/b34087183/apex-and-google-partner-to-advance-north-carolinas-second-wind-farm")</f>
        <v>https://www.benzinga.com/pressreleases/23/08/b34087183/apex-and-google-partner-to-advance-north-carolinas-second-wind-farm</v>
      </c>
      <c r="C14" s="6"/>
      <c r="D14" s="6" t="s">
        <v>90</v>
      </c>
      <c r="E14" s="7">
        <v>45167.354166666657</v>
      </c>
      <c r="F14" s="6" t="s">
        <v>91</v>
      </c>
      <c r="G14" s="6">
        <v>3864771</v>
      </c>
      <c r="H14" s="6">
        <v>0</v>
      </c>
      <c r="I14" s="6">
        <v>0</v>
      </c>
      <c r="J14" s="6">
        <v>0</v>
      </c>
      <c r="K14" s="6" t="s">
        <v>26</v>
      </c>
      <c r="L14" s="6"/>
    </row>
    <row r="15" spans="1:12" x14ac:dyDescent="0.3">
      <c r="A15" s="6" t="s">
        <v>102</v>
      </c>
      <c r="B15" s="6" t="str">
        <f>HYPERLINK("https://www.energytech.com/renewables/article/21272615/google-enters-power-purchase-agreement-with-north-carolina-wind-farm")</f>
        <v>https://www.energytech.com/renewables/article/21272615/google-enters-power-purchase-agreement-with-north-carolina-wind-farm</v>
      </c>
      <c r="C15" s="6" t="s">
        <v>103</v>
      </c>
      <c r="D15" s="6" t="s">
        <v>104</v>
      </c>
      <c r="E15" s="7">
        <v>45167</v>
      </c>
      <c r="F15" s="6" t="s">
        <v>105</v>
      </c>
      <c r="G15" s="6">
        <v>6095</v>
      </c>
      <c r="H15" s="6">
        <v>0</v>
      </c>
      <c r="I15" s="6">
        <v>0</v>
      </c>
      <c r="J15" s="6">
        <v>0</v>
      </c>
      <c r="K15" s="6" t="s">
        <v>26</v>
      </c>
      <c r="L15" s="6"/>
    </row>
    <row r="16" spans="1:12" x14ac:dyDescent="0.3">
      <c r="A16" s="6" t="s">
        <v>113</v>
      </c>
      <c r="B16" s="6" t="str">
        <f>HYPERLINK("https://www.supermarketnews.com/technology/amazon-wind-farm-mississippi-will-power-local-whole-foods-market-fulfillment-centers")</f>
        <v>https://www.supermarketnews.com/technology/amazon-wind-farm-mississippi-will-power-local-whole-foods-market-fulfillment-centers</v>
      </c>
      <c r="C16" s="6" t="s">
        <v>114</v>
      </c>
      <c r="D16" s="6" t="s">
        <v>115</v>
      </c>
      <c r="E16" s="7">
        <v>45135.5549537037</v>
      </c>
      <c r="F16" s="6" t="s">
        <v>116</v>
      </c>
      <c r="G16" s="6">
        <v>232787</v>
      </c>
      <c r="H16" s="6">
        <v>0</v>
      </c>
      <c r="I16" s="6">
        <v>0</v>
      </c>
      <c r="J16" s="6">
        <v>1</v>
      </c>
      <c r="K16" s="6" t="s">
        <v>26</v>
      </c>
      <c r="L16" s="6"/>
    </row>
    <row r="17" spans="1:12" x14ac:dyDescent="0.3">
      <c r="A17" s="6" t="s">
        <v>118</v>
      </c>
      <c r="B17" s="6" t="str">
        <f>HYPERLINK("https://finance.yahoo.com/news/could-amazon-wind-farm-bring-190906546.html")</f>
        <v>https://finance.yahoo.com/news/could-amazon-wind-farm-bring-190906546.html</v>
      </c>
      <c r="C17" s="6"/>
      <c r="D17" s="6" t="s">
        <v>80</v>
      </c>
      <c r="E17" s="7">
        <v>45128.696296296293</v>
      </c>
      <c r="F17" s="6" t="s">
        <v>119</v>
      </c>
      <c r="G17" s="6">
        <v>46919838</v>
      </c>
      <c r="H17" s="6">
        <v>0</v>
      </c>
      <c r="I17" s="6">
        <v>0</v>
      </c>
      <c r="J17" s="6">
        <v>0</v>
      </c>
      <c r="K17" s="6" t="s">
        <v>26</v>
      </c>
      <c r="L17" s="6"/>
    </row>
    <row r="18" spans="1:12" x14ac:dyDescent="0.3">
      <c r="A18" s="6" t="s">
        <v>125</v>
      </c>
      <c r="B18" s="6" t="str">
        <f>HYPERLINK("https://www.blackenterprise.com/amazon-announces-construction-of-wind-farm-in-mississippi-casino-county/")</f>
        <v>https://www.blackenterprise.com/amazon-announces-construction-of-wind-farm-in-mississippi-casino-county/</v>
      </c>
      <c r="C18" s="6" t="s">
        <v>126</v>
      </c>
      <c r="D18" s="6" t="s">
        <v>127</v>
      </c>
      <c r="E18" s="7">
        <v>45128.462812500002</v>
      </c>
      <c r="F18" s="6" t="s">
        <v>128</v>
      </c>
      <c r="G18" s="6">
        <v>725352</v>
      </c>
      <c r="H18" s="6">
        <v>0</v>
      </c>
      <c r="I18" s="6">
        <v>0</v>
      </c>
      <c r="J18" s="6">
        <v>53</v>
      </c>
      <c r="K18" s="6" t="s">
        <v>36</v>
      </c>
      <c r="L18" s="6"/>
    </row>
    <row r="19" spans="1:12" x14ac:dyDescent="0.3">
      <c r="A19" s="6" t="s">
        <v>129</v>
      </c>
      <c r="B19" s="6" t="str">
        <f>HYPERLINK("https://wtop.com/sponsored-content/2023/07/with-net-zero-carbon-emissions-from-day-1-new-amazon-headquarters-in-arlington-virginia-aims-to-be-model-for-sustainable-building/")</f>
        <v>https://wtop.com/sponsored-content/2023/07/with-net-zero-carbon-emissions-from-day-1-new-amazon-headquarters-in-arlington-virginia-aims-to-be-model-for-sustainable-building/</v>
      </c>
      <c r="C19" s="6"/>
      <c r="D19" s="6" t="s">
        <v>130</v>
      </c>
      <c r="E19" s="7">
        <v>45128.401909722219</v>
      </c>
      <c r="F19" s="6" t="s">
        <v>131</v>
      </c>
      <c r="G19" s="6">
        <v>2181800</v>
      </c>
      <c r="H19" s="6">
        <v>0</v>
      </c>
      <c r="I19" s="6">
        <v>0</v>
      </c>
      <c r="J19" s="6">
        <v>0</v>
      </c>
      <c r="K19" s="6" t="s">
        <v>36</v>
      </c>
      <c r="L19" s="6"/>
    </row>
    <row r="20" spans="1:12" x14ac:dyDescent="0.3">
      <c r="A20" s="6" t="s">
        <v>132</v>
      </c>
      <c r="B20" s="6" t="str">
        <f>HYPERLINK("https://energycentral.com/news/amazon-backed-wind-farm-coming-struggling-mississippi-delta-community")</f>
        <v>https://energycentral.com/news/amazon-backed-wind-farm-coming-struggling-mississippi-delta-community</v>
      </c>
      <c r="C20" s="6"/>
      <c r="D20" s="6" t="s">
        <v>32</v>
      </c>
      <c r="E20" s="7">
        <v>45126.55400462963</v>
      </c>
      <c r="F20" s="6" t="s">
        <v>133</v>
      </c>
      <c r="G20" s="6">
        <v>42842</v>
      </c>
      <c r="H20" s="6">
        <v>0</v>
      </c>
      <c r="I20" s="6">
        <v>0</v>
      </c>
      <c r="J20" s="6">
        <v>0</v>
      </c>
      <c r="K20" s="6" t="s">
        <v>26</v>
      </c>
      <c r="L20" s="6"/>
    </row>
    <row r="21" spans="1:12" x14ac:dyDescent="0.3">
      <c r="A21" s="6" t="s">
        <v>134</v>
      </c>
      <c r="B21" s="6" t="str">
        <f>HYPERLINK("https://u93.com/google-news/4d97c5c68c1ba73182df67f2536b0b63")</f>
        <v>https://u93.com/google-news/4d97c5c68c1ba73182df67f2536b0b63</v>
      </c>
      <c r="C21" s="6"/>
      <c r="D21" s="6" t="s">
        <v>135</v>
      </c>
      <c r="E21" s="7">
        <v>45126.442453703698</v>
      </c>
      <c r="F21" s="6" t="s">
        <v>136</v>
      </c>
      <c r="G21" s="6">
        <v>1934</v>
      </c>
      <c r="H21" s="6">
        <v>0</v>
      </c>
      <c r="I21" s="6">
        <v>0</v>
      </c>
      <c r="J21" s="6">
        <v>0</v>
      </c>
      <c r="K21" s="6" t="s">
        <v>36</v>
      </c>
      <c r="L21" s="6"/>
    </row>
    <row r="22" spans="1:12" x14ac:dyDescent="0.3">
      <c r="A22" s="6" t="s">
        <v>137</v>
      </c>
      <c r="B22" s="6" t="str">
        <f>HYPERLINK("https://news.yahoo.com/mississippi-casino-country-places-bet-140007607.html")</f>
        <v>https://news.yahoo.com/mississippi-casino-country-places-bet-140007607.html</v>
      </c>
      <c r="C22" s="6" t="s">
        <v>138</v>
      </c>
      <c r="D22" s="6" t="s">
        <v>139</v>
      </c>
      <c r="E22" s="7">
        <v>45126.428194444437</v>
      </c>
      <c r="F22" s="6" t="s">
        <v>140</v>
      </c>
      <c r="G22" s="6">
        <v>58768090</v>
      </c>
      <c r="H22" s="6">
        <v>0</v>
      </c>
      <c r="I22" s="6">
        <v>0</v>
      </c>
      <c r="J22" s="6">
        <v>1</v>
      </c>
      <c r="K22" s="6" t="s">
        <v>26</v>
      </c>
      <c r="L22" s="6"/>
    </row>
    <row r="23" spans="1:12" x14ac:dyDescent="0.3">
      <c r="A23" s="6" t="s">
        <v>148</v>
      </c>
      <c r="B23" s="6" t="str">
        <f>HYPERLINK("https://newsnetdaily.com/amazon-backed-wind-farm-comes-to-struggling-mississippi-delta-community/")</f>
        <v>https://newsnetdaily.com/amazon-backed-wind-farm-comes-to-struggling-mississippi-delta-community/</v>
      </c>
      <c r="C23" s="6"/>
      <c r="D23" s="6" t="s">
        <v>149</v>
      </c>
      <c r="E23" s="7">
        <v>45126.347303240742</v>
      </c>
      <c r="F23" s="6" t="s">
        <v>150</v>
      </c>
      <c r="G23" s="6">
        <v>615</v>
      </c>
      <c r="H23" s="6">
        <v>0</v>
      </c>
      <c r="I23" s="6">
        <v>0</v>
      </c>
      <c r="J23" s="6">
        <v>0</v>
      </c>
      <c r="K23" s="6" t="s">
        <v>143</v>
      </c>
      <c r="L23" s="6"/>
    </row>
    <row r="24" spans="1:12" x14ac:dyDescent="0.3">
      <c r="A24" s="6" t="s">
        <v>151</v>
      </c>
      <c r="B24" s="6" t="str">
        <f>HYPERLINK("https://www.msn.com/en-us/money/companies/mississippi-casino-country-places-a-new-bet-on-an-amazon-backed-wind-farm/ar-AA1e4dmi?ocid=Peregrine")</f>
        <v>https://www.msn.com/en-us/money/companies/mississippi-casino-country-places-a-new-bet-on-an-amazon-backed-wind-farm/ar-AA1e4dmi?ocid=Peregrine</v>
      </c>
      <c r="C24" s="6" t="s">
        <v>138</v>
      </c>
      <c r="D24" s="6" t="s">
        <v>47</v>
      </c>
      <c r="E24" s="7">
        <v>45126.343900462962</v>
      </c>
      <c r="F24" s="6" t="s">
        <v>140</v>
      </c>
      <c r="G24" s="6">
        <v>135281915</v>
      </c>
      <c r="H24" s="6">
        <v>0</v>
      </c>
      <c r="I24" s="6">
        <v>0</v>
      </c>
      <c r="J24" s="6">
        <v>0</v>
      </c>
      <c r="K24" s="6" t="s">
        <v>26</v>
      </c>
      <c r="L24" s="6"/>
    </row>
    <row r="25" spans="1:12" x14ac:dyDescent="0.3">
      <c r="A25" s="6" t="s">
        <v>153</v>
      </c>
      <c r="B25" s="6" t="str">
        <f>HYPERLINK("https://article.wn.com/view/2023/07/10/amazon_to_construct_mississippi_8217s_first_utilityscale_win/")</f>
        <v>https://article.wn.com/view/2023/07/10/amazon_to_construct_mississippi_8217s_first_utilityscale_win/</v>
      </c>
      <c r="C25" s="6"/>
      <c r="D25" s="6" t="s">
        <v>45</v>
      </c>
      <c r="E25" s="7">
        <v>45116.833333333343</v>
      </c>
      <c r="F25" s="6"/>
      <c r="G25" s="6">
        <v>345494</v>
      </c>
      <c r="H25" s="6">
        <v>0</v>
      </c>
      <c r="I25" s="6">
        <v>0</v>
      </c>
      <c r="J25" s="6">
        <v>0</v>
      </c>
      <c r="K25" s="6"/>
      <c r="L25" s="6"/>
    </row>
    <row r="26" spans="1:12" x14ac:dyDescent="0.3">
      <c r="A26" s="6" t="s">
        <v>154</v>
      </c>
      <c r="B26" s="6" t="str">
        <f>HYPERLINK("https://energycentral.com/news/amazon-aes-partner-first-utility-scale-wind-farm-mississippi")</f>
        <v>https://energycentral.com/news/amazon-aes-partner-first-utility-scale-wind-farm-mississippi</v>
      </c>
      <c r="C26" s="6"/>
      <c r="D26" s="6" t="s">
        <v>32</v>
      </c>
      <c r="E26" s="7">
        <v>45114.731631944444</v>
      </c>
      <c r="F26" s="6" t="s">
        <v>155</v>
      </c>
      <c r="G26" s="6">
        <v>42842</v>
      </c>
      <c r="H26" s="6">
        <v>0</v>
      </c>
      <c r="I26" s="6">
        <v>0</v>
      </c>
      <c r="J26" s="6">
        <v>0</v>
      </c>
      <c r="K26" s="6" t="s">
        <v>26</v>
      </c>
      <c r="L26" s="6"/>
    </row>
    <row r="27" spans="1:12" x14ac:dyDescent="0.3">
      <c r="A27" s="6" t="s">
        <v>159</v>
      </c>
      <c r="B27" s="6" t="str">
        <f>HYPERLINK("https://www.magnoliastatelive.com/2023/07/07/amazon-to-plant-windmills-in-mississippi-delta-creating-states-first-utility-scale-wind-farm/")</f>
        <v>https://www.magnoliastatelive.com/2023/07/07/amazon-to-plant-windmills-in-mississippi-delta-creating-states-first-utility-scale-wind-farm/</v>
      </c>
      <c r="C27" s="6"/>
      <c r="D27" s="6" t="s">
        <v>160</v>
      </c>
      <c r="E27" s="7">
        <v>45114.514861111107</v>
      </c>
      <c r="F27" s="6" t="s">
        <v>161</v>
      </c>
      <c r="G27" s="6">
        <v>76750</v>
      </c>
      <c r="H27" s="6">
        <v>0</v>
      </c>
      <c r="I27" s="6">
        <v>0</v>
      </c>
      <c r="J27" s="6">
        <v>6</v>
      </c>
      <c r="K27" s="6" t="s">
        <v>26</v>
      </c>
      <c r="L27" s="6"/>
    </row>
    <row r="28" spans="1:12" x14ac:dyDescent="0.3">
      <c r="A28" s="6" t="s">
        <v>162</v>
      </c>
      <c r="B28" s="6" t="str">
        <f>HYPERLINK("https://biztoc.com/x/69f05f48b07ad783")</f>
        <v>https://biztoc.com/x/69f05f48b07ad783</v>
      </c>
      <c r="C28" s="6"/>
      <c r="D28" s="6" t="s">
        <v>163</v>
      </c>
      <c r="E28" s="7">
        <v>45114.323136574072</v>
      </c>
      <c r="F28" s="6" t="s">
        <v>164</v>
      </c>
      <c r="G28" s="6">
        <v>18569</v>
      </c>
      <c r="H28" s="6">
        <v>0</v>
      </c>
      <c r="I28" s="6">
        <v>0</v>
      </c>
      <c r="J28" s="6">
        <v>0</v>
      </c>
      <c r="K28" s="6" t="s">
        <v>36</v>
      </c>
      <c r="L28" s="6"/>
    </row>
    <row r="29" spans="1:12" x14ac:dyDescent="0.3">
      <c r="A29" s="6" t="s">
        <v>165</v>
      </c>
      <c r="B29" s="6" t="str">
        <f>HYPERLINK("https://energycentral.com/news/amazon-plant-windmills-mississippi-delta-creating-states-first-utility-scale-wind-farm")</f>
        <v>https://energycentral.com/news/amazon-plant-windmills-mississippi-delta-creating-states-first-utility-scale-wind-farm</v>
      </c>
      <c r="C29" s="6"/>
      <c r="D29" s="6" t="s">
        <v>32</v>
      </c>
      <c r="E29" s="7">
        <v>45114</v>
      </c>
      <c r="F29" s="6" t="s">
        <v>166</v>
      </c>
      <c r="G29" s="6">
        <v>42842</v>
      </c>
      <c r="H29" s="6">
        <v>0</v>
      </c>
      <c r="I29" s="6">
        <v>0</v>
      </c>
      <c r="J29" s="6">
        <v>0</v>
      </c>
      <c r="K29" s="6" t="s">
        <v>26</v>
      </c>
      <c r="L29" s="6"/>
    </row>
    <row r="30" spans="1:12" x14ac:dyDescent="0.3">
      <c r="A30" s="6" t="s">
        <v>174</v>
      </c>
      <c r="B30" s="6" t="str">
        <f>HYPERLINK("https://www.fox10tv.com/2023/07/06/amazon-announces-construction-mississippis-first-utility-scale-wind-farm/")</f>
        <v>https://www.fox10tv.com/2023/07/06/amazon-announces-construction-mississippis-first-utility-scale-wind-farm/</v>
      </c>
      <c r="C30" s="6"/>
      <c r="D30" s="6" t="s">
        <v>175</v>
      </c>
      <c r="E30" s="7">
        <v>45113.683749999997</v>
      </c>
      <c r="F30" s="6" t="s">
        <v>176</v>
      </c>
      <c r="G30" s="6">
        <v>389204</v>
      </c>
      <c r="H30" s="6">
        <v>0</v>
      </c>
      <c r="I30" s="6">
        <v>0</v>
      </c>
      <c r="J30" s="6">
        <v>0</v>
      </c>
      <c r="K30" s="6" t="s">
        <v>26</v>
      </c>
      <c r="L30" s="6"/>
    </row>
    <row r="31" spans="1:12" x14ac:dyDescent="0.3">
      <c r="A31" s="6" t="s">
        <v>228</v>
      </c>
      <c r="B31" s="6" t="str">
        <f>HYPERLINK("https://www.nprillinois.org/illinois/2023-06-30/dewitt-county-wind-farm-that-helps-power-meta-goes-online")</f>
        <v>https://www.nprillinois.org/illinois/2023-06-30/dewitt-county-wind-farm-that-helps-power-meta-goes-online</v>
      </c>
      <c r="C31" s="6" t="s">
        <v>229</v>
      </c>
      <c r="D31" s="6" t="s">
        <v>230</v>
      </c>
      <c r="E31" s="7">
        <v>45107.727407407408</v>
      </c>
      <c r="F31" s="6" t="s">
        <v>231</v>
      </c>
      <c r="G31" s="6">
        <v>62141</v>
      </c>
      <c r="H31" s="6">
        <v>0</v>
      </c>
      <c r="I31" s="6">
        <v>0</v>
      </c>
      <c r="J31" s="6">
        <v>0</v>
      </c>
      <c r="K31" s="6" t="s">
        <v>26</v>
      </c>
      <c r="L31" s="6"/>
    </row>
    <row r="32" spans="1:12" x14ac:dyDescent="0.3">
      <c r="A32" s="6" t="s">
        <v>236</v>
      </c>
      <c r="B32" s="6" t="str">
        <f>HYPERLINK("https://www.nacleanenergy.com/wind/enel-begins-operating-alta-farms-wind-farm-generating-clean-power-for-meta-in-illinois")</f>
        <v>https://www.nacleanenergy.com/wind/enel-begins-operating-alta-farms-wind-farm-generating-clean-power-for-meta-in-illinois</v>
      </c>
      <c r="C32" s="6"/>
      <c r="D32" s="6" t="s">
        <v>74</v>
      </c>
      <c r="E32" s="7">
        <v>45098.465185185189</v>
      </c>
      <c r="F32" s="6" t="s">
        <v>237</v>
      </c>
      <c r="G32" s="6">
        <v>3625</v>
      </c>
      <c r="H32" s="6">
        <v>0</v>
      </c>
      <c r="I32" s="6">
        <v>0</v>
      </c>
      <c r="J32" s="6">
        <v>0</v>
      </c>
      <c r="K32" s="6" t="s">
        <v>26</v>
      </c>
      <c r="L32" s="6"/>
    </row>
    <row r="33" spans="1:12" x14ac:dyDescent="0.3">
      <c r="A33" s="6" t="s">
        <v>238</v>
      </c>
      <c r="B33" s="6" t="str">
        <f>HYPERLINK("https://article.wn.com/view/2023/06/01/Cordelio_seals_funds_for_171MW_Illinois_wind_farm_to_power_M/")</f>
        <v>https://article.wn.com/view/2023/06/01/Cordelio_seals_funds_for_171MW_Illinois_wind_farm_to_power_M/</v>
      </c>
      <c r="C33" s="6"/>
      <c r="D33" s="6" t="s">
        <v>45</v>
      </c>
      <c r="E33" s="7">
        <v>45077.833333333343</v>
      </c>
      <c r="F33" s="6"/>
      <c r="G33" s="6">
        <v>345494</v>
      </c>
      <c r="H33" s="6">
        <v>0</v>
      </c>
      <c r="I33" s="6">
        <v>0</v>
      </c>
      <c r="J33" s="6">
        <v>0</v>
      </c>
      <c r="K33" s="6"/>
      <c r="L33" s="6"/>
    </row>
    <row r="34" spans="1:12" x14ac:dyDescent="0.3">
      <c r="A34" s="6" t="s">
        <v>239</v>
      </c>
      <c r="B34" s="6" t="str">
        <f>HYPERLINK("https://rmi.muckrack.com/link/yh7jha/hydrogen-company-to-build-in-michigan-work-with-gm")</f>
        <v>https://rmi.muckrack.com/link/yh7jha/hydrogen-company-to-build-in-michigan-work-with-gm</v>
      </c>
      <c r="C34" s="6"/>
      <c r="D34" s="6" t="s">
        <v>240</v>
      </c>
      <c r="E34" s="7">
        <v>45055.333333333343</v>
      </c>
      <c r="F34" s="6" t="s">
        <v>241</v>
      </c>
      <c r="G34" s="6"/>
      <c r="H34" s="6">
        <v>0</v>
      </c>
      <c r="I34" s="6">
        <v>0</v>
      </c>
      <c r="J34" s="6">
        <v>0</v>
      </c>
      <c r="K34" s="6" t="s">
        <v>26</v>
      </c>
      <c r="L34" s="6"/>
    </row>
    <row r="35" spans="1:12" x14ac:dyDescent="0.3">
      <c r="A35" s="6" t="s">
        <v>245</v>
      </c>
      <c r="B35" s="6" t="str">
        <f>HYPERLINK("https://www.heraldstandard.com/news/national/going-green-nel-hydrogen-to-build-in-michigan-work-with-gm/article_dcdcb898-2bdb-59ce-a070-7ed213ee777d.html")</f>
        <v>https://www.heraldstandard.com/news/national/going-green-nel-hydrogen-to-build-in-michigan-work-with-gm/article_dcdcb898-2bdb-59ce-a070-7ed213ee777d.html</v>
      </c>
      <c r="C35" s="6" t="s">
        <v>246</v>
      </c>
      <c r="D35" s="6" t="s">
        <v>247</v>
      </c>
      <c r="E35" s="7">
        <v>45053.719189814823</v>
      </c>
      <c r="F35" s="6" t="s">
        <v>248</v>
      </c>
      <c r="G35" s="6">
        <v>51159</v>
      </c>
      <c r="H35" s="6">
        <v>0</v>
      </c>
      <c r="I35" s="6">
        <v>0</v>
      </c>
      <c r="J35" s="6">
        <v>0</v>
      </c>
      <c r="K35" s="6" t="s">
        <v>26</v>
      </c>
      <c r="L35" s="6"/>
    </row>
    <row r="36" spans="1:12" x14ac:dyDescent="0.3">
      <c r="A36" s="6" t="s">
        <v>249</v>
      </c>
      <c r="B36" s="6" t="str">
        <f>HYPERLINK("https://finance-commerce.com/2023/05/nel-hydrogen-to-build-in-michigan-work-with-gm-to-lower-costs/")</f>
        <v>https://finance-commerce.com/2023/05/nel-hydrogen-to-build-in-michigan-work-with-gm-to-lower-costs/</v>
      </c>
      <c r="C36" s="6"/>
      <c r="D36" s="6" t="s">
        <v>250</v>
      </c>
      <c r="E36" s="7">
        <v>45050.690300925933</v>
      </c>
      <c r="F36" s="6" t="s">
        <v>248</v>
      </c>
      <c r="G36" s="6">
        <v>58348</v>
      </c>
      <c r="H36" s="6">
        <v>0</v>
      </c>
      <c r="I36" s="6">
        <v>0</v>
      </c>
      <c r="J36" s="6">
        <v>0</v>
      </c>
      <c r="K36" s="6" t="s">
        <v>143</v>
      </c>
      <c r="L36" s="6"/>
    </row>
    <row r="37" spans="1:12" x14ac:dyDescent="0.3">
      <c r="A37" s="6" t="s">
        <v>251</v>
      </c>
      <c r="B37" s="6" t="str">
        <f>HYPERLINK("https://www.ien.com/operations/news/22860949/nel-hydrogen-plans-massive-michigan-plant-work-with-gm")</f>
        <v>https://www.ien.com/operations/news/22860949/nel-hydrogen-plans-massive-michigan-plant-work-with-gm</v>
      </c>
      <c r="C37" s="6" t="s">
        <v>246</v>
      </c>
      <c r="D37" s="6" t="s">
        <v>252</v>
      </c>
      <c r="E37" s="7">
        <v>45050.497199074067</v>
      </c>
      <c r="F37" s="6" t="s">
        <v>248</v>
      </c>
      <c r="G37" s="6">
        <v>17671</v>
      </c>
      <c r="H37" s="6">
        <v>0</v>
      </c>
      <c r="I37" s="6">
        <v>0</v>
      </c>
      <c r="J37" s="6">
        <v>17</v>
      </c>
      <c r="K37" s="6" t="s">
        <v>26</v>
      </c>
      <c r="L37" s="6"/>
    </row>
    <row r="38" spans="1:12" x14ac:dyDescent="0.3">
      <c r="A38" s="6" t="s">
        <v>258</v>
      </c>
      <c r="B38" s="6" t="str">
        <f>HYPERLINK("https://rmi.muckrack.com/link/yhp5aW/nel-hydrogen-to-build-in-michigan-work-with-gm")</f>
        <v>https://rmi.muckrack.com/link/yhp5aW/nel-hydrogen-to-build-in-michigan-work-with-gm</v>
      </c>
      <c r="C38" s="6"/>
      <c r="D38" s="6" t="s">
        <v>259</v>
      </c>
      <c r="E38" s="7">
        <v>45050.333333333343</v>
      </c>
      <c r="F38" s="6" t="s">
        <v>248</v>
      </c>
      <c r="G38" s="6"/>
      <c r="H38" s="6">
        <v>0</v>
      </c>
      <c r="I38" s="6">
        <v>0</v>
      </c>
      <c r="J38" s="6">
        <v>0</v>
      </c>
      <c r="K38" s="6" t="s">
        <v>26</v>
      </c>
      <c r="L38" s="6"/>
    </row>
    <row r="39" spans="1:12" x14ac:dyDescent="0.3">
      <c r="A39" s="6" t="s">
        <v>260</v>
      </c>
      <c r="B39" s="6" t="s">
        <v>261</v>
      </c>
      <c r="C39" s="6"/>
      <c r="D39" s="6" t="s">
        <v>262</v>
      </c>
      <c r="E39" s="7">
        <v>45050.262499999997</v>
      </c>
      <c r="F39" s="6" t="s">
        <v>248</v>
      </c>
      <c r="G39" s="6"/>
      <c r="H39" s="6">
        <v>0</v>
      </c>
      <c r="I39" s="6">
        <v>0</v>
      </c>
      <c r="J39" s="6">
        <v>0</v>
      </c>
      <c r="K39" s="6" t="s">
        <v>26</v>
      </c>
      <c r="L39" s="6"/>
    </row>
    <row r="40" spans="1:12" x14ac:dyDescent="0.3">
      <c r="A40" s="6" t="s">
        <v>299</v>
      </c>
      <c r="B40" s="6" t="str">
        <f>HYPERLINK("https://kion546.com/news/2023/05/03/going-green-nel-hydrogen-to-build-in-michigan-work-with-gm/")</f>
        <v>https://kion546.com/news/2023/05/03/going-green-nel-hydrogen-to-build-in-michigan-work-with-gm/</v>
      </c>
      <c r="C40" s="6" t="s">
        <v>246</v>
      </c>
      <c r="D40" s="6" t="s">
        <v>300</v>
      </c>
      <c r="E40" s="7">
        <v>45049.589224537027</v>
      </c>
      <c r="F40" s="6" t="s">
        <v>301</v>
      </c>
      <c r="G40" s="6">
        <v>131913</v>
      </c>
      <c r="H40" s="6">
        <v>0</v>
      </c>
      <c r="I40" s="6">
        <v>0</v>
      </c>
      <c r="J40" s="6">
        <v>0</v>
      </c>
      <c r="K40" s="6" t="s">
        <v>36</v>
      </c>
      <c r="L40" s="6"/>
    </row>
    <row r="41" spans="1:12" x14ac:dyDescent="0.3">
      <c r="A41" s="6" t="s">
        <v>312</v>
      </c>
      <c r="B41" s="6" t="str">
        <f>HYPERLINK("https://www.yourvalley.net/stories/going-green-nel-hydrogen-to-build-in-michigan-work-with-gm,392094")</f>
        <v>https://www.yourvalley.net/stories/going-green-nel-hydrogen-to-build-in-michigan-work-with-gm,392094</v>
      </c>
      <c r="C41" s="6" t="s">
        <v>246</v>
      </c>
      <c r="D41" s="6" t="s">
        <v>313</v>
      </c>
      <c r="E41" s="7">
        <v>45049.551354166673</v>
      </c>
      <c r="F41" s="6" t="s">
        <v>314</v>
      </c>
      <c r="G41" s="6">
        <v>193348</v>
      </c>
      <c r="H41" s="6">
        <v>0</v>
      </c>
      <c r="I41" s="6">
        <v>0</v>
      </c>
      <c r="J41" s="6">
        <v>0</v>
      </c>
      <c r="K41" s="6" t="s">
        <v>26</v>
      </c>
      <c r="L41" s="6"/>
    </row>
    <row r="42" spans="1:12" x14ac:dyDescent="0.3">
      <c r="A42" s="6" t="s">
        <v>381</v>
      </c>
      <c r="B42" s="6" t="str">
        <f>HYPERLINK("https://www.metro.us/going-green-nel-hydrogen-to-build-in-michigan-work-with-gm/")</f>
        <v>https://www.metro.us/going-green-nel-hydrogen-to-build-in-michigan-work-with-gm/</v>
      </c>
      <c r="C42" s="6" t="s">
        <v>246</v>
      </c>
      <c r="D42" s="6" t="s">
        <v>382</v>
      </c>
      <c r="E42" s="7">
        <v>45049.521666666667</v>
      </c>
      <c r="F42" s="6" t="s">
        <v>248</v>
      </c>
      <c r="G42" s="6">
        <v>85165</v>
      </c>
      <c r="H42" s="6">
        <v>0</v>
      </c>
      <c r="I42" s="6">
        <v>0</v>
      </c>
      <c r="J42" s="6">
        <v>0</v>
      </c>
      <c r="K42" s="6" t="s">
        <v>26</v>
      </c>
      <c r="L42" s="6"/>
    </row>
    <row r="43" spans="1:12" x14ac:dyDescent="0.3">
      <c r="A43" s="6" t="s">
        <v>466</v>
      </c>
      <c r="B43" s="6" t="str">
        <f>HYPERLINK("https://www.bizjournals.com/portland/news/2022/11/03/triple-oak-power-prairie-switch-wind-meta.html")</f>
        <v>https://www.bizjournals.com/portland/news/2022/11/03/triple-oak-power-prairie-switch-wind-meta.html</v>
      </c>
      <c r="C43" s="6" t="s">
        <v>467</v>
      </c>
      <c r="D43" s="6" t="s">
        <v>468</v>
      </c>
      <c r="E43" s="7">
        <v>44868</v>
      </c>
      <c r="F43" s="6" t="s">
        <v>469</v>
      </c>
      <c r="G43" s="6">
        <v>5704262</v>
      </c>
      <c r="H43" s="6">
        <v>0</v>
      </c>
      <c r="I43" s="6">
        <v>0</v>
      </c>
      <c r="J43" s="6">
        <v>0</v>
      </c>
      <c r="K43" s="6" t="s">
        <v>36</v>
      </c>
      <c r="L43" s="6"/>
    </row>
    <row r="44" spans="1:12" x14ac:dyDescent="0.3">
      <c r="A44" s="6" t="s">
        <v>470</v>
      </c>
      <c r="B44" s="6" t="str">
        <f>HYPERLINK("https://www.freightwaves.com/news/daily-infographic-ohio-renewable-natural-gas-station-to-fuel-amazon-trucks")</f>
        <v>https://www.freightwaves.com/news/daily-infographic-ohio-renewable-natural-gas-station-to-fuel-amazon-trucks</v>
      </c>
      <c r="C44" s="6" t="s">
        <v>471</v>
      </c>
      <c r="D44" s="6" t="s">
        <v>472</v>
      </c>
      <c r="E44" s="7">
        <v>44848.36928240741</v>
      </c>
      <c r="F44" s="6" t="s">
        <v>473</v>
      </c>
      <c r="G44" s="6">
        <v>624643</v>
      </c>
      <c r="H44" s="6">
        <v>0</v>
      </c>
      <c r="I44" s="6">
        <v>0</v>
      </c>
      <c r="J44" s="6">
        <v>3</v>
      </c>
      <c r="K44" s="6" t="s">
        <v>26</v>
      </c>
      <c r="L44" s="6"/>
    </row>
    <row r="45" spans="1:12" x14ac:dyDescent="0.3">
      <c r="A45" s="6" t="s">
        <v>474</v>
      </c>
      <c r="B45" s="6" t="str">
        <f>HYPERLINK("https://www.wyso.org/local-and-statewide-news/2022-10-03/natural-gas-from-local-landfills-and-cow-manure-used-at-ohio-fuel-station-to-power-amazons-fleet")</f>
        <v>https://www.wyso.org/local-and-statewide-news/2022-10-03/natural-gas-from-local-landfills-and-cow-manure-used-at-ohio-fuel-station-to-power-amazons-fleet</v>
      </c>
      <c r="C45" s="6"/>
      <c r="D45" s="6" t="s">
        <v>475</v>
      </c>
      <c r="E45" s="7">
        <v>44837.87295138889</v>
      </c>
      <c r="F45" s="6" t="s">
        <v>476</v>
      </c>
      <c r="G45" s="6">
        <v>30486</v>
      </c>
      <c r="H45" s="6">
        <v>0</v>
      </c>
      <c r="I45" s="6">
        <v>0</v>
      </c>
      <c r="J45" s="6">
        <v>7</v>
      </c>
      <c r="K45" s="6" t="s">
        <v>26</v>
      </c>
      <c r="L45" s="6"/>
    </row>
    <row r="46" spans="1:12" x14ac:dyDescent="0.3">
      <c r="A46" s="6" t="s">
        <v>477</v>
      </c>
      <c r="B46" s="6" t="str">
        <f>HYPERLINK("https://www.manchestertimes.com/news/business/clean-energy-announces-opening-of-ohio-renewable-natural-gas-station-for-amazon-and-other-trucking/article_b7a775cc-778e-52d6-8785-ddbbe820e049.html")</f>
        <v>https://www.manchestertimes.com/news/business/clean-energy-announces-opening-of-ohio-renewable-natural-gas-station-for-amazon-and-other-trucking/article_b7a775cc-778e-52d6-8785-ddbbe820e049.html</v>
      </c>
      <c r="C46" s="6"/>
      <c r="D46" s="6" t="s">
        <v>38</v>
      </c>
      <c r="E46" s="7">
        <v>44836.442685185182</v>
      </c>
      <c r="F46" s="6" t="s">
        <v>478</v>
      </c>
      <c r="G46" s="6">
        <v>26794</v>
      </c>
      <c r="H46" s="6">
        <v>0</v>
      </c>
      <c r="I46" s="6">
        <v>0</v>
      </c>
      <c r="J46" s="6">
        <v>0</v>
      </c>
      <c r="K46" s="6" t="s">
        <v>26</v>
      </c>
      <c r="L46" s="6"/>
    </row>
    <row r="47" spans="1:12" x14ac:dyDescent="0.3">
      <c r="A47" s="6" t="s">
        <v>490</v>
      </c>
      <c r="B47" s="6" t="str">
        <f>HYPERLINK("https://www.freightwaves.com/news/ohio-renewable-natural-gas-station-to-fuel-amazon-trucks")</f>
        <v>https://www.freightwaves.com/news/ohio-renewable-natural-gas-station-to-fuel-amazon-trucks</v>
      </c>
      <c r="C47" s="6" t="s">
        <v>491</v>
      </c>
      <c r="D47" s="6" t="s">
        <v>472</v>
      </c>
      <c r="E47" s="7">
        <v>44832.494976851849</v>
      </c>
      <c r="F47" s="6" t="s">
        <v>492</v>
      </c>
      <c r="G47" s="6">
        <v>624643</v>
      </c>
      <c r="H47" s="6">
        <v>0</v>
      </c>
      <c r="I47" s="6">
        <v>0</v>
      </c>
      <c r="J47" s="6">
        <v>93</v>
      </c>
      <c r="K47" s="6" t="s">
        <v>26</v>
      </c>
      <c r="L47" s="6"/>
    </row>
    <row r="48" spans="1:12" x14ac:dyDescent="0.3">
      <c r="A48" s="6" t="s">
        <v>493</v>
      </c>
      <c r="B48" s="6" t="str">
        <f>HYPERLINK("https://www.benzinga.com/pressreleases/22/09/b29052986/clean-energy-announces-opening-of-ohio-renewable-natural-gas-station-for-amazon-and-other-trucking")</f>
        <v>https://www.benzinga.com/pressreleases/22/09/b29052986/clean-energy-announces-opening-of-ohio-renewable-natural-gas-station-for-amazon-and-other-trucking</v>
      </c>
      <c r="C48" s="6"/>
      <c r="D48" s="6" t="s">
        <v>90</v>
      </c>
      <c r="E48" s="7">
        <v>44832.488587962973</v>
      </c>
      <c r="F48" s="6" t="s">
        <v>494</v>
      </c>
      <c r="G48" s="6">
        <v>3864771</v>
      </c>
      <c r="H48" s="6">
        <v>0</v>
      </c>
      <c r="I48" s="6">
        <v>0</v>
      </c>
      <c r="J48" s="6">
        <v>0</v>
      </c>
      <c r="K48" s="6" t="s">
        <v>26</v>
      </c>
      <c r="L48" s="6"/>
    </row>
    <row r="49" spans="1:12" x14ac:dyDescent="0.3">
      <c r="A49" s="6" t="s">
        <v>504</v>
      </c>
      <c r="B49" s="6" t="str">
        <f>HYPERLINK("https://www.newsbreak.com/news/2765100129105/natural-gas-from-local-landfills-and-cow-manure-used-at-ohio-fuel-station-to-power-amazon-s-fleet")</f>
        <v>https://www.newsbreak.com/news/2765100129105/natural-gas-from-local-landfills-and-cow-manure-used-at-ohio-fuel-station-to-power-amazon-s-fleet</v>
      </c>
      <c r="C49" s="6"/>
      <c r="D49" s="6" t="s">
        <v>316</v>
      </c>
      <c r="E49" s="7">
        <v>44831.840509259258</v>
      </c>
      <c r="F49" s="6" t="s">
        <v>505</v>
      </c>
      <c r="G49" s="6">
        <v>10615061</v>
      </c>
      <c r="H49" s="6">
        <v>0</v>
      </c>
      <c r="I49" s="6">
        <v>0</v>
      </c>
      <c r="J49" s="6">
        <v>0</v>
      </c>
      <c r="K49" s="6"/>
      <c r="L49" s="6"/>
    </row>
    <row r="50" spans="1:12" x14ac:dyDescent="0.3">
      <c r="A50" s="6" t="s">
        <v>506</v>
      </c>
      <c r="B50" s="6" t="str">
        <f>HYPERLINK("https://carbuzz.com/news/aston-martin-valhalla-coming-with-1012-hp-bmw-ready-to-produce-hydrogen-x5-tesla-fighting-louisiana-law-cold-start")</f>
        <v>https://carbuzz.com/news/aston-martin-valhalla-coming-with-1012-hp-bmw-ready-to-produce-hydrogen-x5-tesla-fighting-louisiana-law-cold-start</v>
      </c>
      <c r="C50" s="6" t="s">
        <v>507</v>
      </c>
      <c r="D50" s="6" t="s">
        <v>508</v>
      </c>
      <c r="E50" s="7">
        <v>44809.287187499998</v>
      </c>
      <c r="F50" s="6" t="s">
        <v>509</v>
      </c>
      <c r="G50" s="6">
        <v>4358105</v>
      </c>
      <c r="H50" s="6">
        <v>0</v>
      </c>
      <c r="I50" s="6">
        <v>0</v>
      </c>
      <c r="J50" s="6">
        <v>39</v>
      </c>
      <c r="K50" s="6" t="s">
        <v>143</v>
      </c>
      <c r="L50" s="6"/>
    </row>
    <row r="51" spans="1:12" x14ac:dyDescent="0.3">
      <c r="A51" s="6" t="s">
        <v>511</v>
      </c>
      <c r="B51" s="6" t="str">
        <f>HYPERLINK("https://nawindpower.com/apex-clears-financing-for-224-mw-iowa-wind-farm-with-meta-ppa")</f>
        <v>https://nawindpower.com/apex-clears-financing-for-224-mw-iowa-wind-farm-with-meta-ppa</v>
      </c>
      <c r="C51" s="6" t="s">
        <v>512</v>
      </c>
      <c r="D51" s="6" t="s">
        <v>65</v>
      </c>
      <c r="E51" s="7">
        <v>44789.515405092592</v>
      </c>
      <c r="F51" s="6" t="s">
        <v>513</v>
      </c>
      <c r="G51" s="6">
        <v>2039</v>
      </c>
      <c r="H51" s="6">
        <v>0</v>
      </c>
      <c r="I51" s="6">
        <v>0</v>
      </c>
      <c r="J51" s="6">
        <v>0</v>
      </c>
      <c r="K51" s="6" t="s">
        <v>26</v>
      </c>
      <c r="L51" s="6"/>
    </row>
    <row r="52" spans="1:12" x14ac:dyDescent="0.3">
      <c r="A52" s="6" t="s">
        <v>514</v>
      </c>
      <c r="B52" s="6" t="str">
        <f>HYPERLINK("https://podcasts.apple.com/us/podcast/ep-291-shooting-sports-month-dominion-energys-$9-8b/id1435126030?i=1000575393182")</f>
        <v>https://podcasts.apple.com/us/podcast/ep-291-shooting-sports-month-dominion-energys-$9-8b/id1435126030?i=1000575393182</v>
      </c>
      <c r="C52" s="6" t="s">
        <v>515</v>
      </c>
      <c r="D52" s="6" t="s">
        <v>516</v>
      </c>
      <c r="E52" s="7">
        <v>44781</v>
      </c>
      <c r="F52" s="6" t="s">
        <v>517</v>
      </c>
      <c r="G52" s="6">
        <v>8238355</v>
      </c>
      <c r="H52" s="6">
        <v>1</v>
      </c>
      <c r="I52" s="6">
        <v>52801</v>
      </c>
      <c r="J52" s="6">
        <v>33</v>
      </c>
      <c r="K52" s="6" t="s">
        <v>26</v>
      </c>
      <c r="L52" s="6"/>
    </row>
    <row r="53" spans="1:12" x14ac:dyDescent="0.3">
      <c r="A53" s="6" t="s">
        <v>518</v>
      </c>
      <c r="B53" s="6" t="str">
        <f>HYPERLINK("https://podcasts.apple.com/us/podcast/harry-godfrey-whats-next-for-virginias-proposed-offshore/id1498833592?i=1000570288841")</f>
        <v>https://podcasts.apple.com/us/podcast/harry-godfrey-whats-next-for-virginias-proposed-offshore/id1498833592?i=1000570288841</v>
      </c>
      <c r="C53" s="6"/>
      <c r="D53" s="6" t="s">
        <v>516</v>
      </c>
      <c r="E53" s="7">
        <v>44760</v>
      </c>
      <c r="F53" s="6" t="s">
        <v>519</v>
      </c>
      <c r="G53" s="6">
        <v>8238355</v>
      </c>
      <c r="H53" s="6">
        <v>1</v>
      </c>
      <c r="I53" s="6">
        <v>7159</v>
      </c>
      <c r="J53" s="6">
        <v>31</v>
      </c>
      <c r="K53" s="6" t="s">
        <v>36</v>
      </c>
      <c r="L53" s="6"/>
    </row>
    <row r="54" spans="1:12" x14ac:dyDescent="0.3">
      <c r="A54" s="6" t="s">
        <v>520</v>
      </c>
      <c r="B54" s="6" t="str">
        <f>HYPERLINK("https://www.bisnow.com/national/news/data-center/meta-data-center-to-use-all-of-iowa-wind-farms-power-111609")</f>
        <v>https://www.bisnow.com/national/news/data-center/meta-data-center-to-use-all-of-iowa-wind-farms-power-111609</v>
      </c>
      <c r="C54" s="6"/>
      <c r="D54" s="6" t="s">
        <v>521</v>
      </c>
      <c r="E54" s="7">
        <v>44586.362800925926</v>
      </c>
      <c r="F54" s="6" t="s">
        <v>522</v>
      </c>
      <c r="G54" s="6">
        <v>308517</v>
      </c>
      <c r="H54" s="6">
        <v>0</v>
      </c>
      <c r="I54" s="6">
        <v>0</v>
      </c>
      <c r="J54" s="6">
        <v>1</v>
      </c>
      <c r="K54" s="6" t="s">
        <v>26</v>
      </c>
      <c r="L54" s="6"/>
    </row>
    <row r="55" spans="1:12" x14ac:dyDescent="0.3">
      <c r="A55" s="6" t="s">
        <v>523</v>
      </c>
      <c r="B55" s="6" t="str">
        <f>HYPERLINK("https://www.desmoinesregister.com/story/money/business/2022/01/24/altoona-facebook-data-center-to-use-great-pathfinder-wind-farm-energy-meta-iowa-renewable/6634155001/")</f>
        <v>https://www.desmoinesregister.com/story/money/business/2022/01/24/altoona-facebook-data-center-to-use-great-pathfinder-wind-farm-energy-meta-iowa-renewable/6634155001/</v>
      </c>
      <c r="C55" s="6" t="s">
        <v>524</v>
      </c>
      <c r="D55" s="6" t="s">
        <v>525</v>
      </c>
      <c r="E55" s="7">
        <v>44585.814016203702</v>
      </c>
      <c r="F55" s="6" t="s">
        <v>526</v>
      </c>
      <c r="G55" s="6">
        <v>2108030</v>
      </c>
      <c r="H55" s="6">
        <v>0</v>
      </c>
      <c r="I55" s="6">
        <v>0</v>
      </c>
      <c r="J55" s="6">
        <v>0</v>
      </c>
      <c r="K55" s="6" t="s">
        <v>26</v>
      </c>
      <c r="L55"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7"/>
  <sheetViews>
    <sheetView workbookViewId="0"/>
  </sheetViews>
  <sheetFormatPr defaultColWidth="8.88671875" defaultRowHeight="14.4" x14ac:dyDescent="0.3"/>
  <cols>
    <col min="1" max="3" width="24" customWidth="1"/>
    <col min="4" max="4" width="16" customWidth="1"/>
    <col min="5" max="6" width="32" customWidth="1"/>
    <col min="7" max="7" width="17" customWidth="1"/>
    <col min="8" max="8" width="24" customWidth="1"/>
    <col min="9" max="9" width="48" customWidth="1"/>
    <col min="10" max="11" width="24" customWidth="1"/>
    <col min="12" max="12" width="48" customWidth="1"/>
    <col min="13" max="13" width="19" customWidth="1"/>
    <col min="14" max="15" width="32" customWidth="1"/>
  </cols>
  <sheetData>
    <row r="1" spans="1:15" x14ac:dyDescent="0.3">
      <c r="A1" s="1" t="s">
        <v>528</v>
      </c>
      <c r="B1" s="1" t="s">
        <v>529</v>
      </c>
      <c r="C1" s="1" t="s">
        <v>530</v>
      </c>
      <c r="D1" s="1" t="s">
        <v>531</v>
      </c>
      <c r="E1" s="1" t="s">
        <v>532</v>
      </c>
      <c r="F1" s="1" t="s">
        <v>533</v>
      </c>
      <c r="G1" s="1" t="s">
        <v>534</v>
      </c>
      <c r="H1" s="1" t="s">
        <v>535</v>
      </c>
      <c r="I1" s="1" t="s">
        <v>536</v>
      </c>
      <c r="J1" s="1" t="s">
        <v>537</v>
      </c>
      <c r="K1" s="1" t="s">
        <v>538</v>
      </c>
      <c r="L1" s="1" t="s">
        <v>539</v>
      </c>
      <c r="M1" s="1" t="s">
        <v>540</v>
      </c>
      <c r="N1" s="1" t="s">
        <v>541</v>
      </c>
      <c r="O1" s="1" t="s">
        <v>542</v>
      </c>
    </row>
    <row r="2" spans="1:15" ht="52.8" x14ac:dyDescent="0.3">
      <c r="A2" s="2" t="s">
        <v>543</v>
      </c>
      <c r="B2" s="2" t="s">
        <v>544</v>
      </c>
      <c r="C2" s="2"/>
      <c r="D2" s="2" t="s">
        <v>545</v>
      </c>
      <c r="E2" s="2" t="str">
        <f>HYPERLINK("http://twitter.com/Guay_JG")</f>
        <v>http://twitter.com/Guay_JG</v>
      </c>
      <c r="F2" s="2" t="str">
        <f>HYPERLINK("https://muckrack.com/justin-guay")</f>
        <v>https://muckrack.com/justin-guay</v>
      </c>
      <c r="G2" s="2">
        <v>14096</v>
      </c>
      <c r="H2" s="2" t="s">
        <v>546</v>
      </c>
      <c r="I2" s="2" t="s">
        <v>547</v>
      </c>
      <c r="J2" s="2" t="s">
        <v>548</v>
      </c>
      <c r="K2" s="2" t="s">
        <v>549</v>
      </c>
      <c r="L2" s="2" t="s">
        <v>550</v>
      </c>
      <c r="M2" s="4">
        <v>45181.312430555547</v>
      </c>
      <c r="N2" s="2" t="str">
        <f>HYPERLINK("http://twitter.com/Guay_JG/status/1701558752036688035")</f>
        <v>http://twitter.com/Guay_JG/status/1701558752036688035</v>
      </c>
      <c r="O2" s="2" t="str">
        <f>HYPERLINK("https://www.bloomberg.com/news/articles/2023-09-12/amazon-invests-in-oxy-s-west-texas-carbon-removal-plant-in-net-zero-bid")</f>
        <v>https://www.bloomberg.com/news/articles/2023-09-12/amazon-invests-in-oxy-s-west-texas-carbon-removal-plant-in-net-zero-bid</v>
      </c>
    </row>
    <row r="3" spans="1:15" ht="52.8" x14ac:dyDescent="0.3">
      <c r="A3" s="2" t="s">
        <v>551</v>
      </c>
      <c r="B3" s="2" t="s">
        <v>552</v>
      </c>
      <c r="C3" s="2" t="s">
        <v>553</v>
      </c>
      <c r="D3" s="2" t="s">
        <v>554</v>
      </c>
      <c r="E3" s="2" t="str">
        <f>HYPERLINK("http://twitter.com/SandyHendry")</f>
        <v>http://twitter.com/SandyHendry</v>
      </c>
      <c r="F3" s="2" t="str">
        <f>HYPERLINK("https://muckrack.com/sandy-hendry")</f>
        <v>https://muckrack.com/sandy-hendry</v>
      </c>
      <c r="G3" s="2">
        <v>4140</v>
      </c>
      <c r="H3" s="2" t="s">
        <v>555</v>
      </c>
      <c r="I3" s="2" t="s">
        <v>556</v>
      </c>
      <c r="J3" s="2" t="s">
        <v>557</v>
      </c>
      <c r="K3" s="2" t="s">
        <v>29</v>
      </c>
      <c r="L3" s="2" t="s">
        <v>558</v>
      </c>
      <c r="M3" s="4">
        <v>45181.339004629634</v>
      </c>
      <c r="N3" s="2" t="str">
        <f>HYPERLINK("http://twitter.com/SandyHendry/status/1701568383794262222")</f>
        <v>http://twitter.com/SandyHendry/status/1701568383794262222</v>
      </c>
      <c r="O3" s="2" t="str">
        <f>HYPERLINK("https://www.bloomberg.com/news/articles/2023-09-12/amazon-invests-in-oxy-s-west-texas-carbon-removal-plant-in-net-zero-bid")</f>
        <v>https://www.bloomberg.com/news/articles/2023-09-12/amazon-invests-in-oxy-s-west-texas-carbon-removal-plant-in-net-zero-bid</v>
      </c>
    </row>
    <row r="4" spans="1:15" ht="66" x14ac:dyDescent="0.3">
      <c r="A4" s="2" t="s">
        <v>28</v>
      </c>
      <c r="B4" s="2" t="s">
        <v>559</v>
      </c>
      <c r="C4" s="2" t="s">
        <v>560</v>
      </c>
      <c r="D4" s="2" t="s">
        <v>561</v>
      </c>
      <c r="E4" s="2" t="str">
        <f>HYPERLINK("http://twitter.com/mattmday")</f>
        <v>http://twitter.com/mattmday</v>
      </c>
      <c r="F4" s="2" t="str">
        <f>HYPERLINK("https://muckrack.com/mattmday")</f>
        <v>https://muckrack.com/mattmday</v>
      </c>
      <c r="G4" s="2">
        <v>5748</v>
      </c>
      <c r="H4" s="2" t="s">
        <v>562</v>
      </c>
      <c r="I4" s="2" t="s">
        <v>563</v>
      </c>
      <c r="J4" s="2" t="s">
        <v>564</v>
      </c>
      <c r="K4" s="2" t="s">
        <v>29</v>
      </c>
      <c r="L4" s="2" t="s">
        <v>565</v>
      </c>
      <c r="M4" s="4">
        <v>45181.363946759258</v>
      </c>
      <c r="N4" s="2" t="str">
        <f>HYPERLINK("http://twitter.com/mattmday/status/1701577418946031675")</f>
        <v>http://twitter.com/mattmday/status/1701577418946031675</v>
      </c>
      <c r="O4" s="2" t="str">
        <f>HYPERLINK("https://www.bloomberg.com/news/articles/2023-09-12/amazon-invests-in-oxy-s-west-texas-carbon-removal-plant-in-net-zero-bid")</f>
        <v>https://www.bloomberg.com/news/articles/2023-09-12/amazon-invests-in-oxy-s-west-texas-carbon-removal-plant-in-net-zero-bid</v>
      </c>
    </row>
    <row r="5" spans="1:15" ht="52.8" x14ac:dyDescent="0.3">
      <c r="A5" s="2" t="s">
        <v>566</v>
      </c>
      <c r="B5" s="2" t="s">
        <v>567</v>
      </c>
      <c r="C5" s="2" t="s">
        <v>568</v>
      </c>
      <c r="D5" s="2" t="s">
        <v>569</v>
      </c>
      <c r="E5" s="2" t="str">
        <f>HYPERLINK("http://twitter.com/JohnLothian")</f>
        <v>http://twitter.com/JohnLothian</v>
      </c>
      <c r="F5" s="2" t="str">
        <f>HYPERLINK("https://muckrack.com/john-lothian")</f>
        <v>https://muckrack.com/john-lothian</v>
      </c>
      <c r="G5" s="2">
        <v>9981</v>
      </c>
      <c r="H5" s="2" t="s">
        <v>570</v>
      </c>
      <c r="I5" s="2" t="s">
        <v>571</v>
      </c>
      <c r="J5" s="2" t="s">
        <v>572</v>
      </c>
      <c r="K5" s="2" t="s">
        <v>573</v>
      </c>
      <c r="L5" s="2" t="s">
        <v>574</v>
      </c>
      <c r="M5" s="4">
        <v>45181.87</v>
      </c>
      <c r="N5" s="2" t="str">
        <f>HYPERLINK("http://twitter.com/JohnLothian/status/1701760807090970830")</f>
        <v>http://twitter.com/JohnLothian/status/1701760807090970830</v>
      </c>
      <c r="O5" s="2" t="str">
        <f>HYPERLINK("https://www.bloomberg.com/news/articles/2023-09-12/amazon-invests-in-oxy-s-west-texas-carbon-removal-plant-in-net-zero-bid")</f>
        <v>https://www.bloomberg.com/news/articles/2023-09-12/amazon-invests-in-oxy-s-west-texas-carbon-removal-plant-in-net-zero-bid</v>
      </c>
    </row>
    <row r="6" spans="1:15" ht="105.6" x14ac:dyDescent="0.3">
      <c r="A6" s="2" t="s">
        <v>575</v>
      </c>
      <c r="B6" s="2" t="s">
        <v>576</v>
      </c>
      <c r="C6" s="2"/>
      <c r="D6" s="2" t="s">
        <v>577</v>
      </c>
      <c r="E6" s="2" t="str">
        <f>HYPERLINK("http://twitter.com/mr_bellis")</f>
        <v>http://twitter.com/mr_bellis</v>
      </c>
      <c r="F6" s="2" t="str">
        <f>HYPERLINK("https://muckrack.com/rich-bellis")</f>
        <v>https://muckrack.com/rich-bellis</v>
      </c>
      <c r="G6" s="2">
        <v>2495</v>
      </c>
      <c r="H6" s="2" t="s">
        <v>578</v>
      </c>
      <c r="I6" s="2" t="s">
        <v>579</v>
      </c>
      <c r="J6" s="2" t="s">
        <v>572</v>
      </c>
      <c r="K6" s="2" t="s">
        <v>152</v>
      </c>
      <c r="L6" s="2" t="s">
        <v>580</v>
      </c>
      <c r="M6" s="4">
        <v>45126.401122685187</v>
      </c>
      <c r="N6" s="2" t="str">
        <f>HYPERLINK("http://twitter.com/mr_bellis/status/1681659561004916738")</f>
        <v>http://twitter.com/mr_bellis/status/1681659561004916738</v>
      </c>
      <c r="O6" s="2" t="str">
        <f t="shared" ref="O6:O12" si="0">HYPERLINK("https://www.nbcnews.com/news/us-news/tunica-county-mississippi-amazon-wind-farm-rcna94949")</f>
        <v>https://www.nbcnews.com/news/us-news/tunica-county-mississippi-amazon-wind-farm-rcna94949</v>
      </c>
    </row>
    <row r="7" spans="1:15" ht="39.6" x14ac:dyDescent="0.3">
      <c r="A7" s="2" t="s">
        <v>581</v>
      </c>
      <c r="B7" s="2" t="s">
        <v>582</v>
      </c>
      <c r="C7" s="2" t="s">
        <v>583</v>
      </c>
      <c r="D7" s="2" t="s">
        <v>584</v>
      </c>
      <c r="E7" s="2" t="str">
        <f>HYPERLINK("http://twitter.com/denisehendricks")</f>
        <v>http://twitter.com/denisehendricks</v>
      </c>
      <c r="F7" s="2" t="str">
        <f>HYPERLINK("https://muckrack.com/denise-hendricks")</f>
        <v>https://muckrack.com/denise-hendricks</v>
      </c>
      <c r="G7" s="2">
        <v>3784</v>
      </c>
      <c r="H7" s="2" t="s">
        <v>585</v>
      </c>
      <c r="I7" s="2" t="s">
        <v>586</v>
      </c>
      <c r="J7" s="2" t="s">
        <v>587</v>
      </c>
      <c r="K7" s="2" t="s">
        <v>588</v>
      </c>
      <c r="L7" s="2" t="s">
        <v>589</v>
      </c>
      <c r="M7" s="4">
        <v>45126.55023148148</v>
      </c>
      <c r="N7" s="2" t="str">
        <f>HYPERLINK("http://twitter.com/denisehendricks/status/1681713596437233676")</f>
        <v>http://twitter.com/denisehendricks/status/1681713596437233676</v>
      </c>
      <c r="O7" s="2" t="str">
        <f t="shared" si="0"/>
        <v>https://www.nbcnews.com/news/us-news/tunica-county-mississippi-amazon-wind-farm-rcna94949</v>
      </c>
    </row>
    <row r="8" spans="1:15" ht="52.8" x14ac:dyDescent="0.3">
      <c r="A8" s="2" t="s">
        <v>590</v>
      </c>
      <c r="B8" s="2" t="s">
        <v>591</v>
      </c>
      <c r="C8" s="2" t="s">
        <v>592</v>
      </c>
      <c r="D8" s="2" t="s">
        <v>593</v>
      </c>
      <c r="E8" s="2" t="str">
        <f>HYPERLINK("http://twitter.com/JasonAbbruzzese")</f>
        <v>http://twitter.com/JasonAbbruzzese</v>
      </c>
      <c r="F8" s="2" t="str">
        <f>HYPERLINK("https://muckrack.com/jason-abbruzzese")</f>
        <v>https://muckrack.com/jason-abbruzzese</v>
      </c>
      <c r="G8" s="2">
        <v>11821</v>
      </c>
      <c r="H8" s="2" t="s">
        <v>594</v>
      </c>
      <c r="I8" s="2" t="s">
        <v>595</v>
      </c>
      <c r="J8" s="2" t="s">
        <v>596</v>
      </c>
      <c r="K8" s="2" t="s">
        <v>152</v>
      </c>
      <c r="L8" s="2" t="s">
        <v>597</v>
      </c>
      <c r="M8" s="4">
        <v>45127.414664351847</v>
      </c>
      <c r="N8" s="2" t="str">
        <f>HYPERLINK("http://twitter.com/JasonAbbruzzese/status/1682026857137586176")</f>
        <v>http://twitter.com/JasonAbbruzzese/status/1682026857137586176</v>
      </c>
      <c r="O8" s="2" t="str">
        <f t="shared" si="0"/>
        <v>https://www.nbcnews.com/news/us-news/tunica-county-mississippi-amazon-wind-farm-rcna94949</v>
      </c>
    </row>
    <row r="9" spans="1:15" ht="66" x14ac:dyDescent="0.3">
      <c r="A9" s="2" t="s">
        <v>598</v>
      </c>
      <c r="B9" s="2" t="s">
        <v>599</v>
      </c>
      <c r="C9" s="2" t="s">
        <v>600</v>
      </c>
      <c r="D9" s="2" t="s">
        <v>601</v>
      </c>
      <c r="E9" s="2" t="str">
        <f>HYPERLINK("http://twitter.com/TomNamako")</f>
        <v>http://twitter.com/TomNamako</v>
      </c>
      <c r="F9" s="2" t="str">
        <f>HYPERLINK("https://muckrack.com/tom-namako")</f>
        <v>https://muckrack.com/tom-namako</v>
      </c>
      <c r="G9" s="2">
        <v>29284</v>
      </c>
      <c r="H9" s="2" t="s">
        <v>602</v>
      </c>
      <c r="I9" s="2" t="s">
        <v>603</v>
      </c>
      <c r="J9" s="2" t="s">
        <v>587</v>
      </c>
      <c r="K9" s="2" t="s">
        <v>152</v>
      </c>
      <c r="L9" s="2" t="s">
        <v>604</v>
      </c>
      <c r="M9" s="4">
        <v>45127.421493055554</v>
      </c>
      <c r="N9" s="2" t="str">
        <f>HYPERLINK("http://twitter.com/TomNamako/status/1682029330178920450")</f>
        <v>http://twitter.com/TomNamako/status/1682029330178920450</v>
      </c>
      <c r="O9" s="2" t="str">
        <f t="shared" si="0"/>
        <v>https://www.nbcnews.com/news/us-news/tunica-county-mississippi-amazon-wind-farm-rcna94949</v>
      </c>
    </row>
    <row r="10" spans="1:15" ht="66" x14ac:dyDescent="0.3">
      <c r="A10" s="2" t="s">
        <v>605</v>
      </c>
      <c r="B10" s="2" t="s">
        <v>606</v>
      </c>
      <c r="C10" s="2" t="s">
        <v>607</v>
      </c>
      <c r="D10" s="2" t="s">
        <v>608</v>
      </c>
      <c r="E10" s="2" t="str">
        <f>HYPERLINK("http://twitter.com/karahaupt")</f>
        <v>http://twitter.com/karahaupt</v>
      </c>
      <c r="F10" s="2" t="str">
        <f>HYPERLINK("https://muckrack.com/kara-haupt-2")</f>
        <v>https://muckrack.com/kara-haupt-2</v>
      </c>
      <c r="G10" s="2">
        <v>4982</v>
      </c>
      <c r="H10" s="2" t="s">
        <v>609</v>
      </c>
      <c r="I10" s="2" t="s">
        <v>610</v>
      </c>
      <c r="J10" s="2"/>
      <c r="K10" s="2" t="s">
        <v>152</v>
      </c>
      <c r="L10" s="2" t="s">
        <v>604</v>
      </c>
      <c r="M10" s="4">
        <v>45127.467222222222</v>
      </c>
      <c r="N10" s="2" t="str">
        <f>HYPERLINK("http://twitter.com/karahaupt/status/1682045903585046528")</f>
        <v>http://twitter.com/karahaupt/status/1682045903585046528</v>
      </c>
      <c r="O10" s="2" t="str">
        <f t="shared" si="0"/>
        <v>https://www.nbcnews.com/news/us-news/tunica-county-mississippi-amazon-wind-farm-rcna94949</v>
      </c>
    </row>
    <row r="11" spans="1:15" ht="39.6" x14ac:dyDescent="0.3">
      <c r="A11" s="2" t="s">
        <v>611</v>
      </c>
      <c r="B11" s="2" t="s">
        <v>612</v>
      </c>
      <c r="C11" s="2" t="s">
        <v>613</v>
      </c>
      <c r="D11" s="2" t="s">
        <v>614</v>
      </c>
      <c r="E11" s="2" t="str">
        <f>HYPERLINK("http://twitter.com/suekroll")</f>
        <v>http://twitter.com/suekroll</v>
      </c>
      <c r="F11" s="2" t="str">
        <f>HYPERLINK("https://muckrack.com/susan-kroll-1")</f>
        <v>https://muckrack.com/susan-kroll-1</v>
      </c>
      <c r="G11" s="2">
        <v>5368</v>
      </c>
      <c r="H11" s="2" t="s">
        <v>615</v>
      </c>
      <c r="I11" s="2" t="s">
        <v>616</v>
      </c>
      <c r="J11" s="2" t="s">
        <v>617</v>
      </c>
      <c r="K11" s="2" t="s">
        <v>152</v>
      </c>
      <c r="L11" s="2" t="s">
        <v>618</v>
      </c>
      <c r="M11" s="4">
        <v>45130.517789351848</v>
      </c>
      <c r="N11" s="2" t="str">
        <f>HYPERLINK("http://twitter.com/suekroll/status/1683151389805903879")</f>
        <v>http://twitter.com/suekroll/status/1683151389805903879</v>
      </c>
      <c r="O11" s="2" t="str">
        <f t="shared" si="0"/>
        <v>https://www.nbcnews.com/news/us-news/tunica-county-mississippi-amazon-wind-farm-rcna94949</v>
      </c>
    </row>
    <row r="12" spans="1:15" ht="39.6" x14ac:dyDescent="0.3">
      <c r="A12" s="2" t="s">
        <v>138</v>
      </c>
      <c r="B12" s="2" t="s">
        <v>559</v>
      </c>
      <c r="C12" s="2" t="s">
        <v>619</v>
      </c>
      <c r="D12" s="2" t="s">
        <v>620</v>
      </c>
      <c r="E12" s="2" t="str">
        <f>HYPERLINK("http://twitter.com/BraceyHarris")</f>
        <v>http://twitter.com/BraceyHarris</v>
      </c>
      <c r="F12" s="2" t="str">
        <f>HYPERLINK("https://muckrack.com/bracey-harris")</f>
        <v>https://muckrack.com/bracey-harris</v>
      </c>
      <c r="G12" s="2">
        <v>5196</v>
      </c>
      <c r="H12" s="2" t="s">
        <v>621</v>
      </c>
      <c r="I12" s="2" t="s">
        <v>622</v>
      </c>
      <c r="J12" s="2" t="s">
        <v>623</v>
      </c>
      <c r="K12" s="2" t="s">
        <v>152</v>
      </c>
      <c r="L12" s="2" t="s">
        <v>624</v>
      </c>
      <c r="M12" s="4">
        <v>45246.81318287037</v>
      </c>
      <c r="N12" s="2" t="str">
        <f>HYPERLINK("http://twitter.com/BraceyHarris/status/1725310530842231074")</f>
        <v>http://twitter.com/BraceyHarris/status/1725310530842231074</v>
      </c>
      <c r="O12" s="2" t="str">
        <f t="shared" si="0"/>
        <v>https://www.nbcnews.com/news/us-news/tunica-county-mississippi-amazon-wind-farm-rcna94949</v>
      </c>
    </row>
    <row r="13" spans="1:15" ht="39.6" x14ac:dyDescent="0.3">
      <c r="A13" s="2" t="s">
        <v>156</v>
      </c>
      <c r="B13" s="2" t="s">
        <v>625</v>
      </c>
      <c r="C13" s="2" t="s">
        <v>626</v>
      </c>
      <c r="D13" s="2" t="s">
        <v>627</v>
      </c>
      <c r="E13" s="2" t="str">
        <f>HYPERLINK("http://twitter.com/DarrellProctor1")</f>
        <v>http://twitter.com/DarrellProctor1</v>
      </c>
      <c r="F13" s="2" t="str">
        <f>HYPERLINK("https://muckrack.com/darrell-proctor")</f>
        <v>https://muckrack.com/darrell-proctor</v>
      </c>
      <c r="G13" s="2">
        <v>744</v>
      </c>
      <c r="H13" s="2" t="s">
        <v>628</v>
      </c>
      <c r="I13" s="2" t="s">
        <v>629</v>
      </c>
      <c r="J13" s="2" t="s">
        <v>630</v>
      </c>
      <c r="K13" s="2" t="s">
        <v>157</v>
      </c>
      <c r="L13" s="2" t="s">
        <v>631</v>
      </c>
      <c r="M13" s="4">
        <v>45114.665312500001</v>
      </c>
      <c r="N13" s="2" t="str">
        <f>HYPERLINK("http://twitter.com/DarrellProctor1/status/1677406645415186439")</f>
        <v>http://twitter.com/DarrellProctor1/status/1677406645415186439</v>
      </c>
      <c r="O13" s="2" t="str">
        <f>HYPERLINK("https://www.powermag.com/amazon-aes-partner-on-first-utility-scale-wind-farm-in-mississippi/")</f>
        <v>https://www.powermag.com/amazon-aes-partner-on-first-utility-scale-wind-farm-in-mississippi/</v>
      </c>
    </row>
    <row r="14" spans="1:15" ht="52.8" x14ac:dyDescent="0.3">
      <c r="A14" s="2" t="s">
        <v>632</v>
      </c>
      <c r="B14" s="2" t="s">
        <v>633</v>
      </c>
      <c r="C14" s="2" t="s">
        <v>634</v>
      </c>
      <c r="D14" s="2" t="s">
        <v>635</v>
      </c>
      <c r="E14" s="2" t="str">
        <f>HYPERLINK("http://twitter.com/bkeefee2")</f>
        <v>http://twitter.com/bkeefee2</v>
      </c>
      <c r="F14" s="2" t="str">
        <f>HYPERLINK("https://muckrack.com/bkeefee2")</f>
        <v>https://muckrack.com/bkeefee2</v>
      </c>
      <c r="G14" s="2">
        <v>1770</v>
      </c>
      <c r="H14" s="2" t="s">
        <v>636</v>
      </c>
      <c r="I14" s="2" t="s">
        <v>637</v>
      </c>
      <c r="J14" s="2" t="s">
        <v>638</v>
      </c>
      <c r="K14" s="2" t="s">
        <v>639</v>
      </c>
      <c r="L14" s="2" t="s">
        <v>640</v>
      </c>
      <c r="M14" s="4">
        <v>45114.54482638889</v>
      </c>
      <c r="N14" s="2" t="str">
        <f>HYPERLINK("http://twitter.com/bkeefee2/status/1677362983188709376")</f>
        <v>http://twitter.com/bkeefee2/status/1677362983188709376</v>
      </c>
      <c r="O14" s="2" t="str">
        <f>HYPERLINK("https://www.actionnews5.com/2023/07/06/amazon-announces-construction-mississippis-first-utility-scale-wind-farm/")</f>
        <v>https://www.actionnews5.com/2023/07/06/amazon-announces-construction-mississippis-first-utility-scale-wind-farm/</v>
      </c>
    </row>
    <row r="15" spans="1:15" ht="52.8" x14ac:dyDescent="0.3">
      <c r="A15" s="2" t="s">
        <v>641</v>
      </c>
      <c r="B15" s="2" t="s">
        <v>642</v>
      </c>
      <c r="C15" s="2"/>
      <c r="D15" s="2" t="s">
        <v>643</v>
      </c>
      <c r="E15" s="2" t="str">
        <f>HYPERLINK("http://twitter.com/hiltonholloway")</f>
        <v>http://twitter.com/hiltonholloway</v>
      </c>
      <c r="F15" s="2" t="str">
        <f>HYPERLINK("https://muckrack.com/hilton-holloway")</f>
        <v>https://muckrack.com/hilton-holloway</v>
      </c>
      <c r="G15" s="2">
        <v>5470</v>
      </c>
      <c r="H15" s="2" t="s">
        <v>644</v>
      </c>
      <c r="I15" s="2" t="s">
        <v>645</v>
      </c>
      <c r="J15" s="2" t="s">
        <v>646</v>
      </c>
      <c r="K15" s="2" t="s">
        <v>647</v>
      </c>
      <c r="L15" s="2" t="s">
        <v>648</v>
      </c>
      <c r="M15" s="4">
        <v>45049.624050925922</v>
      </c>
      <c r="N15" s="2" t="str">
        <f>HYPERLINK("http://twitter.com/hiltonholloway/status/1653836481494917128")</f>
        <v>http://twitter.com/hiltonholloway/status/1653836481494917128</v>
      </c>
      <c r="O15" s="2" t="str">
        <f>HYPERLINK("https://www.usnews.com/news/business/articles/2023-05-03/going-green-nel-hydrogen-to-build-in-michigan-work-with-gm")</f>
        <v>https://www.usnews.com/news/business/articles/2023-05-03/going-green-nel-hydrogen-to-build-in-michigan-work-with-gm</v>
      </c>
    </row>
    <row r="16" spans="1:15" ht="79.2" x14ac:dyDescent="0.3">
      <c r="A16" s="2" t="s">
        <v>246</v>
      </c>
      <c r="B16" s="2" t="s">
        <v>559</v>
      </c>
      <c r="C16" s="2" t="s">
        <v>649</v>
      </c>
      <c r="D16" s="2" t="s">
        <v>650</v>
      </c>
      <c r="E16" s="2" t="str">
        <f>HYPERLINK("http://twitter.com/JenMcDermottAP")</f>
        <v>http://twitter.com/JenMcDermottAP</v>
      </c>
      <c r="F16" s="2" t="str">
        <f>HYPERLINK("https://muckrack.com/jennifer-mcdermott")</f>
        <v>https://muckrack.com/jennifer-mcdermott</v>
      </c>
      <c r="G16" s="2">
        <v>1439</v>
      </c>
      <c r="H16" s="2" t="s">
        <v>651</v>
      </c>
      <c r="I16" s="2" t="s">
        <v>652</v>
      </c>
      <c r="J16" s="2" t="s">
        <v>653</v>
      </c>
      <c r="K16" s="2" t="s">
        <v>365</v>
      </c>
      <c r="L16" s="2" t="s">
        <v>654</v>
      </c>
      <c r="M16" s="4">
        <v>45049.524247685193</v>
      </c>
      <c r="N16" s="2" t="str">
        <f>HYPERLINK("http://twitter.com/JenMcDermottAP/status/1653800312426098689")</f>
        <v>http://twitter.com/JenMcDermottAP/status/1653800312426098689</v>
      </c>
      <c r="O16" s="2" t="str">
        <f t="shared" ref="O16:O22" si="1">HYPERLINK("https://apnews.com/article/nel-green-hydrogen-factory-general-motors-michigan-57c90cd27e3d7c06dc5b60b6fcf6813d")</f>
        <v>https://apnews.com/article/nel-green-hydrogen-factory-general-motors-michigan-57c90cd27e3d7c06dc5b60b6fcf6813d</v>
      </c>
    </row>
    <row r="17" spans="1:15" ht="79.2" x14ac:dyDescent="0.3">
      <c r="A17" s="2" t="s">
        <v>246</v>
      </c>
      <c r="B17" s="2" t="s">
        <v>559</v>
      </c>
      <c r="C17" s="2" t="s">
        <v>649</v>
      </c>
      <c r="D17" s="2" t="s">
        <v>650</v>
      </c>
      <c r="E17" s="2" t="str">
        <f>HYPERLINK("http://twitter.com/JenMcDermottAP")</f>
        <v>http://twitter.com/JenMcDermottAP</v>
      </c>
      <c r="F17" s="2" t="str">
        <f>HYPERLINK("https://muckrack.com/jennifer-mcdermott")</f>
        <v>https://muckrack.com/jennifer-mcdermott</v>
      </c>
      <c r="G17" s="2">
        <v>1439</v>
      </c>
      <c r="H17" s="2" t="s">
        <v>651</v>
      </c>
      <c r="I17" s="2" t="s">
        <v>652</v>
      </c>
      <c r="J17" s="2" t="s">
        <v>653</v>
      </c>
      <c r="K17" s="2" t="s">
        <v>365</v>
      </c>
      <c r="L17" s="2" t="s">
        <v>655</v>
      </c>
      <c r="M17" s="4">
        <v>45049.529305555552</v>
      </c>
      <c r="N17" s="2" t="str">
        <f>HYPERLINK("http://twitter.com/JenMcDermottAP/status/1653802146763079680")</f>
        <v>http://twitter.com/JenMcDermottAP/status/1653802146763079680</v>
      </c>
      <c r="O17" s="2" t="str">
        <f t="shared" si="1"/>
        <v>https://apnews.com/article/nel-green-hydrogen-factory-general-motors-michigan-57c90cd27e3d7c06dc5b60b6fcf6813d</v>
      </c>
    </row>
    <row r="18" spans="1:15" ht="66" x14ac:dyDescent="0.3">
      <c r="A18" s="2" t="s">
        <v>246</v>
      </c>
      <c r="B18" s="2" t="s">
        <v>559</v>
      </c>
      <c r="C18" s="2" t="s">
        <v>649</v>
      </c>
      <c r="D18" s="2" t="s">
        <v>650</v>
      </c>
      <c r="E18" s="2" t="str">
        <f>HYPERLINK("http://twitter.com/JenMcDermottAP")</f>
        <v>http://twitter.com/JenMcDermottAP</v>
      </c>
      <c r="F18" s="2" t="str">
        <f>HYPERLINK("https://muckrack.com/jennifer-mcdermott")</f>
        <v>https://muckrack.com/jennifer-mcdermott</v>
      </c>
      <c r="G18" s="2">
        <v>1439</v>
      </c>
      <c r="H18" s="2" t="s">
        <v>651</v>
      </c>
      <c r="I18" s="2" t="s">
        <v>652</v>
      </c>
      <c r="J18" s="2" t="s">
        <v>653</v>
      </c>
      <c r="K18" s="2" t="s">
        <v>365</v>
      </c>
      <c r="L18" s="2" t="s">
        <v>656</v>
      </c>
      <c r="M18" s="4">
        <v>45049.536597222221</v>
      </c>
      <c r="N18" s="2" t="str">
        <f>HYPERLINK("http://twitter.com/JenMcDermottAP/status/1653804787081654305")</f>
        <v>http://twitter.com/JenMcDermottAP/status/1653804787081654305</v>
      </c>
      <c r="O18" s="2" t="str">
        <f t="shared" si="1"/>
        <v>https://apnews.com/article/nel-green-hydrogen-factory-general-motors-michigan-57c90cd27e3d7c06dc5b60b6fcf6813d</v>
      </c>
    </row>
    <row r="19" spans="1:15" ht="66" x14ac:dyDescent="0.3">
      <c r="A19" s="2" t="s">
        <v>246</v>
      </c>
      <c r="B19" s="2" t="s">
        <v>559</v>
      </c>
      <c r="C19" s="2" t="s">
        <v>649</v>
      </c>
      <c r="D19" s="2" t="s">
        <v>650</v>
      </c>
      <c r="E19" s="2" t="str">
        <f>HYPERLINK("http://twitter.com/JenMcDermottAP")</f>
        <v>http://twitter.com/JenMcDermottAP</v>
      </c>
      <c r="F19" s="2" t="str">
        <f>HYPERLINK("https://muckrack.com/jennifer-mcdermott")</f>
        <v>https://muckrack.com/jennifer-mcdermott</v>
      </c>
      <c r="G19" s="2">
        <v>1439</v>
      </c>
      <c r="H19" s="2" t="s">
        <v>651</v>
      </c>
      <c r="I19" s="2" t="s">
        <v>652</v>
      </c>
      <c r="J19" s="2" t="s">
        <v>653</v>
      </c>
      <c r="K19" s="2" t="s">
        <v>365</v>
      </c>
      <c r="L19" s="2" t="s">
        <v>657</v>
      </c>
      <c r="M19" s="4">
        <v>45049.537534722222</v>
      </c>
      <c r="N19" s="2" t="str">
        <f>HYPERLINK("http://twitter.com/JenMcDermottAP/status/1653805127281565698")</f>
        <v>http://twitter.com/JenMcDermottAP/status/1653805127281565698</v>
      </c>
      <c r="O19" s="2" t="str">
        <f t="shared" si="1"/>
        <v>https://apnews.com/article/nel-green-hydrogen-factory-general-motors-michigan-57c90cd27e3d7c06dc5b60b6fcf6813d</v>
      </c>
    </row>
    <row r="20" spans="1:15" ht="66" x14ac:dyDescent="0.3">
      <c r="A20" s="2" t="s">
        <v>658</v>
      </c>
      <c r="B20" s="2" t="s">
        <v>559</v>
      </c>
      <c r="C20" s="2" t="s">
        <v>659</v>
      </c>
      <c r="D20" s="2" t="s">
        <v>660</v>
      </c>
      <c r="E20" s="2" t="str">
        <f>HYPERLINK("http://twitter.com/twebber02")</f>
        <v>http://twitter.com/twebber02</v>
      </c>
      <c r="F20" s="2" t="str">
        <f>HYPERLINK("https://muckrack.com/twebber02")</f>
        <v>https://muckrack.com/twebber02</v>
      </c>
      <c r="G20" s="2">
        <v>1537</v>
      </c>
      <c r="H20" s="2" t="s">
        <v>661</v>
      </c>
      <c r="I20" s="2" t="s">
        <v>662</v>
      </c>
      <c r="J20" s="2" t="s">
        <v>663</v>
      </c>
      <c r="K20" s="2" t="s">
        <v>365</v>
      </c>
      <c r="L20" s="2" t="s">
        <v>664</v>
      </c>
      <c r="M20" s="4">
        <v>45049.734560185178</v>
      </c>
      <c r="N20" s="2" t="str">
        <f>HYPERLINK("http://twitter.com/twebber02/status/1653876529091293184")</f>
        <v>http://twitter.com/twebber02/status/1653876529091293184</v>
      </c>
      <c r="O20" s="2" t="str">
        <f t="shared" si="1"/>
        <v>https://apnews.com/article/nel-green-hydrogen-factory-general-motors-michigan-57c90cd27e3d7c06dc5b60b6fcf6813d</v>
      </c>
    </row>
    <row r="21" spans="1:15" ht="92.4" x14ac:dyDescent="0.3">
      <c r="A21" s="2" t="s">
        <v>665</v>
      </c>
      <c r="B21" s="2" t="s">
        <v>666</v>
      </c>
      <c r="C21" s="2" t="s">
        <v>667</v>
      </c>
      <c r="D21" s="2" t="s">
        <v>668</v>
      </c>
      <c r="E21" s="2" t="str">
        <f>HYPERLINK("http://twitter.com/JoSamps92")</f>
        <v>http://twitter.com/JoSamps92</v>
      </c>
      <c r="F21" s="2" t="str">
        <f>HYPERLINK("https://muckrack.com/josamps92")</f>
        <v>https://muckrack.com/josamps92</v>
      </c>
      <c r="G21" s="2">
        <v>5740</v>
      </c>
      <c r="H21" s="2" t="s">
        <v>669</v>
      </c>
      <c r="I21" s="2" t="s">
        <v>670</v>
      </c>
      <c r="J21" s="2" t="s">
        <v>671</v>
      </c>
      <c r="K21" s="2" t="s">
        <v>672</v>
      </c>
      <c r="L21" s="2" t="s">
        <v>673</v>
      </c>
      <c r="M21" s="4">
        <v>45050.180069444446</v>
      </c>
      <c r="N21" s="2" t="str">
        <f>HYPERLINK("http://twitter.com/JoSamps92/status/1654037973753556992")</f>
        <v>http://twitter.com/JoSamps92/status/1654037973753556992</v>
      </c>
      <c r="O21" s="2" t="str">
        <f t="shared" si="1"/>
        <v>https://apnews.com/article/nel-green-hydrogen-factory-general-motors-michigan-57c90cd27e3d7c06dc5b60b6fcf6813d</v>
      </c>
    </row>
    <row r="22" spans="1:15" ht="66" x14ac:dyDescent="0.3">
      <c r="A22" s="2" t="s">
        <v>674</v>
      </c>
      <c r="B22" s="2" t="s">
        <v>675</v>
      </c>
      <c r="C22" s="2" t="s">
        <v>676</v>
      </c>
      <c r="D22" s="2" t="s">
        <v>677</v>
      </c>
      <c r="E22" s="2" t="str">
        <f>HYPERLINK("http://twitter.com/writerknowles")</f>
        <v>http://twitter.com/writerknowles</v>
      </c>
      <c r="F22" s="2" t="str">
        <f>HYPERLINK("https://muckrack.com/writerknowles")</f>
        <v>https://muckrack.com/writerknowles</v>
      </c>
      <c r="G22" s="2">
        <v>3265</v>
      </c>
      <c r="H22" s="2" t="s">
        <v>678</v>
      </c>
      <c r="I22" s="2" t="s">
        <v>679</v>
      </c>
      <c r="J22" s="2" t="s">
        <v>680</v>
      </c>
      <c r="K22" s="2" t="s">
        <v>139</v>
      </c>
      <c r="L22" s="2" t="s">
        <v>681</v>
      </c>
      <c r="M22" s="4">
        <v>45051.509895833333</v>
      </c>
      <c r="N22" s="2" t="str">
        <f>HYPERLINK("http://twitter.com/writerknowles/status/1654519889070264320")</f>
        <v>http://twitter.com/writerknowles/status/1654519889070264320</v>
      </c>
      <c r="O22" s="2" t="str">
        <f t="shared" si="1"/>
        <v>https://apnews.com/article/nel-green-hydrogen-factory-general-motors-michigan-57c90cd27e3d7c06dc5b60b6fcf6813d</v>
      </c>
    </row>
    <row r="23" spans="1:15" ht="66" x14ac:dyDescent="0.3">
      <c r="A23" s="2" t="s">
        <v>682</v>
      </c>
      <c r="B23" s="2" t="s">
        <v>683</v>
      </c>
      <c r="C23" s="2" t="s">
        <v>684</v>
      </c>
      <c r="D23" s="2" t="s">
        <v>685</v>
      </c>
      <c r="E23" s="2" t="str">
        <f>HYPERLINK("http://twitter.com/andy_chow")</f>
        <v>http://twitter.com/andy_chow</v>
      </c>
      <c r="F23" s="2" t="str">
        <f>HYPERLINK("https://muckrack.com/andy-chow")</f>
        <v>https://muckrack.com/andy-chow</v>
      </c>
      <c r="G23" s="2">
        <v>18106</v>
      </c>
      <c r="H23" s="2" t="s">
        <v>686</v>
      </c>
      <c r="I23" s="2" t="s">
        <v>687</v>
      </c>
      <c r="J23" s="2" t="s">
        <v>688</v>
      </c>
      <c r="K23" s="2" t="s">
        <v>488</v>
      </c>
      <c r="L23" s="2" t="s">
        <v>689</v>
      </c>
      <c r="M23" s="4">
        <v>44833.392592592587</v>
      </c>
      <c r="N23" s="2" t="str">
        <f>HYPERLINK("http://twitter.com/andy_chow/status/1575476824510894081")</f>
        <v>http://twitter.com/andy_chow/status/1575476824510894081</v>
      </c>
      <c r="O23" s="2" t="str">
        <f>HYPERLINK("https://www.statenews.org/government-politics/2022-09-28/natural-gas-from-local-landfills-and-cow-manure-used-at-ohio-fuel-station-to-power-amazons-fleet")</f>
        <v>https://www.statenews.org/government-politics/2022-09-28/natural-gas-from-local-landfills-and-cow-manure-used-at-ohio-fuel-station-to-power-amazons-fleet</v>
      </c>
    </row>
    <row r="24" spans="1:15" ht="66" x14ac:dyDescent="0.3">
      <c r="A24" s="2" t="s">
        <v>690</v>
      </c>
      <c r="B24" s="2" t="s">
        <v>691</v>
      </c>
      <c r="C24" s="2" t="s">
        <v>692</v>
      </c>
      <c r="D24" s="2" t="s">
        <v>693</v>
      </c>
      <c r="E24" s="2" t="str">
        <f>HYPERLINK("http://twitter.com/karenkasler")</f>
        <v>http://twitter.com/karenkasler</v>
      </c>
      <c r="F24" s="2" t="str">
        <f>HYPERLINK("https://muckrack.com/karen-kasler-1")</f>
        <v>https://muckrack.com/karen-kasler-1</v>
      </c>
      <c r="G24" s="2">
        <v>20470</v>
      </c>
      <c r="H24" s="2" t="s">
        <v>694</v>
      </c>
      <c r="I24" s="2" t="s">
        <v>695</v>
      </c>
      <c r="J24" s="2" t="s">
        <v>688</v>
      </c>
      <c r="K24" s="2" t="s">
        <v>488</v>
      </c>
      <c r="L24" s="2" t="s">
        <v>696</v>
      </c>
      <c r="M24" s="4">
        <v>44833.475208333337</v>
      </c>
      <c r="N24" s="2" t="str">
        <f>HYPERLINK("http://twitter.com/karenkasler/status/1575506761829814275")</f>
        <v>http://twitter.com/karenkasler/status/1575506761829814275</v>
      </c>
      <c r="O24" s="2" t="str">
        <f>HYPERLINK("https://www.statenews.org/government-politics/2022-09-28/natural-gas-from-local-landfills-and-cow-manure-used-at-ohio-fuel-station-to-power-amazons-fleet")</f>
        <v>https://www.statenews.org/government-politics/2022-09-28/natural-gas-from-local-landfills-and-cow-manure-used-at-ohio-fuel-station-to-power-amazons-fleet</v>
      </c>
    </row>
    <row r="25" spans="1:15" ht="92.4" x14ac:dyDescent="0.3">
      <c r="A25" s="2" t="s">
        <v>515</v>
      </c>
      <c r="B25" s="2" t="s">
        <v>697</v>
      </c>
      <c r="C25" s="2"/>
      <c r="D25" s="2" t="s">
        <v>698</v>
      </c>
      <c r="E25" s="2" t="str">
        <f>HYPERLINK("http://twitter.com/Gabby_Hoffman")</f>
        <v>http://twitter.com/Gabby_Hoffman</v>
      </c>
      <c r="F25" s="2" t="str">
        <f>HYPERLINK("https://muckrack.com/gabriella-hoffman")</f>
        <v>https://muckrack.com/gabriella-hoffman</v>
      </c>
      <c r="G25" s="2">
        <v>52801</v>
      </c>
      <c r="H25" s="2" t="s">
        <v>699</v>
      </c>
      <c r="I25" s="2" t="s">
        <v>700</v>
      </c>
      <c r="J25" s="2" t="s">
        <v>617</v>
      </c>
      <c r="K25" s="2" t="s">
        <v>701</v>
      </c>
      <c r="L25" s="2" t="s">
        <v>702</v>
      </c>
      <c r="M25" s="4">
        <v>44781.541666666657</v>
      </c>
      <c r="N25" s="2" t="str">
        <f>HYPERLINK("http://twitter.com/Gabby_Hoffman/status/1556686677334282242")</f>
        <v>http://twitter.com/Gabby_Hoffman/status/1556686677334282242</v>
      </c>
      <c r="O25" s="2" t="str">
        <f>HYPERLINK("https://podcasts.apple.com/us/podcast/ep-291-shooting-sports-month-dominion-energys-$9-8b/id1435126030?i=1000575393182")</f>
        <v>https://podcasts.apple.com/us/podcast/ep-291-shooting-sports-month-dominion-energys-$9-8b/id1435126030?i=1000575393182</v>
      </c>
    </row>
    <row r="26" spans="1:15" ht="52.8" x14ac:dyDescent="0.3">
      <c r="A26" s="2" t="s">
        <v>515</v>
      </c>
      <c r="B26" s="2" t="s">
        <v>697</v>
      </c>
      <c r="C26" s="2"/>
      <c r="D26" s="2" t="s">
        <v>698</v>
      </c>
      <c r="E26" s="2" t="str">
        <f>HYPERLINK("http://twitter.com/Gabby_Hoffman")</f>
        <v>http://twitter.com/Gabby_Hoffman</v>
      </c>
      <c r="F26" s="2" t="str">
        <f>HYPERLINK("https://muckrack.com/gabriella-hoffman")</f>
        <v>https://muckrack.com/gabriella-hoffman</v>
      </c>
      <c r="G26" s="2">
        <v>52801</v>
      </c>
      <c r="H26" s="2" t="s">
        <v>699</v>
      </c>
      <c r="I26" s="2" t="s">
        <v>700</v>
      </c>
      <c r="J26" s="2" t="s">
        <v>617</v>
      </c>
      <c r="K26" s="2" t="s">
        <v>701</v>
      </c>
      <c r="L26" s="2" t="s">
        <v>703</v>
      </c>
      <c r="M26" s="4">
        <v>44782.491550925923</v>
      </c>
      <c r="N26" s="2" t="str">
        <f>HYPERLINK("http://twitter.com/Gabby_Hoffman/status/1557030905398456325")</f>
        <v>http://twitter.com/Gabby_Hoffman/status/1557030905398456325</v>
      </c>
      <c r="O26" s="2" t="str">
        <f>HYPERLINK("https://podcasts.apple.com/us/podcast/ep-291-shooting-sports-month-dominion-energys-$9-8b/id1435126030?i=1000575393182")</f>
        <v>https://podcasts.apple.com/us/podcast/ep-291-shooting-sports-month-dominion-energys-$9-8b/id1435126030?i=1000575393182</v>
      </c>
    </row>
    <row r="27" spans="1:15" ht="79.2" x14ac:dyDescent="0.3">
      <c r="A27" s="2" t="s">
        <v>704</v>
      </c>
      <c r="B27" s="2" t="s">
        <v>705</v>
      </c>
      <c r="C27" s="2" t="s">
        <v>706</v>
      </c>
      <c r="D27" s="2" t="s">
        <v>707</v>
      </c>
      <c r="E27" s="2" t="str">
        <f>HYPERLINK("http://twitter.com/MichaelLeePope")</f>
        <v>http://twitter.com/MichaelLeePope</v>
      </c>
      <c r="F27" s="2" t="str">
        <f>HYPERLINK("https://muckrack.com/michael-pope")</f>
        <v>https://muckrack.com/michael-pope</v>
      </c>
      <c r="G27" s="2">
        <v>7103</v>
      </c>
      <c r="H27" s="2" t="s">
        <v>708</v>
      </c>
      <c r="I27" s="2" t="s">
        <v>709</v>
      </c>
      <c r="J27" s="2" t="s">
        <v>623</v>
      </c>
      <c r="K27" s="2" t="s">
        <v>710</v>
      </c>
      <c r="L27" s="2" t="s">
        <v>711</v>
      </c>
      <c r="M27" s="4">
        <v>44760.675543981481</v>
      </c>
      <c r="N27" s="2" t="str">
        <f>HYPERLINK("http://twitter.com/MichaelLeePope/status/1549125047494770690")</f>
        <v>http://twitter.com/MichaelLeePope/status/1549125047494770690</v>
      </c>
      <c r="O27" s="2" t="str">
        <f>HYPERLINK("https://podcasts.apple.com/us/podcast/harry-godfrey-whats-next-for-virginias-proposed-offshore/id1498833592?i=1000570288841")</f>
        <v>https://podcasts.apple.com/us/podcast/harry-godfrey-whats-next-for-virginias-proposed-offshore/id1498833592?i=1000570288841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Articles</vt:lpstr>
      <vt:lpstr>Sheet1</vt:lpstr>
      <vt:lpstr>Journalist Statuses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Glenn Hoffman</cp:lastModifiedBy>
  <cp:revision/>
  <dcterms:created xsi:type="dcterms:W3CDTF">2024-01-09T16:01:00Z</dcterms:created>
  <dcterms:modified xsi:type="dcterms:W3CDTF">2024-01-16T15:29:00Z</dcterms:modified>
  <cp:category/>
  <cp:contentStatus/>
</cp:coreProperties>
</file>