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RMIT University\AOG2022\09 JOURNAL SUBMISSIONS\2023 fatigue data quality\"/>
    </mc:Choice>
  </mc:AlternateContent>
  <xr:revisionPtr revIDLastSave="0" documentId="8_{F494DA9B-6CF2-4FB5-AA72-C3672E9555B0}" xr6:coauthVersionLast="47" xr6:coauthVersionMax="47" xr10:uidLastSave="{00000000-0000-0000-0000-000000000000}"/>
  <bookViews>
    <workbookView xWindow="4260" yWindow="696" windowWidth="23796" windowHeight="15624" activeTab="1" xr2:uid="{48F83901-848C-4AB1-BEA6-76EB369B0077}"/>
  </bookViews>
  <sheets>
    <sheet name="Fatigue Data" sheetId="5" r:id="rId1"/>
    <sheet name="Reporting criteria" sheetId="4" r:id="rId2"/>
    <sheet name="Roughness vs Fatigu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10" i="5" l="1"/>
  <c r="K1109" i="5"/>
  <c r="K1108" i="5"/>
  <c r="K1107" i="5"/>
  <c r="K1106" i="5"/>
  <c r="K1105" i="5"/>
  <c r="K1104" i="5"/>
  <c r="K1103" i="5"/>
  <c r="K1102" i="5"/>
  <c r="K1101" i="5"/>
  <c r="C1101" i="5"/>
  <c r="A1101" i="5"/>
  <c r="K1097" i="5"/>
  <c r="K1096" i="5"/>
  <c r="K1095" i="5"/>
  <c r="K1094" i="5"/>
  <c r="K1093" i="5"/>
  <c r="K1092" i="5"/>
  <c r="K1091" i="5"/>
  <c r="C1091" i="5"/>
  <c r="A1091" i="5"/>
  <c r="K1087" i="5"/>
  <c r="K1086" i="5"/>
  <c r="K1085" i="5"/>
  <c r="K1084" i="5"/>
  <c r="K1083" i="5"/>
  <c r="K1082" i="5"/>
  <c r="K1081" i="5"/>
  <c r="K1080" i="5"/>
  <c r="K1079" i="5"/>
  <c r="K1078" i="5"/>
  <c r="K1077" i="5"/>
  <c r="C1077" i="5"/>
  <c r="A1077" i="5"/>
  <c r="K1073" i="5"/>
  <c r="K1072" i="5"/>
  <c r="K1071" i="5"/>
  <c r="K1070" i="5"/>
  <c r="K1069" i="5"/>
  <c r="K1068" i="5"/>
  <c r="C1068" i="5"/>
  <c r="A1068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C1053" i="5"/>
  <c r="A1053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C1029" i="5"/>
  <c r="A1029" i="5"/>
  <c r="K1025" i="5"/>
  <c r="K1024" i="5"/>
  <c r="K1023" i="5"/>
  <c r="K1022" i="5"/>
  <c r="K1021" i="5"/>
  <c r="K1020" i="5"/>
  <c r="K1019" i="5"/>
  <c r="C1019" i="5"/>
  <c r="A1019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C1001" i="5"/>
  <c r="A1001" i="5"/>
  <c r="K997" i="5"/>
  <c r="K996" i="5"/>
  <c r="K995" i="5"/>
  <c r="K994" i="5"/>
  <c r="K993" i="5"/>
  <c r="K992" i="5"/>
  <c r="K991" i="5"/>
  <c r="K990" i="5"/>
  <c r="K989" i="5"/>
  <c r="C989" i="5"/>
  <c r="A989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C970" i="5"/>
  <c r="A970" i="5"/>
  <c r="K966" i="5"/>
  <c r="K965" i="5"/>
  <c r="K964" i="5"/>
  <c r="K963" i="5"/>
  <c r="K962" i="5"/>
  <c r="K961" i="5"/>
  <c r="K960" i="5"/>
  <c r="K959" i="5"/>
  <c r="K958" i="5"/>
  <c r="K957" i="5"/>
  <c r="C957" i="5"/>
  <c r="A957" i="5"/>
  <c r="K953" i="5"/>
  <c r="K952" i="5"/>
  <c r="K951" i="5"/>
  <c r="K950" i="5"/>
  <c r="K949" i="5"/>
  <c r="K948" i="5"/>
  <c r="K947" i="5"/>
  <c r="K946" i="5"/>
  <c r="K945" i="5"/>
  <c r="K944" i="5"/>
  <c r="K943" i="5"/>
  <c r="C943" i="5"/>
  <c r="A943" i="5"/>
  <c r="K939" i="5"/>
  <c r="K938" i="5"/>
  <c r="K937" i="5"/>
  <c r="K936" i="5"/>
  <c r="K935" i="5"/>
  <c r="K934" i="5"/>
  <c r="K933" i="5"/>
  <c r="K932" i="5"/>
  <c r="K931" i="5"/>
  <c r="K930" i="5"/>
  <c r="C930" i="5"/>
  <c r="A930" i="5"/>
  <c r="K926" i="5"/>
  <c r="K925" i="5"/>
  <c r="K924" i="5"/>
  <c r="K923" i="5"/>
  <c r="K922" i="5"/>
  <c r="K921" i="5"/>
  <c r="K920" i="5"/>
  <c r="K919" i="5"/>
  <c r="K918" i="5"/>
  <c r="K917" i="5"/>
  <c r="K916" i="5"/>
  <c r="C916" i="5"/>
  <c r="A916" i="5"/>
  <c r="K912" i="5"/>
  <c r="K911" i="5"/>
  <c r="K910" i="5"/>
  <c r="K909" i="5"/>
  <c r="K908" i="5"/>
  <c r="K907" i="5"/>
  <c r="K906" i="5"/>
  <c r="K905" i="5"/>
  <c r="K904" i="5"/>
  <c r="K903" i="5"/>
  <c r="C903" i="5"/>
  <c r="A903" i="5"/>
  <c r="K899" i="5"/>
  <c r="K898" i="5"/>
  <c r="K897" i="5"/>
  <c r="K896" i="5"/>
  <c r="K895" i="5"/>
  <c r="K894" i="5"/>
  <c r="K893" i="5"/>
  <c r="K892" i="5"/>
  <c r="C892" i="5"/>
  <c r="A892" i="5"/>
  <c r="K888" i="5"/>
  <c r="K887" i="5"/>
  <c r="K886" i="5"/>
  <c r="K885" i="5"/>
  <c r="K884" i="5"/>
  <c r="K883" i="5"/>
  <c r="K882" i="5"/>
  <c r="K881" i="5"/>
  <c r="K880" i="5"/>
  <c r="C880" i="5"/>
  <c r="A880" i="5"/>
  <c r="K876" i="5"/>
  <c r="K875" i="5"/>
  <c r="K874" i="5"/>
  <c r="K873" i="5"/>
  <c r="K872" i="5"/>
  <c r="K871" i="5"/>
  <c r="C871" i="5"/>
  <c r="A871" i="5"/>
  <c r="K867" i="5"/>
  <c r="K866" i="5"/>
  <c r="K865" i="5"/>
  <c r="K864" i="5"/>
  <c r="K863" i="5"/>
  <c r="K862" i="5"/>
  <c r="K861" i="5"/>
  <c r="K860" i="5"/>
  <c r="K859" i="5"/>
  <c r="K858" i="5"/>
  <c r="C858" i="5"/>
  <c r="A858" i="5"/>
  <c r="K854" i="5"/>
  <c r="K853" i="5"/>
  <c r="K852" i="5"/>
  <c r="K851" i="5"/>
  <c r="K850" i="5"/>
  <c r="K849" i="5"/>
  <c r="K848" i="5"/>
  <c r="K847" i="5"/>
  <c r="K846" i="5"/>
  <c r="K845" i="5"/>
  <c r="C845" i="5"/>
  <c r="A845" i="5"/>
  <c r="K841" i="5"/>
  <c r="K840" i="5"/>
  <c r="K839" i="5"/>
  <c r="K838" i="5"/>
  <c r="K837" i="5"/>
  <c r="K836" i="5"/>
  <c r="K835" i="5"/>
  <c r="K834" i="5"/>
  <c r="K833" i="5"/>
  <c r="K832" i="5"/>
  <c r="K831" i="5"/>
  <c r="C831" i="5"/>
  <c r="A831" i="5"/>
  <c r="K827" i="5"/>
  <c r="K826" i="5"/>
  <c r="K825" i="5"/>
  <c r="K824" i="5"/>
  <c r="K823" i="5"/>
  <c r="K822" i="5"/>
  <c r="K821" i="5"/>
  <c r="K820" i="5"/>
  <c r="K819" i="5"/>
  <c r="K818" i="5"/>
  <c r="C818" i="5"/>
  <c r="A818" i="5"/>
  <c r="K814" i="5"/>
  <c r="K813" i="5"/>
  <c r="K812" i="5"/>
  <c r="K811" i="5"/>
  <c r="K810" i="5"/>
  <c r="K809" i="5"/>
  <c r="K808" i="5"/>
  <c r="K807" i="5"/>
  <c r="K806" i="5"/>
  <c r="K805" i="5"/>
  <c r="K804" i="5"/>
  <c r="C804" i="5"/>
  <c r="A804" i="5"/>
  <c r="K800" i="5"/>
  <c r="K799" i="5"/>
  <c r="K798" i="5"/>
  <c r="K797" i="5"/>
  <c r="K796" i="5"/>
  <c r="K795" i="5"/>
  <c r="K794" i="5"/>
  <c r="K793" i="5"/>
  <c r="K792" i="5"/>
  <c r="K791" i="5"/>
  <c r="K790" i="5"/>
  <c r="C790" i="5"/>
  <c r="A790" i="5"/>
  <c r="K786" i="5"/>
  <c r="K785" i="5"/>
  <c r="K784" i="5"/>
  <c r="K783" i="5"/>
  <c r="K782" i="5"/>
  <c r="K781" i="5"/>
  <c r="K780" i="5"/>
  <c r="K779" i="5"/>
  <c r="K778" i="5"/>
  <c r="K777" i="5"/>
  <c r="C777" i="5"/>
  <c r="A777" i="5"/>
  <c r="K773" i="5"/>
  <c r="K772" i="5"/>
  <c r="K771" i="5"/>
  <c r="K770" i="5"/>
  <c r="K769" i="5"/>
  <c r="K768" i="5"/>
  <c r="K767" i="5"/>
  <c r="K766" i="5"/>
  <c r="K765" i="5"/>
  <c r="C765" i="5"/>
  <c r="A765" i="5"/>
  <c r="K761" i="5"/>
  <c r="K760" i="5"/>
  <c r="K759" i="5"/>
  <c r="K758" i="5"/>
  <c r="K757" i="5"/>
  <c r="K756" i="5"/>
  <c r="K755" i="5"/>
  <c r="C755" i="5"/>
  <c r="A755" i="5"/>
  <c r="K751" i="5"/>
  <c r="K750" i="5"/>
  <c r="K749" i="5"/>
  <c r="K748" i="5"/>
  <c r="K747" i="5"/>
  <c r="C747" i="5"/>
  <c r="A747" i="5"/>
  <c r="K743" i="5"/>
  <c r="K742" i="5"/>
  <c r="K741" i="5"/>
  <c r="K740" i="5"/>
  <c r="K739" i="5"/>
  <c r="C739" i="5"/>
  <c r="A739" i="5"/>
  <c r="K735" i="5"/>
  <c r="C735" i="5"/>
  <c r="A735" i="5"/>
  <c r="K731" i="5"/>
  <c r="C731" i="5"/>
  <c r="A731" i="5"/>
  <c r="K727" i="5"/>
  <c r="C727" i="5"/>
  <c r="A727" i="5"/>
  <c r="K723" i="5"/>
  <c r="C723" i="5"/>
  <c r="A723" i="5"/>
  <c r="K719" i="5"/>
  <c r="C719" i="5"/>
  <c r="A719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C701" i="5"/>
  <c r="A701" i="5"/>
  <c r="K696" i="5"/>
  <c r="K695" i="5"/>
  <c r="K694" i="5"/>
  <c r="K693" i="5"/>
  <c r="K692" i="5"/>
  <c r="K691" i="5"/>
  <c r="C691" i="5"/>
  <c r="A691" i="5"/>
  <c r="K687" i="5"/>
  <c r="K686" i="5"/>
  <c r="K685" i="5"/>
  <c r="K684" i="5"/>
  <c r="K683" i="5"/>
  <c r="K682" i="5"/>
  <c r="C682" i="5"/>
  <c r="A682" i="5"/>
  <c r="K678" i="5"/>
  <c r="K677" i="5"/>
  <c r="K676" i="5"/>
  <c r="K675" i="5"/>
  <c r="K674" i="5"/>
  <c r="K673" i="5"/>
  <c r="C673" i="5"/>
  <c r="A673" i="5"/>
  <c r="K669" i="5"/>
  <c r="K668" i="5"/>
  <c r="K667" i="5"/>
  <c r="K666" i="5"/>
  <c r="C666" i="5"/>
  <c r="A666" i="5"/>
  <c r="K661" i="5"/>
  <c r="K660" i="5"/>
  <c r="K659" i="5"/>
  <c r="C659" i="5"/>
  <c r="A659" i="5"/>
  <c r="K655" i="5"/>
  <c r="K654" i="5"/>
  <c r="K653" i="5"/>
  <c r="K652" i="5"/>
  <c r="K651" i="5"/>
  <c r="K650" i="5"/>
  <c r="K649" i="5"/>
  <c r="C649" i="5"/>
  <c r="A649" i="5"/>
  <c r="K645" i="5"/>
  <c r="K644" i="5"/>
  <c r="K643" i="5"/>
  <c r="K642" i="5"/>
  <c r="K641" i="5"/>
  <c r="K640" i="5"/>
  <c r="K639" i="5"/>
  <c r="C639" i="5"/>
  <c r="A639" i="5"/>
  <c r="K635" i="5"/>
  <c r="K634" i="5"/>
  <c r="K633" i="5"/>
  <c r="K632" i="5"/>
  <c r="K631" i="5"/>
  <c r="C631" i="5"/>
  <c r="A631" i="5"/>
  <c r="K627" i="5"/>
  <c r="K626" i="5"/>
  <c r="K625" i="5"/>
  <c r="K624" i="5"/>
  <c r="K623" i="5"/>
  <c r="K622" i="5"/>
  <c r="K621" i="5"/>
  <c r="K620" i="5"/>
  <c r="K619" i="5"/>
  <c r="C619" i="5"/>
  <c r="A619" i="5"/>
  <c r="K615" i="5"/>
  <c r="K614" i="5"/>
  <c r="K613" i="5"/>
  <c r="K612" i="5"/>
  <c r="K611" i="5"/>
  <c r="K610" i="5"/>
  <c r="K609" i="5"/>
  <c r="K608" i="5"/>
  <c r="C608" i="5"/>
  <c r="A608" i="5"/>
  <c r="K603" i="5"/>
  <c r="K602" i="5"/>
  <c r="K601" i="5"/>
  <c r="K600" i="5"/>
  <c r="K599" i="5"/>
  <c r="K598" i="5"/>
  <c r="K597" i="5"/>
  <c r="K596" i="5"/>
  <c r="K595" i="5"/>
  <c r="K594" i="5"/>
  <c r="C594" i="5"/>
  <c r="A594" i="5"/>
  <c r="K589" i="5"/>
  <c r="K588" i="5"/>
  <c r="K587" i="5"/>
  <c r="K586" i="5"/>
  <c r="K585" i="5"/>
  <c r="K584" i="5"/>
  <c r="K583" i="5"/>
  <c r="K582" i="5"/>
  <c r="K581" i="5"/>
  <c r="K580" i="5"/>
  <c r="C580" i="5"/>
  <c r="A580" i="5"/>
  <c r="P579" i="5"/>
  <c r="O579" i="5"/>
  <c r="N579" i="5"/>
  <c r="K576" i="5"/>
  <c r="K575" i="5"/>
  <c r="K574" i="5"/>
  <c r="K573" i="5"/>
  <c r="K572" i="5"/>
  <c r="K571" i="5"/>
  <c r="K570" i="5"/>
  <c r="K569" i="5"/>
  <c r="K568" i="5"/>
  <c r="K567" i="5"/>
  <c r="C567" i="5"/>
  <c r="A567" i="5"/>
  <c r="P566" i="5"/>
  <c r="O566" i="5"/>
  <c r="N566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C550" i="5"/>
  <c r="A550" i="5"/>
  <c r="K546" i="5"/>
  <c r="K545" i="5"/>
  <c r="K544" i="5"/>
  <c r="K543" i="5"/>
  <c r="K542" i="5"/>
  <c r="K541" i="5"/>
  <c r="K540" i="5"/>
  <c r="K539" i="5"/>
  <c r="K538" i="5"/>
  <c r="K537" i="5"/>
  <c r="K536" i="5"/>
  <c r="C536" i="5"/>
  <c r="A536" i="5"/>
  <c r="K532" i="5"/>
  <c r="K531" i="5"/>
  <c r="K530" i="5"/>
  <c r="K529" i="5"/>
  <c r="K528" i="5"/>
  <c r="K527" i="5"/>
  <c r="K526" i="5"/>
  <c r="K525" i="5"/>
  <c r="K524" i="5"/>
  <c r="K523" i="5"/>
  <c r="C523" i="5"/>
  <c r="A523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C508" i="5"/>
  <c r="A508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C490" i="5"/>
  <c r="A490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C467" i="5"/>
  <c r="A467" i="5"/>
  <c r="C459" i="5"/>
  <c r="A459" i="5"/>
  <c r="C451" i="5"/>
  <c r="A451" i="5"/>
  <c r="C444" i="5"/>
  <c r="A444" i="5"/>
  <c r="C436" i="5"/>
  <c r="A436" i="5"/>
  <c r="C431" i="5"/>
  <c r="A431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C415" i="5"/>
  <c r="A415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C399" i="5"/>
  <c r="A399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C383" i="5"/>
  <c r="A383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C368" i="5"/>
  <c r="A368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C352" i="5"/>
  <c r="A352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C336" i="5"/>
  <c r="A336" i="5"/>
  <c r="K331" i="5"/>
  <c r="K330" i="5"/>
  <c r="K329" i="5"/>
  <c r="K328" i="5"/>
  <c r="K327" i="5"/>
  <c r="K326" i="5"/>
  <c r="K325" i="5"/>
  <c r="K324" i="5"/>
  <c r="K323" i="5"/>
  <c r="K322" i="5"/>
  <c r="K321" i="5"/>
  <c r="C321" i="5"/>
  <c r="A321" i="5"/>
  <c r="K317" i="5"/>
  <c r="K316" i="5"/>
  <c r="K315" i="5"/>
  <c r="K314" i="5"/>
  <c r="K313" i="5"/>
  <c r="K312" i="5"/>
  <c r="K311" i="5"/>
  <c r="K310" i="5"/>
  <c r="K309" i="5"/>
  <c r="K308" i="5"/>
  <c r="K307" i="5"/>
  <c r="C307" i="5"/>
  <c r="A307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C292" i="5"/>
  <c r="A292" i="5"/>
  <c r="K288" i="5"/>
  <c r="K287" i="5"/>
  <c r="K286" i="5"/>
  <c r="K285" i="5"/>
  <c r="K284" i="5"/>
  <c r="K283" i="5"/>
  <c r="K282" i="5"/>
  <c r="K281" i="5"/>
  <c r="K280" i="5"/>
  <c r="K279" i="5"/>
  <c r="K278" i="5"/>
  <c r="C278" i="5"/>
  <c r="A278" i="5"/>
  <c r="K274" i="5"/>
  <c r="K273" i="5"/>
  <c r="K272" i="5"/>
  <c r="K271" i="5"/>
  <c r="K270" i="5"/>
  <c r="K269" i="5"/>
  <c r="K268" i="5"/>
  <c r="K267" i="5"/>
  <c r="C267" i="5"/>
  <c r="A267" i="5"/>
  <c r="K263" i="5"/>
  <c r="K262" i="5"/>
  <c r="K261" i="5"/>
  <c r="K260" i="5"/>
  <c r="K259" i="5"/>
  <c r="K258" i="5"/>
  <c r="K257" i="5"/>
  <c r="K256" i="5"/>
  <c r="K255" i="5"/>
  <c r="K254" i="5"/>
  <c r="C254" i="5"/>
  <c r="A254" i="5"/>
  <c r="K250" i="5"/>
  <c r="K249" i="5"/>
  <c r="K248" i="5"/>
  <c r="K247" i="5"/>
  <c r="L246" i="5"/>
  <c r="K246" i="5"/>
  <c r="L245" i="5"/>
  <c r="K245" i="5"/>
  <c r="K244" i="5"/>
  <c r="K243" i="5"/>
  <c r="K242" i="5"/>
  <c r="K241" i="5"/>
  <c r="K240" i="5"/>
  <c r="L239" i="5"/>
  <c r="K239" i="5"/>
  <c r="K238" i="5"/>
  <c r="L237" i="5"/>
  <c r="K237" i="5"/>
  <c r="C237" i="5"/>
  <c r="A237" i="5"/>
  <c r="K233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C226" i="5"/>
  <c r="A226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C211" i="5"/>
  <c r="A211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C196" i="5"/>
  <c r="A196" i="5"/>
  <c r="K192" i="5"/>
  <c r="K191" i="5"/>
  <c r="K190" i="5"/>
  <c r="C190" i="5"/>
  <c r="A190" i="5"/>
  <c r="K186" i="5"/>
  <c r="K185" i="5"/>
  <c r="K184" i="5"/>
  <c r="K183" i="5"/>
  <c r="C183" i="5"/>
  <c r="A183" i="5"/>
  <c r="K179" i="5"/>
  <c r="K178" i="5"/>
  <c r="K177" i="5"/>
  <c r="K176" i="5"/>
  <c r="C176" i="5"/>
  <c r="A176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C152" i="5"/>
  <c r="A152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C140" i="5"/>
  <c r="A140" i="5"/>
  <c r="K136" i="5"/>
  <c r="K135" i="5"/>
  <c r="K134" i="5"/>
  <c r="K133" i="5"/>
  <c r="C133" i="5"/>
  <c r="A133" i="5"/>
  <c r="K129" i="5"/>
  <c r="K128" i="5"/>
  <c r="K127" i="5"/>
  <c r="K126" i="5"/>
  <c r="K125" i="5"/>
  <c r="K124" i="5"/>
  <c r="C124" i="5"/>
  <c r="A124" i="5"/>
  <c r="K120" i="5"/>
  <c r="K119" i="5"/>
  <c r="K118" i="5"/>
  <c r="C118" i="5"/>
  <c r="A118" i="5"/>
  <c r="L114" i="5"/>
  <c r="K114" i="5"/>
  <c r="L113" i="5"/>
  <c r="K113" i="5"/>
  <c r="K112" i="5"/>
  <c r="L111" i="5"/>
  <c r="K111" i="5"/>
  <c r="L110" i="5"/>
  <c r="K110" i="5"/>
  <c r="C110" i="5"/>
  <c r="A110" i="5"/>
  <c r="K105" i="5"/>
  <c r="K104" i="5"/>
  <c r="K103" i="5"/>
  <c r="K102" i="5"/>
  <c r="K101" i="5"/>
  <c r="K100" i="5"/>
  <c r="K99" i="5"/>
  <c r="K98" i="5"/>
  <c r="K97" i="5"/>
  <c r="K96" i="5"/>
  <c r="K95" i="5"/>
  <c r="C95" i="5"/>
  <c r="A95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C79" i="5"/>
  <c r="A79" i="5"/>
  <c r="K75" i="5"/>
  <c r="K74" i="5"/>
  <c r="K73" i="5"/>
  <c r="K72" i="5"/>
  <c r="K71" i="5"/>
  <c r="K70" i="5"/>
  <c r="K69" i="5"/>
  <c r="K68" i="5"/>
  <c r="K67" i="5"/>
  <c r="K66" i="5"/>
  <c r="K65" i="5"/>
  <c r="K64" i="5"/>
  <c r="C64" i="5"/>
  <c r="A64" i="5"/>
  <c r="K60" i="5"/>
  <c r="K59" i="5"/>
  <c r="K58" i="5"/>
  <c r="K57" i="5"/>
  <c r="K56" i="5"/>
  <c r="K55" i="5"/>
  <c r="K54" i="5"/>
  <c r="K53" i="5"/>
  <c r="K52" i="5"/>
  <c r="K51" i="5"/>
  <c r="K50" i="5"/>
  <c r="C50" i="5"/>
  <c r="A50" i="5"/>
  <c r="L46" i="5"/>
  <c r="K46" i="5"/>
  <c r="L45" i="5"/>
  <c r="K45" i="5"/>
  <c r="L44" i="5"/>
  <c r="K44" i="5"/>
  <c r="L43" i="5"/>
  <c r="K43" i="5"/>
  <c r="L42" i="5"/>
  <c r="K42" i="5"/>
  <c r="K41" i="5"/>
  <c r="L40" i="5"/>
  <c r="K40" i="5"/>
  <c r="L39" i="5"/>
  <c r="K39" i="5"/>
  <c r="L38" i="5"/>
  <c r="K38" i="5"/>
  <c r="L37" i="5"/>
  <c r="K37" i="5"/>
  <c r="L36" i="5"/>
  <c r="K36" i="5"/>
  <c r="C36" i="5"/>
  <c r="A36" i="5"/>
  <c r="K32" i="5"/>
  <c r="K31" i="5"/>
  <c r="K30" i="5"/>
  <c r="K29" i="5"/>
  <c r="K28" i="5"/>
  <c r="K27" i="5"/>
  <c r="K26" i="5"/>
  <c r="C26" i="5"/>
  <c r="A26" i="5"/>
  <c r="K22" i="5"/>
  <c r="K21" i="5"/>
  <c r="K20" i="5"/>
  <c r="K19" i="5"/>
  <c r="K18" i="5"/>
  <c r="K17" i="5"/>
  <c r="K16" i="5"/>
  <c r="K15" i="5"/>
  <c r="K14" i="5"/>
  <c r="C14" i="5"/>
  <c r="A14" i="5"/>
  <c r="L10" i="5"/>
  <c r="K10" i="5"/>
  <c r="L9" i="5"/>
  <c r="K9" i="5"/>
  <c r="K8" i="5"/>
  <c r="L7" i="5"/>
  <c r="K7" i="5"/>
  <c r="K6" i="5"/>
  <c r="L5" i="5"/>
  <c r="K5" i="5"/>
  <c r="L4" i="5"/>
  <c r="K4" i="5"/>
  <c r="L3" i="5"/>
  <c r="K3" i="5"/>
  <c r="C3" i="5"/>
  <c r="A3" i="5"/>
  <c r="AH7" i="4"/>
  <c r="AO7" i="4" s="1"/>
  <c r="AH8" i="4"/>
  <c r="AH9" i="4"/>
  <c r="AH10" i="4"/>
  <c r="AH11" i="4"/>
  <c r="AH12" i="4"/>
  <c r="AL12" i="4" s="1"/>
  <c r="AH13" i="4"/>
  <c r="AO13" i="4" s="1"/>
  <c r="AH14" i="4"/>
  <c r="AH15" i="4"/>
  <c r="AH16" i="4"/>
  <c r="AH17" i="4"/>
  <c r="AH18" i="4"/>
  <c r="AH19" i="4"/>
  <c r="AH20" i="4"/>
  <c r="AL20" i="4" s="1"/>
  <c r="AH21" i="4"/>
  <c r="AO21" i="4" s="1"/>
  <c r="AH22" i="4"/>
  <c r="AH23" i="4"/>
  <c r="AH24" i="4"/>
  <c r="AH25" i="4"/>
  <c r="AH26" i="4"/>
  <c r="AH27" i="4"/>
  <c r="AH28" i="4"/>
  <c r="AJ28" i="4" s="1"/>
  <c r="AH29" i="4"/>
  <c r="AJ29" i="4" s="1"/>
  <c r="AH30" i="4"/>
  <c r="AH31" i="4"/>
  <c r="AL31" i="4" s="1"/>
  <c r="AH32" i="4"/>
  <c r="AH33" i="4"/>
  <c r="AH34" i="4"/>
  <c r="AH35" i="4"/>
  <c r="AH36" i="4"/>
  <c r="AJ36" i="4" s="1"/>
  <c r="AH37" i="4"/>
  <c r="AJ37" i="4" s="1"/>
  <c r="AH38" i="4"/>
  <c r="AH39" i="4"/>
  <c r="AJ39" i="4" s="1"/>
  <c r="AH40" i="4"/>
  <c r="AH41" i="4"/>
  <c r="AJ41" i="4" s="1"/>
  <c r="AH42" i="4"/>
  <c r="AH43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J43" i="4"/>
  <c r="AJ42" i="4"/>
  <c r="AJ40" i="4"/>
  <c r="AJ38" i="4"/>
  <c r="AJ35" i="4"/>
  <c r="AJ34" i="4"/>
  <c r="AJ32" i="4"/>
  <c r="AL30" i="4"/>
  <c r="AJ27" i="4"/>
  <c r="AL26" i="4"/>
  <c r="AJ25" i="4"/>
  <c r="AJ24" i="4"/>
  <c r="AO23" i="4"/>
  <c r="AO22" i="4"/>
  <c r="AO19" i="4"/>
  <c r="AO18" i="4"/>
  <c r="AJ17" i="4"/>
  <c r="AJ16" i="4"/>
  <c r="AO15" i="4"/>
  <c r="AJ14" i="4"/>
  <c r="AO11" i="4"/>
  <c r="AJ10" i="4"/>
  <c r="AJ9" i="4"/>
  <c r="AN8" i="4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L8" i="4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O8" i="4" l="1"/>
  <c r="AO20" i="4"/>
  <c r="AJ7" i="4"/>
  <c r="AO10" i="4"/>
  <c r="AL7" i="4"/>
  <c r="AJ23" i="4"/>
  <c r="AL23" i="4"/>
  <c r="AO12" i="4"/>
  <c r="AH45" i="4"/>
  <c r="AL46" i="4"/>
  <c r="AL47" i="4"/>
  <c r="AO24" i="4"/>
  <c r="AO14" i="4"/>
  <c r="AL21" i="4"/>
  <c r="AO16" i="4"/>
  <c r="AI45" i="4"/>
  <c r="AJ45" i="4"/>
  <c r="AK45" i="4"/>
  <c r="AL45" i="4"/>
  <c r="AJ13" i="4"/>
  <c r="AL19" i="4"/>
  <c r="AJ15" i="4"/>
  <c r="AJ8" i="4"/>
  <c r="AJ12" i="4"/>
  <c r="AO17" i="4"/>
  <c r="AH46" i="4"/>
  <c r="AL13" i="4"/>
  <c r="AO9" i="4"/>
  <c r="AH47" i="4"/>
</calcChain>
</file>

<file path=xl/sharedStrings.xml><?xml version="1.0" encoding="utf-8"?>
<sst xmlns="http://schemas.openxmlformats.org/spreadsheetml/2006/main" count="2000" uniqueCount="267">
  <si>
    <t>Anisotropic high cycle fatigue behavior of Ti–6Al–4V obtained by powder bed laser fusion</t>
  </si>
  <si>
    <t>Tag</t>
  </si>
  <si>
    <t>R</t>
  </si>
  <si>
    <t>Test type</t>
  </si>
  <si>
    <t>AM method</t>
  </si>
  <si>
    <t>Surface condition</t>
  </si>
  <si>
    <t>Frequency (Hz)</t>
  </si>
  <si>
    <t>Orientation</t>
  </si>
  <si>
    <t>Stress</t>
  </si>
  <si>
    <t>Stress @ R=-1*</t>
  </si>
  <si>
    <t>Life</t>
  </si>
  <si>
    <t>Notes</t>
  </si>
  <si>
    <t>[27]</t>
  </si>
  <si>
    <t>Plane bending</t>
  </si>
  <si>
    <t>LPBF</t>
  </si>
  <si>
    <t>AB + SR</t>
  </si>
  <si>
    <t>90°</t>
  </si>
  <si>
    <t>Z-X orientation</t>
  </si>
  <si>
    <t>0°</t>
  </si>
  <si>
    <t>X-Y orientation</t>
  </si>
  <si>
    <t>Y-Z orientation</t>
  </si>
  <si>
    <t>Application of mechanical surface finishing processes for roughness reduction and fatigue improvement of additively manufactured Ti-6Al-4V parts</t>
  </si>
  <si>
    <t>Condition</t>
  </si>
  <si>
    <t>[28]</t>
  </si>
  <si>
    <t>axial</t>
  </si>
  <si>
    <t>AB + HIP</t>
  </si>
  <si>
    <t>Mach + HIP</t>
  </si>
  <si>
    <t>Blast + HIP</t>
  </si>
  <si>
    <t>Vib Grnd + HIP</t>
  </si>
  <si>
    <t>Vibratory ground, previously classified as semi-processed</t>
  </si>
  <si>
    <t>Mic Mach + HIP</t>
  </si>
  <si>
    <t>n/a</t>
  </si>
  <si>
    <t>Comparison of the microstructures and mechanical properties of Ti–6Al–4V fabricated by selective laser melting and electron beam melting</t>
  </si>
  <si>
    <t>[29]</t>
  </si>
  <si>
    <t>uniaxial</t>
  </si>
  <si>
    <t>lpbf</t>
  </si>
  <si>
    <t>Mach</t>
  </si>
  <si>
    <t>SLM V7</t>
  </si>
  <si>
    <t>H-SLM-V7</t>
  </si>
  <si>
    <t>EBM</t>
  </si>
  <si>
    <t>EBM-V7</t>
  </si>
  <si>
    <t>H-EBM-V7</t>
  </si>
  <si>
    <t>Directional and notch effects on the fatigue behavior of as-built DMLS Ti6Al4V</t>
  </si>
  <si>
    <t>[30]</t>
  </si>
  <si>
    <t>RBB</t>
  </si>
  <si>
    <t>DMLS</t>
  </si>
  <si>
    <t>Data taken from standard RBB specimen, no data extracted from mini bending specimen testing in this paper.</t>
  </si>
  <si>
    <t>Effect of build orientation on the fatigue properties of as-built Electron Beam Melted Ti-6Al-4V alloy</t>
  </si>
  <si>
    <t>[31]</t>
  </si>
  <si>
    <t>uni-axial</t>
  </si>
  <si>
    <t>AB</t>
  </si>
  <si>
    <t>45°</t>
  </si>
  <si>
    <t>Arcam data</t>
  </si>
  <si>
    <t>Effect of defects on fatigue tests of as-built Ti-6Al-4V parts fabricated by selective laser melting</t>
  </si>
  <si>
    <t>[32]</t>
  </si>
  <si>
    <t>SB + HT</t>
  </si>
  <si>
    <t>Data taken from results without engineered defect only</t>
  </si>
  <si>
    <t>The effect of post-sintering treatments on the fatigue and biological behavior of Ti-6Al-4V ELI parts made by selective laser melting</t>
  </si>
  <si>
    <t>[33]</t>
  </si>
  <si>
    <t>SLS</t>
  </si>
  <si>
    <t>Trib + SR</t>
  </si>
  <si>
    <t>Trib + Pol + SR</t>
  </si>
  <si>
    <t>Trib+SP+SR</t>
  </si>
  <si>
    <t>Trib.+ HIP</t>
  </si>
  <si>
    <t>Effect of surface roughness on fatigue performance of additive manufactured Ti–6Al–4V</t>
  </si>
  <si>
    <t>[34]</t>
  </si>
  <si>
    <t>Effect of Surface Roughness on Fatigue Strength of Ti-6Al-4V Alloy Manufactured by Additive Manufacturing</t>
  </si>
  <si>
    <t>[35]</t>
  </si>
  <si>
    <t>Pol + HIP</t>
  </si>
  <si>
    <t>AB+HIP</t>
  </si>
  <si>
    <t>Pol+HIP</t>
  </si>
  <si>
    <t>Effect of surface treatment on the fatigue strength of additive manufactured TI6AL4V alloy</t>
  </si>
  <si>
    <t>[36]</t>
  </si>
  <si>
    <t>4PB</t>
  </si>
  <si>
    <t>SLM</t>
  </si>
  <si>
    <t>effective stress calculations already applied in paper</t>
  </si>
  <si>
    <t>SP</t>
  </si>
  <si>
    <t>SP + CASE</t>
  </si>
  <si>
    <t>LP</t>
  </si>
  <si>
    <t>Effects of build direction on tensile and fatigue performance of selective laser melting Ti6Al4V titanium alloy</t>
  </si>
  <si>
    <t>[5]</t>
  </si>
  <si>
    <t>Mach + SR</t>
  </si>
  <si>
    <t>Originally assumed as-built, but samples appear to be machined. This is not stated in the paper.</t>
  </si>
  <si>
    <t>Effects of Defects in Laser Additive Manufactured Ti-6Al-4V on Fatigue Properties</t>
  </si>
  <si>
    <t>[37]</t>
  </si>
  <si>
    <t>Pol</t>
  </si>
  <si>
    <t>Evaluation of fatigue crack propagation behaviour in Ti-6Al-4V manufactured by selective laser melting</t>
  </si>
  <si>
    <t>[38]</t>
  </si>
  <si>
    <t>Fatigue assessment of Ti–6Al–4V circular notched specimens produced by selective laser melting</t>
  </si>
  <si>
    <t>[40]</t>
  </si>
  <si>
    <t>SB + SR</t>
  </si>
  <si>
    <t>using smooth notch data (regular geometry), circle notch data was ignored (non-regular geometry).</t>
  </si>
  <si>
    <t>Fatigue behaviour of notched additive manufactured Ti6Al4V with as-built surfaces</t>
  </si>
  <si>
    <t>[42]</t>
  </si>
  <si>
    <t>LS</t>
  </si>
  <si>
    <t>SB + HIP</t>
  </si>
  <si>
    <t>SB</t>
  </si>
  <si>
    <t>-</t>
  </si>
  <si>
    <t>Fatigue behaviour of PBF additive manufactured TI6AL4V alloy after shot and laser peening</t>
  </si>
  <si>
    <t>[43]</t>
  </si>
  <si>
    <t>SP + SR</t>
  </si>
  <si>
    <t>LP + SR</t>
  </si>
  <si>
    <t>Fatigue life of additively manufactured Ti–6Al–4V in the very high cycle fatigue regime</t>
  </si>
  <si>
    <t>[46]</t>
  </si>
  <si>
    <t>No data obtained via ultasonic frequencies was used</t>
  </si>
  <si>
    <t>Fatigue Life of Titanium Alloys Fabricated by Additive Layer Manufacturing Techniques for Dental Implants</t>
  </si>
  <si>
    <t>[47]</t>
  </si>
  <si>
    <t>3PB</t>
  </si>
  <si>
    <t>No S-N curve, just average fatigue life reported</t>
  </si>
  <si>
    <t>EDM</t>
  </si>
  <si>
    <t>Rolled</t>
  </si>
  <si>
    <t>ROLLED</t>
  </si>
  <si>
    <t>Fatigue performance evaluation of selective laser melted Ti–6Al–4V</t>
  </si>
  <si>
    <t>[48]</t>
  </si>
  <si>
    <t>Y direction</t>
  </si>
  <si>
    <t>Fatigue performance of additive manufactured TiAl6V4 using electron and laser beam melting</t>
  </si>
  <si>
    <t>[49]</t>
  </si>
  <si>
    <t>Fatigue Performance of Additively Manufactured Ti-6Al-4V: Surface Condition vs. Internal Defects</t>
  </si>
  <si>
    <t>[50]</t>
  </si>
  <si>
    <t>Etch</t>
  </si>
  <si>
    <t>Etch + HIP</t>
  </si>
  <si>
    <t>Shallow machining (0.5mm depth)</t>
  </si>
  <si>
    <t>Deep machining (2.5mm depth)</t>
  </si>
  <si>
    <t>Fatigue Performance of Laser Additive Manufactured Ti–6Al–4V in Very High Cycle Fatigue Regime up to 109 Cycles</t>
  </si>
  <si>
    <t>[53]</t>
  </si>
  <si>
    <t>Machined as well as polish, GOOD EXAMPLES OF DIFFERENCE IN STRESS RATIO</t>
  </si>
  <si>
    <t>Pol + SR</t>
  </si>
  <si>
    <t>IGNORED VHCF testing results due to ultrasonic frequency</t>
  </si>
  <si>
    <t>Fatigue performances of chemically etched thin struts built by selective electron beam melting: Experiments and predictions</t>
  </si>
  <si>
    <t>[54]</t>
  </si>
  <si>
    <t>Fatigue strength of blunt V-notched specimens produced by selective laser melting of Ti-6Al-4V</t>
  </si>
  <si>
    <t>[55]</t>
  </si>
  <si>
    <t>Smooth notch (regular geometry)</t>
  </si>
  <si>
    <t>1 = included, 0.5 = incomplete, 0 = excluded, ~ = not applicable</t>
  </si>
  <si>
    <t>Reference numbers</t>
  </si>
  <si>
    <t>AVG</t>
  </si>
  <si>
    <t>Analysed paper -&gt;</t>
  </si>
  <si>
    <t>"On the mechanical behaviour of titanium alloy TiAl6V4 manufactured by selective laser melting: Fatigue resistance and crack growth performance"</t>
  </si>
  <si>
    <t>"Torsional fatigue behavior of wrought and additive manufactured Ti-6Al-4V by powder bed fusion including surface finish effect"</t>
  </si>
  <si>
    <t>"Anisotropic high cycle fatigue behavior of Ti–6Al–4V obtained by powder bed laser fusion"</t>
  </si>
  <si>
    <t>"Application of mechanical surface finishing processes for roughness reduction and fatigue improvement of additively manufactured Ti-6Al-4V parts"</t>
  </si>
  <si>
    <t>"Comparative study of fatigue properties of Ti-6Al-4V specimens built by electron beam melting (EBM) and selective laser melting (SLM)"</t>
  </si>
  <si>
    <t>"Comparison of the microstructures and mechanical properties of Ti–6Al–4V fabricated by selective laser melting and electron beam melting"</t>
  </si>
  <si>
    <t>"Directional and notch effects on the fatigue behavior of as-built DMLS Ti6Al4V"</t>
  </si>
  <si>
    <t>"Effect of defects on fatigue tests of as-built Ti-6Al-4V parts fabricated by selective laser melting"</t>
  </si>
  <si>
    <t>"The effect of post-sintering treatments on the fatigue and biological behavior of Ti-6Al-4V ELI parts made by selective laser melting"</t>
  </si>
  <si>
    <t>"Effect of surface roughness on fatigue performance of additive manufactured Ti–6Al–4V"</t>
  </si>
  <si>
    <t>"Effect of Surface Roughness on Fatigue Strength of Ti-6Al-4V Alloy Manufactured by Additive Manufacturing"</t>
  </si>
  <si>
    <t>"Effect of surface treatment on the fatigue strength of additive manufactured TI6AL4V alloy"</t>
  </si>
  <si>
    <t>"Effects of build direction on tensile and fatigue performance of selective laser melting Ti6Al4V titanium alloy"</t>
  </si>
  <si>
    <t>"Effects of Defects in Laser Additive Manufactured Ti-6Al-4V on Fatigue Properties"</t>
  </si>
  <si>
    <t>"Evaluation of fatigue crack propagation behaviour in Ti-6Al-4V manufactured by selective laser melting"</t>
  </si>
  <si>
    <t>"Fatigue and biological properties of Ti-6Al-4V ELI cellular structures with variously arranged cubic cells made by selective laser melting"</t>
  </si>
  <si>
    <t>"Fatigue assessment of Ti–6Al–4V circular notched specimens produced by selective laser melting"</t>
  </si>
  <si>
    <t>"Fatigue behavior and failure mechanisms of direct laser deposited Ti–6Al–4V"</t>
  </si>
  <si>
    <t>"Fatigue behaviour of notched additive manufactured Ti6Al4V with as-built surfaces"</t>
  </si>
  <si>
    <t>"Fatigue behaviour of PBF additive manufactured TI6AL4V alloy after shot and laser peening"</t>
  </si>
  <si>
    <t>"Fatigue crack growth behavior of laser powder bed fusion additive manufactured Ti-6Al-4V: Roles of post heat treatment and build orientation"</t>
  </si>
  <si>
    <t>"Fatigue crack growth for through and part-through cracks in additively manufactured Ti6Al4V"</t>
  </si>
  <si>
    <t>"Fatigue life of additively manufactured Ti–6Al–4V in the very high cycle fatigue regime"</t>
  </si>
  <si>
    <t>"Fatigue Life of Titanium Alloys Fabricated by Additive Layer Manufacturing Techniques for Dental Implants"</t>
  </si>
  <si>
    <t>"Fatigue performance evaluation of selective laser melted Ti–6Al–4V"</t>
  </si>
  <si>
    <t>"Fatigue performance of additive manufactured TiAl6V4 using electron and laser beam melting"</t>
  </si>
  <si>
    <t>"Fatigue Performance of Additively Manufactured Ti-6Al-4V: Surface Condition vs. Internal Defects"</t>
  </si>
  <si>
    <t>"Fatigue Performance of Laser Additive Manufactured Ti–6Al–4V in Very High Cycle Fatigue Regime up to 109 Cycles"</t>
  </si>
  <si>
    <t>"Fatigue performances of chemically etched thin struts built by selective electron beam melting: Experiments and predictions"</t>
  </si>
  <si>
    <t>"Fatigue strength of blunt V-notched specimens produced by selective laser melting of Ti-6Al-4V"</t>
  </si>
  <si>
    <t>Powder Recycling Effects on the Tensile and Fatigue Behavior of Additively Manufactured Ti-6Al-4V Parts</t>
  </si>
  <si>
    <t>F</t>
  </si>
  <si>
    <t>AM</t>
  </si>
  <si>
    <t xml:space="preserve">Combined </t>
  </si>
  <si>
    <r>
      <rPr>
        <b/>
        <sz val="10"/>
        <rFont val="Calibri"/>
        <family val="2"/>
        <scheme val="minor"/>
      </rPr>
      <t>Material</t>
    </r>
    <r>
      <rPr>
        <sz val="10"/>
        <rFont val="Calibri"/>
        <family val="2"/>
        <scheme val="minor"/>
      </rPr>
      <t xml:space="preserve"> specification (i.e. Ti-6Al-4V) &amp; CHEMICAL COMPOSITION</t>
    </r>
  </si>
  <si>
    <t>Comb.</t>
  </si>
  <si>
    <r>
      <rPr>
        <b/>
        <sz val="10"/>
        <rFont val="Calibri"/>
        <family val="2"/>
        <scheme val="minor"/>
      </rPr>
      <t>Chemical</t>
    </r>
    <r>
      <rPr>
        <sz val="10"/>
        <rFont val="Calibri"/>
        <family val="2"/>
        <scheme val="minor"/>
      </rPr>
      <t xml:space="preserve"> composition</t>
    </r>
  </si>
  <si>
    <r>
      <rPr>
        <b/>
        <sz val="10"/>
        <rFont val="Calibri"/>
        <family val="2"/>
        <scheme val="minor"/>
      </rPr>
      <t>Tensile</t>
    </r>
    <r>
      <rPr>
        <sz val="10"/>
        <rFont val="Calibri"/>
        <family val="2"/>
        <scheme val="minor"/>
      </rPr>
      <t xml:space="preserve"> strength or </t>
    </r>
    <r>
      <rPr>
        <b/>
        <sz val="10"/>
        <rFont val="Calibri"/>
        <family val="2"/>
        <scheme val="minor"/>
      </rPr>
      <t>yield</t>
    </r>
    <r>
      <rPr>
        <sz val="10"/>
        <rFont val="Calibri"/>
        <family val="2"/>
        <scheme val="minor"/>
      </rPr>
      <t xml:space="preserve"> strength</t>
    </r>
  </si>
  <si>
    <t>Microstructure - grain size and phase composition</t>
  </si>
  <si>
    <r>
      <rPr>
        <b/>
        <sz val="10"/>
        <rFont val="Calibri"/>
        <family val="2"/>
        <scheme val="minor"/>
      </rPr>
      <t>Heat treatment,</t>
    </r>
    <r>
      <rPr>
        <sz val="10"/>
        <rFont val="Calibri"/>
        <family val="2"/>
        <scheme val="minor"/>
      </rPr>
      <t xml:space="preserve"> or lack of</t>
    </r>
  </si>
  <si>
    <r>
      <rPr>
        <b/>
        <sz val="10"/>
        <rFont val="Calibri"/>
        <family val="2"/>
        <scheme val="minor"/>
      </rPr>
      <t>AM process</t>
    </r>
    <r>
      <rPr>
        <sz val="10"/>
        <rFont val="Calibri"/>
        <family val="2"/>
        <scheme val="minor"/>
      </rPr>
      <t xml:space="preserve"> used to create specimen</t>
    </r>
  </si>
  <si>
    <r>
      <rPr>
        <b/>
        <sz val="10"/>
        <rFont val="Calibri"/>
        <family val="2"/>
        <scheme val="minor"/>
      </rPr>
      <t>Type of test</t>
    </r>
    <r>
      <rPr>
        <sz val="10"/>
        <rFont val="Calibri"/>
        <family val="2"/>
        <scheme val="minor"/>
      </rPr>
      <t xml:space="preserve"> (axial, rotary bending, plane bending, or torsion)</t>
    </r>
  </si>
  <si>
    <r>
      <rPr>
        <b/>
        <sz val="10"/>
        <rFont val="Calibri"/>
        <family val="2"/>
        <scheme val="minor"/>
      </rPr>
      <t>Frequency</t>
    </r>
    <r>
      <rPr>
        <sz val="10"/>
        <rFont val="Calibri"/>
        <family val="2"/>
        <scheme val="minor"/>
      </rPr>
      <t xml:space="preserve"> of force application</t>
    </r>
  </si>
  <si>
    <r>
      <t xml:space="preserve">Average </t>
    </r>
    <r>
      <rPr>
        <b/>
        <sz val="10"/>
        <rFont val="Calibri"/>
        <family val="2"/>
        <scheme val="minor"/>
      </rPr>
      <t>temperature</t>
    </r>
    <r>
      <rPr>
        <sz val="10"/>
        <rFont val="Calibri"/>
        <family val="2"/>
        <scheme val="minor"/>
      </rPr>
      <t xml:space="preserve"> and relative </t>
    </r>
    <r>
      <rPr>
        <b/>
        <sz val="10"/>
        <rFont val="Calibri"/>
        <family val="2"/>
        <scheme val="minor"/>
      </rPr>
      <t>humidity</t>
    </r>
    <r>
      <rPr>
        <sz val="10"/>
        <rFont val="Calibri"/>
        <family val="2"/>
        <scheme val="minor"/>
      </rPr>
      <t xml:space="preserve"> range</t>
    </r>
  </si>
  <si>
    <r>
      <rPr>
        <b/>
        <sz val="10"/>
        <rFont val="Calibri"/>
        <family val="2"/>
        <scheme val="minor"/>
      </rPr>
      <t>Graphical presentation</t>
    </r>
    <r>
      <rPr>
        <sz val="10"/>
        <rFont val="Calibri"/>
        <family val="2"/>
        <scheme val="minor"/>
      </rPr>
      <t xml:space="preserve"> of all test results</t>
    </r>
  </si>
  <si>
    <t>Stress ratio</t>
  </si>
  <si>
    <r>
      <t>Mean powder size/</t>
    </r>
    <r>
      <rPr>
        <b/>
        <sz val="10"/>
        <rFont val="Calibri"/>
        <family val="2"/>
        <scheme val="minor"/>
      </rPr>
      <t>PSD</t>
    </r>
    <r>
      <rPr>
        <sz val="10"/>
        <rFont val="Calibri"/>
        <family val="2"/>
        <scheme val="minor"/>
      </rPr>
      <t xml:space="preserve"> (feedstock description)</t>
    </r>
  </si>
  <si>
    <t>Process for re-using feedstock/powder</t>
  </si>
  <si>
    <r>
      <t xml:space="preserve">Build </t>
    </r>
    <r>
      <rPr>
        <b/>
        <sz val="10"/>
        <rFont val="Calibri"/>
        <family val="2"/>
        <scheme val="minor"/>
      </rPr>
      <t>orientation</t>
    </r>
  </si>
  <si>
    <r>
      <rPr>
        <b/>
        <sz val="10"/>
        <rFont val="Calibri"/>
        <family val="2"/>
        <scheme val="minor"/>
      </rPr>
      <t>Number</t>
    </r>
    <r>
      <rPr>
        <sz val="10"/>
        <rFont val="Calibri"/>
        <family val="2"/>
        <scheme val="minor"/>
      </rPr>
      <t xml:space="preserve"> of samples</t>
    </r>
  </si>
  <si>
    <r>
      <rPr>
        <b/>
        <sz val="10"/>
        <rFont val="Calibri"/>
        <family val="2"/>
        <scheme val="minor"/>
      </rPr>
      <t>Shape, size</t>
    </r>
    <r>
      <rPr>
        <sz val="10"/>
        <rFont val="Calibri"/>
        <family val="2"/>
        <scheme val="minor"/>
      </rPr>
      <t xml:space="preserve"> &amp; </t>
    </r>
    <r>
      <rPr>
        <b/>
        <sz val="10"/>
        <rFont val="Calibri"/>
        <family val="2"/>
        <scheme val="minor"/>
      </rPr>
      <t>dimensions</t>
    </r>
    <r>
      <rPr>
        <sz val="10"/>
        <rFont val="Calibri"/>
        <family val="2"/>
        <scheme val="minor"/>
      </rPr>
      <t xml:space="preserve"> of fatigue test specimens with tolerances</t>
    </r>
  </si>
  <si>
    <t>Derivation (or method of computation) of dynamic stresses on test section.</t>
  </si>
  <si>
    <t>~</t>
  </si>
  <si>
    <r>
      <t xml:space="preserve">AM build </t>
    </r>
    <r>
      <rPr>
        <b/>
        <sz val="10"/>
        <rFont val="Calibri"/>
        <family val="2"/>
        <scheme val="minor"/>
      </rPr>
      <t>layout</t>
    </r>
  </si>
  <si>
    <r>
      <t xml:space="preserve">Description of </t>
    </r>
    <r>
      <rPr>
        <b/>
        <sz val="10"/>
        <rFont val="Calibri"/>
        <family val="2"/>
        <scheme val="minor"/>
      </rPr>
      <t>fracture surface</t>
    </r>
    <r>
      <rPr>
        <sz val="10"/>
        <rFont val="Calibri"/>
        <family val="2"/>
        <scheme val="minor"/>
      </rPr>
      <t xml:space="preserve"> and</t>
    </r>
    <r>
      <rPr>
        <b/>
        <sz val="10"/>
        <rFont val="Calibri"/>
        <family val="2"/>
        <scheme val="minor"/>
      </rPr>
      <t xml:space="preserve"> failure origin</t>
    </r>
    <r>
      <rPr>
        <sz val="10"/>
        <rFont val="Calibri"/>
        <family val="2"/>
        <scheme val="minor"/>
      </rPr>
      <t>, if applicable.</t>
    </r>
  </si>
  <si>
    <r>
      <t xml:space="preserve">post manufacture </t>
    </r>
    <r>
      <rPr>
        <b/>
        <sz val="10"/>
        <rFont val="Calibri"/>
        <family val="2"/>
        <scheme val="minor"/>
      </rPr>
      <t>shape and dimension</t>
    </r>
    <r>
      <rPr>
        <sz val="10"/>
        <rFont val="Calibri"/>
        <family val="2"/>
        <scheme val="minor"/>
      </rPr>
      <t xml:space="preserve"> measurements with tolerances.</t>
    </r>
  </si>
  <si>
    <r>
      <rPr>
        <b/>
        <sz val="10"/>
        <rFont val="Calibri"/>
        <family val="2"/>
        <scheme val="minor"/>
      </rPr>
      <t>Non destructive inspection</t>
    </r>
    <r>
      <rPr>
        <sz val="10"/>
        <rFont val="Calibri"/>
        <family val="2"/>
        <scheme val="minor"/>
      </rPr>
      <t xml:space="preserve"> procedures and results i.e. roughness, measurement, porosity analysis via CT.</t>
    </r>
  </si>
  <si>
    <r>
      <t xml:space="preserve">Monotonic mechanical properties </t>
    </r>
    <r>
      <rPr>
        <b/>
        <sz val="10"/>
        <rFont val="Calibri"/>
        <family val="2"/>
        <scheme val="minor"/>
      </rPr>
      <t>test standard designation</t>
    </r>
    <r>
      <rPr>
        <sz val="10"/>
        <rFont val="Calibri"/>
        <family val="2"/>
        <scheme val="minor"/>
      </rPr>
      <t xml:space="preserve"> i.e. ASTM E8</t>
    </r>
  </si>
  <si>
    <r>
      <t>Manufacturer of</t>
    </r>
    <r>
      <rPr>
        <b/>
        <sz val="10"/>
        <rFont val="Calibri"/>
        <family val="2"/>
        <scheme val="minor"/>
      </rPr>
      <t xml:space="preserve"> test machine</t>
    </r>
    <r>
      <rPr>
        <sz val="10"/>
        <rFont val="Calibri"/>
        <family val="2"/>
        <scheme val="minor"/>
      </rPr>
      <t xml:space="preserve"> (calibration of machine?)</t>
    </r>
  </si>
  <si>
    <t>Number of testing machines used, if applicable</t>
  </si>
  <si>
    <t>Method of dynamic force verification and force monitoring procedures (ASTM E467)</t>
  </si>
  <si>
    <r>
      <rPr>
        <b/>
        <sz val="10"/>
        <rFont val="Calibri"/>
        <family val="2"/>
        <scheme val="minor"/>
      </rPr>
      <t>Yield/tensile point/strength</t>
    </r>
    <r>
      <rPr>
        <sz val="10"/>
        <rFont val="Calibri"/>
        <family val="2"/>
        <scheme val="minor"/>
      </rPr>
      <t xml:space="preserve"> at a specified onset</t>
    </r>
  </si>
  <si>
    <r>
      <rPr>
        <b/>
        <sz val="10"/>
        <rFont val="Calibri"/>
        <family val="2"/>
        <scheme val="minor"/>
      </rPr>
      <t>Elongation</t>
    </r>
    <r>
      <rPr>
        <sz val="10"/>
        <rFont val="Calibri"/>
        <family val="2"/>
        <scheme val="minor"/>
      </rPr>
      <t xml:space="preserve"> in a specified gauge length</t>
    </r>
  </si>
  <si>
    <r>
      <rPr>
        <b/>
        <sz val="10"/>
        <rFont val="Calibri"/>
        <family val="2"/>
        <scheme val="minor"/>
      </rPr>
      <t>Statistical technique</t>
    </r>
    <r>
      <rPr>
        <sz val="10"/>
        <rFont val="Calibri"/>
        <family val="2"/>
        <scheme val="minor"/>
      </rPr>
      <t xml:space="preserve"> used to design the </t>
    </r>
    <r>
      <rPr>
        <b/>
        <sz val="10"/>
        <rFont val="Calibri"/>
        <family val="2"/>
        <scheme val="minor"/>
      </rPr>
      <t>fatigue test program</t>
    </r>
    <r>
      <rPr>
        <sz val="10"/>
        <rFont val="Calibri"/>
        <family val="2"/>
        <scheme val="minor"/>
      </rPr>
      <t>, if applicable</t>
    </r>
  </si>
  <si>
    <r>
      <t xml:space="preserve">Experimental </t>
    </r>
    <r>
      <rPr>
        <b/>
        <sz val="10"/>
        <rFont val="Calibri"/>
        <family val="2"/>
        <scheme val="minor"/>
      </rPr>
      <t>stress analysis</t>
    </r>
    <r>
      <rPr>
        <sz val="10"/>
        <rFont val="Calibri"/>
        <family val="2"/>
        <scheme val="minor"/>
      </rPr>
      <t xml:space="preserve"> techniques (for example, electric resistance strain gage, DIC), if applicable.
strain gages, photoelastic coating, etc</t>
    </r>
  </si>
  <si>
    <t>Failure criterion</t>
  </si>
  <si>
    <r>
      <t xml:space="preserve">Number of cycles to </t>
    </r>
    <r>
      <rPr>
        <b/>
        <sz val="10"/>
        <rFont val="Calibri"/>
        <family val="2"/>
        <scheme val="minor"/>
      </rPr>
      <t>run-out</t>
    </r>
  </si>
  <si>
    <r>
      <rPr>
        <b/>
        <sz val="10"/>
        <rFont val="Calibri"/>
        <family val="2"/>
        <scheme val="minor"/>
      </rPr>
      <t>Graphical presentation</t>
    </r>
    <r>
      <rPr>
        <sz val="10"/>
        <rFont val="Calibri"/>
        <family val="2"/>
        <scheme val="minor"/>
      </rPr>
      <t xml:space="preserve"> should include material specification, tensile strength, surface condition, type of fatigue test, stress ratio, test frequency, environment and temperature</t>
    </r>
  </si>
  <si>
    <t>MAX</t>
  </si>
  <si>
    <t>MIN</t>
  </si>
  <si>
    <t>AVERAGE</t>
  </si>
  <si>
    <t>SD</t>
  </si>
  <si>
    <t>COMBINED</t>
  </si>
  <si>
    <t>FATIGUE</t>
  </si>
  <si>
    <t>All</t>
  </si>
  <si>
    <t>Ra</t>
  </si>
  <si>
    <t>Rz</t>
  </si>
  <si>
    <t>S@10^4</t>
  </si>
  <si>
    <t>S@10^5</t>
  </si>
  <si>
    <t>S@10^6</t>
  </si>
  <si>
    <t>R=0.1, 90°, AB + HIP</t>
  </si>
  <si>
    <t>R=0.1, 90°, Mach + HIP</t>
  </si>
  <si>
    <t>R=0.1, 90°, Blast + HIP</t>
  </si>
  <si>
    <t>R=0.1, 90°, Vib Grnd + HIP</t>
  </si>
  <si>
    <t>R=0.1, 90°, Mic Mach + HIP</t>
  </si>
  <si>
    <t>R=0.1, 90°, AB</t>
  </si>
  <si>
    <t>R=-1, 90°, AB + SR</t>
  </si>
  <si>
    <t>R=-1, 90°, Trib.+ HIP</t>
  </si>
  <si>
    <t>R=0.1, n/a, AB + SR</t>
  </si>
  <si>
    <t>R=0.1, 90°, SB + SR</t>
  </si>
  <si>
    <t>R=0.1, 90°, Etch + HIP</t>
  </si>
  <si>
    <t>R=-1, 90°, AB + HIP</t>
  </si>
  <si>
    <t>R=-1, 90°, AB</t>
  </si>
  <si>
    <t>R=-1, 90°, AB+HIP</t>
  </si>
  <si>
    <t>R=0.1, 90°, SB + HT</t>
  </si>
  <si>
    <t>R=-0.2, 90°, AB</t>
  </si>
  <si>
    <t>R=-0.2, 0°, AB</t>
  </si>
  <si>
    <t>R=0.1, 90°, SB + HIP</t>
  </si>
  <si>
    <t>R=0.1, 0°, AB + HIP</t>
  </si>
  <si>
    <t>R=0.1, 0°, AB + SR</t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</si>
  <si>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f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</si>
  <si>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AM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</si>
  <si>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</si>
  <si>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</si>
  <si>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C_2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</si>
  <si>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C_3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</si>
  <si>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C_4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</si>
  <si>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C_5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</si>
  <si>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C_6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</si>
  <si>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C_7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</si>
  <si>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C_8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</si>
  <si>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C_9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</si>
  <si>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C_10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</si>
  <si>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C_11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</si>
  <si>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C_12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</si>
  <si>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C_13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</si>
  <si>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C_14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</si>
  <si>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C_15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</si>
  <si>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C_16</t>
    </r>
  </si>
  <si>
    <r>
      <rPr>
        <i/>
        <sz val="20"/>
        <rFont val="Calibri"/>
        <family val="2"/>
      </rPr>
      <t>ω</t>
    </r>
    <r>
      <rPr>
        <i/>
        <sz val="7.7"/>
        <rFont val="Calibri"/>
        <family val="2"/>
      </rPr>
      <t>C_17</t>
    </r>
  </si>
  <si>
    <r>
      <rPr>
        <b/>
        <sz val="10"/>
        <rFont val="Calibri"/>
        <family val="2"/>
        <scheme val="minor"/>
      </rPr>
      <t>Forcing function</t>
    </r>
    <r>
      <rPr>
        <sz val="10"/>
        <rFont val="Calibri"/>
        <family val="2"/>
        <scheme val="minor"/>
      </rPr>
      <t xml:space="preserve"> (e.g. sine, square etc.)</t>
    </r>
  </si>
  <si>
    <r>
      <rPr>
        <b/>
        <sz val="10"/>
        <rFont val="Calibri"/>
        <family val="2"/>
        <scheme val="minor"/>
      </rPr>
      <t>Polishing</t>
    </r>
    <r>
      <rPr>
        <sz val="10"/>
        <rFont val="Calibri"/>
        <family val="2"/>
        <scheme val="minor"/>
      </rPr>
      <t xml:space="preserve"> sequence and direction (if applicable)</t>
    </r>
  </si>
  <si>
    <r>
      <t xml:space="preserve">Functional </t>
    </r>
    <r>
      <rPr>
        <b/>
        <sz val="10"/>
        <rFont val="Calibri"/>
        <family val="2"/>
        <scheme val="minor"/>
      </rPr>
      <t>characteristic of test machine</t>
    </r>
    <r>
      <rPr>
        <sz val="10"/>
        <rFont val="Calibri"/>
        <family val="2"/>
        <scheme val="minor"/>
      </rPr>
      <t xml:space="preserve"> e.g. pneumatic, electrohydraulic</t>
    </r>
  </si>
  <si>
    <r>
      <t xml:space="preserve">Reason for </t>
    </r>
    <r>
      <rPr>
        <b/>
        <sz val="10"/>
        <rFont val="Calibri"/>
        <family val="2"/>
        <scheme val="minor"/>
      </rPr>
      <t>test-termination</t>
    </r>
    <r>
      <rPr>
        <sz val="10"/>
        <rFont val="Calibri"/>
        <family val="2"/>
        <scheme val="minor"/>
      </rPr>
      <t xml:space="preserve"> (failure or run-out).</t>
    </r>
  </si>
  <si>
    <t>Paper reference -&gt;</t>
  </si>
  <si>
    <t>Ref.</t>
  </si>
  <si>
    <t>Core</t>
  </si>
  <si>
    <t>HIP</t>
  </si>
  <si>
    <t>SR</t>
  </si>
  <si>
    <t>Machined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</si>
</sst>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name val="Calibri"/>
      <family val="2"/>
    </font>
    <font>
      <i/>
      <sz val="20"/>
      <name val="Calibri"/>
      <family val="2"/>
    </font>
    <font>
      <i/>
      <sz val="7.7"/>
      <name val="Calibri"/>
      <family val="2"/>
    </font>
    <font>
      <b/>
      <u/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vertical="top" wrapText="1"/>
    </xf>
    <xf numFmtId="0" fontId="3" fillId="0" borderId="0" xfId="0" applyFont="1"/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9" fontId="3" fillId="0" borderId="0" xfId="1" applyFont="1" applyFill="1"/>
    <xf numFmtId="0" fontId="17" fillId="0" borderId="0" xfId="0" applyFont="1"/>
    <xf numFmtId="9" fontId="0" fillId="0" borderId="0" xfId="1" applyFont="1" applyAlignment="1">
      <alignment horizontal="center"/>
    </xf>
    <xf numFmtId="9" fontId="17" fillId="0" borderId="0" xfId="0" applyNumberFormat="1" applyFont="1"/>
    <xf numFmtId="9" fontId="17" fillId="0" borderId="0" xfId="1" applyFont="1"/>
    <xf numFmtId="166" fontId="17" fillId="0" borderId="0" xfId="0" applyNumberFormat="1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/>
    <xf numFmtId="0" fontId="16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 applyProtection="1">
      <alignment horizontal="center"/>
      <protection locked="0"/>
    </xf>
    <xf numFmtId="2" fontId="3" fillId="0" borderId="0" xfId="0" applyNumberFormat="1" applyFont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 vertical="center"/>
    </xf>
    <xf numFmtId="1" fontId="3" fillId="0" borderId="0" xfId="0" applyNumberFormat="1" applyFont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/>
    </xf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957549308983646E-2"/>
          <c:y val="3.0114666079504086E-2"/>
          <c:w val="0.51840206676969092"/>
          <c:h val="0.79896185861734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'Fatigue Data'!$A$3</c:f>
              <c:strCache>
                <c:ptCount val="1"/>
                <c:pt idx="0">
                  <c:v>[27], R=0, 90°,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'Fatigue Data'!$L$3:$L$10</c:f>
              <c:numCache>
                <c:formatCode>0.0E+00</c:formatCode>
                <c:ptCount val="8"/>
                <c:pt idx="0">
                  <c:v>5250</c:v>
                </c:pt>
                <c:pt idx="1">
                  <c:v>9000</c:v>
                </c:pt>
                <c:pt idx="2">
                  <c:v>10000</c:v>
                </c:pt>
                <c:pt idx="3">
                  <c:v>7000</c:v>
                </c:pt>
                <c:pt idx="4">
                  <c:v>25000</c:v>
                </c:pt>
                <c:pt idx="5">
                  <c:v>21000</c:v>
                </c:pt>
                <c:pt idx="6">
                  <c:v>50000</c:v>
                </c:pt>
                <c:pt idx="7">
                  <c:v>150000</c:v>
                </c:pt>
              </c:numCache>
            </c:numRef>
          </c:xVal>
          <c:yVal>
            <c:numRef>
              <c:f>'Fatigue Data'!$K$3:$K$10</c:f>
              <c:numCache>
                <c:formatCode>General</c:formatCode>
                <c:ptCount val="8"/>
                <c:pt idx="0">
                  <c:v>205.89775431689327</c:v>
                </c:pt>
                <c:pt idx="1">
                  <c:v>201.77979923055543</c:v>
                </c:pt>
                <c:pt idx="2">
                  <c:v>172.95411362619035</c:v>
                </c:pt>
                <c:pt idx="3">
                  <c:v>172.95411362619035</c:v>
                </c:pt>
                <c:pt idx="4">
                  <c:v>140.01047293548743</c:v>
                </c:pt>
                <c:pt idx="5">
                  <c:v>135.89251784914956</c:v>
                </c:pt>
                <c:pt idx="6">
                  <c:v>115.30274241746024</c:v>
                </c:pt>
                <c:pt idx="7">
                  <c:v>90.595011899433047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E-4999-BA69-CA3359D5CB9D}"/>
            </c:ext>
          </c:extLst>
        </c:ser>
        <c:ser>
          <c:idx val="1"/>
          <c:order val="1"/>
          <c:tx>
            <c:strRef>
              <c:f>'Fatigue Data'!$A$14</c:f>
              <c:strCache>
                <c:ptCount val="1"/>
                <c:pt idx="0">
                  <c:v>[27], R=0, 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'Fatigue Data'!$L$14:$L$22</c:f>
              <c:numCache>
                <c:formatCode>0.0E+00</c:formatCode>
                <c:ptCount val="9"/>
                <c:pt idx="0">
                  <c:v>19000</c:v>
                </c:pt>
                <c:pt idx="1">
                  <c:v>21000</c:v>
                </c:pt>
                <c:pt idx="2">
                  <c:v>40000</c:v>
                </c:pt>
                <c:pt idx="3">
                  <c:v>50000</c:v>
                </c:pt>
                <c:pt idx="4">
                  <c:v>100000</c:v>
                </c:pt>
                <c:pt idx="5">
                  <c:v>115000</c:v>
                </c:pt>
                <c:pt idx="6">
                  <c:v>150000</c:v>
                </c:pt>
                <c:pt idx="7">
                  <c:v>250000</c:v>
                </c:pt>
                <c:pt idx="8">
                  <c:v>300000</c:v>
                </c:pt>
              </c:numCache>
            </c:numRef>
          </c:xVal>
          <c:yVal>
            <c:numRef>
              <c:f>'Fatigue Data'!$K$14:$K$22</c:f>
              <c:numCache>
                <c:formatCode>General</c:formatCode>
                <c:ptCount val="9"/>
                <c:pt idx="0">
                  <c:v>201.77979923055543</c:v>
                </c:pt>
                <c:pt idx="1">
                  <c:v>197.66184414421755</c:v>
                </c:pt>
                <c:pt idx="2">
                  <c:v>168.83615853985248</c:v>
                </c:pt>
                <c:pt idx="3">
                  <c:v>164.71820345351463</c:v>
                </c:pt>
                <c:pt idx="4">
                  <c:v>135.89251784914956</c:v>
                </c:pt>
                <c:pt idx="5">
                  <c:v>131.77456276281168</c:v>
                </c:pt>
                <c:pt idx="6">
                  <c:v>131.77456276281168</c:v>
                </c:pt>
                <c:pt idx="7">
                  <c:v>115.30274241746024</c:v>
                </c:pt>
                <c:pt idx="8">
                  <c:v>107.06683224478451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E-4999-BA69-CA3359D5CB9D}"/>
            </c:ext>
          </c:extLst>
        </c:ser>
        <c:ser>
          <c:idx val="2"/>
          <c:order val="2"/>
          <c:tx>
            <c:strRef>
              <c:f>'Fatigue Data'!$A$26</c:f>
              <c:strCache>
                <c:ptCount val="1"/>
                <c:pt idx="0">
                  <c:v>[27], R=0, 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'Fatigue Data'!$L$26:$L$32</c:f>
              <c:numCache>
                <c:formatCode>0.0E+00</c:formatCode>
                <c:ptCount val="7"/>
                <c:pt idx="0">
                  <c:v>17500</c:v>
                </c:pt>
                <c:pt idx="1">
                  <c:v>25000</c:v>
                </c:pt>
                <c:pt idx="2">
                  <c:v>40000</c:v>
                </c:pt>
                <c:pt idx="3">
                  <c:v>80000</c:v>
                </c:pt>
                <c:pt idx="4">
                  <c:v>125000</c:v>
                </c:pt>
                <c:pt idx="5">
                  <c:v>14000</c:v>
                </c:pt>
                <c:pt idx="6">
                  <c:v>210000</c:v>
                </c:pt>
              </c:numCache>
            </c:numRef>
          </c:xVal>
          <c:yVal>
            <c:numRef>
              <c:f>'Fatigue Data'!$K$26:$K$32</c:f>
              <c:numCache>
                <c:formatCode>General</c:formatCode>
                <c:ptCount val="7"/>
                <c:pt idx="0">
                  <c:v>201.77979923055543</c:v>
                </c:pt>
                <c:pt idx="1">
                  <c:v>197.66184414421755</c:v>
                </c:pt>
                <c:pt idx="2">
                  <c:v>168.83615853985248</c:v>
                </c:pt>
                <c:pt idx="3">
                  <c:v>140.01047293548743</c:v>
                </c:pt>
                <c:pt idx="4">
                  <c:v>123.53865259013597</c:v>
                </c:pt>
                <c:pt idx="5">
                  <c:v>115.30274241746024</c:v>
                </c:pt>
                <c:pt idx="6">
                  <c:v>107.06683224478451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E-4999-BA69-CA3359D5CB9D}"/>
            </c:ext>
          </c:extLst>
        </c:ser>
        <c:ser>
          <c:idx val="3"/>
          <c:order val="3"/>
          <c:tx>
            <c:strRef>
              <c:f>'Fatigue Data'!$A$36</c:f>
              <c:strCache>
                <c:ptCount val="1"/>
                <c:pt idx="0">
                  <c:v>[28], R=0.1, 90°,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'Fatigue Data'!$L$36:$L$46</c:f>
              <c:numCache>
                <c:formatCode>0.0E+00</c:formatCode>
                <c:ptCount val="11"/>
                <c:pt idx="0">
                  <c:v>27500</c:v>
                </c:pt>
                <c:pt idx="1">
                  <c:v>27500</c:v>
                </c:pt>
                <c:pt idx="2">
                  <c:v>39000</c:v>
                </c:pt>
                <c:pt idx="3">
                  <c:v>55000</c:v>
                </c:pt>
                <c:pt idx="4">
                  <c:v>80000</c:v>
                </c:pt>
                <c:pt idx="5">
                  <c:v>55000</c:v>
                </c:pt>
                <c:pt idx="6">
                  <c:v>95000</c:v>
                </c:pt>
                <c:pt idx="7">
                  <c:v>110000</c:v>
                </c:pt>
                <c:pt idx="8">
                  <c:v>180000</c:v>
                </c:pt>
                <c:pt idx="9">
                  <c:v>200000</c:v>
                </c:pt>
                <c:pt idx="10">
                  <c:v>40000000</c:v>
                </c:pt>
              </c:numCache>
            </c:numRef>
          </c:xVal>
          <c:yVal>
            <c:numRef>
              <c:f>'Fatigue Data'!$K$36:$K$46</c:f>
              <c:numCache>
                <c:formatCode>General</c:formatCode>
                <c:ptCount val="11"/>
                <c:pt idx="0">
                  <c:v>479.78951642195676</c:v>
                </c:pt>
                <c:pt idx="1">
                  <c:v>439.80705672012704</c:v>
                </c:pt>
                <c:pt idx="2">
                  <c:v>399.82459701829731</c:v>
                </c:pt>
                <c:pt idx="3">
                  <c:v>379.83336716738245</c:v>
                </c:pt>
                <c:pt idx="4">
                  <c:v>359.84213731646759</c:v>
                </c:pt>
                <c:pt idx="5">
                  <c:v>359.84213731646759</c:v>
                </c:pt>
                <c:pt idx="6">
                  <c:v>319.85967761463786</c:v>
                </c:pt>
                <c:pt idx="7">
                  <c:v>299.868447763723</c:v>
                </c:pt>
                <c:pt idx="8">
                  <c:v>279.87721791280813</c:v>
                </c:pt>
                <c:pt idx="9">
                  <c:v>259.88598806189327</c:v>
                </c:pt>
                <c:pt idx="10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E-4999-BA69-CA3359D5CB9D}"/>
            </c:ext>
          </c:extLst>
        </c:ser>
        <c:ser>
          <c:idx val="4"/>
          <c:order val="4"/>
          <c:tx>
            <c:strRef>
              <c:f>'Fatigue Data'!$A$50</c:f>
              <c:strCache>
                <c:ptCount val="1"/>
                <c:pt idx="0">
                  <c:v>[28],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'Fatigue Data'!$L$50:$L$60</c:f>
              <c:numCache>
                <c:formatCode>0.0E+00</c:formatCode>
                <c:ptCount val="11"/>
                <c:pt idx="0">
                  <c:v>50000</c:v>
                </c:pt>
                <c:pt idx="1">
                  <c:v>100000</c:v>
                </c:pt>
                <c:pt idx="2">
                  <c:v>600000</c:v>
                </c:pt>
                <c:pt idx="3" formatCode="0.00E+00">
                  <c:v>5000000</c:v>
                </c:pt>
                <c:pt idx="4">
                  <c:v>3000000</c:v>
                </c:pt>
                <c:pt idx="5">
                  <c:v>4000000</c:v>
                </c:pt>
                <c:pt idx="6">
                  <c:v>8000000</c:v>
                </c:pt>
                <c:pt idx="7">
                  <c:v>4000000</c:v>
                </c:pt>
                <c:pt idx="8">
                  <c:v>30000000</c:v>
                </c:pt>
                <c:pt idx="9">
                  <c:v>12500000</c:v>
                </c:pt>
                <c:pt idx="10">
                  <c:v>30000000</c:v>
                </c:pt>
              </c:numCache>
            </c:numRef>
          </c:xVal>
          <c:yVal>
            <c:numRef>
              <c:f>'Fatigue Data'!$K$50:$K$60</c:f>
              <c:numCache>
                <c:formatCode>General</c:formatCode>
                <c:ptCount val="11"/>
                <c:pt idx="0">
                  <c:v>719.68427463293517</c:v>
                </c:pt>
                <c:pt idx="1">
                  <c:v>679.70181493110545</c:v>
                </c:pt>
                <c:pt idx="2">
                  <c:v>659.71058508019053</c:v>
                </c:pt>
                <c:pt idx="3">
                  <c:v>659.71058508019053</c:v>
                </c:pt>
                <c:pt idx="4">
                  <c:v>639.71935522927572</c:v>
                </c:pt>
                <c:pt idx="5">
                  <c:v>639.71935522927572</c:v>
                </c:pt>
                <c:pt idx="6">
                  <c:v>639.71935522927572</c:v>
                </c:pt>
                <c:pt idx="7">
                  <c:v>619.7281253783608</c:v>
                </c:pt>
                <c:pt idx="8">
                  <c:v>619.7281253783608</c:v>
                </c:pt>
                <c:pt idx="9">
                  <c:v>599.73689552744599</c:v>
                </c:pt>
                <c:pt idx="10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E-4999-BA69-CA3359D5CB9D}"/>
            </c:ext>
          </c:extLst>
        </c:ser>
        <c:ser>
          <c:idx val="5"/>
          <c:order val="5"/>
          <c:tx>
            <c:strRef>
              <c:f>'Fatigue Data'!$A$64</c:f>
              <c:strCache>
                <c:ptCount val="1"/>
                <c:pt idx="0">
                  <c:v>[28], R=0.1, 90°, Blast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'Fatigue Data'!$L$64:$L$75</c:f>
              <c:numCache>
                <c:formatCode>0.0E+00</c:formatCode>
                <c:ptCount val="12"/>
                <c:pt idx="0">
                  <c:v>40000</c:v>
                </c:pt>
                <c:pt idx="1">
                  <c:v>70000</c:v>
                </c:pt>
                <c:pt idx="2">
                  <c:v>250000</c:v>
                </c:pt>
                <c:pt idx="3">
                  <c:v>2500000</c:v>
                </c:pt>
                <c:pt idx="4">
                  <c:v>110000</c:v>
                </c:pt>
                <c:pt idx="5">
                  <c:v>80000</c:v>
                </c:pt>
                <c:pt idx="6">
                  <c:v>120000</c:v>
                </c:pt>
                <c:pt idx="7">
                  <c:v>200000</c:v>
                </c:pt>
                <c:pt idx="8">
                  <c:v>150000</c:v>
                </c:pt>
                <c:pt idx="9">
                  <c:v>12500</c:v>
                </c:pt>
                <c:pt idx="10">
                  <c:v>30000000</c:v>
                </c:pt>
                <c:pt idx="11">
                  <c:v>30000000</c:v>
                </c:pt>
              </c:numCache>
            </c:numRef>
          </c:xVal>
          <c:yVal>
            <c:numRef>
              <c:f>'Fatigue Data'!$K$64:$K$75</c:f>
              <c:numCache>
                <c:formatCode>General</c:formatCode>
                <c:ptCount val="12"/>
                <c:pt idx="0">
                  <c:v>639.71935522927572</c:v>
                </c:pt>
                <c:pt idx="1">
                  <c:v>599.73689552744599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539.76320597470135</c:v>
                </c:pt>
                <c:pt idx="5">
                  <c:v>519.77197612378654</c:v>
                </c:pt>
                <c:pt idx="6">
                  <c:v>479.78951642195676</c:v>
                </c:pt>
                <c:pt idx="7">
                  <c:v>459.7982865710419</c:v>
                </c:pt>
                <c:pt idx="8">
                  <c:v>439.80705672012704</c:v>
                </c:pt>
                <c:pt idx="9">
                  <c:v>439.80705672012704</c:v>
                </c:pt>
                <c:pt idx="10">
                  <c:v>419.81582686921217</c:v>
                </c:pt>
                <c:pt idx="11">
                  <c:v>399.82459701829731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FE-4999-BA69-CA3359D5CB9D}"/>
            </c:ext>
          </c:extLst>
        </c:ser>
        <c:ser>
          <c:idx val="6"/>
          <c:order val="6"/>
          <c:tx>
            <c:strRef>
              <c:f>'Fatigue Data'!$A$79</c:f>
              <c:strCache>
                <c:ptCount val="1"/>
                <c:pt idx="0">
                  <c:v>[28], R=0.1, 90°, Vib Grnd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Data'!$L$79:$L$91</c:f>
              <c:numCache>
                <c:formatCode>0.0E+00</c:formatCode>
                <c:ptCount val="13"/>
                <c:pt idx="0">
                  <c:v>35000</c:v>
                </c:pt>
                <c:pt idx="1">
                  <c:v>49000</c:v>
                </c:pt>
                <c:pt idx="2">
                  <c:v>110000</c:v>
                </c:pt>
                <c:pt idx="3">
                  <c:v>140000</c:v>
                </c:pt>
                <c:pt idx="4">
                  <c:v>40000</c:v>
                </c:pt>
                <c:pt idx="5">
                  <c:v>30000</c:v>
                </c:pt>
                <c:pt idx="6">
                  <c:v>30000000</c:v>
                </c:pt>
                <c:pt idx="7">
                  <c:v>150000</c:v>
                </c:pt>
                <c:pt idx="8">
                  <c:v>75000</c:v>
                </c:pt>
                <c:pt idx="9">
                  <c:v>140000</c:v>
                </c:pt>
                <c:pt idx="10">
                  <c:v>120000</c:v>
                </c:pt>
                <c:pt idx="11">
                  <c:v>30000000</c:v>
                </c:pt>
                <c:pt idx="12">
                  <c:v>30000000</c:v>
                </c:pt>
              </c:numCache>
            </c:numRef>
          </c:xVal>
          <c:yVal>
            <c:numRef>
              <c:f>'Fatigue Data'!$K$79:$K$91</c:f>
              <c:numCache>
                <c:formatCode>General</c:formatCode>
                <c:ptCount val="13"/>
                <c:pt idx="0">
                  <c:v>639.71935522927572</c:v>
                </c:pt>
                <c:pt idx="1">
                  <c:v>599.73689552744599</c:v>
                </c:pt>
                <c:pt idx="2">
                  <c:v>559.75443582561627</c:v>
                </c:pt>
                <c:pt idx="3">
                  <c:v>519.77197612378654</c:v>
                </c:pt>
                <c:pt idx="4">
                  <c:v>499.78074627287162</c:v>
                </c:pt>
                <c:pt idx="5">
                  <c:v>479.78951642195676</c:v>
                </c:pt>
                <c:pt idx="6">
                  <c:v>459.7982865710419</c:v>
                </c:pt>
                <c:pt idx="7">
                  <c:v>439.80705672012704</c:v>
                </c:pt>
                <c:pt idx="8">
                  <c:v>419.81582686921217</c:v>
                </c:pt>
                <c:pt idx="9">
                  <c:v>399.82459701829731</c:v>
                </c:pt>
                <c:pt idx="10">
                  <c:v>359.84213731646759</c:v>
                </c:pt>
                <c:pt idx="11">
                  <c:v>339.85090746555272</c:v>
                </c:pt>
                <c:pt idx="12">
                  <c:v>319.85967761463786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FE-4999-BA69-CA3359D5CB9D}"/>
            </c:ext>
          </c:extLst>
        </c:ser>
        <c:ser>
          <c:idx val="7"/>
          <c:order val="7"/>
          <c:tx>
            <c:strRef>
              <c:f>'Fatigue Data'!$A$95</c:f>
              <c:strCache>
                <c:ptCount val="1"/>
                <c:pt idx="0">
                  <c:v>[28], R=0.1, 90°, Mic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Data'!$L$95:$L$105</c:f>
              <c:numCache>
                <c:formatCode>0.0E+00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30000</c:v>
                </c:pt>
                <c:pt idx="3">
                  <c:v>41000</c:v>
                </c:pt>
                <c:pt idx="4">
                  <c:v>75000</c:v>
                </c:pt>
                <c:pt idx="5">
                  <c:v>70000</c:v>
                </c:pt>
                <c:pt idx="6">
                  <c:v>70000</c:v>
                </c:pt>
                <c:pt idx="7">
                  <c:v>125000</c:v>
                </c:pt>
                <c:pt idx="8">
                  <c:v>9500000</c:v>
                </c:pt>
                <c:pt idx="9">
                  <c:v>175000</c:v>
                </c:pt>
                <c:pt idx="10">
                  <c:v>30000000</c:v>
                </c:pt>
              </c:numCache>
            </c:numRef>
          </c:xVal>
          <c:yVal>
            <c:numRef>
              <c:f>'Fatigue Data'!$K$95:$K$105</c:f>
              <c:numCache>
                <c:formatCode>General</c:formatCode>
                <c:ptCount val="11"/>
                <c:pt idx="0">
                  <c:v>599.73689552744599</c:v>
                </c:pt>
                <c:pt idx="1">
                  <c:v>559.75443582561627</c:v>
                </c:pt>
                <c:pt idx="2">
                  <c:v>519.77197612378654</c:v>
                </c:pt>
                <c:pt idx="3">
                  <c:v>479.78951642195676</c:v>
                </c:pt>
                <c:pt idx="4">
                  <c:v>459.7982865710419</c:v>
                </c:pt>
                <c:pt idx="5">
                  <c:v>439.80705672012704</c:v>
                </c:pt>
                <c:pt idx="6">
                  <c:v>431.81056477976108</c:v>
                </c:pt>
                <c:pt idx="7">
                  <c:v>419.81582686921217</c:v>
                </c:pt>
                <c:pt idx="8">
                  <c:v>419.81582686921217</c:v>
                </c:pt>
                <c:pt idx="9">
                  <c:v>403.82284298848026</c:v>
                </c:pt>
                <c:pt idx="10">
                  <c:v>399.82459701829731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FE-4999-BA69-CA3359D5CB9D}"/>
            </c:ext>
          </c:extLst>
        </c:ser>
        <c:ser>
          <c:idx val="8"/>
          <c:order val="8"/>
          <c:tx>
            <c:strRef>
              <c:f>'Fatigue Data'!$A$110</c:f>
              <c:strCache>
                <c:ptCount val="1"/>
                <c:pt idx="0">
                  <c:v>[29],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Data'!$L$110:$L$114</c:f>
              <c:numCache>
                <c:formatCode>0.0E+00</c:formatCode>
                <c:ptCount val="5"/>
                <c:pt idx="0">
                  <c:v>12000</c:v>
                </c:pt>
                <c:pt idx="1">
                  <c:v>60000</c:v>
                </c:pt>
                <c:pt idx="2">
                  <c:v>50000</c:v>
                </c:pt>
                <c:pt idx="3">
                  <c:v>70000</c:v>
                </c:pt>
                <c:pt idx="4">
                  <c:v>10000000</c:v>
                </c:pt>
              </c:numCache>
            </c:numRef>
          </c:xVal>
          <c:yVal>
            <c:numRef>
              <c:f>'Fatigue Data'!$K$110:$K$114</c:f>
              <c:numCache>
                <c:formatCode>General</c:formatCode>
                <c:ptCount val="5"/>
                <c:pt idx="0">
                  <c:v>479.78951642195676</c:v>
                </c:pt>
                <c:pt idx="1">
                  <c:v>399.82459701829731</c:v>
                </c:pt>
                <c:pt idx="2">
                  <c:v>399.82459701829731</c:v>
                </c:pt>
                <c:pt idx="3">
                  <c:v>359.84213731646759</c:v>
                </c:pt>
                <c:pt idx="4">
                  <c:v>279.87721791280813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FE-4999-BA69-CA3359D5CB9D}"/>
            </c:ext>
          </c:extLst>
        </c:ser>
        <c:ser>
          <c:idx val="9"/>
          <c:order val="9"/>
          <c:tx>
            <c:strRef>
              <c:f>'Fatigue Data'!$A$118</c:f>
              <c:strCache>
                <c:ptCount val="1"/>
                <c:pt idx="0">
                  <c:v>[29],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Data'!$L$118:$L$120</c:f>
              <c:numCache>
                <c:formatCode>0.0E+00</c:formatCode>
                <c:ptCount val="3"/>
                <c:pt idx="0">
                  <c:v>1250000</c:v>
                </c:pt>
                <c:pt idx="1">
                  <c:v>3500000</c:v>
                </c:pt>
                <c:pt idx="2">
                  <c:v>10000000</c:v>
                </c:pt>
              </c:numCache>
            </c:numRef>
          </c:xVal>
          <c:yVal>
            <c:numRef>
              <c:f>'Fatigue Data'!$K$118:$K$120</c:f>
              <c:numCache>
                <c:formatCode>General</c:formatCode>
                <c:ptCount val="3"/>
                <c:pt idx="0">
                  <c:v>519.77197612378654</c:v>
                </c:pt>
                <c:pt idx="1">
                  <c:v>479.78951642195676</c:v>
                </c:pt>
                <c:pt idx="2">
                  <c:v>439.80705672012704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FE-4999-BA69-CA3359D5CB9D}"/>
            </c:ext>
          </c:extLst>
        </c:ser>
        <c:ser>
          <c:idx val="10"/>
          <c:order val="10"/>
          <c:tx>
            <c:strRef>
              <c:f>'Fatigue Data'!$A$124</c:f>
              <c:strCache>
                <c:ptCount val="1"/>
                <c:pt idx="0">
                  <c:v>[29],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'Fatigue Data'!$L$124:$L$129</c:f>
              <c:numCache>
                <c:formatCode>0.0E+00</c:formatCode>
                <c:ptCount val="6"/>
                <c:pt idx="0">
                  <c:v>19000</c:v>
                </c:pt>
                <c:pt idx="1">
                  <c:v>50000</c:v>
                </c:pt>
                <c:pt idx="2">
                  <c:v>90000</c:v>
                </c:pt>
                <c:pt idx="3">
                  <c:v>200000</c:v>
                </c:pt>
                <c:pt idx="4">
                  <c:v>1800000</c:v>
                </c:pt>
                <c:pt idx="5">
                  <c:v>10000000</c:v>
                </c:pt>
              </c:numCache>
            </c:numRef>
          </c:xVal>
          <c:yVal>
            <c:numRef>
              <c:f>'Fatigue Data'!$K$124:$K$129</c:f>
              <c:numCache>
                <c:formatCode>General</c:formatCode>
                <c:ptCount val="6"/>
                <c:pt idx="0">
                  <c:v>639.71935522927572</c:v>
                </c:pt>
                <c:pt idx="1">
                  <c:v>559.75443582561627</c:v>
                </c:pt>
                <c:pt idx="2">
                  <c:v>479.78951642195676</c:v>
                </c:pt>
                <c:pt idx="3">
                  <c:v>399.82459701829731</c:v>
                </c:pt>
                <c:pt idx="4">
                  <c:v>359.84213731646759</c:v>
                </c:pt>
                <c:pt idx="5">
                  <c:v>319.85967761463786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FE-4999-BA69-CA3359D5CB9D}"/>
            </c:ext>
          </c:extLst>
        </c:ser>
        <c:ser>
          <c:idx val="11"/>
          <c:order val="11"/>
          <c:tx>
            <c:strRef>
              <c:f>'Fatigue Data'!$A$133</c:f>
              <c:strCache>
                <c:ptCount val="1"/>
                <c:pt idx="0">
                  <c:v>[29],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Data'!$L$133:$L$136</c:f>
              <c:numCache>
                <c:formatCode>0.0E+00</c:formatCode>
                <c:ptCount val="4"/>
                <c:pt idx="0">
                  <c:v>500000</c:v>
                </c:pt>
                <c:pt idx="1">
                  <c:v>1500000</c:v>
                </c:pt>
                <c:pt idx="2">
                  <c:v>2900000</c:v>
                </c:pt>
                <c:pt idx="3">
                  <c:v>10000000</c:v>
                </c:pt>
              </c:numCache>
            </c:numRef>
          </c:xVal>
          <c:yVal>
            <c:numRef>
              <c:f>'Fatigue Data'!$K$133:$K$136</c:f>
              <c:numCache>
                <c:formatCode>General</c:formatCode>
                <c:ptCount val="4"/>
                <c:pt idx="0">
                  <c:v>639.71935522927572</c:v>
                </c:pt>
                <c:pt idx="1">
                  <c:v>559.75443582561627</c:v>
                </c:pt>
                <c:pt idx="2">
                  <c:v>479.78951642195676</c:v>
                </c:pt>
                <c:pt idx="3">
                  <c:v>459.7982865710419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5FE-4999-BA69-CA3359D5CB9D}"/>
            </c:ext>
          </c:extLst>
        </c:ser>
        <c:ser>
          <c:idx val="12"/>
          <c:order val="12"/>
          <c:tx>
            <c:strRef>
              <c:f>'Fatigue Data'!$A$140</c:f>
              <c:strCache>
                <c:ptCount val="1"/>
                <c:pt idx="0">
                  <c:v>[30], R=-1, 90°,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Data'!$L$140:$L$148</c:f>
              <c:numCache>
                <c:formatCode>0.0E+00</c:formatCode>
                <c:ptCount val="9"/>
                <c:pt idx="0">
                  <c:v>70000</c:v>
                </c:pt>
                <c:pt idx="1">
                  <c:v>200000</c:v>
                </c:pt>
                <c:pt idx="2">
                  <c:v>600000</c:v>
                </c:pt>
                <c:pt idx="3">
                  <c:v>700000</c:v>
                </c:pt>
                <c:pt idx="4">
                  <c:v>5500000</c:v>
                </c:pt>
                <c:pt idx="5">
                  <c:v>1000000</c:v>
                </c:pt>
                <c:pt idx="6">
                  <c:v>10000000</c:v>
                </c:pt>
                <c:pt idx="7">
                  <c:v>7500000</c:v>
                </c:pt>
                <c:pt idx="8">
                  <c:v>10000000</c:v>
                </c:pt>
              </c:numCache>
            </c:numRef>
          </c:xVal>
          <c:yVal>
            <c:numRef>
              <c:f>'Fatigue Data'!$K$140:$K$148</c:f>
              <c:numCache>
                <c:formatCode>General</c:formatCode>
                <c:ptCount val="9"/>
                <c:pt idx="0">
                  <c:v>250</c:v>
                </c:pt>
                <c:pt idx="1">
                  <c:v>200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5FE-4999-BA69-CA3359D5CB9D}"/>
            </c:ext>
          </c:extLst>
        </c:ser>
        <c:ser>
          <c:idx val="13"/>
          <c:order val="13"/>
          <c:tx>
            <c:strRef>
              <c:f>'Fatigue Data'!$A$152</c:f>
              <c:strCache>
                <c:ptCount val="1"/>
                <c:pt idx="0">
                  <c:v>[31], R=0.1,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Data'!$L$152:$L$172</c:f>
              <c:numCache>
                <c:formatCode>0.0E+00</c:formatCode>
                <c:ptCount val="21"/>
                <c:pt idx="0">
                  <c:v>15000</c:v>
                </c:pt>
                <c:pt idx="1">
                  <c:v>18000</c:v>
                </c:pt>
                <c:pt idx="2">
                  <c:v>19000</c:v>
                </c:pt>
                <c:pt idx="3">
                  <c:v>21000</c:v>
                </c:pt>
                <c:pt idx="4">
                  <c:v>40000</c:v>
                </c:pt>
                <c:pt idx="5">
                  <c:v>40000</c:v>
                </c:pt>
                <c:pt idx="6">
                  <c:v>60000</c:v>
                </c:pt>
                <c:pt idx="7">
                  <c:v>65000</c:v>
                </c:pt>
                <c:pt idx="8">
                  <c:v>47500</c:v>
                </c:pt>
                <c:pt idx="9">
                  <c:v>55000</c:v>
                </c:pt>
                <c:pt idx="10">
                  <c:v>90000</c:v>
                </c:pt>
                <c:pt idx="11">
                  <c:v>160000</c:v>
                </c:pt>
                <c:pt idx="12">
                  <c:v>190000</c:v>
                </c:pt>
                <c:pt idx="13">
                  <c:v>99000</c:v>
                </c:pt>
                <c:pt idx="14">
                  <c:v>170000</c:v>
                </c:pt>
                <c:pt idx="15">
                  <c:v>400000</c:v>
                </c:pt>
                <c:pt idx="16">
                  <c:v>500000</c:v>
                </c:pt>
                <c:pt idx="17">
                  <c:v>550000</c:v>
                </c:pt>
                <c:pt idx="18">
                  <c:v>775000</c:v>
                </c:pt>
                <c:pt idx="19">
                  <c:v>1000000</c:v>
                </c:pt>
                <c:pt idx="20">
                  <c:v>10000000</c:v>
                </c:pt>
              </c:numCache>
            </c:numRef>
          </c:xVal>
          <c:yVal>
            <c:numRef>
              <c:f>'Fatigue Data'!$K$152:$K$172</c:f>
              <c:numCache>
                <c:formatCode>General</c:formatCode>
                <c:ptCount val="21"/>
                <c:pt idx="0">
                  <c:v>287.87370985317409</c:v>
                </c:pt>
                <c:pt idx="1">
                  <c:v>287.87370985317409</c:v>
                </c:pt>
                <c:pt idx="2">
                  <c:v>283.87546388299108</c:v>
                </c:pt>
                <c:pt idx="3">
                  <c:v>283.87546388299108</c:v>
                </c:pt>
                <c:pt idx="4">
                  <c:v>235.8965122407954</c:v>
                </c:pt>
                <c:pt idx="5">
                  <c:v>235.8965122407954</c:v>
                </c:pt>
                <c:pt idx="6">
                  <c:v>235.8965122407954</c:v>
                </c:pt>
                <c:pt idx="7">
                  <c:v>235.8965122407954</c:v>
                </c:pt>
                <c:pt idx="8">
                  <c:v>231.89826627061245</c:v>
                </c:pt>
                <c:pt idx="9">
                  <c:v>231.89826627061245</c:v>
                </c:pt>
                <c:pt idx="10">
                  <c:v>175.92282268805081</c:v>
                </c:pt>
                <c:pt idx="11">
                  <c:v>175.92282268805081</c:v>
                </c:pt>
                <c:pt idx="12">
                  <c:v>175.92282268805081</c:v>
                </c:pt>
                <c:pt idx="13">
                  <c:v>171.92457671786784</c:v>
                </c:pt>
                <c:pt idx="14">
                  <c:v>171.92457671786784</c:v>
                </c:pt>
                <c:pt idx="15">
                  <c:v>127.94387104585513</c:v>
                </c:pt>
                <c:pt idx="16">
                  <c:v>127.94387104585513</c:v>
                </c:pt>
                <c:pt idx="17">
                  <c:v>127.94387104585513</c:v>
                </c:pt>
                <c:pt idx="18">
                  <c:v>127.94387104585513</c:v>
                </c:pt>
                <c:pt idx="19">
                  <c:v>123.94562507567217</c:v>
                </c:pt>
                <c:pt idx="20">
                  <c:v>111.95088716512325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5FE-4999-BA69-CA3359D5CB9D}"/>
            </c:ext>
          </c:extLst>
        </c:ser>
        <c:ser>
          <c:idx val="14"/>
          <c:order val="14"/>
          <c:tx>
            <c:strRef>
              <c:f>'Fatigue Data'!$A$176</c:f>
              <c:strCache>
                <c:ptCount val="1"/>
                <c:pt idx="0">
                  <c:v>[31], R=0.1, 45°,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Data'!$L$176:$L$179</c:f>
              <c:numCache>
                <c:formatCode>0.0E+00</c:formatCode>
                <c:ptCount val="4"/>
                <c:pt idx="0">
                  <c:v>125000</c:v>
                </c:pt>
                <c:pt idx="1">
                  <c:v>185000</c:v>
                </c:pt>
                <c:pt idx="2">
                  <c:v>185000</c:v>
                </c:pt>
                <c:pt idx="3">
                  <c:v>160000</c:v>
                </c:pt>
              </c:numCache>
            </c:numRef>
          </c:xVal>
          <c:yVal>
            <c:numRef>
              <c:f>'Fatigue Data'!$K$176:$K$179</c:f>
              <c:numCache>
                <c:formatCode>General</c:formatCode>
                <c:ptCount val="4"/>
                <c:pt idx="0">
                  <c:v>235.8965122407954</c:v>
                </c:pt>
                <c:pt idx="1">
                  <c:v>231.89826627061245</c:v>
                </c:pt>
                <c:pt idx="2">
                  <c:v>227.90002030042947</c:v>
                </c:pt>
                <c:pt idx="3">
                  <c:v>227.90002030042947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5FE-4999-BA69-CA3359D5CB9D}"/>
            </c:ext>
          </c:extLst>
        </c:ser>
        <c:ser>
          <c:idx val="15"/>
          <c:order val="15"/>
          <c:tx>
            <c:strRef>
              <c:f>'Fatigue Data'!$A$183</c:f>
              <c:strCache>
                <c:ptCount val="1"/>
                <c:pt idx="0">
                  <c:v>[31], R=0.1, 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Data'!$L$183:$L$186</c:f>
              <c:numCache>
                <c:formatCode>0.0E+00</c:formatCode>
                <c:ptCount val="4"/>
                <c:pt idx="0">
                  <c:v>270000</c:v>
                </c:pt>
                <c:pt idx="1">
                  <c:v>290000</c:v>
                </c:pt>
                <c:pt idx="2">
                  <c:v>250000</c:v>
                </c:pt>
                <c:pt idx="3">
                  <c:v>220000</c:v>
                </c:pt>
              </c:numCache>
            </c:numRef>
          </c:xVal>
          <c:yVal>
            <c:numRef>
              <c:f>'Fatigue Data'!$K$183:$K$186</c:f>
              <c:numCache>
                <c:formatCode>General</c:formatCode>
                <c:ptCount val="4"/>
                <c:pt idx="0">
                  <c:v>239.89475821097838</c:v>
                </c:pt>
                <c:pt idx="1">
                  <c:v>235.8965122407954</c:v>
                </c:pt>
                <c:pt idx="2">
                  <c:v>235.8965122407954</c:v>
                </c:pt>
                <c:pt idx="3">
                  <c:v>231.89826627061245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5FE-4999-BA69-CA3359D5CB9D}"/>
            </c:ext>
          </c:extLst>
        </c:ser>
        <c:ser>
          <c:idx val="16"/>
          <c:order val="16"/>
          <c:tx>
            <c:strRef>
              <c:f>'Fatigue Data'!$A$190</c:f>
              <c:strCache>
                <c:ptCount val="1"/>
                <c:pt idx="0">
                  <c:v>[31], R=0.1, 90°,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Data'!$L$190:$L$192</c:f>
              <c:numCache>
                <c:formatCode>0.0E+00</c:formatCode>
                <c:ptCount val="3"/>
                <c:pt idx="0">
                  <c:v>38000</c:v>
                </c:pt>
                <c:pt idx="1">
                  <c:v>45000</c:v>
                </c:pt>
                <c:pt idx="2">
                  <c:v>57500</c:v>
                </c:pt>
              </c:numCache>
            </c:numRef>
          </c:xVal>
          <c:yVal>
            <c:numRef>
              <c:f>'Fatigue Data'!$K$190:$K$192</c:f>
              <c:numCache>
                <c:formatCode>General</c:formatCode>
                <c:ptCount val="3"/>
                <c:pt idx="0">
                  <c:v>239.89475821097838</c:v>
                </c:pt>
                <c:pt idx="1">
                  <c:v>235.8965122407954</c:v>
                </c:pt>
                <c:pt idx="2">
                  <c:v>235.8965122407954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5FE-4999-BA69-CA3359D5CB9D}"/>
            </c:ext>
          </c:extLst>
        </c:ser>
        <c:ser>
          <c:idx val="17"/>
          <c:order val="17"/>
          <c:tx>
            <c:strRef>
              <c:f>'Fatigue Data'!$A$196</c:f>
              <c:strCache>
                <c:ptCount val="1"/>
                <c:pt idx="0">
                  <c:v>[31], R=0.1, 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Data'!$L$196:$L$207</c:f>
              <c:numCache>
                <c:formatCode>0.0E+00</c:formatCode>
                <c:ptCount val="12"/>
                <c:pt idx="0">
                  <c:v>37500</c:v>
                </c:pt>
                <c:pt idx="1">
                  <c:v>70000</c:v>
                </c:pt>
                <c:pt idx="2">
                  <c:v>91000</c:v>
                </c:pt>
                <c:pt idx="3">
                  <c:v>190000</c:v>
                </c:pt>
                <c:pt idx="4">
                  <c:v>220000</c:v>
                </c:pt>
                <c:pt idx="5">
                  <c:v>440000</c:v>
                </c:pt>
                <c:pt idx="6">
                  <c:v>920000</c:v>
                </c:pt>
                <c:pt idx="7">
                  <c:v>10000000</c:v>
                </c:pt>
                <c:pt idx="8" formatCode="0.00E+00">
                  <c:v>200000</c:v>
                </c:pt>
                <c:pt idx="9" formatCode="0.00E+00">
                  <c:v>10000000</c:v>
                </c:pt>
                <c:pt idx="10" formatCode="0.00E+00">
                  <c:v>180000</c:v>
                </c:pt>
                <c:pt idx="11" formatCode="0.00E+00">
                  <c:v>10000000</c:v>
                </c:pt>
              </c:numCache>
            </c:numRef>
          </c:xVal>
          <c:yVal>
            <c:numRef>
              <c:f>'Fatigue Data'!$K$196:$K$207</c:f>
              <c:numCache>
                <c:formatCode>General</c:formatCode>
                <c:ptCount val="12"/>
                <c:pt idx="0">
                  <c:v>559.75443582561627</c:v>
                </c:pt>
                <c:pt idx="1">
                  <c:v>479.78951642195676</c:v>
                </c:pt>
                <c:pt idx="2">
                  <c:v>479.78951642195676</c:v>
                </c:pt>
                <c:pt idx="3">
                  <c:v>399.82459701829731</c:v>
                </c:pt>
                <c:pt idx="4">
                  <c:v>367.83862925683354</c:v>
                </c:pt>
                <c:pt idx="5">
                  <c:v>359.84213731646759</c:v>
                </c:pt>
                <c:pt idx="6">
                  <c:v>359.84213731646759</c:v>
                </c:pt>
                <c:pt idx="7">
                  <c:v>359.84213731646759</c:v>
                </c:pt>
                <c:pt idx="8">
                  <c:v>351.84564537610163</c:v>
                </c:pt>
                <c:pt idx="9">
                  <c:v>351.84564537610163</c:v>
                </c:pt>
                <c:pt idx="10">
                  <c:v>339.85090746555272</c:v>
                </c:pt>
                <c:pt idx="11">
                  <c:v>319.85967761463786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5FE-4999-BA69-CA3359D5CB9D}"/>
            </c:ext>
          </c:extLst>
        </c:ser>
        <c:ser>
          <c:idx val="18"/>
          <c:order val="18"/>
          <c:tx>
            <c:strRef>
              <c:f>'Fatigue Data'!$A$211</c:f>
              <c:strCache>
                <c:ptCount val="1"/>
                <c:pt idx="0">
                  <c:v>[31],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Data'!$L$211:$L$222</c:f>
              <c:numCache>
                <c:formatCode>0.0E+00</c:formatCode>
                <c:ptCount val="12"/>
                <c:pt idx="0">
                  <c:v>42000</c:v>
                </c:pt>
                <c:pt idx="1">
                  <c:v>60000</c:v>
                </c:pt>
                <c:pt idx="2">
                  <c:v>72000</c:v>
                </c:pt>
                <c:pt idx="3">
                  <c:v>175000</c:v>
                </c:pt>
                <c:pt idx="4">
                  <c:v>220000</c:v>
                </c:pt>
                <c:pt idx="5">
                  <c:v>300000</c:v>
                </c:pt>
                <c:pt idx="6">
                  <c:v>10000000</c:v>
                </c:pt>
                <c:pt idx="7">
                  <c:v>250000</c:v>
                </c:pt>
                <c:pt idx="8" formatCode="0.00E+00">
                  <c:v>220000</c:v>
                </c:pt>
                <c:pt idx="9" formatCode="0.00E+00">
                  <c:v>300000</c:v>
                </c:pt>
                <c:pt idx="10" formatCode="0.00E+00">
                  <c:v>10000000</c:v>
                </c:pt>
                <c:pt idx="11" formatCode="0.00E+00">
                  <c:v>10000000</c:v>
                </c:pt>
              </c:numCache>
            </c:numRef>
          </c:xVal>
          <c:yVal>
            <c:numRef>
              <c:f>'Fatigue Data'!$K$211:$K$222</c:f>
              <c:numCache>
                <c:formatCode>General</c:formatCode>
                <c:ptCount val="12"/>
                <c:pt idx="0">
                  <c:v>559.75443582561627</c:v>
                </c:pt>
                <c:pt idx="1">
                  <c:v>479.78951642195676</c:v>
                </c:pt>
                <c:pt idx="2">
                  <c:v>479.78951642195676</c:v>
                </c:pt>
                <c:pt idx="3">
                  <c:v>399.82459701829731</c:v>
                </c:pt>
                <c:pt idx="4">
                  <c:v>359.84213731646759</c:v>
                </c:pt>
                <c:pt idx="5">
                  <c:v>351.84564537610163</c:v>
                </c:pt>
                <c:pt idx="6">
                  <c:v>335.85266149536972</c:v>
                </c:pt>
                <c:pt idx="7">
                  <c:v>327.85616955500382</c:v>
                </c:pt>
                <c:pt idx="8">
                  <c:v>323.85792358482081</c:v>
                </c:pt>
                <c:pt idx="9">
                  <c:v>311.8631856742719</c:v>
                </c:pt>
                <c:pt idx="10">
                  <c:v>311.8631856742719</c:v>
                </c:pt>
                <c:pt idx="11">
                  <c:v>299.868447763723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5FE-4999-BA69-CA3359D5CB9D}"/>
            </c:ext>
          </c:extLst>
        </c:ser>
        <c:ser>
          <c:idx val="19"/>
          <c:order val="19"/>
          <c:tx>
            <c:strRef>
              <c:f>'Fatigue Data'!$A$226</c:f>
              <c:strCache>
                <c:ptCount val="1"/>
                <c:pt idx="0">
                  <c:v>[32], R=0.1, 90°, SB + 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Data'!$L$226:$L$233</c:f>
              <c:numCache>
                <c:formatCode>0.0E+00</c:formatCode>
                <c:ptCount val="8"/>
                <c:pt idx="0">
                  <c:v>90000</c:v>
                </c:pt>
                <c:pt idx="1">
                  <c:v>70000</c:v>
                </c:pt>
                <c:pt idx="2">
                  <c:v>80000</c:v>
                </c:pt>
                <c:pt idx="3">
                  <c:v>150000</c:v>
                </c:pt>
                <c:pt idx="4">
                  <c:v>200000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</c:numCache>
            </c:numRef>
          </c:xVal>
          <c:yVal>
            <c:numRef>
              <c:f>'Fatigue Data'!$K$226:$K$233</c:f>
              <c:numCache>
                <c:formatCode>General</c:formatCode>
                <c:ptCount val="8"/>
                <c:pt idx="0">
                  <c:v>479.78951642195676</c:v>
                </c:pt>
                <c:pt idx="1">
                  <c:v>479.78951642195676</c:v>
                </c:pt>
                <c:pt idx="2">
                  <c:v>439.80705672012704</c:v>
                </c:pt>
                <c:pt idx="3">
                  <c:v>439.80705672012704</c:v>
                </c:pt>
                <c:pt idx="4">
                  <c:v>399.82459701829731</c:v>
                </c:pt>
                <c:pt idx="5">
                  <c:v>399.82459701829731</c:v>
                </c:pt>
                <c:pt idx="6">
                  <c:v>379.83336716738245</c:v>
                </c:pt>
                <c:pt idx="7">
                  <c:v>359.84213731646759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5FE-4999-BA69-CA3359D5CB9D}"/>
            </c:ext>
          </c:extLst>
        </c:ser>
        <c:ser>
          <c:idx val="20"/>
          <c:order val="20"/>
          <c:tx>
            <c:strRef>
              <c:f>'Fatigue Data'!$A$237</c:f>
              <c:strCache>
                <c:ptCount val="1"/>
                <c:pt idx="0">
                  <c:v>[33], R=-1, 90°,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Data'!$L$237:$L$250</c:f>
              <c:numCache>
                <c:formatCode>0.0E+00</c:formatCode>
                <c:ptCount val="14"/>
                <c:pt idx="0">
                  <c:v>72500</c:v>
                </c:pt>
                <c:pt idx="1">
                  <c:v>52000</c:v>
                </c:pt>
                <c:pt idx="2">
                  <c:v>100000</c:v>
                </c:pt>
                <c:pt idx="3">
                  <c:v>95000</c:v>
                </c:pt>
                <c:pt idx="4">
                  <c:v>47500</c:v>
                </c:pt>
                <c:pt idx="5">
                  <c:v>275000</c:v>
                </c:pt>
                <c:pt idx="6">
                  <c:v>250000</c:v>
                </c:pt>
                <c:pt idx="7">
                  <c:v>175000</c:v>
                </c:pt>
                <c:pt idx="8">
                  <c:v>15000000</c:v>
                </c:pt>
                <c:pt idx="9">
                  <c:v>290000</c:v>
                </c:pt>
                <c:pt idx="10" formatCode="0.00E+00">
                  <c:v>190000</c:v>
                </c:pt>
                <c:pt idx="11">
                  <c:v>225000</c:v>
                </c:pt>
                <c:pt idx="12">
                  <c:v>50000000</c:v>
                </c:pt>
                <c:pt idx="13">
                  <c:v>50000000</c:v>
                </c:pt>
              </c:numCache>
            </c:numRef>
          </c:xVal>
          <c:yVal>
            <c:numRef>
              <c:f>'Fatigue Data'!$K$237:$K$250</c:f>
              <c:numCache>
                <c:formatCode>General</c:formatCode>
                <c:ptCount val="14"/>
                <c:pt idx="0">
                  <c:v>350</c:v>
                </c:pt>
                <c:pt idx="1">
                  <c:v>350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275</c:v>
                </c:pt>
                <c:pt idx="6">
                  <c:v>275</c:v>
                </c:pt>
                <c:pt idx="7">
                  <c:v>275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235</c:v>
                </c:pt>
                <c:pt idx="12">
                  <c:v>235</c:v>
                </c:pt>
                <c:pt idx="1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5FE-4999-BA69-CA3359D5CB9D}"/>
            </c:ext>
          </c:extLst>
        </c:ser>
        <c:ser>
          <c:idx val="21"/>
          <c:order val="21"/>
          <c:tx>
            <c:strRef>
              <c:f>'Fatigue Data'!$A$254</c:f>
              <c:strCache>
                <c:ptCount val="1"/>
                <c:pt idx="0">
                  <c:v>[33], R=-1, 90°, Trib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Data'!$L$254:$L$263</c:f>
              <c:numCache>
                <c:formatCode>0.0E+00</c:formatCode>
                <c:ptCount val="10"/>
                <c:pt idx="0">
                  <c:v>55000</c:v>
                </c:pt>
                <c:pt idx="1">
                  <c:v>39000</c:v>
                </c:pt>
                <c:pt idx="2">
                  <c:v>100000</c:v>
                </c:pt>
                <c:pt idx="3">
                  <c:v>4200000</c:v>
                </c:pt>
                <c:pt idx="4">
                  <c:v>310000</c:v>
                </c:pt>
                <c:pt idx="5">
                  <c:v>7200000</c:v>
                </c:pt>
                <c:pt idx="6">
                  <c:v>325000</c:v>
                </c:pt>
                <c:pt idx="7">
                  <c:v>30000000</c:v>
                </c:pt>
                <c:pt idx="8">
                  <c:v>550000</c:v>
                </c:pt>
                <c:pt idx="9">
                  <c:v>50000000</c:v>
                </c:pt>
              </c:numCache>
            </c:numRef>
          </c:xVal>
          <c:yVal>
            <c:numRef>
              <c:f>'Fatigue Data'!$K$254:$K$263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450</c:v>
                </c:pt>
                <c:pt idx="3">
                  <c:v>400</c:v>
                </c:pt>
                <c:pt idx="4">
                  <c:v>400</c:v>
                </c:pt>
                <c:pt idx="5">
                  <c:v>375</c:v>
                </c:pt>
                <c:pt idx="6">
                  <c:v>375</c:v>
                </c:pt>
                <c:pt idx="7">
                  <c:v>350</c:v>
                </c:pt>
                <c:pt idx="8">
                  <c:v>350</c:v>
                </c:pt>
                <c:pt idx="9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FE-4999-BA69-CA3359D5CB9D}"/>
            </c:ext>
          </c:extLst>
        </c:ser>
        <c:ser>
          <c:idx val="22"/>
          <c:order val="22"/>
          <c:tx>
            <c:strRef>
              <c:f>'Fatigue Data'!$A$267</c:f>
              <c:strCache>
                <c:ptCount val="1"/>
                <c:pt idx="0">
                  <c:v>[33], R=-1, 90°, Trib + Pol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Data'!$L$267:$L$274</c:f>
              <c:numCache>
                <c:formatCode>0.0E+00</c:formatCode>
                <c:ptCount val="8"/>
                <c:pt idx="0">
                  <c:v>37500</c:v>
                </c:pt>
                <c:pt idx="1">
                  <c:v>60000</c:v>
                </c:pt>
                <c:pt idx="2">
                  <c:v>125000</c:v>
                </c:pt>
                <c:pt idx="3">
                  <c:v>150000</c:v>
                </c:pt>
                <c:pt idx="4">
                  <c:v>220000</c:v>
                </c:pt>
                <c:pt idx="5">
                  <c:v>925000</c:v>
                </c:pt>
                <c:pt idx="6">
                  <c:v>4000000</c:v>
                </c:pt>
                <c:pt idx="7">
                  <c:v>50000000</c:v>
                </c:pt>
              </c:numCache>
            </c:numRef>
          </c:xVal>
          <c:yVal>
            <c:numRef>
              <c:f>'Fatigue Data'!$K$267:$K$274</c:f>
              <c:numCache>
                <c:formatCode>General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350</c:v>
                </c:pt>
                <c:pt idx="3">
                  <c:v>350</c:v>
                </c:pt>
                <c:pt idx="4">
                  <c:v>300</c:v>
                </c:pt>
                <c:pt idx="5">
                  <c:v>300</c:v>
                </c:pt>
                <c:pt idx="6">
                  <c:v>275</c:v>
                </c:pt>
                <c:pt idx="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5FE-4999-BA69-CA3359D5CB9D}"/>
            </c:ext>
          </c:extLst>
        </c:ser>
        <c:ser>
          <c:idx val="23"/>
          <c:order val="23"/>
          <c:tx>
            <c:strRef>
              <c:f>'Fatigue Data'!$A$278</c:f>
              <c:strCache>
                <c:ptCount val="1"/>
                <c:pt idx="0">
                  <c:v>[33], R=-1, 90°, Trib+SP+SR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Data'!$L$278:$L$288</c:f>
              <c:numCache>
                <c:formatCode>0.0E+00</c:formatCode>
                <c:ptCount val="11"/>
                <c:pt idx="0">
                  <c:v>225000</c:v>
                </c:pt>
                <c:pt idx="1">
                  <c:v>425000</c:v>
                </c:pt>
                <c:pt idx="2">
                  <c:v>2200000</c:v>
                </c:pt>
                <c:pt idx="3">
                  <c:v>3750000</c:v>
                </c:pt>
                <c:pt idx="4">
                  <c:v>2750000</c:v>
                </c:pt>
                <c:pt idx="5">
                  <c:v>4200000</c:v>
                </c:pt>
                <c:pt idx="6">
                  <c:v>18000000</c:v>
                </c:pt>
                <c:pt idx="7">
                  <c:v>20000000</c:v>
                </c:pt>
                <c:pt idx="8">
                  <c:v>30000000</c:v>
                </c:pt>
                <c:pt idx="9">
                  <c:v>32500000</c:v>
                </c:pt>
                <c:pt idx="10" formatCode="0.00E+00">
                  <c:v>50000000</c:v>
                </c:pt>
              </c:numCache>
            </c:numRef>
          </c:xVal>
          <c:yVal>
            <c:numRef>
              <c:f>'Fatigue Data'!$K$278:$K$288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450</c:v>
                </c:pt>
                <c:pt idx="3">
                  <c:v>450</c:v>
                </c:pt>
                <c:pt idx="4">
                  <c:v>400</c:v>
                </c:pt>
                <c:pt idx="5">
                  <c:v>400</c:v>
                </c:pt>
                <c:pt idx="6">
                  <c:v>375</c:v>
                </c:pt>
                <c:pt idx="7">
                  <c:v>375</c:v>
                </c:pt>
                <c:pt idx="8">
                  <c:v>350</c:v>
                </c:pt>
                <c:pt idx="9">
                  <c:v>350</c:v>
                </c:pt>
                <c:pt idx="10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5FE-4999-BA69-CA3359D5CB9D}"/>
            </c:ext>
          </c:extLst>
        </c:ser>
        <c:ser>
          <c:idx val="24"/>
          <c:order val="24"/>
          <c:tx>
            <c:strRef>
              <c:f>'Fatigue Data'!$A$292</c:f>
              <c:strCache>
                <c:ptCount val="1"/>
                <c:pt idx="0">
                  <c:v>[33], R=-1, 90°, Trib.+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Data'!$L$292:$L$303</c:f>
              <c:numCache>
                <c:formatCode>0.0E+00</c:formatCode>
                <c:ptCount val="12"/>
                <c:pt idx="0">
                  <c:v>72500</c:v>
                </c:pt>
                <c:pt idx="1">
                  <c:v>55000</c:v>
                </c:pt>
                <c:pt idx="2">
                  <c:v>120000</c:v>
                </c:pt>
                <c:pt idx="3">
                  <c:v>70000</c:v>
                </c:pt>
                <c:pt idx="4">
                  <c:v>100000</c:v>
                </c:pt>
                <c:pt idx="5">
                  <c:v>220000</c:v>
                </c:pt>
                <c:pt idx="6">
                  <c:v>190000</c:v>
                </c:pt>
                <c:pt idx="7">
                  <c:v>250000</c:v>
                </c:pt>
                <c:pt idx="8">
                  <c:v>50000000</c:v>
                </c:pt>
                <c:pt idx="9">
                  <c:v>7000000</c:v>
                </c:pt>
                <c:pt idx="10" formatCode="0.00E+00">
                  <c:v>50000000</c:v>
                </c:pt>
                <c:pt idx="11" formatCode="0.00E+00">
                  <c:v>50000000</c:v>
                </c:pt>
              </c:numCache>
            </c:numRef>
          </c:xVal>
          <c:yVal>
            <c:numRef>
              <c:f>'Fatigue Data'!$K$292:$K$303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450</c:v>
                </c:pt>
                <c:pt idx="3">
                  <c:v>450</c:v>
                </c:pt>
                <c:pt idx="4">
                  <c:v>425</c:v>
                </c:pt>
                <c:pt idx="5">
                  <c:v>425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375</c:v>
                </c:pt>
                <c:pt idx="10">
                  <c:v>375</c:v>
                </c:pt>
                <c:pt idx="1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5FE-4999-BA69-CA3359D5CB9D}"/>
            </c:ext>
          </c:extLst>
        </c:ser>
        <c:ser>
          <c:idx val="25"/>
          <c:order val="25"/>
          <c:tx>
            <c:strRef>
              <c:f>'Fatigue Data'!$A$307</c:f>
              <c:strCache>
                <c:ptCount val="1"/>
                <c:pt idx="0">
                  <c:v>[34], R=0.1, n/a,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Data'!$L$307:$L$317</c:f>
              <c:numCache>
                <c:formatCode>0.00E+00</c:formatCode>
                <c:ptCount val="11"/>
                <c:pt idx="0">
                  <c:v>22500</c:v>
                </c:pt>
                <c:pt idx="1">
                  <c:v>30000</c:v>
                </c:pt>
                <c:pt idx="2">
                  <c:v>35000</c:v>
                </c:pt>
                <c:pt idx="3">
                  <c:v>65000</c:v>
                </c:pt>
                <c:pt idx="4">
                  <c:v>65000</c:v>
                </c:pt>
                <c:pt idx="5">
                  <c:v>125000</c:v>
                </c:pt>
                <c:pt idx="6">
                  <c:v>125000</c:v>
                </c:pt>
                <c:pt idx="7">
                  <c:v>200000</c:v>
                </c:pt>
                <c:pt idx="8">
                  <c:v>150000</c:v>
                </c:pt>
                <c:pt idx="9">
                  <c:v>650000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Data'!$K$307:$K$317</c:f>
              <c:numCache>
                <c:formatCode>General</c:formatCode>
                <c:ptCount val="11"/>
                <c:pt idx="0">
                  <c:v>399.82459701829731</c:v>
                </c:pt>
                <c:pt idx="1">
                  <c:v>359.84213731646759</c:v>
                </c:pt>
                <c:pt idx="2">
                  <c:v>311.8631856742719</c:v>
                </c:pt>
                <c:pt idx="3">
                  <c:v>299.868447763723</c:v>
                </c:pt>
                <c:pt idx="4">
                  <c:v>271.88072597244218</c:v>
                </c:pt>
                <c:pt idx="5">
                  <c:v>251.88949612152732</c:v>
                </c:pt>
                <c:pt idx="6">
                  <c:v>231.89826627061245</c:v>
                </c:pt>
                <c:pt idx="7">
                  <c:v>227.90002030042947</c:v>
                </c:pt>
                <c:pt idx="8">
                  <c:v>199.91229850914866</c:v>
                </c:pt>
                <c:pt idx="9">
                  <c:v>167.92633074768486</c:v>
                </c:pt>
                <c:pt idx="10">
                  <c:v>159.92983880731893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5FE-4999-BA69-CA3359D5CB9D}"/>
            </c:ext>
          </c:extLst>
        </c:ser>
        <c:ser>
          <c:idx val="26"/>
          <c:order val="26"/>
          <c:tx>
            <c:strRef>
              <c:f>'Fatigue Data'!$A$321</c:f>
              <c:strCache>
                <c:ptCount val="1"/>
                <c:pt idx="0">
                  <c:v>[34], R=0.1, n/a,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Data'!$L$321:$L$331</c:f>
              <c:numCache>
                <c:formatCode>0.00E+00</c:formatCode>
                <c:ptCount val="11"/>
                <c:pt idx="0">
                  <c:v>30000</c:v>
                </c:pt>
                <c:pt idx="1">
                  <c:v>40000</c:v>
                </c:pt>
                <c:pt idx="2">
                  <c:v>62500</c:v>
                </c:pt>
                <c:pt idx="3">
                  <c:v>69000</c:v>
                </c:pt>
                <c:pt idx="4">
                  <c:v>95000</c:v>
                </c:pt>
                <c:pt idx="5">
                  <c:v>150000</c:v>
                </c:pt>
                <c:pt idx="6">
                  <c:v>225000</c:v>
                </c:pt>
                <c:pt idx="7">
                  <c:v>300000</c:v>
                </c:pt>
                <c:pt idx="8">
                  <c:v>550000</c:v>
                </c:pt>
                <c:pt idx="9">
                  <c:v>640000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Data'!$K$321:$K$331</c:f>
              <c:numCache>
                <c:formatCode>General</c:formatCode>
                <c:ptCount val="11"/>
                <c:pt idx="0">
                  <c:v>279.87721791280813</c:v>
                </c:pt>
                <c:pt idx="1">
                  <c:v>259.88598806189327</c:v>
                </c:pt>
                <c:pt idx="2">
                  <c:v>239.89475821097838</c:v>
                </c:pt>
                <c:pt idx="3">
                  <c:v>219.90352836006352</c:v>
                </c:pt>
                <c:pt idx="4">
                  <c:v>199.91229850914866</c:v>
                </c:pt>
                <c:pt idx="5">
                  <c:v>179.92106865823379</c:v>
                </c:pt>
                <c:pt idx="6">
                  <c:v>167.92633074768486</c:v>
                </c:pt>
                <c:pt idx="7">
                  <c:v>159.92983880731893</c:v>
                </c:pt>
                <c:pt idx="8">
                  <c:v>139.93860895640407</c:v>
                </c:pt>
                <c:pt idx="9">
                  <c:v>127.94387104585513</c:v>
                </c:pt>
                <c:pt idx="10">
                  <c:v>119.94737910548919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5FE-4999-BA69-CA3359D5CB9D}"/>
            </c:ext>
          </c:extLst>
        </c:ser>
        <c:ser>
          <c:idx val="27"/>
          <c:order val="27"/>
          <c:tx>
            <c:strRef>
              <c:f>'Fatigue Data'!$A$336</c:f>
              <c:strCache>
                <c:ptCount val="1"/>
                <c:pt idx="0">
                  <c:v>[35], R=-1, 90°,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Data'!$L$336:$L$348</c:f>
              <c:numCache>
                <c:formatCode>0.00E+00</c:formatCode>
                <c:ptCount val="13"/>
                <c:pt idx="0">
                  <c:v>20000</c:v>
                </c:pt>
                <c:pt idx="1">
                  <c:v>25000</c:v>
                </c:pt>
                <c:pt idx="2">
                  <c:v>40000</c:v>
                </c:pt>
                <c:pt idx="3">
                  <c:v>50000</c:v>
                </c:pt>
                <c:pt idx="4">
                  <c:v>100000</c:v>
                </c:pt>
                <c:pt idx="5">
                  <c:v>175000</c:v>
                </c:pt>
                <c:pt idx="6">
                  <c:v>300000</c:v>
                </c:pt>
                <c:pt idx="7">
                  <c:v>400000</c:v>
                </c:pt>
                <c:pt idx="8">
                  <c:v>700000</c:v>
                </c:pt>
                <c:pt idx="9">
                  <c:v>4000000</c:v>
                </c:pt>
                <c:pt idx="10">
                  <c:v>1500000</c:v>
                </c:pt>
                <c:pt idx="11">
                  <c:v>10000000</c:v>
                </c:pt>
                <c:pt idx="12">
                  <c:v>10000000</c:v>
                </c:pt>
              </c:numCache>
            </c:numRef>
          </c:xVal>
          <c:yVal>
            <c:numRef>
              <c:f>'Fatigue Data'!$K$336:$K$348</c:f>
              <c:numCache>
                <c:formatCode>General</c:formatCode>
                <c:ptCount val="13"/>
                <c:pt idx="0">
                  <c:v>500</c:v>
                </c:pt>
                <c:pt idx="1">
                  <c:v>450</c:v>
                </c:pt>
                <c:pt idx="2">
                  <c:v>375</c:v>
                </c:pt>
                <c:pt idx="3">
                  <c:v>325</c:v>
                </c:pt>
                <c:pt idx="4">
                  <c:v>300</c:v>
                </c:pt>
                <c:pt idx="5">
                  <c:v>250</c:v>
                </c:pt>
                <c:pt idx="6">
                  <c:v>210</c:v>
                </c:pt>
                <c:pt idx="7">
                  <c:v>200</c:v>
                </c:pt>
                <c:pt idx="8">
                  <c:v>175</c:v>
                </c:pt>
                <c:pt idx="9">
                  <c:v>175</c:v>
                </c:pt>
                <c:pt idx="10">
                  <c:v>150</c:v>
                </c:pt>
                <c:pt idx="11">
                  <c:v>130</c:v>
                </c:pt>
                <c:pt idx="12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5FE-4999-BA69-CA3359D5CB9D}"/>
            </c:ext>
          </c:extLst>
        </c:ser>
        <c:ser>
          <c:idx val="28"/>
          <c:order val="28"/>
          <c:tx>
            <c:strRef>
              <c:f>'Fatigue Data'!$A$352</c:f>
              <c:strCache>
                <c:ptCount val="1"/>
                <c:pt idx="0">
                  <c:v>[35], R=-1, 90°,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Data'!$L$352:$L$364</c:f>
              <c:numCache>
                <c:formatCode>0.00E+00</c:formatCode>
                <c:ptCount val="13"/>
                <c:pt idx="0">
                  <c:v>40000</c:v>
                </c:pt>
                <c:pt idx="1">
                  <c:v>60000</c:v>
                </c:pt>
                <c:pt idx="2">
                  <c:v>90000</c:v>
                </c:pt>
                <c:pt idx="3">
                  <c:v>150000</c:v>
                </c:pt>
                <c:pt idx="4">
                  <c:v>300000</c:v>
                </c:pt>
                <c:pt idx="5">
                  <c:v>325000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  <c:pt idx="9">
                  <c:v>10000000</c:v>
                </c:pt>
                <c:pt idx="10">
                  <c:v>2000000</c:v>
                </c:pt>
                <c:pt idx="11">
                  <c:v>10000000</c:v>
                </c:pt>
                <c:pt idx="12">
                  <c:v>10000000</c:v>
                </c:pt>
              </c:numCache>
            </c:numRef>
          </c:xVal>
          <c:yVal>
            <c:numRef>
              <c:f>'Fatigue Data'!$K$352:$K$364</c:f>
              <c:numCache>
                <c:formatCode>General</c:formatCode>
                <c:ptCount val="13"/>
                <c:pt idx="0">
                  <c:v>425</c:v>
                </c:pt>
                <c:pt idx="1">
                  <c:v>390</c:v>
                </c:pt>
                <c:pt idx="2">
                  <c:v>350</c:v>
                </c:pt>
                <c:pt idx="3">
                  <c:v>300</c:v>
                </c:pt>
                <c:pt idx="4">
                  <c:v>250</c:v>
                </c:pt>
                <c:pt idx="5">
                  <c:v>240</c:v>
                </c:pt>
                <c:pt idx="6">
                  <c:v>240</c:v>
                </c:pt>
                <c:pt idx="7">
                  <c:v>225</c:v>
                </c:pt>
                <c:pt idx="8">
                  <c:v>220</c:v>
                </c:pt>
                <c:pt idx="9">
                  <c:v>215</c:v>
                </c:pt>
                <c:pt idx="10">
                  <c:v>200</c:v>
                </c:pt>
                <c:pt idx="11">
                  <c:v>200</c:v>
                </c:pt>
                <c:pt idx="12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5FE-4999-BA69-CA3359D5CB9D}"/>
            </c:ext>
          </c:extLst>
        </c:ser>
        <c:ser>
          <c:idx val="29"/>
          <c:order val="29"/>
          <c:tx>
            <c:strRef>
              <c:f>'Fatigue Data'!$A$368</c:f>
              <c:strCache>
                <c:ptCount val="1"/>
                <c:pt idx="0">
                  <c:v>[35], R=-1,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Data'!$L$368:$L$379</c:f>
              <c:numCache>
                <c:formatCode>0.00E+00</c:formatCode>
                <c:ptCount val="12"/>
                <c:pt idx="0">
                  <c:v>20000</c:v>
                </c:pt>
                <c:pt idx="1">
                  <c:v>22500</c:v>
                </c:pt>
                <c:pt idx="2">
                  <c:v>40000</c:v>
                </c:pt>
                <c:pt idx="3">
                  <c:v>35000</c:v>
                </c:pt>
                <c:pt idx="4">
                  <c:v>50000</c:v>
                </c:pt>
                <c:pt idx="5">
                  <c:v>50000</c:v>
                </c:pt>
                <c:pt idx="6">
                  <c:v>100000</c:v>
                </c:pt>
                <c:pt idx="7">
                  <c:v>55000</c:v>
                </c:pt>
                <c:pt idx="8">
                  <c:v>55000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</c:numCache>
            </c:numRef>
          </c:xVal>
          <c:yVal>
            <c:numRef>
              <c:f>'Fatigue Data'!$K$368:$K$379</c:f>
              <c:numCache>
                <c:formatCode>General</c:formatCode>
                <c:ptCount val="12"/>
                <c:pt idx="0">
                  <c:v>750</c:v>
                </c:pt>
                <c:pt idx="1">
                  <c:v>725</c:v>
                </c:pt>
                <c:pt idx="2">
                  <c:v>690</c:v>
                </c:pt>
                <c:pt idx="3">
                  <c:v>630</c:v>
                </c:pt>
                <c:pt idx="4">
                  <c:v>630</c:v>
                </c:pt>
                <c:pt idx="5">
                  <c:v>615</c:v>
                </c:pt>
                <c:pt idx="6">
                  <c:v>615</c:v>
                </c:pt>
                <c:pt idx="7">
                  <c:v>610</c:v>
                </c:pt>
                <c:pt idx="8">
                  <c:v>600</c:v>
                </c:pt>
                <c:pt idx="9">
                  <c:v>600</c:v>
                </c:pt>
                <c:pt idx="10">
                  <c:v>595</c:v>
                </c:pt>
                <c:pt idx="11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5FE-4999-BA69-CA3359D5CB9D}"/>
            </c:ext>
          </c:extLst>
        </c:ser>
        <c:ser>
          <c:idx val="30"/>
          <c:order val="30"/>
          <c:tx>
            <c:strRef>
              <c:f>'Fatigue Data'!$A$383</c:f>
              <c:strCache>
                <c:ptCount val="1"/>
                <c:pt idx="0">
                  <c:v>[35], R=-1,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Data'!$L$383:$L$395</c:f>
              <c:numCache>
                <c:formatCode>0.00E+00</c:formatCode>
                <c:ptCount val="13"/>
                <c:pt idx="0">
                  <c:v>20000</c:v>
                </c:pt>
                <c:pt idx="1">
                  <c:v>22000</c:v>
                </c:pt>
                <c:pt idx="2">
                  <c:v>40000</c:v>
                </c:pt>
                <c:pt idx="3">
                  <c:v>65000</c:v>
                </c:pt>
                <c:pt idx="4">
                  <c:v>100000</c:v>
                </c:pt>
                <c:pt idx="5">
                  <c:v>150000</c:v>
                </c:pt>
                <c:pt idx="6">
                  <c:v>350000</c:v>
                </c:pt>
                <c:pt idx="7">
                  <c:v>500000</c:v>
                </c:pt>
                <c:pt idx="8">
                  <c:v>1000000</c:v>
                </c:pt>
                <c:pt idx="9">
                  <c:v>1500000</c:v>
                </c:pt>
                <c:pt idx="10">
                  <c:v>2000000</c:v>
                </c:pt>
                <c:pt idx="11">
                  <c:v>10000000</c:v>
                </c:pt>
                <c:pt idx="12">
                  <c:v>10000000</c:v>
                </c:pt>
              </c:numCache>
            </c:numRef>
          </c:xVal>
          <c:yVal>
            <c:numRef>
              <c:f>'Fatigue Data'!$K$383:$K$395</c:f>
              <c:numCache>
                <c:formatCode>General</c:formatCode>
                <c:ptCount val="13"/>
                <c:pt idx="0">
                  <c:v>400</c:v>
                </c:pt>
                <c:pt idx="1">
                  <c:v>350</c:v>
                </c:pt>
                <c:pt idx="2">
                  <c:v>325</c:v>
                </c:pt>
                <c:pt idx="3">
                  <c:v>290</c:v>
                </c:pt>
                <c:pt idx="4">
                  <c:v>230</c:v>
                </c:pt>
                <c:pt idx="5">
                  <c:v>220</c:v>
                </c:pt>
                <c:pt idx="6">
                  <c:v>200</c:v>
                </c:pt>
                <c:pt idx="7">
                  <c:v>190</c:v>
                </c:pt>
                <c:pt idx="8">
                  <c:v>175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5FE-4999-BA69-CA3359D5CB9D}"/>
            </c:ext>
          </c:extLst>
        </c:ser>
        <c:ser>
          <c:idx val="31"/>
          <c:order val="31"/>
          <c:tx>
            <c:strRef>
              <c:f>'Fatigue Data'!$A$399</c:f>
              <c:strCache>
                <c:ptCount val="1"/>
                <c:pt idx="0">
                  <c:v>[35], R=-1, 90°, AB+HIP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Data'!$L$399:$L$411</c:f>
              <c:numCache>
                <c:formatCode>0.00E+00</c:formatCode>
                <c:ptCount val="13"/>
                <c:pt idx="0">
                  <c:v>25000</c:v>
                </c:pt>
                <c:pt idx="1">
                  <c:v>40000</c:v>
                </c:pt>
                <c:pt idx="2">
                  <c:v>55000</c:v>
                </c:pt>
                <c:pt idx="3">
                  <c:v>100000</c:v>
                </c:pt>
                <c:pt idx="4">
                  <c:v>175000</c:v>
                </c:pt>
                <c:pt idx="5">
                  <c:v>200000</c:v>
                </c:pt>
                <c:pt idx="6">
                  <c:v>300000</c:v>
                </c:pt>
                <c:pt idx="7">
                  <c:v>250000</c:v>
                </c:pt>
                <c:pt idx="8">
                  <c:v>400000</c:v>
                </c:pt>
                <c:pt idx="9">
                  <c:v>350000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</c:numCache>
            </c:numRef>
          </c:xVal>
          <c:yVal>
            <c:numRef>
              <c:f>'Fatigue Data'!$K$399:$K$411</c:f>
              <c:numCache>
                <c:formatCode>General</c:formatCode>
                <c:ptCount val="13"/>
                <c:pt idx="0">
                  <c:v>400</c:v>
                </c:pt>
                <c:pt idx="1">
                  <c:v>350</c:v>
                </c:pt>
                <c:pt idx="2">
                  <c:v>325</c:v>
                </c:pt>
                <c:pt idx="3">
                  <c:v>290</c:v>
                </c:pt>
                <c:pt idx="4">
                  <c:v>250</c:v>
                </c:pt>
                <c:pt idx="5">
                  <c:v>230</c:v>
                </c:pt>
                <c:pt idx="6">
                  <c:v>230</c:v>
                </c:pt>
                <c:pt idx="7">
                  <c:v>220</c:v>
                </c:pt>
                <c:pt idx="8">
                  <c:v>210</c:v>
                </c:pt>
                <c:pt idx="9">
                  <c:v>200</c:v>
                </c:pt>
                <c:pt idx="10">
                  <c:v>200</c:v>
                </c:pt>
                <c:pt idx="11">
                  <c:v>180</c:v>
                </c:pt>
                <c:pt idx="12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5FE-4999-BA69-CA3359D5CB9D}"/>
            </c:ext>
          </c:extLst>
        </c:ser>
        <c:ser>
          <c:idx val="32"/>
          <c:order val="32"/>
          <c:tx>
            <c:strRef>
              <c:f>'Fatigue Data'!$A$415</c:f>
              <c:strCache>
                <c:ptCount val="1"/>
                <c:pt idx="0">
                  <c:v>[35], R=-1, 90°, Pol+HIP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Data'!$L$415:$L$427</c:f>
              <c:numCache>
                <c:formatCode>0.00E+00</c:formatCode>
                <c:ptCount val="13"/>
                <c:pt idx="0">
                  <c:v>30000</c:v>
                </c:pt>
                <c:pt idx="1">
                  <c:v>40000</c:v>
                </c:pt>
                <c:pt idx="2">
                  <c:v>40000</c:v>
                </c:pt>
                <c:pt idx="3">
                  <c:v>55000</c:v>
                </c:pt>
                <c:pt idx="4">
                  <c:v>60000</c:v>
                </c:pt>
                <c:pt idx="5">
                  <c:v>80000</c:v>
                </c:pt>
                <c:pt idx="6">
                  <c:v>90000</c:v>
                </c:pt>
                <c:pt idx="7">
                  <c:v>80000</c:v>
                </c:pt>
                <c:pt idx="8">
                  <c:v>200000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</c:numCache>
            </c:numRef>
          </c:xVal>
          <c:yVal>
            <c:numRef>
              <c:f>'Fatigue Data'!$K$415:$K$427</c:f>
              <c:numCache>
                <c:formatCode>General</c:formatCode>
                <c:ptCount val="13"/>
                <c:pt idx="0">
                  <c:v>720</c:v>
                </c:pt>
                <c:pt idx="1">
                  <c:v>720</c:v>
                </c:pt>
                <c:pt idx="2">
                  <c:v>680</c:v>
                </c:pt>
                <c:pt idx="3">
                  <c:v>680</c:v>
                </c:pt>
                <c:pt idx="4">
                  <c:v>660</c:v>
                </c:pt>
                <c:pt idx="5">
                  <c:v>640</c:v>
                </c:pt>
                <c:pt idx="6">
                  <c:v>640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580</c:v>
                </c:pt>
                <c:pt idx="11">
                  <c:v>555</c:v>
                </c:pt>
                <c:pt idx="12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5FE-4999-BA69-CA3359D5CB9D}"/>
            </c:ext>
          </c:extLst>
        </c:ser>
        <c:ser>
          <c:idx val="33"/>
          <c:order val="33"/>
          <c:tx>
            <c:strRef>
              <c:f>'Fatigue Data'!$A$431</c:f>
              <c:strCache>
                <c:ptCount val="1"/>
                <c:pt idx="0">
                  <c:v>[36], R=0.1, 90°, SB + 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Data'!$L$431:$L$433</c:f>
              <c:numCache>
                <c:formatCode>0.00E+00</c:formatCode>
                <c:ptCount val="3"/>
                <c:pt idx="0">
                  <c:v>7000</c:v>
                </c:pt>
                <c:pt idx="1">
                  <c:v>47500</c:v>
                </c:pt>
                <c:pt idx="2">
                  <c:v>250000</c:v>
                </c:pt>
              </c:numCache>
            </c:numRef>
          </c:xVal>
          <c:yVal>
            <c:numRef>
              <c:f>'Fatigue Data'!$K$431:$K$433</c:f>
              <c:numCache>
                <c:formatCode>General</c:formatCode>
                <c:ptCount val="3"/>
                <c:pt idx="0">
                  <c:v>550</c:v>
                </c:pt>
                <c:pt idx="1">
                  <c:v>350</c:v>
                </c:pt>
                <c:pt idx="2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5FE-4999-BA69-CA3359D5CB9D}"/>
            </c:ext>
          </c:extLst>
        </c:ser>
        <c:ser>
          <c:idx val="34"/>
          <c:order val="34"/>
          <c:tx>
            <c:strRef>
              <c:f>'Fatigue Data'!$A$436</c:f>
              <c:strCache>
                <c:ptCount val="1"/>
                <c:pt idx="0">
                  <c:v>[36], R=0.1, 90°,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Data'!$L$436:$L$441</c:f>
              <c:numCache>
                <c:formatCode>0.00E+00</c:formatCode>
                <c:ptCount val="6"/>
                <c:pt idx="0">
                  <c:v>6500</c:v>
                </c:pt>
                <c:pt idx="1">
                  <c:v>17500</c:v>
                </c:pt>
                <c:pt idx="2">
                  <c:v>15000</c:v>
                </c:pt>
                <c:pt idx="3">
                  <c:v>75000</c:v>
                </c:pt>
                <c:pt idx="4">
                  <c:v>85000</c:v>
                </c:pt>
                <c:pt idx="5">
                  <c:v>5000000</c:v>
                </c:pt>
              </c:numCache>
            </c:numRef>
          </c:xVal>
          <c:yVal>
            <c:numRef>
              <c:f>'Fatigue Data'!$K$436:$K$441</c:f>
              <c:numCache>
                <c:formatCode>General</c:formatCode>
                <c:ptCount val="6"/>
                <c:pt idx="0">
                  <c:v>650</c:v>
                </c:pt>
                <c:pt idx="1">
                  <c:v>475</c:v>
                </c:pt>
                <c:pt idx="2">
                  <c:v>475</c:v>
                </c:pt>
                <c:pt idx="3">
                  <c:v>350</c:v>
                </c:pt>
                <c:pt idx="4">
                  <c:v>350</c:v>
                </c:pt>
                <c:pt idx="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5FE-4999-BA69-CA3359D5CB9D}"/>
            </c:ext>
          </c:extLst>
        </c:ser>
        <c:ser>
          <c:idx val="35"/>
          <c:order val="35"/>
          <c:tx>
            <c:strRef>
              <c:f>'Fatigue Data'!$A$444</c:f>
              <c:strCache>
                <c:ptCount val="1"/>
                <c:pt idx="0">
                  <c:v>[36], R=0.1, 90°, 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Data'!$L$444:$L$448</c:f>
              <c:numCache>
                <c:formatCode>0.00E+00</c:formatCode>
                <c:ptCount val="5"/>
                <c:pt idx="0">
                  <c:v>45000</c:v>
                </c:pt>
                <c:pt idx="1">
                  <c:v>60000</c:v>
                </c:pt>
                <c:pt idx="2">
                  <c:v>25000</c:v>
                </c:pt>
                <c:pt idx="3">
                  <c:v>90000</c:v>
                </c:pt>
                <c:pt idx="4">
                  <c:v>5000000</c:v>
                </c:pt>
              </c:numCache>
            </c:numRef>
          </c:xVal>
          <c:yVal>
            <c:numRef>
              <c:f>'Fatigue Data'!$K$444:$K$448</c:f>
              <c:numCache>
                <c:formatCode>General</c:formatCode>
                <c:ptCount val="5"/>
                <c:pt idx="0">
                  <c:v>650</c:v>
                </c:pt>
                <c:pt idx="1">
                  <c:v>650</c:v>
                </c:pt>
                <c:pt idx="2">
                  <c:v>550</c:v>
                </c:pt>
                <c:pt idx="3">
                  <c:v>475</c:v>
                </c:pt>
                <c:pt idx="4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5FE-4999-BA69-CA3359D5CB9D}"/>
            </c:ext>
          </c:extLst>
        </c:ser>
        <c:ser>
          <c:idx val="36"/>
          <c:order val="36"/>
          <c:tx>
            <c:strRef>
              <c:f>'Fatigue Data'!$A$451</c:f>
              <c:strCache>
                <c:ptCount val="1"/>
                <c:pt idx="0">
                  <c:v>[36], R=0.1, 90°, SP + CASE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Data'!$L$451:$L$456</c:f>
              <c:numCache>
                <c:formatCode>0.00E+00</c:formatCode>
                <c:ptCount val="6"/>
                <c:pt idx="0">
                  <c:v>30000</c:v>
                </c:pt>
                <c:pt idx="1">
                  <c:v>50000</c:v>
                </c:pt>
                <c:pt idx="2">
                  <c:v>400000</c:v>
                </c:pt>
                <c:pt idx="3">
                  <c:v>500000</c:v>
                </c:pt>
                <c:pt idx="4">
                  <c:v>300000</c:v>
                </c:pt>
                <c:pt idx="5">
                  <c:v>1500000</c:v>
                </c:pt>
              </c:numCache>
            </c:numRef>
          </c:xVal>
          <c:yVal>
            <c:numRef>
              <c:f>'Fatigue Data'!$K$451:$K$456</c:f>
              <c:numCache>
                <c:formatCode>General</c:formatCode>
                <c:ptCount val="6"/>
                <c:pt idx="0">
                  <c:v>650</c:v>
                </c:pt>
                <c:pt idx="1">
                  <c:v>650</c:v>
                </c:pt>
                <c:pt idx="2">
                  <c:v>550</c:v>
                </c:pt>
                <c:pt idx="3">
                  <c:v>550</c:v>
                </c:pt>
                <c:pt idx="4">
                  <c:v>475</c:v>
                </c:pt>
                <c:pt idx="5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5FE-4999-BA69-CA3359D5CB9D}"/>
            </c:ext>
          </c:extLst>
        </c:ser>
        <c:ser>
          <c:idx val="37"/>
          <c:order val="37"/>
          <c:tx>
            <c:strRef>
              <c:f>'Fatigue Data'!$A$459</c:f>
              <c:strCache>
                <c:ptCount val="1"/>
                <c:pt idx="0">
                  <c:v>[36], R=0.1, 90°, LP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Data'!$L$459:$L$463</c:f>
              <c:numCache>
                <c:formatCode>0.00E+00</c:formatCode>
                <c:ptCount val="5"/>
                <c:pt idx="0">
                  <c:v>85000</c:v>
                </c:pt>
                <c:pt idx="1">
                  <c:v>350000</c:v>
                </c:pt>
                <c:pt idx="2">
                  <c:v>750000</c:v>
                </c:pt>
                <c:pt idx="3">
                  <c:v>1500000</c:v>
                </c:pt>
                <c:pt idx="4">
                  <c:v>3000000</c:v>
                </c:pt>
              </c:numCache>
            </c:numRef>
          </c:xVal>
          <c:yVal>
            <c:numRef>
              <c:f>'Fatigue Data'!$K$459:$K$463</c:f>
              <c:numCache>
                <c:formatCode>General</c:formatCode>
                <c:ptCount val="5"/>
                <c:pt idx="0">
                  <c:v>650</c:v>
                </c:pt>
                <c:pt idx="1">
                  <c:v>550</c:v>
                </c:pt>
                <c:pt idx="2">
                  <c:v>550</c:v>
                </c:pt>
                <c:pt idx="3">
                  <c:v>475</c:v>
                </c:pt>
                <c:pt idx="4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5FE-4999-BA69-CA3359D5CB9D}"/>
            </c:ext>
          </c:extLst>
        </c:ser>
        <c:ser>
          <c:idx val="38"/>
          <c:order val="38"/>
          <c:tx>
            <c:strRef>
              <c:f>'Fatigue Data'!$A$467</c:f>
              <c:strCache>
                <c:ptCount val="1"/>
                <c:pt idx="0">
                  <c:v>[5], R=-1, 90°, Mach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Data'!$L$467:$L$486</c:f>
              <c:numCache>
                <c:formatCode>0.00E+00</c:formatCode>
                <c:ptCount val="20"/>
                <c:pt idx="0">
                  <c:v>300</c:v>
                </c:pt>
                <c:pt idx="1">
                  <c:v>5500</c:v>
                </c:pt>
                <c:pt idx="2">
                  <c:v>4500</c:v>
                </c:pt>
                <c:pt idx="3">
                  <c:v>4000</c:v>
                </c:pt>
                <c:pt idx="4">
                  <c:v>20000</c:v>
                </c:pt>
                <c:pt idx="5">
                  <c:v>18000</c:v>
                </c:pt>
                <c:pt idx="6">
                  <c:v>12500</c:v>
                </c:pt>
                <c:pt idx="7">
                  <c:v>250000</c:v>
                </c:pt>
                <c:pt idx="8">
                  <c:v>150000</c:v>
                </c:pt>
                <c:pt idx="9">
                  <c:v>92500</c:v>
                </c:pt>
                <c:pt idx="10">
                  <c:v>48000</c:v>
                </c:pt>
                <c:pt idx="11">
                  <c:v>32500</c:v>
                </c:pt>
                <c:pt idx="12">
                  <c:v>450000</c:v>
                </c:pt>
                <c:pt idx="13">
                  <c:v>200000</c:v>
                </c:pt>
                <c:pt idx="14">
                  <c:v>150000</c:v>
                </c:pt>
                <c:pt idx="15">
                  <c:v>110000</c:v>
                </c:pt>
                <c:pt idx="16">
                  <c:v>65000</c:v>
                </c:pt>
                <c:pt idx="17">
                  <c:v>2900000</c:v>
                </c:pt>
                <c:pt idx="18">
                  <c:v>1750000</c:v>
                </c:pt>
                <c:pt idx="19">
                  <c:v>650000</c:v>
                </c:pt>
              </c:numCache>
            </c:numRef>
          </c:xVal>
          <c:yVal>
            <c:numRef>
              <c:f>'Fatigue Data'!$K$467:$K$486</c:f>
              <c:numCache>
                <c:formatCode>General</c:formatCode>
                <c:ptCount val="20"/>
                <c:pt idx="0">
                  <c:v>850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5FE-4999-BA69-CA3359D5CB9D}"/>
            </c:ext>
          </c:extLst>
        </c:ser>
        <c:ser>
          <c:idx val="39"/>
          <c:order val="39"/>
          <c:tx>
            <c:strRef>
              <c:f>'Fatigue Data'!$A$490</c:f>
              <c:strCache>
                <c:ptCount val="1"/>
                <c:pt idx="0">
                  <c:v>[5], R=-1, 0°, Mach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Data'!$L$490:$L$504</c:f>
              <c:numCache>
                <c:formatCode>0.00E+00</c:formatCode>
                <c:ptCount val="15"/>
                <c:pt idx="0">
                  <c:v>2000</c:v>
                </c:pt>
                <c:pt idx="1">
                  <c:v>2500</c:v>
                </c:pt>
                <c:pt idx="2">
                  <c:v>15000</c:v>
                </c:pt>
                <c:pt idx="3">
                  <c:v>19000</c:v>
                </c:pt>
                <c:pt idx="4">
                  <c:v>25000</c:v>
                </c:pt>
                <c:pt idx="5">
                  <c:v>29000</c:v>
                </c:pt>
                <c:pt idx="6">
                  <c:v>28000</c:v>
                </c:pt>
                <c:pt idx="7">
                  <c:v>32500</c:v>
                </c:pt>
                <c:pt idx="8">
                  <c:v>60000</c:v>
                </c:pt>
                <c:pt idx="9">
                  <c:v>75000</c:v>
                </c:pt>
                <c:pt idx="10">
                  <c:v>200000</c:v>
                </c:pt>
                <c:pt idx="11">
                  <c:v>80000</c:v>
                </c:pt>
                <c:pt idx="12">
                  <c:v>125000</c:v>
                </c:pt>
                <c:pt idx="13">
                  <c:v>10000000</c:v>
                </c:pt>
                <c:pt idx="14">
                  <c:v>10000000</c:v>
                </c:pt>
              </c:numCache>
            </c:numRef>
          </c:xVal>
          <c:yVal>
            <c:numRef>
              <c:f>'Fatigue Data'!$K$490:$K$504</c:f>
              <c:numCache>
                <c:formatCode>General</c:formatCode>
                <c:ptCount val="15"/>
                <c:pt idx="0">
                  <c:v>750</c:v>
                </c:pt>
                <c:pt idx="1">
                  <c:v>750</c:v>
                </c:pt>
                <c:pt idx="2">
                  <c:v>650</c:v>
                </c:pt>
                <c:pt idx="3">
                  <c:v>550</c:v>
                </c:pt>
                <c:pt idx="4">
                  <c:v>550</c:v>
                </c:pt>
                <c:pt idx="5">
                  <c:v>550</c:v>
                </c:pt>
                <c:pt idx="6">
                  <c:v>500</c:v>
                </c:pt>
                <c:pt idx="7">
                  <c:v>500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5FE-4999-BA69-CA3359D5CB9D}"/>
            </c:ext>
          </c:extLst>
        </c:ser>
        <c:ser>
          <c:idx val="40"/>
          <c:order val="40"/>
          <c:tx>
            <c:strRef>
              <c:f>'Fatigue Data'!$A$508</c:f>
              <c:strCache>
                <c:ptCount val="1"/>
                <c:pt idx="0">
                  <c:v>[37], R=0.1,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Data'!$L$508:$L$519</c:f>
              <c:numCache>
                <c:formatCode>0.00E+00</c:formatCode>
                <c:ptCount val="12"/>
                <c:pt idx="0">
                  <c:v>29000</c:v>
                </c:pt>
                <c:pt idx="1">
                  <c:v>25000</c:v>
                </c:pt>
                <c:pt idx="2">
                  <c:v>72500</c:v>
                </c:pt>
                <c:pt idx="3">
                  <c:v>60000</c:v>
                </c:pt>
                <c:pt idx="4">
                  <c:v>150000</c:v>
                </c:pt>
                <c:pt idx="5">
                  <c:v>150000</c:v>
                </c:pt>
                <c:pt idx="6">
                  <c:v>500000</c:v>
                </c:pt>
                <c:pt idx="7">
                  <c:v>375000</c:v>
                </c:pt>
                <c:pt idx="8">
                  <c:v>750000</c:v>
                </c:pt>
                <c:pt idx="9">
                  <c:v>750000</c:v>
                </c:pt>
                <c:pt idx="10">
                  <c:v>10000000</c:v>
                </c:pt>
                <c:pt idx="11">
                  <c:v>10000000</c:v>
                </c:pt>
              </c:numCache>
            </c:numRef>
          </c:xVal>
          <c:yVal>
            <c:numRef>
              <c:f>'Fatigue Data'!$K$508:$K$519</c:f>
              <c:numCache>
                <c:formatCode>General</c:formatCode>
                <c:ptCount val="12"/>
                <c:pt idx="0">
                  <c:v>399.82459701829731</c:v>
                </c:pt>
                <c:pt idx="1">
                  <c:v>399.82459701829731</c:v>
                </c:pt>
                <c:pt idx="2">
                  <c:v>319.85967761463786</c:v>
                </c:pt>
                <c:pt idx="3">
                  <c:v>319.85967761463786</c:v>
                </c:pt>
                <c:pt idx="4">
                  <c:v>239.89475821097838</c:v>
                </c:pt>
                <c:pt idx="5">
                  <c:v>239.89475821097838</c:v>
                </c:pt>
                <c:pt idx="6">
                  <c:v>199.91229850914866</c:v>
                </c:pt>
                <c:pt idx="7">
                  <c:v>199.91229850914866</c:v>
                </c:pt>
                <c:pt idx="8">
                  <c:v>179.92106865823379</c:v>
                </c:pt>
                <c:pt idx="9">
                  <c:v>179.92106865823379</c:v>
                </c:pt>
                <c:pt idx="10">
                  <c:v>179.92106865823379</c:v>
                </c:pt>
                <c:pt idx="11">
                  <c:v>159.92983880731893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5FE-4999-BA69-CA3359D5CB9D}"/>
            </c:ext>
          </c:extLst>
        </c:ser>
        <c:ser>
          <c:idx val="41"/>
          <c:order val="41"/>
          <c:tx>
            <c:strRef>
              <c:f>'Fatigue Data'!$A$523</c:f>
              <c:strCache>
                <c:ptCount val="1"/>
                <c:pt idx="0">
                  <c:v>[37], R=0.1, 45°,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Data'!$L$523:$L$532</c:f>
              <c:numCache>
                <c:formatCode>0.00E+00</c:formatCode>
                <c:ptCount val="10"/>
                <c:pt idx="0">
                  <c:v>30000</c:v>
                </c:pt>
                <c:pt idx="1">
                  <c:v>60000</c:v>
                </c:pt>
                <c:pt idx="2">
                  <c:v>175000</c:v>
                </c:pt>
                <c:pt idx="3">
                  <c:v>325000</c:v>
                </c:pt>
                <c:pt idx="4">
                  <c:v>475000</c:v>
                </c:pt>
                <c:pt idx="5">
                  <c:v>125000</c:v>
                </c:pt>
                <c:pt idx="6">
                  <c:v>475000</c:v>
                </c:pt>
                <c:pt idx="7">
                  <c:v>8500000</c:v>
                </c:pt>
                <c:pt idx="8">
                  <c:v>3300000</c:v>
                </c:pt>
                <c:pt idx="9">
                  <c:v>10000000</c:v>
                </c:pt>
              </c:numCache>
            </c:numRef>
          </c:xVal>
          <c:yVal>
            <c:numRef>
              <c:f>'Fatigue Data'!$K$523:$K$532</c:f>
              <c:numCache>
                <c:formatCode>General</c:formatCode>
                <c:ptCount val="10"/>
                <c:pt idx="0">
                  <c:v>399.82459701829731</c:v>
                </c:pt>
                <c:pt idx="1">
                  <c:v>319.85967761463786</c:v>
                </c:pt>
                <c:pt idx="2">
                  <c:v>239.89475821097838</c:v>
                </c:pt>
                <c:pt idx="3">
                  <c:v>191.9158065687827</c:v>
                </c:pt>
                <c:pt idx="4">
                  <c:v>191.9158065687827</c:v>
                </c:pt>
                <c:pt idx="5">
                  <c:v>179.92106865823379</c:v>
                </c:pt>
                <c:pt idx="6">
                  <c:v>179.92106865823379</c:v>
                </c:pt>
                <c:pt idx="7">
                  <c:v>179.92106865823379</c:v>
                </c:pt>
                <c:pt idx="8">
                  <c:v>159.92983880731893</c:v>
                </c:pt>
                <c:pt idx="9">
                  <c:v>159.92983880731893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5FE-4999-BA69-CA3359D5CB9D}"/>
            </c:ext>
          </c:extLst>
        </c:ser>
        <c:ser>
          <c:idx val="42"/>
          <c:order val="42"/>
          <c:tx>
            <c:strRef>
              <c:f>'Fatigue Data'!$A$536</c:f>
              <c:strCache>
                <c:ptCount val="1"/>
                <c:pt idx="0">
                  <c:v>[37], R=0.1, 90°, Pol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Data'!$L$536:$L$546</c:f>
              <c:numCache>
                <c:formatCode>0.00E+00</c:formatCode>
                <c:ptCount val="11"/>
                <c:pt idx="0">
                  <c:v>25000</c:v>
                </c:pt>
                <c:pt idx="1">
                  <c:v>27500</c:v>
                </c:pt>
                <c:pt idx="2">
                  <c:v>67500</c:v>
                </c:pt>
                <c:pt idx="3">
                  <c:v>70000</c:v>
                </c:pt>
                <c:pt idx="4">
                  <c:v>2500000</c:v>
                </c:pt>
                <c:pt idx="5">
                  <c:v>42500</c:v>
                </c:pt>
                <c:pt idx="6">
                  <c:v>4000000</c:v>
                </c:pt>
                <c:pt idx="7">
                  <c:v>4500000</c:v>
                </c:pt>
                <c:pt idx="8">
                  <c:v>3500000</c:v>
                </c:pt>
                <c:pt idx="9">
                  <c:v>100000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Data'!$K$536:$K$546</c:f>
              <c:numCache>
                <c:formatCode>General</c:formatCode>
                <c:ptCount val="11"/>
                <c:pt idx="0">
                  <c:v>639.71935522927572</c:v>
                </c:pt>
                <c:pt idx="1">
                  <c:v>599.73689552744599</c:v>
                </c:pt>
                <c:pt idx="2">
                  <c:v>479.78951642195676</c:v>
                </c:pt>
                <c:pt idx="3">
                  <c:v>479.78951642195676</c:v>
                </c:pt>
                <c:pt idx="4">
                  <c:v>459.7982865710419</c:v>
                </c:pt>
                <c:pt idx="5">
                  <c:v>459.7982865710419</c:v>
                </c:pt>
                <c:pt idx="6">
                  <c:v>439.80705672012704</c:v>
                </c:pt>
                <c:pt idx="7">
                  <c:v>419.81582686921217</c:v>
                </c:pt>
                <c:pt idx="8">
                  <c:v>407.82108895866327</c:v>
                </c:pt>
                <c:pt idx="9">
                  <c:v>399.82459701829731</c:v>
                </c:pt>
                <c:pt idx="10">
                  <c:v>391.82810507793135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5FE-4999-BA69-CA3359D5CB9D}"/>
            </c:ext>
          </c:extLst>
        </c:ser>
        <c:ser>
          <c:idx val="43"/>
          <c:order val="43"/>
          <c:tx>
            <c:strRef>
              <c:f>'Fatigue Data'!$A$550</c:f>
              <c:strCache>
                <c:ptCount val="1"/>
                <c:pt idx="0">
                  <c:v>[37], R=0.1, 45°, Pol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Data'!$L$550:$L$563</c:f>
              <c:numCache>
                <c:formatCode>0.00E+00</c:formatCode>
                <c:ptCount val="14"/>
                <c:pt idx="0">
                  <c:v>22500</c:v>
                </c:pt>
                <c:pt idx="1">
                  <c:v>25000</c:v>
                </c:pt>
                <c:pt idx="2">
                  <c:v>120000</c:v>
                </c:pt>
                <c:pt idx="3">
                  <c:v>3500000</c:v>
                </c:pt>
                <c:pt idx="4">
                  <c:v>120000</c:v>
                </c:pt>
                <c:pt idx="5">
                  <c:v>4500000</c:v>
                </c:pt>
                <c:pt idx="6">
                  <c:v>175000</c:v>
                </c:pt>
                <c:pt idx="7">
                  <c:v>2000000</c:v>
                </c:pt>
                <c:pt idx="8">
                  <c:v>10000000</c:v>
                </c:pt>
                <c:pt idx="9">
                  <c:v>2250000</c:v>
                </c:pt>
                <c:pt idx="10">
                  <c:v>5500000</c:v>
                </c:pt>
                <c:pt idx="11">
                  <c:v>85000</c:v>
                </c:pt>
                <c:pt idx="12">
                  <c:v>10000000</c:v>
                </c:pt>
                <c:pt idx="13">
                  <c:v>10000000</c:v>
                </c:pt>
              </c:numCache>
            </c:numRef>
          </c:xVal>
          <c:yVal>
            <c:numRef>
              <c:f>'Fatigue Data'!$K$550:$K$563</c:f>
              <c:numCache>
                <c:formatCode>General</c:formatCode>
                <c:ptCount val="14"/>
                <c:pt idx="0">
                  <c:v>559.75443582561627</c:v>
                </c:pt>
                <c:pt idx="1">
                  <c:v>559.75443582561627</c:v>
                </c:pt>
                <c:pt idx="2">
                  <c:v>479.78951642195676</c:v>
                </c:pt>
                <c:pt idx="3">
                  <c:v>479.78951642195676</c:v>
                </c:pt>
                <c:pt idx="4">
                  <c:v>439.80705672012704</c:v>
                </c:pt>
                <c:pt idx="5">
                  <c:v>439.80705672012704</c:v>
                </c:pt>
                <c:pt idx="6">
                  <c:v>419.81582686921217</c:v>
                </c:pt>
                <c:pt idx="7">
                  <c:v>399.82459701829731</c:v>
                </c:pt>
                <c:pt idx="8">
                  <c:v>399.82459701829731</c:v>
                </c:pt>
                <c:pt idx="9">
                  <c:v>379.83336716738245</c:v>
                </c:pt>
                <c:pt idx="10">
                  <c:v>379.83336716738245</c:v>
                </c:pt>
                <c:pt idx="11">
                  <c:v>359.84213731646759</c:v>
                </c:pt>
                <c:pt idx="12">
                  <c:v>359.84213731646759</c:v>
                </c:pt>
                <c:pt idx="13">
                  <c:v>339.85090746555272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5FE-4999-BA69-CA3359D5CB9D}"/>
            </c:ext>
          </c:extLst>
        </c:ser>
        <c:ser>
          <c:idx val="44"/>
          <c:order val="44"/>
          <c:tx>
            <c:strRef>
              <c:f>'Fatigue Data'!$A$567</c:f>
              <c:strCache>
                <c:ptCount val="1"/>
                <c:pt idx="0">
                  <c:v>[38],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Data'!$L$567:$L$576</c:f>
              <c:numCache>
                <c:formatCode>0.00E+00</c:formatCode>
                <c:ptCount val="10"/>
                <c:pt idx="0">
                  <c:v>225000</c:v>
                </c:pt>
                <c:pt idx="1">
                  <c:v>36912</c:v>
                </c:pt>
                <c:pt idx="2">
                  <c:v>10047</c:v>
                </c:pt>
                <c:pt idx="3">
                  <c:v>27590</c:v>
                </c:pt>
                <c:pt idx="4">
                  <c:v>22838</c:v>
                </c:pt>
                <c:pt idx="5">
                  <c:v>2500000</c:v>
                </c:pt>
                <c:pt idx="6">
                  <c:v>102693</c:v>
                </c:pt>
                <c:pt idx="7">
                  <c:v>312853</c:v>
                </c:pt>
                <c:pt idx="8">
                  <c:v>15491</c:v>
                </c:pt>
                <c:pt idx="9">
                  <c:v>53441</c:v>
                </c:pt>
              </c:numCache>
            </c:numRef>
          </c:xVal>
          <c:yVal>
            <c:numRef>
              <c:f>'Fatigue Data'!$K$567:$K$576</c:f>
              <c:numCache>
                <c:formatCode>General</c:formatCode>
                <c:ptCount val="10"/>
                <c:pt idx="0">
                  <c:v>559.75443582561627</c:v>
                </c:pt>
                <c:pt idx="1">
                  <c:v>559.75443582561627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559.75443582561627</c:v>
                </c:pt>
                <c:pt idx="5">
                  <c:v>479.78951642195676</c:v>
                </c:pt>
                <c:pt idx="6">
                  <c:v>479.78951642195676</c:v>
                </c:pt>
                <c:pt idx="7">
                  <c:v>479.78951642195676</c:v>
                </c:pt>
                <c:pt idx="8">
                  <c:v>479.78951642195676</c:v>
                </c:pt>
                <c:pt idx="9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5FE-4999-BA69-CA3359D5CB9D}"/>
            </c:ext>
          </c:extLst>
        </c:ser>
        <c:ser>
          <c:idx val="45"/>
          <c:order val="45"/>
          <c:tx>
            <c:strRef>
              <c:f>'Fatigue Data'!$A$580</c:f>
              <c:strCache>
                <c:ptCount val="1"/>
                <c:pt idx="0">
                  <c:v>[38], R=0.1, 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Data'!$L$580:$L$589</c:f>
              <c:numCache>
                <c:formatCode>0.00E+00</c:formatCode>
                <c:ptCount val="10"/>
                <c:pt idx="0">
                  <c:v>40000</c:v>
                </c:pt>
                <c:pt idx="1">
                  <c:v>1770000</c:v>
                </c:pt>
                <c:pt idx="2">
                  <c:v>500000</c:v>
                </c:pt>
                <c:pt idx="3">
                  <c:v>136000</c:v>
                </c:pt>
                <c:pt idx="4">
                  <c:v>213000</c:v>
                </c:pt>
                <c:pt idx="5">
                  <c:v>180000</c:v>
                </c:pt>
                <c:pt idx="6">
                  <c:v>156000</c:v>
                </c:pt>
                <c:pt idx="7">
                  <c:v>289000</c:v>
                </c:pt>
                <c:pt idx="8">
                  <c:v>276000</c:v>
                </c:pt>
                <c:pt idx="9">
                  <c:v>231000</c:v>
                </c:pt>
              </c:numCache>
            </c:numRef>
          </c:xVal>
          <c:yVal>
            <c:numRef>
              <c:f>'Fatigue Data'!$K$580:$K$589</c:f>
              <c:numCache>
                <c:formatCode>General</c:formatCode>
                <c:ptCount val="10"/>
                <c:pt idx="0">
                  <c:v>559.75443582561627</c:v>
                </c:pt>
                <c:pt idx="1">
                  <c:v>559.75443582561627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559.75443582561627</c:v>
                </c:pt>
                <c:pt idx="5">
                  <c:v>479.78951642195676</c:v>
                </c:pt>
                <c:pt idx="6">
                  <c:v>479.78951642195676</c:v>
                </c:pt>
                <c:pt idx="7">
                  <c:v>479.78951642195676</c:v>
                </c:pt>
                <c:pt idx="8">
                  <c:v>479.78951642195676</c:v>
                </c:pt>
                <c:pt idx="9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5FE-4999-BA69-CA3359D5CB9D}"/>
            </c:ext>
          </c:extLst>
        </c:ser>
        <c:ser>
          <c:idx val="46"/>
          <c:order val="46"/>
          <c:tx>
            <c:strRef>
              <c:f>'Fatigue Data'!$A$594</c:f>
              <c:strCache>
                <c:ptCount val="1"/>
                <c:pt idx="0">
                  <c:v>[40], R=0, 90°, SB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Data'!$L$594:$L$603</c:f>
              <c:numCache>
                <c:formatCode>0.00E+00</c:formatCode>
                <c:ptCount val="10"/>
                <c:pt idx="0">
                  <c:v>15000</c:v>
                </c:pt>
                <c:pt idx="1">
                  <c:v>100000</c:v>
                </c:pt>
                <c:pt idx="2">
                  <c:v>90000</c:v>
                </c:pt>
                <c:pt idx="3">
                  <c:v>110000</c:v>
                </c:pt>
                <c:pt idx="4">
                  <c:v>225000</c:v>
                </c:pt>
                <c:pt idx="5">
                  <c:v>200000</c:v>
                </c:pt>
                <c:pt idx="6">
                  <c:v>400000</c:v>
                </c:pt>
                <c:pt idx="7">
                  <c:v>450000</c:v>
                </c:pt>
                <c:pt idx="8">
                  <c:v>2500000</c:v>
                </c:pt>
                <c:pt idx="9">
                  <c:v>2500000</c:v>
                </c:pt>
              </c:numCache>
            </c:numRef>
          </c:xVal>
          <c:yVal>
            <c:numRef>
              <c:f>'Fatigue Data'!$K$594:$K$603</c:f>
              <c:numCache>
                <c:formatCode>General</c:formatCode>
                <c:ptCount val="10"/>
                <c:pt idx="0">
                  <c:v>494.15461036054387</c:v>
                </c:pt>
                <c:pt idx="1">
                  <c:v>329.43640690702927</c:v>
                </c:pt>
                <c:pt idx="2">
                  <c:v>329.43640690702927</c:v>
                </c:pt>
                <c:pt idx="3">
                  <c:v>288.2568560436506</c:v>
                </c:pt>
                <c:pt idx="4">
                  <c:v>267.66708061196124</c:v>
                </c:pt>
                <c:pt idx="5">
                  <c:v>255.31321535294765</c:v>
                </c:pt>
                <c:pt idx="6">
                  <c:v>255.31321535294765</c:v>
                </c:pt>
                <c:pt idx="7">
                  <c:v>247.07730518027194</c:v>
                </c:pt>
                <c:pt idx="8">
                  <c:v>238.84139500759619</c:v>
                </c:pt>
                <c:pt idx="9">
                  <c:v>226.4875297485826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5FE-4999-BA69-CA3359D5CB9D}"/>
            </c:ext>
          </c:extLst>
        </c:ser>
        <c:ser>
          <c:idx val="47"/>
          <c:order val="47"/>
          <c:tx>
            <c:strRef>
              <c:f>'Fatigue Data'!$A$608</c:f>
              <c:strCache>
                <c:ptCount val="1"/>
                <c:pt idx="0">
                  <c:v>[42], R=0.1, 90°, SB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'Fatigue Data'!$L$608:$L$615</c:f>
              <c:numCache>
                <c:formatCode>General</c:formatCode>
                <c:ptCount val="8"/>
                <c:pt idx="0">
                  <c:v>32000</c:v>
                </c:pt>
                <c:pt idx="1">
                  <c:v>63000</c:v>
                </c:pt>
                <c:pt idx="2">
                  <c:v>125000</c:v>
                </c:pt>
                <c:pt idx="3">
                  <c:v>190000</c:v>
                </c:pt>
                <c:pt idx="4">
                  <c:v>110000</c:v>
                </c:pt>
                <c:pt idx="5">
                  <c:v>125000</c:v>
                </c:pt>
                <c:pt idx="6">
                  <c:v>7000000</c:v>
                </c:pt>
                <c:pt idx="7">
                  <c:v>175000</c:v>
                </c:pt>
              </c:numCache>
            </c:numRef>
          </c:xVal>
          <c:yVal>
            <c:numRef>
              <c:f>'Fatigue Data'!$K$608:$K$615</c:f>
              <c:numCache>
                <c:formatCode>General</c:formatCode>
                <c:ptCount val="8"/>
                <c:pt idx="0">
                  <c:v>399.82459701829731</c:v>
                </c:pt>
                <c:pt idx="1">
                  <c:v>359.84213731646759</c:v>
                </c:pt>
                <c:pt idx="2">
                  <c:v>299.868447763723</c:v>
                </c:pt>
                <c:pt idx="3">
                  <c:v>279.87721791280813</c:v>
                </c:pt>
                <c:pt idx="4">
                  <c:v>259.88598806189327</c:v>
                </c:pt>
                <c:pt idx="5">
                  <c:v>251.88949612152732</c:v>
                </c:pt>
                <c:pt idx="6">
                  <c:v>247.89125015134434</c:v>
                </c:pt>
                <c:pt idx="7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5FE-4999-BA69-CA3359D5CB9D}"/>
            </c:ext>
          </c:extLst>
        </c:ser>
        <c:ser>
          <c:idx val="48"/>
          <c:order val="48"/>
          <c:tx>
            <c:strRef>
              <c:f>'Fatigue Data'!$A$619</c:f>
              <c:strCache>
                <c:ptCount val="1"/>
                <c:pt idx="0">
                  <c:v>[42], R=0.1, 90°, SB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Data'!$L$619:$L$627</c:f>
              <c:numCache>
                <c:formatCode>0.00E+00</c:formatCode>
                <c:ptCount val="9"/>
                <c:pt idx="0">
                  <c:v>30000</c:v>
                </c:pt>
                <c:pt idx="1">
                  <c:v>55000</c:v>
                </c:pt>
                <c:pt idx="2">
                  <c:v>60000</c:v>
                </c:pt>
                <c:pt idx="3">
                  <c:v>80000</c:v>
                </c:pt>
                <c:pt idx="4">
                  <c:v>250000</c:v>
                </c:pt>
                <c:pt idx="5">
                  <c:v>5000000</c:v>
                </c:pt>
                <c:pt idx="6">
                  <c:v>425000</c:v>
                </c:pt>
                <c:pt idx="7">
                  <c:v>5000000</c:v>
                </c:pt>
                <c:pt idx="8">
                  <c:v>5000000</c:v>
                </c:pt>
              </c:numCache>
            </c:numRef>
          </c:xVal>
          <c:yVal>
            <c:numRef>
              <c:f>'Fatigue Data'!$K$619:$K$627</c:f>
              <c:numCache>
                <c:formatCode>General</c:formatCode>
                <c:ptCount val="9"/>
                <c:pt idx="0">
                  <c:v>459.7982865710419</c:v>
                </c:pt>
                <c:pt idx="1">
                  <c:v>399.82459701829731</c:v>
                </c:pt>
                <c:pt idx="2">
                  <c:v>399.82459701829731</c:v>
                </c:pt>
                <c:pt idx="3">
                  <c:v>319.85967761463786</c:v>
                </c:pt>
                <c:pt idx="4">
                  <c:v>319.85967761463786</c:v>
                </c:pt>
                <c:pt idx="5">
                  <c:v>279.87721791280813</c:v>
                </c:pt>
                <c:pt idx="6">
                  <c:v>239.89475821097838</c:v>
                </c:pt>
                <c:pt idx="7">
                  <c:v>239.89475821097838</c:v>
                </c:pt>
                <c:pt idx="8">
                  <c:v>199.91229850914866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5FE-4999-BA69-CA3359D5CB9D}"/>
            </c:ext>
          </c:extLst>
        </c:ser>
        <c:ser>
          <c:idx val="49"/>
          <c:order val="49"/>
          <c:tx>
            <c:strRef>
              <c:f>'Fatigue Data'!$A$631</c:f>
              <c:strCache>
                <c:ptCount val="1"/>
                <c:pt idx="0">
                  <c:v>[42], R=0.1,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Data'!$L$631:$L$635</c:f>
              <c:numCache>
                <c:formatCode>0.00E+00</c:formatCode>
                <c:ptCount val="5"/>
                <c:pt idx="0">
                  <c:v>50000</c:v>
                </c:pt>
                <c:pt idx="1">
                  <c:v>35000</c:v>
                </c:pt>
                <c:pt idx="2">
                  <c:v>400000</c:v>
                </c:pt>
                <c:pt idx="3">
                  <c:v>450000</c:v>
                </c:pt>
                <c:pt idx="4">
                  <c:v>8500000</c:v>
                </c:pt>
              </c:numCache>
            </c:numRef>
          </c:xVal>
          <c:yVal>
            <c:numRef>
              <c:f>'Fatigue Data'!$K$631:$K$635</c:f>
              <c:numCache>
                <c:formatCode>General</c:formatCode>
                <c:ptCount val="5"/>
                <c:pt idx="0">
                  <c:v>659.71058508019053</c:v>
                </c:pt>
                <c:pt idx="1">
                  <c:v>639.71935522927572</c:v>
                </c:pt>
                <c:pt idx="2">
                  <c:v>519.77197612378654</c:v>
                </c:pt>
                <c:pt idx="3">
                  <c:v>479.78951642195676</c:v>
                </c:pt>
                <c:pt idx="4">
                  <c:v>379.83336716738245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5FE-4999-BA69-CA3359D5CB9D}"/>
            </c:ext>
          </c:extLst>
        </c:ser>
        <c:ser>
          <c:idx val="50"/>
          <c:order val="50"/>
          <c:tx>
            <c:strRef>
              <c:f>'Fatigue Data'!$A$639</c:f>
              <c:strCache>
                <c:ptCount val="1"/>
                <c:pt idx="0">
                  <c:v>[42], R=0.1, 90°, SB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Data'!$L$639:$L$645</c:f>
              <c:numCache>
                <c:formatCode>0.00E+00</c:formatCode>
                <c:ptCount val="7"/>
                <c:pt idx="0">
                  <c:v>20000</c:v>
                </c:pt>
                <c:pt idx="1">
                  <c:v>26000</c:v>
                </c:pt>
                <c:pt idx="2">
                  <c:v>300000</c:v>
                </c:pt>
                <c:pt idx="3">
                  <c:v>175000</c:v>
                </c:pt>
                <c:pt idx="4">
                  <c:v>700000</c:v>
                </c:pt>
                <c:pt idx="5">
                  <c:v>800000</c:v>
                </c:pt>
                <c:pt idx="6">
                  <c:v>8500000</c:v>
                </c:pt>
              </c:numCache>
            </c:numRef>
          </c:xVal>
          <c:yVal>
            <c:numRef>
              <c:f>'Fatigue Data'!$K$639:$K$645</c:f>
              <c:numCache>
                <c:formatCode>General</c:formatCode>
                <c:ptCount val="7"/>
                <c:pt idx="0">
                  <c:v>319.85967761463786</c:v>
                </c:pt>
                <c:pt idx="1">
                  <c:v>319.85967761463786</c:v>
                </c:pt>
                <c:pt idx="2">
                  <c:v>199.91229850914866</c:v>
                </c:pt>
                <c:pt idx="3">
                  <c:v>179.92106865823379</c:v>
                </c:pt>
                <c:pt idx="4">
                  <c:v>159.92983880731893</c:v>
                </c:pt>
                <c:pt idx="5">
                  <c:v>151.93334686695297</c:v>
                </c:pt>
                <c:pt idx="6">
                  <c:v>119.94737910548919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5FE-4999-BA69-CA3359D5CB9D}"/>
            </c:ext>
          </c:extLst>
        </c:ser>
        <c:ser>
          <c:idx val="51"/>
          <c:order val="51"/>
          <c:tx>
            <c:strRef>
              <c:f>'Fatigue Data'!$A$649</c:f>
              <c:strCache>
                <c:ptCount val="1"/>
                <c:pt idx="0">
                  <c:v>[42], R=0.1, 90°, SB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Data'!$L$649:$L$655</c:f>
              <c:numCache>
                <c:formatCode>0.00E+00</c:formatCode>
                <c:ptCount val="7"/>
                <c:pt idx="0">
                  <c:v>47500</c:v>
                </c:pt>
                <c:pt idx="1">
                  <c:v>70000</c:v>
                </c:pt>
                <c:pt idx="2">
                  <c:v>175000</c:v>
                </c:pt>
                <c:pt idx="3">
                  <c:v>325000</c:v>
                </c:pt>
                <c:pt idx="4">
                  <c:v>950000</c:v>
                </c:pt>
                <c:pt idx="5">
                  <c:v>10000000</c:v>
                </c:pt>
                <c:pt idx="6">
                  <c:v>10000000</c:v>
                </c:pt>
              </c:numCache>
            </c:numRef>
          </c:xVal>
          <c:yVal>
            <c:numRef>
              <c:f>'Fatigue Data'!$K$649:$K$655</c:f>
              <c:numCache>
                <c:formatCode>General</c:formatCode>
                <c:ptCount val="7"/>
                <c:pt idx="0">
                  <c:v>319.85967761463786</c:v>
                </c:pt>
                <c:pt idx="1">
                  <c:v>279.87721791280813</c:v>
                </c:pt>
                <c:pt idx="2">
                  <c:v>239.89475821097838</c:v>
                </c:pt>
                <c:pt idx="3">
                  <c:v>199.91229850914866</c:v>
                </c:pt>
                <c:pt idx="4">
                  <c:v>179.92106865823379</c:v>
                </c:pt>
                <c:pt idx="5">
                  <c:v>179.92106865823379</c:v>
                </c:pt>
                <c:pt idx="6">
                  <c:v>167.92633074768486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5FE-4999-BA69-CA3359D5CB9D}"/>
            </c:ext>
          </c:extLst>
        </c:ser>
        <c:ser>
          <c:idx val="52"/>
          <c:order val="52"/>
          <c:tx>
            <c:strRef>
              <c:f>'Fatigue Data'!$A$659</c:f>
              <c:strCache>
                <c:ptCount val="1"/>
                <c:pt idx="0">
                  <c:v>[42], R=0.1,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Data'!$L$659:$L$661</c:f>
              <c:numCache>
                <c:formatCode>0.00E+00</c:formatCode>
                <c:ptCount val="3"/>
                <c:pt idx="0">
                  <c:v>1250000</c:v>
                </c:pt>
                <c:pt idx="1">
                  <c:v>2500000</c:v>
                </c:pt>
                <c:pt idx="2">
                  <c:v>2750000</c:v>
                </c:pt>
              </c:numCache>
            </c:numRef>
          </c:xVal>
          <c:yVal>
            <c:numRef>
              <c:f>'Fatigue Data'!$K$659:$K$661</c:f>
              <c:numCache>
                <c:formatCode>General</c:formatCode>
                <c:ptCount val="3"/>
                <c:pt idx="0">
                  <c:v>659.71058508019053</c:v>
                </c:pt>
                <c:pt idx="1">
                  <c:v>639.71935522927572</c:v>
                </c:pt>
                <c:pt idx="2">
                  <c:v>639.71935522927572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5FE-4999-BA69-CA3359D5CB9D}"/>
            </c:ext>
          </c:extLst>
        </c:ser>
        <c:ser>
          <c:idx val="53"/>
          <c:order val="53"/>
          <c:tx>
            <c:strRef>
              <c:f>'Fatigue Data'!$A$666</c:f>
              <c:strCache>
                <c:ptCount val="1"/>
                <c:pt idx="0">
                  <c:v>[43], R=0.1, 90°, SB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'Fatigue Data'!$L$666:$L$669</c:f>
              <c:numCache>
                <c:formatCode>0.00E+00</c:formatCode>
                <c:ptCount val="4"/>
                <c:pt idx="0">
                  <c:v>7000</c:v>
                </c:pt>
                <c:pt idx="1">
                  <c:v>17500</c:v>
                </c:pt>
                <c:pt idx="2">
                  <c:v>46000</c:v>
                </c:pt>
                <c:pt idx="3">
                  <c:v>250000</c:v>
                </c:pt>
              </c:numCache>
            </c:numRef>
          </c:xVal>
          <c:yVal>
            <c:numRef>
              <c:f>'Fatigue Data'!$K$666:$K$669</c:f>
              <c:numCache>
                <c:formatCode>General</c:formatCode>
                <c:ptCount val="4"/>
                <c:pt idx="0">
                  <c:v>559.75443582561627</c:v>
                </c:pt>
                <c:pt idx="1">
                  <c:v>471.79302448159081</c:v>
                </c:pt>
                <c:pt idx="2">
                  <c:v>347.84739940591868</c:v>
                </c:pt>
                <c:pt idx="3">
                  <c:v>267.88248000225917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5FE-4999-BA69-CA3359D5CB9D}"/>
            </c:ext>
          </c:extLst>
        </c:ser>
        <c:ser>
          <c:idx val="55"/>
          <c:order val="54"/>
          <c:tx>
            <c:strRef>
              <c:f>'Fatigue Data'!$A$673</c:f>
              <c:strCache>
                <c:ptCount val="1"/>
                <c:pt idx="0">
                  <c:v>[43], R=0.1, 90°, SP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'Fatigue Data'!$L$673:$L$678</c:f>
              <c:numCache>
                <c:formatCode>0.00E+00</c:formatCode>
                <c:ptCount val="6"/>
                <c:pt idx="0">
                  <c:v>45000</c:v>
                </c:pt>
                <c:pt idx="1">
                  <c:v>60000</c:v>
                </c:pt>
                <c:pt idx="2">
                  <c:v>20000</c:v>
                </c:pt>
                <c:pt idx="3">
                  <c:v>25000</c:v>
                </c:pt>
                <c:pt idx="4">
                  <c:v>95000</c:v>
                </c:pt>
                <c:pt idx="5">
                  <c:v>5000000</c:v>
                </c:pt>
              </c:numCache>
            </c:numRef>
          </c:xVal>
          <c:yVal>
            <c:numRef>
              <c:f>'Fatigue Data'!$K$673:$K$678</c:f>
              <c:numCache>
                <c:formatCode>General</c:formatCode>
                <c:ptCount val="6"/>
                <c:pt idx="0">
                  <c:v>639.71935522927572</c:v>
                </c:pt>
                <c:pt idx="1">
                  <c:v>639.71935522927572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463.79653254122491</c:v>
                </c:pt>
                <c:pt idx="5">
                  <c:v>351.84564537610163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5FE-4999-BA69-CA3359D5CB9D}"/>
            </c:ext>
          </c:extLst>
        </c:ser>
        <c:ser>
          <c:idx val="56"/>
          <c:order val="55"/>
          <c:tx>
            <c:strRef>
              <c:f>'Fatigue Data'!$A$682</c:f>
              <c:strCache>
                <c:ptCount val="1"/>
                <c:pt idx="0">
                  <c:v>[43], R=0.1, 90°, SP + CASE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'Fatigue Data'!$L$682:$L$687</c:f>
              <c:numCache>
                <c:formatCode>0.00E+00</c:formatCode>
                <c:ptCount val="6"/>
                <c:pt idx="0">
                  <c:v>30000</c:v>
                </c:pt>
                <c:pt idx="1">
                  <c:v>50000</c:v>
                </c:pt>
                <c:pt idx="2">
                  <c:v>400000</c:v>
                </c:pt>
                <c:pt idx="3">
                  <c:v>500000</c:v>
                </c:pt>
                <c:pt idx="4">
                  <c:v>320000</c:v>
                </c:pt>
                <c:pt idx="5">
                  <c:v>1600000</c:v>
                </c:pt>
              </c:numCache>
            </c:numRef>
          </c:xVal>
          <c:yVal>
            <c:numRef>
              <c:f>'Fatigue Data'!$K$682:$K$687</c:f>
              <c:numCache>
                <c:formatCode>General</c:formatCode>
                <c:ptCount val="6"/>
                <c:pt idx="0">
                  <c:v>639.71935522927572</c:v>
                </c:pt>
                <c:pt idx="1">
                  <c:v>639.71935522927572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471.79302448159081</c:v>
                </c:pt>
                <c:pt idx="5">
                  <c:v>471.79302448159081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5FE-4999-BA69-CA3359D5CB9D}"/>
            </c:ext>
          </c:extLst>
        </c:ser>
        <c:ser>
          <c:idx val="57"/>
          <c:order val="56"/>
          <c:tx>
            <c:strRef>
              <c:f>'Fatigue Data'!$A$691</c:f>
              <c:strCache>
                <c:ptCount val="1"/>
                <c:pt idx="0">
                  <c:v>[43], R=0.1, 90°, LP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'Fatigue Data'!$L$691:$L$696</c:f>
              <c:numCache>
                <c:formatCode>0.00E+00</c:formatCode>
                <c:ptCount val="6"/>
                <c:pt idx="0">
                  <c:v>85000</c:v>
                </c:pt>
                <c:pt idx="1">
                  <c:v>100000</c:v>
                </c:pt>
                <c:pt idx="2">
                  <c:v>350000</c:v>
                </c:pt>
                <c:pt idx="3">
                  <c:v>750000</c:v>
                </c:pt>
                <c:pt idx="4">
                  <c:v>1500000</c:v>
                </c:pt>
                <c:pt idx="5">
                  <c:v>3000000</c:v>
                </c:pt>
              </c:numCache>
            </c:numRef>
          </c:xVal>
          <c:yVal>
            <c:numRef>
              <c:f>'Fatigue Data'!$K$691:$K$696</c:f>
              <c:numCache>
                <c:formatCode>General</c:formatCode>
                <c:ptCount val="6"/>
                <c:pt idx="0">
                  <c:v>639.71935522927572</c:v>
                </c:pt>
                <c:pt idx="1">
                  <c:v>639.71935522927572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463.79653254122491</c:v>
                </c:pt>
                <c:pt idx="5">
                  <c:v>463.79653254122491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5FE-4999-BA69-CA3359D5CB9D}"/>
            </c:ext>
          </c:extLst>
        </c:ser>
        <c:ser>
          <c:idx val="58"/>
          <c:order val="57"/>
          <c:tx>
            <c:strRef>
              <c:f>'Fatigue Data'!$A$701</c:f>
              <c:strCache>
                <c:ptCount val="1"/>
                <c:pt idx="0">
                  <c:v>[46], R=-1,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'Fatigue Data'!$L$701:$L$715</c:f>
              <c:numCache>
                <c:formatCode>0.00E+00</c:formatCode>
                <c:ptCount val="15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15000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45000</c:v>
                </c:pt>
                <c:pt idx="8">
                  <c:v>60000</c:v>
                </c:pt>
                <c:pt idx="9">
                  <c:v>80000</c:v>
                </c:pt>
                <c:pt idx="10">
                  <c:v>25000</c:v>
                </c:pt>
                <c:pt idx="11">
                  <c:v>90000</c:v>
                </c:pt>
                <c:pt idx="12">
                  <c:v>200000</c:v>
                </c:pt>
                <c:pt idx="13">
                  <c:v>350000</c:v>
                </c:pt>
                <c:pt idx="14">
                  <c:v>1200000</c:v>
                </c:pt>
              </c:numCache>
            </c:numRef>
          </c:xVal>
          <c:yVal>
            <c:numRef>
              <c:f>'Fatigue Data'!$K$701:$K$715</c:f>
              <c:numCache>
                <c:formatCode>General</c:formatCode>
                <c:ptCount val="15"/>
                <c:pt idx="0">
                  <c:v>700</c:v>
                </c:pt>
                <c:pt idx="1">
                  <c:v>650</c:v>
                </c:pt>
                <c:pt idx="2">
                  <c:v>650</c:v>
                </c:pt>
                <c:pt idx="3">
                  <c:v>600</c:v>
                </c:pt>
                <c:pt idx="4">
                  <c:v>600</c:v>
                </c:pt>
                <c:pt idx="5">
                  <c:v>550</c:v>
                </c:pt>
                <c:pt idx="6">
                  <c:v>550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450</c:v>
                </c:pt>
                <c:pt idx="11">
                  <c:v>450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5FE-4999-BA69-CA3359D5CB9D}"/>
            </c:ext>
          </c:extLst>
        </c:ser>
        <c:ser>
          <c:idx val="59"/>
          <c:order val="58"/>
          <c:tx>
            <c:strRef>
              <c:f>'Fatigue Data'!$A$719</c:f>
              <c:strCache>
                <c:ptCount val="1"/>
                <c:pt idx="0">
                  <c:v>[47], R=0.1, 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'Fatigue Data'!$L$719</c:f>
              <c:numCache>
                <c:formatCode>0.00E+00</c:formatCode>
                <c:ptCount val="1"/>
                <c:pt idx="0">
                  <c:v>62000</c:v>
                </c:pt>
              </c:numCache>
            </c:numRef>
          </c:xVal>
          <c:yVal>
            <c:numRef>
              <c:f>'Fatigue Data'!$K$719</c:f>
              <c:numCache>
                <c:formatCode>General</c:formatCode>
                <c:ptCount val="1"/>
                <c:pt idx="0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5FE-4999-BA69-CA3359D5CB9D}"/>
            </c:ext>
          </c:extLst>
        </c:ser>
        <c:ser>
          <c:idx val="60"/>
          <c:order val="59"/>
          <c:tx>
            <c:strRef>
              <c:f>'Fatigue Data'!$A$723</c:f>
              <c:strCache>
                <c:ptCount val="1"/>
                <c:pt idx="0">
                  <c:v>[47], R=0.1, 0°, EDM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Data'!$L$723</c:f>
              <c:numCache>
                <c:formatCode>0.00E+00</c:formatCode>
                <c:ptCount val="1"/>
                <c:pt idx="0">
                  <c:v>79900</c:v>
                </c:pt>
              </c:numCache>
            </c:numRef>
          </c:xVal>
          <c:yVal>
            <c:numRef>
              <c:f>'Fatigue Data'!$K$723</c:f>
              <c:numCache>
                <c:formatCode>General</c:formatCode>
                <c:ptCount val="1"/>
                <c:pt idx="0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5FE-4999-BA69-CA3359D5CB9D}"/>
            </c:ext>
          </c:extLst>
        </c:ser>
        <c:ser>
          <c:idx val="61"/>
          <c:order val="60"/>
          <c:tx>
            <c:strRef>
              <c:f>'Fatigue Data'!$A$727</c:f>
              <c:strCache>
                <c:ptCount val="1"/>
                <c:pt idx="0">
                  <c:v>[47], R=0.1, 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Data'!$L$727</c:f>
              <c:numCache>
                <c:formatCode>0.00E+00</c:formatCode>
                <c:ptCount val="1"/>
                <c:pt idx="0">
                  <c:v>29000</c:v>
                </c:pt>
              </c:numCache>
            </c:numRef>
          </c:xVal>
          <c:yVal>
            <c:numRef>
              <c:f>'Fatigue Data'!$K$727</c:f>
              <c:numCache>
                <c:formatCode>General</c:formatCode>
                <c:ptCount val="1"/>
                <c:pt idx="0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5FE-4999-BA69-CA3359D5CB9D}"/>
            </c:ext>
          </c:extLst>
        </c:ser>
        <c:ser>
          <c:idx val="62"/>
          <c:order val="61"/>
          <c:tx>
            <c:strRef>
              <c:f>'Fatigue Data'!$A$731</c:f>
              <c:strCache>
                <c:ptCount val="1"/>
                <c:pt idx="0">
                  <c:v>[47], R=0.1, 0°, EDM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Data'!$L$731</c:f>
              <c:numCache>
                <c:formatCode>0.00E+00</c:formatCode>
                <c:ptCount val="1"/>
                <c:pt idx="0">
                  <c:v>48900</c:v>
                </c:pt>
              </c:numCache>
            </c:numRef>
          </c:xVal>
          <c:yVal>
            <c:numRef>
              <c:f>'Fatigue Data'!$K$731</c:f>
              <c:numCache>
                <c:formatCode>General</c:formatCode>
                <c:ptCount val="1"/>
                <c:pt idx="0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5FE-4999-BA69-CA3359D5CB9D}"/>
            </c:ext>
          </c:extLst>
        </c:ser>
        <c:ser>
          <c:idx val="64"/>
          <c:order val="63"/>
          <c:tx>
            <c:strRef>
              <c:f>'Fatigue Data'!$A$739</c:f>
              <c:strCache>
                <c:ptCount val="1"/>
                <c:pt idx="0">
                  <c:v>[48], R=-0.2,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Data'!$L$739:$L$743</c:f>
              <c:numCache>
                <c:formatCode>0.00E+00</c:formatCode>
                <c:ptCount val="5"/>
                <c:pt idx="0">
                  <c:v>3500</c:v>
                </c:pt>
                <c:pt idx="1">
                  <c:v>15000</c:v>
                </c:pt>
                <c:pt idx="2">
                  <c:v>95000</c:v>
                </c:pt>
                <c:pt idx="3">
                  <c:v>225000</c:v>
                </c:pt>
                <c:pt idx="4">
                  <c:v>1000000</c:v>
                </c:pt>
              </c:numCache>
            </c:numRef>
          </c:xVal>
          <c:yVal>
            <c:numRef>
              <c:f>'Fatigue Data'!$K$739:$K$743</c:f>
              <c:numCache>
                <c:formatCode>General</c:formatCode>
                <c:ptCount val="5"/>
                <c:pt idx="0">
                  <c:v>346.69081942322049</c:v>
                </c:pt>
                <c:pt idx="1">
                  <c:v>238.3499383534641</c:v>
                </c:pt>
                <c:pt idx="2">
                  <c:v>108.34088106975641</c:v>
                </c:pt>
                <c:pt idx="3">
                  <c:v>86.672704855805122</c:v>
                </c:pt>
                <c:pt idx="4">
                  <c:v>65.004528641853852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5FE-4999-BA69-CA3359D5CB9D}"/>
            </c:ext>
          </c:extLst>
        </c:ser>
        <c:ser>
          <c:idx val="65"/>
          <c:order val="64"/>
          <c:tx>
            <c:strRef>
              <c:f>'Fatigue Data'!$A$747</c:f>
              <c:strCache>
                <c:ptCount val="1"/>
                <c:pt idx="0">
                  <c:v>[48], R=-0.2, 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'Fatigue Data'!$L$747:$L$751</c:f>
              <c:numCache>
                <c:formatCode>0.00E+00</c:formatCode>
                <c:ptCount val="5"/>
                <c:pt idx="0">
                  <c:v>4500</c:v>
                </c:pt>
                <c:pt idx="1">
                  <c:v>5000</c:v>
                </c:pt>
                <c:pt idx="2">
                  <c:v>12500</c:v>
                </c:pt>
                <c:pt idx="3">
                  <c:v>50000</c:v>
                </c:pt>
                <c:pt idx="4">
                  <c:v>250000</c:v>
                </c:pt>
              </c:numCache>
            </c:numRef>
          </c:xVal>
          <c:yVal>
            <c:numRef>
              <c:f>'Fatigue Data'!$K$747:$K$751</c:f>
              <c:numCache>
                <c:formatCode>General</c:formatCode>
                <c:ptCount val="5"/>
                <c:pt idx="0">
                  <c:v>476.69987670692819</c:v>
                </c:pt>
                <c:pt idx="1">
                  <c:v>411.69534806507437</c:v>
                </c:pt>
                <c:pt idx="2">
                  <c:v>303.35446699531792</c:v>
                </c:pt>
                <c:pt idx="3">
                  <c:v>173.34540971161024</c:v>
                </c:pt>
                <c:pt idx="4">
                  <c:v>130.0090572837077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5FE-4999-BA69-CA3359D5CB9D}"/>
            </c:ext>
          </c:extLst>
        </c:ser>
        <c:ser>
          <c:idx val="66"/>
          <c:order val="65"/>
          <c:tx>
            <c:strRef>
              <c:f>'Fatigue Data'!$A$755</c:f>
              <c:strCache>
                <c:ptCount val="1"/>
                <c:pt idx="0">
                  <c:v>[48], R=-0.2,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Data'!$L$755:$L$761</c:f>
              <c:numCache>
                <c:formatCode>0.00E+00</c:formatCode>
                <c:ptCount val="7"/>
                <c:pt idx="0">
                  <c:v>50000</c:v>
                </c:pt>
                <c:pt idx="1">
                  <c:v>110000</c:v>
                </c:pt>
                <c:pt idx="2">
                  <c:v>85000</c:v>
                </c:pt>
                <c:pt idx="3">
                  <c:v>120000</c:v>
                </c:pt>
                <c:pt idx="4">
                  <c:v>150000</c:v>
                </c:pt>
                <c:pt idx="5">
                  <c:v>300000</c:v>
                </c:pt>
                <c:pt idx="6">
                  <c:v>325000</c:v>
                </c:pt>
              </c:numCache>
            </c:numRef>
          </c:xVal>
          <c:yVal>
            <c:numRef>
              <c:f>'Fatigue Data'!$K$755:$K$761</c:f>
              <c:numCache>
                <c:formatCode>General</c:formatCode>
                <c:ptCount val="7"/>
                <c:pt idx="0">
                  <c:v>173.34540971161024</c:v>
                </c:pt>
                <c:pt idx="1">
                  <c:v>108.34088106975641</c:v>
                </c:pt>
                <c:pt idx="2">
                  <c:v>86.672704855805122</c:v>
                </c:pt>
                <c:pt idx="3">
                  <c:v>86.672704855805122</c:v>
                </c:pt>
                <c:pt idx="4">
                  <c:v>86.672704855805122</c:v>
                </c:pt>
                <c:pt idx="5">
                  <c:v>86.672704855805122</c:v>
                </c:pt>
                <c:pt idx="6">
                  <c:v>86.672704855805122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5FE-4999-BA69-CA3359D5CB9D}"/>
            </c:ext>
          </c:extLst>
        </c:ser>
        <c:ser>
          <c:idx val="67"/>
          <c:order val="66"/>
          <c:tx>
            <c:strRef>
              <c:f>'Fatigue Data'!$A$765</c:f>
              <c:strCache>
                <c:ptCount val="1"/>
                <c:pt idx="0">
                  <c:v>[48], R=-0.2, 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Data'!$L$765:$L$773</c:f>
              <c:numCache>
                <c:formatCode>0.00E+00</c:formatCode>
                <c:ptCount val="9"/>
                <c:pt idx="0">
                  <c:v>110000</c:v>
                </c:pt>
                <c:pt idx="1">
                  <c:v>30000</c:v>
                </c:pt>
                <c:pt idx="2">
                  <c:v>100000</c:v>
                </c:pt>
                <c:pt idx="3">
                  <c:v>175000</c:v>
                </c:pt>
                <c:pt idx="4">
                  <c:v>120000</c:v>
                </c:pt>
                <c:pt idx="5">
                  <c:v>150000</c:v>
                </c:pt>
                <c:pt idx="6">
                  <c:v>220000</c:v>
                </c:pt>
                <c:pt idx="7">
                  <c:v>300000</c:v>
                </c:pt>
                <c:pt idx="8">
                  <c:v>350000</c:v>
                </c:pt>
              </c:numCache>
            </c:numRef>
          </c:xVal>
          <c:yVal>
            <c:numRef>
              <c:f>'Fatigue Data'!$K$765:$K$773</c:f>
              <c:numCache>
                <c:formatCode>General</c:formatCode>
                <c:ptCount val="9"/>
                <c:pt idx="0">
                  <c:v>416.02898330786462</c:v>
                </c:pt>
                <c:pt idx="1">
                  <c:v>303.35446699531792</c:v>
                </c:pt>
                <c:pt idx="2">
                  <c:v>182.01268019719078</c:v>
                </c:pt>
                <c:pt idx="3">
                  <c:v>182.01268019719078</c:v>
                </c:pt>
                <c:pt idx="4">
                  <c:v>151.67723349765896</c:v>
                </c:pt>
                <c:pt idx="5">
                  <c:v>151.67723349765896</c:v>
                </c:pt>
                <c:pt idx="6">
                  <c:v>151.67723349765896</c:v>
                </c:pt>
                <c:pt idx="7">
                  <c:v>151.67723349765896</c:v>
                </c:pt>
                <c:pt idx="8">
                  <c:v>130.0090572837077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5FE-4999-BA69-CA3359D5CB9D}"/>
            </c:ext>
          </c:extLst>
        </c:ser>
        <c:ser>
          <c:idx val="68"/>
          <c:order val="67"/>
          <c:tx>
            <c:strRef>
              <c:f>'Fatigue Data'!$A$777</c:f>
              <c:strCache>
                <c:ptCount val="1"/>
                <c:pt idx="0">
                  <c:v>[49], R=0.1, 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Data'!$L$777:$L$786</c:f>
              <c:numCache>
                <c:formatCode>0.00E+00</c:formatCode>
                <c:ptCount val="10"/>
                <c:pt idx="0">
                  <c:v>25000</c:v>
                </c:pt>
                <c:pt idx="1">
                  <c:v>37500</c:v>
                </c:pt>
                <c:pt idx="2">
                  <c:v>80000</c:v>
                </c:pt>
                <c:pt idx="3">
                  <c:v>92500</c:v>
                </c:pt>
                <c:pt idx="4">
                  <c:v>125000</c:v>
                </c:pt>
                <c:pt idx="5">
                  <c:v>240000</c:v>
                </c:pt>
                <c:pt idx="6">
                  <c:v>425000</c:v>
                </c:pt>
                <c:pt idx="7">
                  <c:v>780000</c:v>
                </c:pt>
                <c:pt idx="8">
                  <c:v>3000000</c:v>
                </c:pt>
                <c:pt idx="9">
                  <c:v>10000000</c:v>
                </c:pt>
              </c:numCache>
            </c:numRef>
          </c:xVal>
          <c:yVal>
            <c:numRef>
              <c:f>'Fatigue Data'!$K$777:$K$786</c:f>
              <c:numCache>
                <c:formatCode>General</c:formatCode>
                <c:ptCount val="10"/>
                <c:pt idx="0">
                  <c:v>399.82459701829731</c:v>
                </c:pt>
                <c:pt idx="1">
                  <c:v>359.84213731646759</c:v>
                </c:pt>
                <c:pt idx="2">
                  <c:v>319.85967761463786</c:v>
                </c:pt>
                <c:pt idx="3">
                  <c:v>299.868447763723</c:v>
                </c:pt>
                <c:pt idx="4">
                  <c:v>279.87721791280813</c:v>
                </c:pt>
                <c:pt idx="5">
                  <c:v>239.89475821097838</c:v>
                </c:pt>
                <c:pt idx="6">
                  <c:v>199.91229850914866</c:v>
                </c:pt>
                <c:pt idx="7">
                  <c:v>179.92106865823379</c:v>
                </c:pt>
                <c:pt idx="8">
                  <c:v>159.92983880731893</c:v>
                </c:pt>
                <c:pt idx="9">
                  <c:v>139.93860895640407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5FE-4999-BA69-CA3359D5CB9D}"/>
            </c:ext>
          </c:extLst>
        </c:ser>
        <c:ser>
          <c:idx val="69"/>
          <c:order val="68"/>
          <c:tx>
            <c:strRef>
              <c:f>'Fatigue Data'!$A$790</c:f>
              <c:strCache>
                <c:ptCount val="1"/>
                <c:pt idx="0">
                  <c:v>[49], R=0.1, 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Data'!$L$790:$L$800</c:f>
              <c:numCache>
                <c:formatCode>0.00E+00</c:formatCode>
                <c:ptCount val="11"/>
                <c:pt idx="0">
                  <c:v>22500</c:v>
                </c:pt>
                <c:pt idx="1">
                  <c:v>30000</c:v>
                </c:pt>
                <c:pt idx="2">
                  <c:v>37500</c:v>
                </c:pt>
                <c:pt idx="3">
                  <c:v>65000</c:v>
                </c:pt>
                <c:pt idx="4">
                  <c:v>65000</c:v>
                </c:pt>
                <c:pt idx="5">
                  <c:v>125000</c:v>
                </c:pt>
                <c:pt idx="6">
                  <c:v>125000</c:v>
                </c:pt>
                <c:pt idx="7">
                  <c:v>200000</c:v>
                </c:pt>
                <c:pt idx="8">
                  <c:v>160000</c:v>
                </c:pt>
                <c:pt idx="9">
                  <c:v>675000</c:v>
                </c:pt>
                <c:pt idx="10">
                  <c:v>10000000</c:v>
                </c:pt>
              </c:numCache>
            </c:numRef>
          </c:xVal>
          <c:yVal>
            <c:numRef>
              <c:f>'Fatigue Data'!$K$790:$K$800</c:f>
              <c:numCache>
                <c:formatCode>General</c:formatCode>
                <c:ptCount val="11"/>
                <c:pt idx="0">
                  <c:v>399.82459701829731</c:v>
                </c:pt>
                <c:pt idx="1">
                  <c:v>359.84213731646759</c:v>
                </c:pt>
                <c:pt idx="2">
                  <c:v>299.868447763723</c:v>
                </c:pt>
                <c:pt idx="3">
                  <c:v>299.868447763723</c:v>
                </c:pt>
                <c:pt idx="4">
                  <c:v>271.88072597244218</c:v>
                </c:pt>
                <c:pt idx="5">
                  <c:v>255.88774209171027</c:v>
                </c:pt>
                <c:pt idx="6">
                  <c:v>223.9017743302465</c:v>
                </c:pt>
                <c:pt idx="7">
                  <c:v>219.90352836006352</c:v>
                </c:pt>
                <c:pt idx="8">
                  <c:v>199.91229850914866</c:v>
                </c:pt>
                <c:pt idx="9">
                  <c:v>167.92633074768486</c:v>
                </c:pt>
                <c:pt idx="10">
                  <c:v>159.92983880731893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5FE-4999-BA69-CA3359D5CB9D}"/>
            </c:ext>
          </c:extLst>
        </c:ser>
        <c:ser>
          <c:idx val="70"/>
          <c:order val="69"/>
          <c:tx>
            <c:strRef>
              <c:f>'Fatigue Data'!$A$804</c:f>
              <c:strCache>
                <c:ptCount val="1"/>
                <c:pt idx="0">
                  <c:v>[49], R=0.1, 0°, AB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Data'!$L$804:$L$814</c:f>
              <c:numCache>
                <c:formatCode>0.00E+00</c:formatCode>
                <c:ptCount val="11"/>
                <c:pt idx="0">
                  <c:v>30000</c:v>
                </c:pt>
                <c:pt idx="1">
                  <c:v>42500</c:v>
                </c:pt>
                <c:pt idx="2">
                  <c:v>62000</c:v>
                </c:pt>
                <c:pt idx="3">
                  <c:v>67000</c:v>
                </c:pt>
                <c:pt idx="4">
                  <c:v>95000</c:v>
                </c:pt>
                <c:pt idx="5">
                  <c:v>150000</c:v>
                </c:pt>
                <c:pt idx="6">
                  <c:v>220000</c:v>
                </c:pt>
                <c:pt idx="7">
                  <c:v>300000</c:v>
                </c:pt>
                <c:pt idx="8">
                  <c:v>550000</c:v>
                </c:pt>
                <c:pt idx="9">
                  <c:v>650000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Data'!$K$804:$K$814</c:f>
              <c:numCache>
                <c:formatCode>General</c:formatCode>
                <c:ptCount val="11"/>
                <c:pt idx="0">
                  <c:v>279.87721791280813</c:v>
                </c:pt>
                <c:pt idx="1">
                  <c:v>259.88598806189327</c:v>
                </c:pt>
                <c:pt idx="2">
                  <c:v>239.89475821097838</c:v>
                </c:pt>
                <c:pt idx="3">
                  <c:v>219.90352836006352</c:v>
                </c:pt>
                <c:pt idx="4">
                  <c:v>199.91229850914866</c:v>
                </c:pt>
                <c:pt idx="5">
                  <c:v>179.92106865823379</c:v>
                </c:pt>
                <c:pt idx="6">
                  <c:v>171.92457671786784</c:v>
                </c:pt>
                <c:pt idx="7">
                  <c:v>159.92983880731893</c:v>
                </c:pt>
                <c:pt idx="8">
                  <c:v>219.90352836006352</c:v>
                </c:pt>
                <c:pt idx="9">
                  <c:v>127.94387104585513</c:v>
                </c:pt>
                <c:pt idx="10">
                  <c:v>119.94737910548919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5FE-4999-BA69-CA3359D5CB9D}"/>
            </c:ext>
          </c:extLst>
        </c:ser>
        <c:ser>
          <c:idx val="71"/>
          <c:order val="70"/>
          <c:tx>
            <c:strRef>
              <c:f>'Fatigue Data'!$A$818</c:f>
              <c:strCache>
                <c:ptCount val="1"/>
                <c:pt idx="0">
                  <c:v>[49], R=0.1, 0°, AB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'Fatigue Data'!$L$818:$L$827</c:f>
              <c:numCache>
                <c:formatCode>0.00E+00</c:formatCode>
                <c:ptCount val="10"/>
                <c:pt idx="0">
                  <c:v>20000</c:v>
                </c:pt>
                <c:pt idx="1">
                  <c:v>28000</c:v>
                </c:pt>
                <c:pt idx="2">
                  <c:v>38000</c:v>
                </c:pt>
                <c:pt idx="3">
                  <c:v>52000</c:v>
                </c:pt>
                <c:pt idx="4">
                  <c:v>85000</c:v>
                </c:pt>
                <c:pt idx="5">
                  <c:v>150000</c:v>
                </c:pt>
                <c:pt idx="6">
                  <c:v>175000</c:v>
                </c:pt>
                <c:pt idx="7">
                  <c:v>420000</c:v>
                </c:pt>
                <c:pt idx="8">
                  <c:v>1750000</c:v>
                </c:pt>
                <c:pt idx="9">
                  <c:v>10000000</c:v>
                </c:pt>
              </c:numCache>
            </c:numRef>
          </c:xVal>
          <c:yVal>
            <c:numRef>
              <c:f>'Fatigue Data'!$K$818:$K$827</c:f>
              <c:numCache>
                <c:formatCode>General</c:formatCode>
                <c:ptCount val="10"/>
                <c:pt idx="0">
                  <c:v>359.84213731646759</c:v>
                </c:pt>
                <c:pt idx="1">
                  <c:v>319.85967761463786</c:v>
                </c:pt>
                <c:pt idx="2">
                  <c:v>279.87721791280813</c:v>
                </c:pt>
                <c:pt idx="3">
                  <c:v>259.88598806189327</c:v>
                </c:pt>
                <c:pt idx="4">
                  <c:v>239.89475821097838</c:v>
                </c:pt>
                <c:pt idx="5">
                  <c:v>199.91229850914866</c:v>
                </c:pt>
                <c:pt idx="6">
                  <c:v>179.92106865823379</c:v>
                </c:pt>
                <c:pt idx="7">
                  <c:v>159.92983880731893</c:v>
                </c:pt>
                <c:pt idx="8">
                  <c:v>119.94737910548919</c:v>
                </c:pt>
                <c:pt idx="9">
                  <c:v>99.956149254574328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5FE-4999-BA69-CA3359D5CB9D}"/>
            </c:ext>
          </c:extLst>
        </c:ser>
        <c:ser>
          <c:idx val="72"/>
          <c:order val="71"/>
          <c:tx>
            <c:strRef>
              <c:f>'Fatigue Data'!$A$831</c:f>
              <c:strCache>
                <c:ptCount val="1"/>
                <c:pt idx="0">
                  <c:v>[49], R=0.1, 0°, Mach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Data'!$L$831:$L$841</c:f>
              <c:numCache>
                <c:formatCode>0.00E+00</c:formatCode>
                <c:ptCount val="11"/>
                <c:pt idx="0">
                  <c:v>18000</c:v>
                </c:pt>
                <c:pt idx="1">
                  <c:v>90000</c:v>
                </c:pt>
                <c:pt idx="2">
                  <c:v>150000</c:v>
                </c:pt>
                <c:pt idx="3">
                  <c:v>150000</c:v>
                </c:pt>
                <c:pt idx="4">
                  <c:v>1500000</c:v>
                </c:pt>
                <c:pt idx="5">
                  <c:v>5500000</c:v>
                </c:pt>
                <c:pt idx="6">
                  <c:v>45000</c:v>
                </c:pt>
                <c:pt idx="7">
                  <c:v>350000</c:v>
                </c:pt>
                <c:pt idx="8">
                  <c:v>2750000</c:v>
                </c:pt>
                <c:pt idx="9">
                  <c:v>1500000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Data'!$K$831:$K$841</c:f>
              <c:numCache>
                <c:formatCode>General</c:formatCode>
                <c:ptCount val="11"/>
                <c:pt idx="0">
                  <c:v>679.70181493110545</c:v>
                </c:pt>
                <c:pt idx="1">
                  <c:v>599.73689552744599</c:v>
                </c:pt>
                <c:pt idx="2">
                  <c:v>551.75794388525026</c:v>
                </c:pt>
                <c:pt idx="3">
                  <c:v>519.77197612378654</c:v>
                </c:pt>
                <c:pt idx="4">
                  <c:v>519.77197612378654</c:v>
                </c:pt>
                <c:pt idx="5">
                  <c:v>499.78074627287162</c:v>
                </c:pt>
                <c:pt idx="6">
                  <c:v>479.78951642195676</c:v>
                </c:pt>
                <c:pt idx="7">
                  <c:v>459.7982865710419</c:v>
                </c:pt>
                <c:pt idx="8">
                  <c:v>439.80705672012704</c:v>
                </c:pt>
                <c:pt idx="9">
                  <c:v>399.82459701829731</c:v>
                </c:pt>
                <c:pt idx="10">
                  <c:v>379.83336716738245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5FE-4999-BA69-CA3359D5CB9D}"/>
            </c:ext>
          </c:extLst>
        </c:ser>
        <c:ser>
          <c:idx val="73"/>
          <c:order val="72"/>
          <c:tx>
            <c:strRef>
              <c:f>'Fatigue Data'!$A$845</c:f>
              <c:strCache>
                <c:ptCount val="1"/>
                <c:pt idx="0">
                  <c:v>[49], R=0.1, 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Data'!$L$845:$L$854</c:f>
              <c:numCache>
                <c:formatCode>0.00E+00</c:formatCode>
                <c:ptCount val="10"/>
                <c:pt idx="0">
                  <c:v>80000</c:v>
                </c:pt>
                <c:pt idx="1">
                  <c:v>1500000</c:v>
                </c:pt>
                <c:pt idx="2">
                  <c:v>1500000</c:v>
                </c:pt>
                <c:pt idx="3">
                  <c:v>2000000</c:v>
                </c:pt>
                <c:pt idx="4">
                  <c:v>1800000</c:v>
                </c:pt>
                <c:pt idx="5">
                  <c:v>3000000</c:v>
                </c:pt>
                <c:pt idx="6">
                  <c:v>3250000</c:v>
                </c:pt>
                <c:pt idx="7">
                  <c:v>6500000</c:v>
                </c:pt>
                <c:pt idx="8">
                  <c:v>10000000</c:v>
                </c:pt>
                <c:pt idx="9">
                  <c:v>17500000</c:v>
                </c:pt>
              </c:numCache>
            </c:numRef>
          </c:xVal>
          <c:yVal>
            <c:numRef>
              <c:f>'Fatigue Data'!$K$845:$K$854</c:f>
              <c:numCache>
                <c:formatCode>General</c:formatCode>
                <c:ptCount val="10"/>
                <c:pt idx="0">
                  <c:v>639.71935522927572</c:v>
                </c:pt>
                <c:pt idx="1">
                  <c:v>619.7281253783608</c:v>
                </c:pt>
                <c:pt idx="2">
                  <c:v>599.73689552744599</c:v>
                </c:pt>
                <c:pt idx="3">
                  <c:v>579.74566567653108</c:v>
                </c:pt>
                <c:pt idx="4">
                  <c:v>559.75443582561627</c:v>
                </c:pt>
                <c:pt idx="5">
                  <c:v>539.76320597470135</c:v>
                </c:pt>
                <c:pt idx="6">
                  <c:v>519.77197612378654</c:v>
                </c:pt>
                <c:pt idx="7">
                  <c:v>499.78074627287162</c:v>
                </c:pt>
                <c:pt idx="8">
                  <c:v>479.78951642195676</c:v>
                </c:pt>
                <c:pt idx="9">
                  <c:v>459.7982865710419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5FE-4999-BA69-CA3359D5CB9D}"/>
            </c:ext>
          </c:extLst>
        </c:ser>
        <c:ser>
          <c:idx val="74"/>
          <c:order val="73"/>
          <c:tx>
            <c:strRef>
              <c:f>'Fatigue Data'!$A$858</c:f>
              <c:strCache>
                <c:ptCount val="1"/>
                <c:pt idx="0">
                  <c:v>[49], R=0.1, 0°, Mach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Data'!$L$858:$L$867</c:f>
              <c:numCache>
                <c:formatCode>0.00E+00</c:formatCode>
                <c:ptCount val="10"/>
                <c:pt idx="0">
                  <c:v>15000</c:v>
                </c:pt>
                <c:pt idx="1">
                  <c:v>25000</c:v>
                </c:pt>
                <c:pt idx="2">
                  <c:v>15000</c:v>
                </c:pt>
                <c:pt idx="3">
                  <c:v>22000</c:v>
                </c:pt>
                <c:pt idx="4">
                  <c:v>38000</c:v>
                </c:pt>
                <c:pt idx="5">
                  <c:v>48000</c:v>
                </c:pt>
                <c:pt idx="6">
                  <c:v>60000</c:v>
                </c:pt>
                <c:pt idx="7">
                  <c:v>150000</c:v>
                </c:pt>
                <c:pt idx="8">
                  <c:v>95000</c:v>
                </c:pt>
                <c:pt idx="9">
                  <c:v>10000000</c:v>
                </c:pt>
              </c:numCache>
            </c:numRef>
          </c:xVal>
          <c:yVal>
            <c:numRef>
              <c:f>'Fatigue Data'!$K$858:$K$867</c:f>
              <c:numCache>
                <c:formatCode>General</c:formatCode>
                <c:ptCount val="10"/>
                <c:pt idx="0">
                  <c:v>499.78074627287162</c:v>
                </c:pt>
                <c:pt idx="1">
                  <c:v>479.78951642195676</c:v>
                </c:pt>
                <c:pt idx="2">
                  <c:v>459.7982865710419</c:v>
                </c:pt>
                <c:pt idx="3">
                  <c:v>459.7982865710419</c:v>
                </c:pt>
                <c:pt idx="4">
                  <c:v>439.80705672012704</c:v>
                </c:pt>
                <c:pt idx="5">
                  <c:v>419.81582686921217</c:v>
                </c:pt>
                <c:pt idx="6">
                  <c:v>359.84213731646759</c:v>
                </c:pt>
                <c:pt idx="7">
                  <c:v>339.85090746555272</c:v>
                </c:pt>
                <c:pt idx="8">
                  <c:v>299.868447763723</c:v>
                </c:pt>
                <c:pt idx="9">
                  <c:v>219.90352836006352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5FE-4999-BA69-CA3359D5CB9D}"/>
            </c:ext>
          </c:extLst>
        </c:ser>
        <c:ser>
          <c:idx val="75"/>
          <c:order val="74"/>
          <c:tx>
            <c:strRef>
              <c:f>'Fatigue Data'!$A$871</c:f>
              <c:strCache>
                <c:ptCount val="1"/>
                <c:pt idx="0">
                  <c:v>[49], R=0.1, 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Data'!$L$871:$L$876</c:f>
              <c:numCache>
                <c:formatCode>0.00E+00</c:formatCode>
                <c:ptCount val="6"/>
                <c:pt idx="0">
                  <c:v>1900000</c:v>
                </c:pt>
                <c:pt idx="1">
                  <c:v>4000000</c:v>
                </c:pt>
                <c:pt idx="2">
                  <c:v>5200000</c:v>
                </c:pt>
                <c:pt idx="3">
                  <c:v>6500000</c:v>
                </c:pt>
                <c:pt idx="4">
                  <c:v>10000000</c:v>
                </c:pt>
                <c:pt idx="5">
                  <c:v>25000000</c:v>
                </c:pt>
              </c:numCache>
            </c:numRef>
          </c:xVal>
          <c:yVal>
            <c:numRef>
              <c:f>'Fatigue Data'!$K$871:$K$876</c:f>
              <c:numCache>
                <c:formatCode>General</c:formatCode>
                <c:ptCount val="6"/>
                <c:pt idx="0">
                  <c:v>559.75443582561627</c:v>
                </c:pt>
                <c:pt idx="1">
                  <c:v>499.78074627287162</c:v>
                </c:pt>
                <c:pt idx="2">
                  <c:v>519.77197612378654</c:v>
                </c:pt>
                <c:pt idx="3">
                  <c:v>499.78074627287162</c:v>
                </c:pt>
                <c:pt idx="4">
                  <c:v>479.78951642195676</c:v>
                </c:pt>
                <c:pt idx="5">
                  <c:v>459.7982865710419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5FE-4999-BA69-CA3359D5CB9D}"/>
            </c:ext>
          </c:extLst>
        </c:ser>
        <c:ser>
          <c:idx val="76"/>
          <c:order val="75"/>
          <c:tx>
            <c:strRef>
              <c:f>'Fatigue Data'!$A$880</c:f>
              <c:strCache>
                <c:ptCount val="1"/>
                <c:pt idx="0">
                  <c:v>[50], R=0.1,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Data'!$L$880:$L$888</c:f>
              <c:numCache>
                <c:formatCode>0.00E+00</c:formatCode>
                <c:ptCount val="9"/>
                <c:pt idx="0">
                  <c:v>6100</c:v>
                </c:pt>
                <c:pt idx="1">
                  <c:v>5800</c:v>
                </c:pt>
                <c:pt idx="2">
                  <c:v>11000</c:v>
                </c:pt>
                <c:pt idx="3">
                  <c:v>9500</c:v>
                </c:pt>
                <c:pt idx="4">
                  <c:v>22000</c:v>
                </c:pt>
                <c:pt idx="5">
                  <c:v>20000</c:v>
                </c:pt>
                <c:pt idx="6">
                  <c:v>19000</c:v>
                </c:pt>
                <c:pt idx="7">
                  <c:v>60000</c:v>
                </c:pt>
                <c:pt idx="8">
                  <c:v>50000</c:v>
                </c:pt>
              </c:numCache>
            </c:numRef>
          </c:xVal>
          <c:yVal>
            <c:numRef>
              <c:f>'Fatigue Data'!$K$880:$K$888</c:f>
              <c:numCache>
                <c:formatCode>General</c:formatCode>
                <c:ptCount val="9"/>
                <c:pt idx="0">
                  <c:v>479.78951642195676</c:v>
                </c:pt>
                <c:pt idx="1">
                  <c:v>479.78951642195676</c:v>
                </c:pt>
                <c:pt idx="2">
                  <c:v>399.82459701829731</c:v>
                </c:pt>
                <c:pt idx="3">
                  <c:v>399.82459701829731</c:v>
                </c:pt>
                <c:pt idx="4">
                  <c:v>319.85967761463786</c:v>
                </c:pt>
                <c:pt idx="5">
                  <c:v>319.85967761463786</c:v>
                </c:pt>
                <c:pt idx="6">
                  <c:v>319.85967761463786</c:v>
                </c:pt>
                <c:pt idx="7">
                  <c:v>239.89475821097838</c:v>
                </c:pt>
                <c:pt idx="8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5FE-4999-BA69-CA3359D5CB9D}"/>
            </c:ext>
          </c:extLst>
        </c:ser>
        <c:ser>
          <c:idx val="77"/>
          <c:order val="76"/>
          <c:tx>
            <c:strRef>
              <c:f>'Fatigue Data'!$A$892</c:f>
              <c:strCache>
                <c:ptCount val="1"/>
                <c:pt idx="0">
                  <c:v>[50], R=0.1, 90°, Etch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'Fatigue Data'!$L$892:$L$899</c:f>
              <c:numCache>
                <c:formatCode>0.00E+00</c:formatCode>
                <c:ptCount val="8"/>
                <c:pt idx="0">
                  <c:v>5000</c:v>
                </c:pt>
                <c:pt idx="1">
                  <c:v>15000</c:v>
                </c:pt>
                <c:pt idx="2">
                  <c:v>25000</c:v>
                </c:pt>
                <c:pt idx="3">
                  <c:v>20000</c:v>
                </c:pt>
                <c:pt idx="4">
                  <c:v>35000</c:v>
                </c:pt>
                <c:pt idx="5">
                  <c:v>90000</c:v>
                </c:pt>
                <c:pt idx="6">
                  <c:v>1000000</c:v>
                </c:pt>
                <c:pt idx="7">
                  <c:v>500000</c:v>
                </c:pt>
              </c:numCache>
            </c:numRef>
          </c:xVal>
          <c:yVal>
            <c:numRef>
              <c:f>'Fatigue Data'!$K$892:$K$899</c:f>
              <c:numCache>
                <c:formatCode>General</c:formatCode>
                <c:ptCount val="8"/>
                <c:pt idx="0">
                  <c:v>479.78951642195676</c:v>
                </c:pt>
                <c:pt idx="1">
                  <c:v>479.78951642195676</c:v>
                </c:pt>
                <c:pt idx="2">
                  <c:v>479.78951642195676</c:v>
                </c:pt>
                <c:pt idx="3">
                  <c:v>399.82459701829731</c:v>
                </c:pt>
                <c:pt idx="4">
                  <c:v>399.82459701829731</c:v>
                </c:pt>
                <c:pt idx="5">
                  <c:v>319.85967761463786</c:v>
                </c:pt>
                <c:pt idx="6">
                  <c:v>239.89475821097838</c:v>
                </c:pt>
                <c:pt idx="7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5FE-4999-BA69-CA3359D5CB9D}"/>
            </c:ext>
          </c:extLst>
        </c:ser>
        <c:ser>
          <c:idx val="78"/>
          <c:order val="77"/>
          <c:tx>
            <c:strRef>
              <c:f>'Fatigue Data'!$A$903</c:f>
              <c:strCache>
                <c:ptCount val="1"/>
                <c:pt idx="0">
                  <c:v>[50], R=0.1, 90°, Etch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Data'!$L$903:$L$912</c:f>
              <c:numCache>
                <c:formatCode>0.00E+00</c:formatCode>
                <c:ptCount val="10"/>
                <c:pt idx="0">
                  <c:v>20000</c:v>
                </c:pt>
                <c:pt idx="1">
                  <c:v>25000</c:v>
                </c:pt>
                <c:pt idx="2">
                  <c:v>45000</c:v>
                </c:pt>
                <c:pt idx="3">
                  <c:v>80000</c:v>
                </c:pt>
                <c:pt idx="4">
                  <c:v>70000</c:v>
                </c:pt>
                <c:pt idx="5">
                  <c:v>80000</c:v>
                </c:pt>
                <c:pt idx="6">
                  <c:v>300000</c:v>
                </c:pt>
                <c:pt idx="7">
                  <c:v>125000</c:v>
                </c:pt>
                <c:pt idx="8">
                  <c:v>400000</c:v>
                </c:pt>
                <c:pt idx="9">
                  <c:v>1500000</c:v>
                </c:pt>
              </c:numCache>
            </c:numRef>
          </c:xVal>
          <c:yVal>
            <c:numRef>
              <c:f>'Fatigue Data'!$K$903:$K$912</c:f>
              <c:numCache>
                <c:formatCode>General</c:formatCode>
                <c:ptCount val="10"/>
                <c:pt idx="0">
                  <c:v>479.78951642195676</c:v>
                </c:pt>
                <c:pt idx="1">
                  <c:v>479.78951642195676</c:v>
                </c:pt>
                <c:pt idx="2">
                  <c:v>479.78951642195676</c:v>
                </c:pt>
                <c:pt idx="3">
                  <c:v>399.82459701829731</c:v>
                </c:pt>
                <c:pt idx="4">
                  <c:v>399.82459701829731</c:v>
                </c:pt>
                <c:pt idx="5">
                  <c:v>319.85967761463786</c:v>
                </c:pt>
                <c:pt idx="6">
                  <c:v>319.85967761463786</c:v>
                </c:pt>
                <c:pt idx="7">
                  <c:v>239.89475821097838</c:v>
                </c:pt>
                <c:pt idx="8">
                  <c:v>239.89475821097838</c:v>
                </c:pt>
                <c:pt idx="9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5FE-4999-BA69-CA3359D5CB9D}"/>
            </c:ext>
          </c:extLst>
        </c:ser>
        <c:ser>
          <c:idx val="79"/>
          <c:order val="78"/>
          <c:tx>
            <c:strRef>
              <c:f>'Fatigue Data'!$A$916</c:f>
              <c:strCache>
                <c:ptCount val="1"/>
                <c:pt idx="0">
                  <c:v>[50],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Data'!$L$916:$L$926</c:f>
              <c:numCache>
                <c:formatCode>0.00E+00</c:formatCode>
                <c:ptCount val="11"/>
                <c:pt idx="0">
                  <c:v>7000</c:v>
                </c:pt>
                <c:pt idx="1">
                  <c:v>8000</c:v>
                </c:pt>
                <c:pt idx="2">
                  <c:v>9500</c:v>
                </c:pt>
                <c:pt idx="3">
                  <c:v>10000</c:v>
                </c:pt>
                <c:pt idx="4">
                  <c:v>17500</c:v>
                </c:pt>
                <c:pt idx="5">
                  <c:v>19000</c:v>
                </c:pt>
                <c:pt idx="6">
                  <c:v>35000</c:v>
                </c:pt>
                <c:pt idx="7">
                  <c:v>45000</c:v>
                </c:pt>
                <c:pt idx="8">
                  <c:v>90000</c:v>
                </c:pt>
                <c:pt idx="9">
                  <c:v>80000</c:v>
                </c:pt>
                <c:pt idx="10">
                  <c:v>65000</c:v>
                </c:pt>
              </c:numCache>
            </c:numRef>
          </c:xVal>
          <c:yVal>
            <c:numRef>
              <c:f>'Fatigue Data'!$K$916:$K$926</c:f>
              <c:numCache>
                <c:formatCode>General</c:formatCode>
                <c:ptCount val="11"/>
                <c:pt idx="0">
                  <c:v>479.78951642195676</c:v>
                </c:pt>
                <c:pt idx="1">
                  <c:v>479.78951642195676</c:v>
                </c:pt>
                <c:pt idx="2">
                  <c:v>479.78951642195676</c:v>
                </c:pt>
                <c:pt idx="3">
                  <c:v>479.78951642195676</c:v>
                </c:pt>
                <c:pt idx="4">
                  <c:v>399.82459701829731</c:v>
                </c:pt>
                <c:pt idx="5">
                  <c:v>399.82459701829731</c:v>
                </c:pt>
                <c:pt idx="6">
                  <c:v>319.85967761463786</c:v>
                </c:pt>
                <c:pt idx="7">
                  <c:v>319.85967761463786</c:v>
                </c:pt>
                <c:pt idx="8">
                  <c:v>239.89475821097838</c:v>
                </c:pt>
                <c:pt idx="9">
                  <c:v>239.89475821097838</c:v>
                </c:pt>
                <c:pt idx="10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5FE-4999-BA69-CA3359D5CB9D}"/>
            </c:ext>
          </c:extLst>
        </c:ser>
        <c:ser>
          <c:idx val="80"/>
          <c:order val="79"/>
          <c:tx>
            <c:strRef>
              <c:f>'Fatigue Data'!$A$930</c:f>
              <c:strCache>
                <c:ptCount val="1"/>
                <c:pt idx="0">
                  <c:v>[50],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Data'!$L$930:$L$939</c:f>
              <c:numCache>
                <c:formatCode>0.00E+00</c:formatCode>
                <c:ptCount val="10"/>
                <c:pt idx="0">
                  <c:v>20000</c:v>
                </c:pt>
                <c:pt idx="1">
                  <c:v>25000</c:v>
                </c:pt>
                <c:pt idx="2">
                  <c:v>19000</c:v>
                </c:pt>
                <c:pt idx="3">
                  <c:v>25000</c:v>
                </c:pt>
                <c:pt idx="4">
                  <c:v>39000</c:v>
                </c:pt>
                <c:pt idx="5">
                  <c:v>27500</c:v>
                </c:pt>
                <c:pt idx="6">
                  <c:v>35000</c:v>
                </c:pt>
                <c:pt idx="7">
                  <c:v>75000</c:v>
                </c:pt>
                <c:pt idx="8">
                  <c:v>200000</c:v>
                </c:pt>
                <c:pt idx="9">
                  <c:v>350000</c:v>
                </c:pt>
              </c:numCache>
            </c:numRef>
          </c:xVal>
          <c:yVal>
            <c:numRef>
              <c:f>'Fatigue Data'!$K$930:$K$939</c:f>
              <c:numCache>
                <c:formatCode>General</c:formatCode>
                <c:ptCount val="10"/>
                <c:pt idx="0">
                  <c:v>479.78951642195676</c:v>
                </c:pt>
                <c:pt idx="1">
                  <c:v>479.78951642195676</c:v>
                </c:pt>
                <c:pt idx="2">
                  <c:v>399.82459701829731</c:v>
                </c:pt>
                <c:pt idx="3">
                  <c:v>399.82459701829731</c:v>
                </c:pt>
                <c:pt idx="4">
                  <c:v>399.82459701829731</c:v>
                </c:pt>
                <c:pt idx="5">
                  <c:v>319.85967761463786</c:v>
                </c:pt>
                <c:pt idx="6">
                  <c:v>319.85967761463786</c:v>
                </c:pt>
                <c:pt idx="7">
                  <c:v>319.85967761463786</c:v>
                </c:pt>
                <c:pt idx="8">
                  <c:v>239.89475821097838</c:v>
                </c:pt>
                <c:pt idx="9">
                  <c:v>239.89475821097838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5FE-4999-BA69-CA3359D5CB9D}"/>
            </c:ext>
          </c:extLst>
        </c:ser>
        <c:ser>
          <c:idx val="81"/>
          <c:order val="80"/>
          <c:tx>
            <c:strRef>
              <c:f>'Fatigue Data'!$A$943</c:f>
              <c:strCache>
                <c:ptCount val="1"/>
                <c:pt idx="0">
                  <c:v>[50],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Data'!$L$943:$L$953</c:f>
              <c:numCache>
                <c:formatCode>0.00E+00</c:formatCode>
                <c:ptCount val="11"/>
                <c:pt idx="0">
                  <c:v>12500</c:v>
                </c:pt>
                <c:pt idx="1">
                  <c:v>14000</c:v>
                </c:pt>
                <c:pt idx="2">
                  <c:v>50000</c:v>
                </c:pt>
                <c:pt idx="3">
                  <c:v>52500</c:v>
                </c:pt>
                <c:pt idx="4">
                  <c:v>95000</c:v>
                </c:pt>
                <c:pt idx="5">
                  <c:v>100000</c:v>
                </c:pt>
                <c:pt idx="6">
                  <c:v>125000</c:v>
                </c:pt>
                <c:pt idx="7">
                  <c:v>150000</c:v>
                </c:pt>
                <c:pt idx="8">
                  <c:v>800000</c:v>
                </c:pt>
                <c:pt idx="9">
                  <c:v>900000</c:v>
                </c:pt>
                <c:pt idx="10">
                  <c:v>1500000</c:v>
                </c:pt>
              </c:numCache>
            </c:numRef>
          </c:xVal>
          <c:yVal>
            <c:numRef>
              <c:f>'Fatigue Data'!$K$943:$K$953</c:f>
              <c:numCache>
                <c:formatCode>General</c:formatCode>
                <c:ptCount val="11"/>
                <c:pt idx="0">
                  <c:v>639.71935522927572</c:v>
                </c:pt>
                <c:pt idx="1">
                  <c:v>639.71935522927572</c:v>
                </c:pt>
                <c:pt idx="2">
                  <c:v>559.75443582561627</c:v>
                </c:pt>
                <c:pt idx="3">
                  <c:v>559.75443582561627</c:v>
                </c:pt>
                <c:pt idx="4">
                  <c:v>559.75443582561627</c:v>
                </c:pt>
                <c:pt idx="5">
                  <c:v>479.78951642195676</c:v>
                </c:pt>
                <c:pt idx="6">
                  <c:v>479.78951642195676</c:v>
                </c:pt>
                <c:pt idx="7">
                  <c:v>479.78951642195676</c:v>
                </c:pt>
                <c:pt idx="8">
                  <c:v>399.82459701829731</c:v>
                </c:pt>
                <c:pt idx="9">
                  <c:v>399.82459701829731</c:v>
                </c:pt>
                <c:pt idx="10">
                  <c:v>399.82459701829731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5FE-4999-BA69-CA3359D5CB9D}"/>
            </c:ext>
          </c:extLst>
        </c:ser>
        <c:ser>
          <c:idx val="82"/>
          <c:order val="81"/>
          <c:tx>
            <c:strRef>
              <c:f>'Fatigue Data'!$A$957</c:f>
              <c:strCache>
                <c:ptCount val="1"/>
                <c:pt idx="0">
                  <c:v>[50],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Data'!$L$957:$L$966</c:f>
              <c:numCache>
                <c:formatCode>0.00E+00</c:formatCode>
                <c:ptCount val="10"/>
                <c:pt idx="0">
                  <c:v>15000</c:v>
                </c:pt>
                <c:pt idx="1">
                  <c:v>30000</c:v>
                </c:pt>
                <c:pt idx="2">
                  <c:v>31000</c:v>
                </c:pt>
                <c:pt idx="3">
                  <c:v>250000</c:v>
                </c:pt>
                <c:pt idx="4">
                  <c:v>500000</c:v>
                </c:pt>
                <c:pt idx="5">
                  <c:v>1500000</c:v>
                </c:pt>
                <c:pt idx="6">
                  <c:v>1750000</c:v>
                </c:pt>
                <c:pt idx="7">
                  <c:v>300000</c:v>
                </c:pt>
                <c:pt idx="8">
                  <c:v>2500000</c:v>
                </c:pt>
                <c:pt idx="9">
                  <c:v>7000000</c:v>
                </c:pt>
              </c:numCache>
            </c:numRef>
          </c:xVal>
          <c:yVal>
            <c:numRef>
              <c:f>'Fatigue Data'!$K$957:$K$966</c:f>
              <c:numCache>
                <c:formatCode>General</c:formatCode>
                <c:ptCount val="10"/>
                <c:pt idx="0">
                  <c:v>719.68427463293517</c:v>
                </c:pt>
                <c:pt idx="1">
                  <c:v>719.68427463293517</c:v>
                </c:pt>
                <c:pt idx="2">
                  <c:v>719.68427463293517</c:v>
                </c:pt>
                <c:pt idx="3">
                  <c:v>639.71935522927572</c:v>
                </c:pt>
                <c:pt idx="4">
                  <c:v>639.71935522927572</c:v>
                </c:pt>
                <c:pt idx="5">
                  <c:v>639.71935522927572</c:v>
                </c:pt>
                <c:pt idx="6">
                  <c:v>639.71935522927572</c:v>
                </c:pt>
                <c:pt idx="7">
                  <c:v>559.75443582561627</c:v>
                </c:pt>
                <c:pt idx="8">
                  <c:v>559.75443582561627</c:v>
                </c:pt>
                <c:pt idx="9">
                  <c:v>479.78951642195676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A5FE-4999-BA69-CA3359D5CB9D}"/>
            </c:ext>
          </c:extLst>
        </c:ser>
        <c:ser>
          <c:idx val="83"/>
          <c:order val="82"/>
          <c:tx>
            <c:strRef>
              <c:f>'Fatigue Data'!$A$970</c:f>
              <c:strCache>
                <c:ptCount val="1"/>
                <c:pt idx="0">
                  <c:v>[53], R=0.1,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'Fatigue Data'!$L$970:$L$985</c:f>
              <c:numCache>
                <c:formatCode>0.00E+00</c:formatCode>
                <c:ptCount val="16"/>
                <c:pt idx="0">
                  <c:v>15000</c:v>
                </c:pt>
                <c:pt idx="1">
                  <c:v>19000</c:v>
                </c:pt>
                <c:pt idx="2">
                  <c:v>21000</c:v>
                </c:pt>
                <c:pt idx="3">
                  <c:v>52500</c:v>
                </c:pt>
                <c:pt idx="4">
                  <c:v>175000</c:v>
                </c:pt>
                <c:pt idx="5">
                  <c:v>225000</c:v>
                </c:pt>
                <c:pt idx="6">
                  <c:v>300000</c:v>
                </c:pt>
                <c:pt idx="7">
                  <c:v>350000</c:v>
                </c:pt>
                <c:pt idx="8">
                  <c:v>1100000</c:v>
                </c:pt>
                <c:pt idx="9">
                  <c:v>2000000</c:v>
                </c:pt>
                <c:pt idx="10">
                  <c:v>3500000</c:v>
                </c:pt>
                <c:pt idx="11">
                  <c:v>2500000</c:v>
                </c:pt>
                <c:pt idx="12">
                  <c:v>2750000</c:v>
                </c:pt>
                <c:pt idx="13">
                  <c:v>2900000</c:v>
                </c:pt>
                <c:pt idx="14">
                  <c:v>10000000</c:v>
                </c:pt>
                <c:pt idx="15">
                  <c:v>10000000</c:v>
                </c:pt>
              </c:numCache>
            </c:numRef>
          </c:xVal>
          <c:yVal>
            <c:numRef>
              <c:f>'Fatigue Data'!$K$970:$K$985</c:f>
              <c:numCache>
                <c:formatCode>General</c:formatCode>
                <c:ptCount val="16"/>
                <c:pt idx="0">
                  <c:v>799.64919403659462</c:v>
                </c:pt>
                <c:pt idx="1">
                  <c:v>799.64919403659462</c:v>
                </c:pt>
                <c:pt idx="2">
                  <c:v>799.64919403659462</c:v>
                </c:pt>
                <c:pt idx="3">
                  <c:v>759.6667343347649</c:v>
                </c:pt>
                <c:pt idx="4">
                  <c:v>759.6667343347649</c:v>
                </c:pt>
                <c:pt idx="5">
                  <c:v>759.6667343347649</c:v>
                </c:pt>
                <c:pt idx="6">
                  <c:v>719.68427463293517</c:v>
                </c:pt>
                <c:pt idx="7">
                  <c:v>719.68427463293517</c:v>
                </c:pt>
                <c:pt idx="8">
                  <c:v>679.70181493110545</c:v>
                </c:pt>
                <c:pt idx="9">
                  <c:v>639.71935522927572</c:v>
                </c:pt>
                <c:pt idx="10">
                  <c:v>599.73689552744599</c:v>
                </c:pt>
                <c:pt idx="11">
                  <c:v>579.74566567653108</c:v>
                </c:pt>
                <c:pt idx="12">
                  <c:v>579.74566567653108</c:v>
                </c:pt>
                <c:pt idx="13">
                  <c:v>571.74917373616518</c:v>
                </c:pt>
                <c:pt idx="14">
                  <c:v>571.74917373616518</c:v>
                </c:pt>
                <c:pt idx="15">
                  <c:v>543.76145194488436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A5FE-4999-BA69-CA3359D5CB9D}"/>
            </c:ext>
          </c:extLst>
        </c:ser>
        <c:ser>
          <c:idx val="84"/>
          <c:order val="83"/>
          <c:tx>
            <c:strRef>
              <c:f>'Fatigue Data'!$A$989</c:f>
              <c:strCache>
                <c:ptCount val="1"/>
                <c:pt idx="0">
                  <c:v>[53], R=-1, 90°, Pol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Data'!$L$989:$L$997</c:f>
              <c:numCache>
                <c:formatCode>0.00E+00</c:formatCode>
                <c:ptCount val="9"/>
                <c:pt idx="0">
                  <c:v>5000</c:v>
                </c:pt>
                <c:pt idx="1">
                  <c:v>17000</c:v>
                </c:pt>
                <c:pt idx="2">
                  <c:v>18000</c:v>
                </c:pt>
                <c:pt idx="3">
                  <c:v>220000</c:v>
                </c:pt>
                <c:pt idx="4">
                  <c:v>410000</c:v>
                </c:pt>
                <c:pt idx="5">
                  <c:v>1500000</c:v>
                </c:pt>
                <c:pt idx="6">
                  <c:v>1800000</c:v>
                </c:pt>
                <c:pt idx="7">
                  <c:v>1900000</c:v>
                </c:pt>
                <c:pt idx="8">
                  <c:v>4250000</c:v>
                </c:pt>
              </c:numCache>
            </c:numRef>
          </c:xVal>
          <c:yVal>
            <c:numRef>
              <c:f>'Fatigue Data'!$K$989:$K$997</c:f>
              <c:numCache>
                <c:formatCode>General</c:formatCode>
                <c:ptCount val="9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A5FE-4999-BA69-CA3359D5CB9D}"/>
            </c:ext>
          </c:extLst>
        </c:ser>
        <c:ser>
          <c:idx val="85"/>
          <c:order val="84"/>
          <c:tx>
            <c:strRef>
              <c:f>'Fatigue Data'!$A$1001</c:f>
              <c:strCache>
                <c:ptCount val="1"/>
                <c:pt idx="0">
                  <c:v>[53], R=0.1, 90°, Pol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Data'!$L$1001:$L$1015</c:f>
              <c:numCache>
                <c:formatCode>0.00E+00</c:formatCode>
                <c:ptCount val="15"/>
                <c:pt idx="0">
                  <c:v>15000</c:v>
                </c:pt>
                <c:pt idx="1">
                  <c:v>27500</c:v>
                </c:pt>
                <c:pt idx="2">
                  <c:v>29000</c:v>
                </c:pt>
                <c:pt idx="3">
                  <c:v>65000</c:v>
                </c:pt>
                <c:pt idx="4">
                  <c:v>70000</c:v>
                </c:pt>
                <c:pt idx="5">
                  <c:v>120000</c:v>
                </c:pt>
                <c:pt idx="6">
                  <c:v>2000000</c:v>
                </c:pt>
                <c:pt idx="7">
                  <c:v>3500000</c:v>
                </c:pt>
                <c:pt idx="8">
                  <c:v>120000</c:v>
                </c:pt>
                <c:pt idx="9">
                  <c:v>4000000</c:v>
                </c:pt>
                <c:pt idx="10">
                  <c:v>4500000</c:v>
                </c:pt>
                <c:pt idx="11">
                  <c:v>100000</c:v>
                </c:pt>
                <c:pt idx="12">
                  <c:v>2100000</c:v>
                </c:pt>
                <c:pt idx="13">
                  <c:v>3500000</c:v>
                </c:pt>
                <c:pt idx="14">
                  <c:v>10000000</c:v>
                </c:pt>
              </c:numCache>
            </c:numRef>
          </c:xVal>
          <c:yVal>
            <c:numRef>
              <c:f>'Fatigue Data'!$K$1001:$K$1015</c:f>
              <c:numCache>
                <c:formatCode>General</c:formatCode>
                <c:ptCount val="15"/>
                <c:pt idx="0">
                  <c:v>599.73689552744599</c:v>
                </c:pt>
                <c:pt idx="1">
                  <c:v>599.73689552744599</c:v>
                </c:pt>
                <c:pt idx="2">
                  <c:v>599.73689552744599</c:v>
                </c:pt>
                <c:pt idx="3">
                  <c:v>479.78951642195676</c:v>
                </c:pt>
                <c:pt idx="4">
                  <c:v>479.78951642195676</c:v>
                </c:pt>
                <c:pt idx="5">
                  <c:v>479.78951642195676</c:v>
                </c:pt>
                <c:pt idx="6">
                  <c:v>479.78951642195676</c:v>
                </c:pt>
                <c:pt idx="7">
                  <c:v>479.78951642195676</c:v>
                </c:pt>
                <c:pt idx="8">
                  <c:v>439.80705672012704</c:v>
                </c:pt>
                <c:pt idx="9">
                  <c:v>439.80705672012704</c:v>
                </c:pt>
                <c:pt idx="10">
                  <c:v>439.80705672012704</c:v>
                </c:pt>
                <c:pt idx="11">
                  <c:v>399.82459701829731</c:v>
                </c:pt>
                <c:pt idx="12">
                  <c:v>399.82459701829731</c:v>
                </c:pt>
                <c:pt idx="13">
                  <c:v>399.82459701829731</c:v>
                </c:pt>
                <c:pt idx="14">
                  <c:v>399.82459701829731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5FE-4999-BA69-CA3359D5CB9D}"/>
            </c:ext>
          </c:extLst>
        </c:ser>
        <c:ser>
          <c:idx val="86"/>
          <c:order val="85"/>
          <c:tx>
            <c:strRef>
              <c:f>'Fatigue Data'!$A$1019</c:f>
              <c:strCache>
                <c:ptCount val="1"/>
                <c:pt idx="0">
                  <c:v>[53], R=-1, 90°, Pol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Data'!$L$1019:$L$1025</c:f>
              <c:numCache>
                <c:formatCode>0.00E+00</c:formatCode>
                <c:ptCount val="7"/>
                <c:pt idx="0">
                  <c:v>500000</c:v>
                </c:pt>
                <c:pt idx="1">
                  <c:v>1200000</c:v>
                </c:pt>
                <c:pt idx="2">
                  <c:v>900000</c:v>
                </c:pt>
                <c:pt idx="3">
                  <c:v>2250000</c:v>
                </c:pt>
                <c:pt idx="4">
                  <c:v>4500000</c:v>
                </c:pt>
                <c:pt idx="5">
                  <c:v>575000</c:v>
                </c:pt>
                <c:pt idx="6">
                  <c:v>10000000</c:v>
                </c:pt>
              </c:numCache>
            </c:numRef>
          </c:xVal>
          <c:yVal>
            <c:numRef>
              <c:f>'Fatigue Data'!$K$1019:$K$1025</c:f>
              <c:numCache>
                <c:formatCode>General</c:formatCode>
                <c:ptCount val="7"/>
                <c:pt idx="0">
                  <c:v>450</c:v>
                </c:pt>
                <c:pt idx="1">
                  <c:v>450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350</c:v>
                </c:pt>
                <c:pt idx="6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A5FE-4999-BA69-CA3359D5CB9D}"/>
            </c:ext>
          </c:extLst>
        </c:ser>
        <c:ser>
          <c:idx val="87"/>
          <c:order val="86"/>
          <c:tx>
            <c:strRef>
              <c:f>'Fatigue Data'!$A$1029</c:f>
              <c:strCache>
                <c:ptCount val="1"/>
                <c:pt idx="0">
                  <c:v>[54], R=0.1, 90°, AB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Data'!$L$1029:$L$1049</c:f>
              <c:numCache>
                <c:formatCode>0.00E+00</c:formatCode>
                <c:ptCount val="21"/>
                <c:pt idx="0">
                  <c:v>21000</c:v>
                </c:pt>
                <c:pt idx="1">
                  <c:v>19000</c:v>
                </c:pt>
                <c:pt idx="2">
                  <c:v>17500</c:v>
                </c:pt>
                <c:pt idx="3">
                  <c:v>15000</c:v>
                </c:pt>
                <c:pt idx="4">
                  <c:v>40000</c:v>
                </c:pt>
                <c:pt idx="5">
                  <c:v>42500</c:v>
                </c:pt>
                <c:pt idx="6">
                  <c:v>47500</c:v>
                </c:pt>
                <c:pt idx="7">
                  <c:v>55000</c:v>
                </c:pt>
                <c:pt idx="8">
                  <c:v>60000</c:v>
                </c:pt>
                <c:pt idx="9">
                  <c:v>65000</c:v>
                </c:pt>
                <c:pt idx="10">
                  <c:v>90000</c:v>
                </c:pt>
                <c:pt idx="11">
                  <c:v>100000</c:v>
                </c:pt>
                <c:pt idx="12">
                  <c:v>150000</c:v>
                </c:pt>
                <c:pt idx="13">
                  <c:v>160000</c:v>
                </c:pt>
                <c:pt idx="14">
                  <c:v>190000</c:v>
                </c:pt>
                <c:pt idx="15">
                  <c:v>400000</c:v>
                </c:pt>
                <c:pt idx="16">
                  <c:v>500000</c:v>
                </c:pt>
                <c:pt idx="17">
                  <c:v>5500000</c:v>
                </c:pt>
                <c:pt idx="18">
                  <c:v>775000</c:v>
                </c:pt>
                <c:pt idx="19">
                  <c:v>1000000</c:v>
                </c:pt>
                <c:pt idx="20">
                  <c:v>10000000</c:v>
                </c:pt>
              </c:numCache>
            </c:numRef>
          </c:xVal>
          <c:yVal>
            <c:numRef>
              <c:f>'Fatigue Data'!$K$1029:$K$1049</c:f>
              <c:numCache>
                <c:formatCode>General</c:formatCode>
                <c:ptCount val="21"/>
                <c:pt idx="0">
                  <c:v>287.87370985317409</c:v>
                </c:pt>
                <c:pt idx="1">
                  <c:v>287.87370985317409</c:v>
                </c:pt>
                <c:pt idx="2">
                  <c:v>287.87370985317409</c:v>
                </c:pt>
                <c:pt idx="3">
                  <c:v>287.87370985317409</c:v>
                </c:pt>
                <c:pt idx="4">
                  <c:v>235.8965122407954</c:v>
                </c:pt>
                <c:pt idx="5">
                  <c:v>235.8965122407954</c:v>
                </c:pt>
                <c:pt idx="6">
                  <c:v>231.89826627061245</c:v>
                </c:pt>
                <c:pt idx="7">
                  <c:v>231.89826627061245</c:v>
                </c:pt>
                <c:pt idx="8">
                  <c:v>235.8965122407954</c:v>
                </c:pt>
                <c:pt idx="9">
                  <c:v>231.89826627061245</c:v>
                </c:pt>
                <c:pt idx="10">
                  <c:v>171.92457671786784</c:v>
                </c:pt>
                <c:pt idx="11">
                  <c:v>171.92457671786784</c:v>
                </c:pt>
                <c:pt idx="12">
                  <c:v>171.92457671786784</c:v>
                </c:pt>
                <c:pt idx="13">
                  <c:v>171.92457671786784</c:v>
                </c:pt>
                <c:pt idx="14">
                  <c:v>171.92457671786784</c:v>
                </c:pt>
                <c:pt idx="15">
                  <c:v>127.94387104585513</c:v>
                </c:pt>
                <c:pt idx="16">
                  <c:v>127.94387104585513</c:v>
                </c:pt>
                <c:pt idx="17">
                  <c:v>127.94387104585513</c:v>
                </c:pt>
                <c:pt idx="18">
                  <c:v>127.94387104585513</c:v>
                </c:pt>
                <c:pt idx="19">
                  <c:v>127.94387104585513</c:v>
                </c:pt>
                <c:pt idx="20">
                  <c:v>111.95088716512325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5FE-4999-BA69-CA3359D5CB9D}"/>
            </c:ext>
          </c:extLst>
        </c:ser>
        <c:ser>
          <c:idx val="88"/>
          <c:order val="87"/>
          <c:tx>
            <c:strRef>
              <c:f>'Fatigue Data'!$A$1053</c:f>
              <c:strCache>
                <c:ptCount val="1"/>
                <c:pt idx="0">
                  <c:v>[54], R=0.1, 90°, Etch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Data'!$L$1053:$L$1064</c:f>
              <c:numCache>
                <c:formatCode>0.00E+00</c:formatCode>
                <c:ptCount val="12"/>
                <c:pt idx="0">
                  <c:v>110000</c:v>
                </c:pt>
                <c:pt idx="1">
                  <c:v>125000</c:v>
                </c:pt>
                <c:pt idx="2">
                  <c:v>200000</c:v>
                </c:pt>
                <c:pt idx="3">
                  <c:v>95000</c:v>
                </c:pt>
                <c:pt idx="4">
                  <c:v>180000</c:v>
                </c:pt>
                <c:pt idx="5">
                  <c:v>100000</c:v>
                </c:pt>
                <c:pt idx="6">
                  <c:v>180000</c:v>
                </c:pt>
                <c:pt idx="7">
                  <c:v>350000</c:v>
                </c:pt>
                <c:pt idx="8">
                  <c:v>400000</c:v>
                </c:pt>
                <c:pt idx="9">
                  <c:v>4000000</c:v>
                </c:pt>
                <c:pt idx="10">
                  <c:v>5500000</c:v>
                </c:pt>
                <c:pt idx="11">
                  <c:v>10000000</c:v>
                </c:pt>
              </c:numCache>
            </c:numRef>
          </c:xVal>
          <c:yVal>
            <c:numRef>
              <c:f>'Fatigue Data'!$K$1053:$K$1064</c:f>
              <c:numCache>
                <c:formatCode>General</c:formatCode>
                <c:ptCount val="12"/>
                <c:pt idx="0">
                  <c:v>239.89475821097838</c:v>
                </c:pt>
                <c:pt idx="1">
                  <c:v>239.89475821097838</c:v>
                </c:pt>
                <c:pt idx="2">
                  <c:v>239.89475821097838</c:v>
                </c:pt>
                <c:pt idx="3">
                  <c:v>235.8965122407954</c:v>
                </c:pt>
                <c:pt idx="4">
                  <c:v>235.8965122407954</c:v>
                </c:pt>
                <c:pt idx="5">
                  <c:v>231.89826627061245</c:v>
                </c:pt>
                <c:pt idx="6">
                  <c:v>231.89826627061245</c:v>
                </c:pt>
                <c:pt idx="7">
                  <c:v>179.92106865823379</c:v>
                </c:pt>
                <c:pt idx="8">
                  <c:v>179.92106865823379</c:v>
                </c:pt>
                <c:pt idx="9">
                  <c:v>179.92106865823379</c:v>
                </c:pt>
                <c:pt idx="10">
                  <c:v>179.92106865823379</c:v>
                </c:pt>
                <c:pt idx="11">
                  <c:v>179.92106865823379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5FE-4999-BA69-CA3359D5CB9D}"/>
            </c:ext>
          </c:extLst>
        </c:ser>
        <c:ser>
          <c:idx val="89"/>
          <c:order val="88"/>
          <c:tx>
            <c:strRef>
              <c:f>'Fatigue Data'!$A$1068</c:f>
              <c:strCache>
                <c:ptCount val="1"/>
                <c:pt idx="0">
                  <c:v>[54], R=0.1, 90°, Etch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'Fatigue Data'!$L$1068:$L$1073</c:f>
              <c:numCache>
                <c:formatCode>0.00E+00</c:formatCode>
                <c:ptCount val="6"/>
                <c:pt idx="0">
                  <c:v>80000</c:v>
                </c:pt>
                <c:pt idx="1">
                  <c:v>85000</c:v>
                </c:pt>
                <c:pt idx="2">
                  <c:v>10000000</c:v>
                </c:pt>
                <c:pt idx="3">
                  <c:v>575000</c:v>
                </c:pt>
                <c:pt idx="4">
                  <c:v>2750000</c:v>
                </c:pt>
                <c:pt idx="5">
                  <c:v>3000000</c:v>
                </c:pt>
              </c:numCache>
            </c:numRef>
          </c:xVal>
          <c:yVal>
            <c:numRef>
              <c:f>'Fatigue Data'!$K$1068:$K$1073</c:f>
              <c:numCache>
                <c:formatCode>General</c:formatCode>
                <c:ptCount val="6"/>
                <c:pt idx="0">
                  <c:v>287.87370985317409</c:v>
                </c:pt>
                <c:pt idx="1">
                  <c:v>279.87721791280813</c:v>
                </c:pt>
                <c:pt idx="2">
                  <c:v>231.89826627061245</c:v>
                </c:pt>
                <c:pt idx="3">
                  <c:v>219.90352836006352</c:v>
                </c:pt>
                <c:pt idx="4">
                  <c:v>219.90352836006352</c:v>
                </c:pt>
                <c:pt idx="5">
                  <c:v>215.90528238988054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5FE-4999-BA69-CA3359D5CB9D}"/>
            </c:ext>
          </c:extLst>
        </c:ser>
        <c:ser>
          <c:idx val="90"/>
          <c:order val="89"/>
          <c:tx>
            <c:strRef>
              <c:f>'Fatigue Data'!$A$1077</c:f>
              <c:strCache>
                <c:ptCount val="1"/>
                <c:pt idx="0">
                  <c:v>[54], R=0.1, 90°, Mach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Data'!$L$1077:$L$1087</c:f>
              <c:numCache>
                <c:formatCode>0.00E+00</c:formatCode>
                <c:ptCount val="11"/>
                <c:pt idx="0">
                  <c:v>60000</c:v>
                </c:pt>
                <c:pt idx="1">
                  <c:v>75000</c:v>
                </c:pt>
                <c:pt idx="2">
                  <c:v>17500</c:v>
                </c:pt>
                <c:pt idx="3">
                  <c:v>200000</c:v>
                </c:pt>
                <c:pt idx="4">
                  <c:v>300000</c:v>
                </c:pt>
                <c:pt idx="5">
                  <c:v>10000000</c:v>
                </c:pt>
                <c:pt idx="6">
                  <c:v>41000000</c:v>
                </c:pt>
                <c:pt idx="7">
                  <c:v>40000000</c:v>
                </c:pt>
                <c:pt idx="8">
                  <c:v>300000</c:v>
                </c:pt>
                <c:pt idx="9">
                  <c:v>10000000</c:v>
                </c:pt>
                <c:pt idx="10">
                  <c:v>10000000</c:v>
                </c:pt>
              </c:numCache>
            </c:numRef>
          </c:xVal>
          <c:yVal>
            <c:numRef>
              <c:f>'Fatigue Data'!$K$1077:$K$1087</c:f>
              <c:numCache>
                <c:formatCode>General</c:formatCode>
                <c:ptCount val="11"/>
                <c:pt idx="0">
                  <c:v>479.78951642195676</c:v>
                </c:pt>
                <c:pt idx="1">
                  <c:v>479.78951642195676</c:v>
                </c:pt>
                <c:pt idx="2">
                  <c:v>399.82459701829731</c:v>
                </c:pt>
                <c:pt idx="3">
                  <c:v>359.84213731646759</c:v>
                </c:pt>
                <c:pt idx="4">
                  <c:v>351.84564537610163</c:v>
                </c:pt>
                <c:pt idx="5">
                  <c:v>339.85090746555272</c:v>
                </c:pt>
                <c:pt idx="6">
                  <c:v>323.85792358482081</c:v>
                </c:pt>
                <c:pt idx="7">
                  <c:v>319.85967761463786</c:v>
                </c:pt>
                <c:pt idx="8">
                  <c:v>311.8631856742719</c:v>
                </c:pt>
                <c:pt idx="9">
                  <c:v>311.8631856742719</c:v>
                </c:pt>
                <c:pt idx="10">
                  <c:v>299.868447763723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5FE-4999-BA69-CA3359D5CB9D}"/>
            </c:ext>
          </c:extLst>
        </c:ser>
        <c:ser>
          <c:idx val="91"/>
          <c:order val="90"/>
          <c:tx>
            <c:strRef>
              <c:f>'Fatigue Data'!$A$1091</c:f>
              <c:strCache>
                <c:ptCount val="1"/>
                <c:pt idx="0">
                  <c:v>[54], R=0.1, 90°, Mach + HIP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Data'!$L$1091:$L$1097</c:f>
              <c:numCache>
                <c:formatCode>0.00E+00</c:formatCode>
                <c:ptCount val="7"/>
                <c:pt idx="0">
                  <c:v>2000000</c:v>
                </c:pt>
                <c:pt idx="1">
                  <c:v>2250000</c:v>
                </c:pt>
                <c:pt idx="2">
                  <c:v>4250000</c:v>
                </c:pt>
                <c:pt idx="3">
                  <c:v>4000000</c:v>
                </c:pt>
                <c:pt idx="4">
                  <c:v>7750000</c:v>
                </c:pt>
                <c:pt idx="5">
                  <c:v>10000000</c:v>
                </c:pt>
                <c:pt idx="6">
                  <c:v>10000000</c:v>
                </c:pt>
              </c:numCache>
            </c:numRef>
          </c:xVal>
          <c:yVal>
            <c:numRef>
              <c:f>'Fatigue Data'!$K$1091:$K$1097</c:f>
              <c:numCache>
                <c:formatCode>General</c:formatCode>
                <c:ptCount val="7"/>
                <c:pt idx="0">
                  <c:v>479.78951642195676</c:v>
                </c:pt>
                <c:pt idx="1">
                  <c:v>479.78951642195676</c:v>
                </c:pt>
                <c:pt idx="2">
                  <c:v>459.7982865710419</c:v>
                </c:pt>
                <c:pt idx="3">
                  <c:v>439.80705672012704</c:v>
                </c:pt>
                <c:pt idx="4">
                  <c:v>439.80705672012704</c:v>
                </c:pt>
                <c:pt idx="5">
                  <c:v>431.81056477976108</c:v>
                </c:pt>
                <c:pt idx="6">
                  <c:v>415.81758089902922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5FE-4999-BA69-CA3359D5CB9D}"/>
            </c:ext>
          </c:extLst>
        </c:ser>
        <c:ser>
          <c:idx val="92"/>
          <c:order val="91"/>
          <c:tx>
            <c:strRef>
              <c:f>'Fatigue Data'!$A$1101</c:f>
              <c:strCache>
                <c:ptCount val="1"/>
                <c:pt idx="0">
                  <c:v>[55], R=0, 90°, SB + 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'Fatigue Data'!$L$1101:$L$1110</c:f>
              <c:numCache>
                <c:formatCode>0.00E+00</c:formatCode>
                <c:ptCount val="10"/>
                <c:pt idx="0">
                  <c:v>15000</c:v>
                </c:pt>
                <c:pt idx="1">
                  <c:v>90000</c:v>
                </c:pt>
                <c:pt idx="2">
                  <c:v>100000</c:v>
                </c:pt>
                <c:pt idx="3">
                  <c:v>110000</c:v>
                </c:pt>
                <c:pt idx="4">
                  <c:v>200000</c:v>
                </c:pt>
                <c:pt idx="5">
                  <c:v>200000</c:v>
                </c:pt>
                <c:pt idx="6">
                  <c:v>400000</c:v>
                </c:pt>
                <c:pt idx="7">
                  <c:v>420000</c:v>
                </c:pt>
                <c:pt idx="8">
                  <c:v>2500000</c:v>
                </c:pt>
                <c:pt idx="9">
                  <c:v>2400000</c:v>
                </c:pt>
              </c:numCache>
            </c:numRef>
          </c:xVal>
          <c:yVal>
            <c:numRef>
              <c:f>'Fatigue Data'!$K$1101:$K$1110</c:f>
              <c:numCache>
                <c:formatCode>General</c:formatCode>
                <c:ptCount val="10"/>
                <c:pt idx="0">
                  <c:v>494.15461036054387</c:v>
                </c:pt>
                <c:pt idx="1">
                  <c:v>329.43640690702927</c:v>
                </c:pt>
                <c:pt idx="2">
                  <c:v>329.43640690702927</c:v>
                </c:pt>
                <c:pt idx="3">
                  <c:v>308.8466314753399</c:v>
                </c:pt>
                <c:pt idx="4">
                  <c:v>288.2568560436506</c:v>
                </c:pt>
                <c:pt idx="5">
                  <c:v>267.66708061196124</c:v>
                </c:pt>
                <c:pt idx="6">
                  <c:v>267.66708061196124</c:v>
                </c:pt>
                <c:pt idx="7">
                  <c:v>247.07730518027194</c:v>
                </c:pt>
                <c:pt idx="8">
                  <c:v>238.84139500759619</c:v>
                </c:pt>
                <c:pt idx="9">
                  <c:v>230.60548483492047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A5FE-4999-BA69-CA3359D5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31488"/>
        <c:axId val="641129520"/>
        <c:extLst>
          <c:ext xmlns:c15="http://schemas.microsoft.com/office/drawing/2012/chart" uri="{02D57815-91ED-43cb-92C2-25804820EDAC}">
            <c15:filteredScatterSeries>
              <c15:ser>
                <c:idx val="63"/>
                <c:order val="62"/>
                <c:tx>
                  <c:strRef>
                    <c:extLst>
                      <c:ext uri="{02D57815-91ED-43cb-92C2-25804820EDAC}">
                        <c15:formulaRef>
                          <c15:sqref>'Fatigue Data'!$A$735</c15:sqref>
                        </c15:formulaRef>
                      </c:ext>
                    </c:extLst>
                    <c:strCache>
                      <c:ptCount val="1"/>
                      <c:pt idx="0">
                        <c:v>[47], R=0.1, 0°, ROLLED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'Fatigue Data'!$L$735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167000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'Fatigue Data'!$K$735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479.78951642195676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5C-A5FE-4999-BA69-CA3359D5CB9D}"/>
                  </c:ext>
                </c:extLst>
              </c15:ser>
            </c15:filteredScatterSeries>
          </c:ext>
        </c:extLst>
      </c:scatterChart>
      <c:valAx>
        <c:axId val="641131488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2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Cycles</a:t>
                </a:r>
                <a:r>
                  <a:rPr lang="en-AU" sz="2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to failure</a:t>
                </a:r>
                <a:endParaRPr lang="en-AU" sz="2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129520"/>
        <c:crosses val="autoZero"/>
        <c:crossBetween val="midCat"/>
      </c:valAx>
      <c:valAx>
        <c:axId val="64112952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2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</a:t>
                </a:r>
                <a:r>
                  <a:rPr lang="en-AU" sz="24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stress (MPa)</a:t>
                </a:r>
                <a:endParaRPr lang="en-AU" sz="24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264518409243804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1131488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67892353412899"/>
          <c:y val="4.6258668638630091E-3"/>
          <c:w val="0.4093210175008255"/>
          <c:h val="0.85341597747063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  <a:effectLst/>
          </c:spPr>
          <c:invertIfNegative val="0"/>
          <c:cat>
            <c:strRef>
              <c:f>'Reporting criteria'!$AP$7:$AP$23</c:f>
              <c:strCache>
                <c:ptCount val="17"/>
                <c:pt idx="0">
                  <c:v>ωC_1</c:v>
                </c:pt>
                <c:pt idx="1">
                  <c:v>ωC_2</c:v>
                </c:pt>
                <c:pt idx="2">
                  <c:v>ωC_3</c:v>
                </c:pt>
                <c:pt idx="3">
                  <c:v>ωC_4</c:v>
                </c:pt>
                <c:pt idx="4">
                  <c:v>ωC_5</c:v>
                </c:pt>
                <c:pt idx="5">
                  <c:v>ωC_6</c:v>
                </c:pt>
                <c:pt idx="6">
                  <c:v>ωC_7</c:v>
                </c:pt>
                <c:pt idx="7">
                  <c:v>ωC_8</c:v>
                </c:pt>
                <c:pt idx="8">
                  <c:v>ωC_9</c:v>
                </c:pt>
                <c:pt idx="9">
                  <c:v>ωC_10</c:v>
                </c:pt>
                <c:pt idx="10">
                  <c:v>ωC_11</c:v>
                </c:pt>
                <c:pt idx="11">
                  <c:v>ωC_12</c:v>
                </c:pt>
                <c:pt idx="12">
                  <c:v>ωC_13</c:v>
                </c:pt>
                <c:pt idx="13">
                  <c:v>ωC_14</c:v>
                </c:pt>
                <c:pt idx="14">
                  <c:v>ωC_15</c:v>
                </c:pt>
                <c:pt idx="15">
                  <c:v>ωC_16</c:v>
                </c:pt>
                <c:pt idx="16">
                  <c:v>ωC_17</c:v>
                </c:pt>
              </c:strCache>
            </c:strRef>
          </c:cat>
          <c:val>
            <c:numRef>
              <c:f>'Reporting criteria'!$AO$7:$AO$23</c:f>
              <c:numCache>
                <c:formatCode>0%</c:formatCode>
                <c:ptCount val="17"/>
                <c:pt idx="0">
                  <c:v>1</c:v>
                </c:pt>
                <c:pt idx="1">
                  <c:v>0.390625</c:v>
                </c:pt>
                <c:pt idx="2">
                  <c:v>0.96875</c:v>
                </c:pt>
                <c:pt idx="3">
                  <c:v>0.59375</c:v>
                </c:pt>
                <c:pt idx="4">
                  <c:v>0.421875</c:v>
                </c:pt>
                <c:pt idx="5">
                  <c:v>0.96875</c:v>
                </c:pt>
                <c:pt idx="6">
                  <c:v>1</c:v>
                </c:pt>
                <c:pt idx="7">
                  <c:v>0.765625</c:v>
                </c:pt>
                <c:pt idx="8">
                  <c:v>0.90625</c:v>
                </c:pt>
                <c:pt idx="9">
                  <c:v>0.296875</c:v>
                </c:pt>
                <c:pt idx="10">
                  <c:v>0.96875</c:v>
                </c:pt>
                <c:pt idx="11">
                  <c:v>0.984375</c:v>
                </c:pt>
                <c:pt idx="12">
                  <c:v>0.6875</c:v>
                </c:pt>
                <c:pt idx="13">
                  <c:v>3.125E-2</c:v>
                </c:pt>
                <c:pt idx="14">
                  <c:v>0.953125</c:v>
                </c:pt>
                <c:pt idx="15">
                  <c:v>0.625</c:v>
                </c:pt>
                <c:pt idx="16">
                  <c:v>0.71875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9-44A4-AEA0-865693C0B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85111464"/>
        <c:axId val="885113104"/>
      </c:barChart>
      <c:catAx>
        <c:axId val="885111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3104"/>
        <c:crosses val="autoZero"/>
        <c:auto val="1"/>
        <c:lblAlgn val="ctr"/>
        <c:lblOffset val="100"/>
        <c:noMultiLvlLbl val="0"/>
      </c:catAx>
      <c:valAx>
        <c:axId val="885113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inorGridlines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1464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75576782252224E-2"/>
          <c:y val="2.2213878275486838E-2"/>
          <c:w val="0.83840031788991809"/>
          <c:h val="0.84859043496840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'Reporting criteria'!$AI$5</c:f>
              <c:strCache>
                <c:ptCount val="1"/>
                <c:pt idx="0">
                  <c:v>ωf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cat>
            <c:numRef>
              <c:f>'Reporting criteria'!$B$3:$AG$3</c:f>
              <c:numCache>
                <c:formatCode>General</c:formatCode>
                <c:ptCount val="32"/>
                <c:pt idx="0">
                  <c:v>51</c:v>
                </c:pt>
                <c:pt idx="1">
                  <c:v>52</c:v>
                </c:pt>
                <c:pt idx="2">
                  <c:v>27</c:v>
                </c:pt>
                <c:pt idx="3">
                  <c:v>28</c:v>
                </c:pt>
                <c:pt idx="4">
                  <c:v>12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5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26</c:v>
                </c:pt>
              </c:numCache>
            </c:numRef>
          </c:cat>
          <c:val>
            <c:numRef>
              <c:f>('Reporting criteria'!$B$46:$Z$46,'Reporting criteria'!$AA$46:$AD$46,'Reporting criteria'!$AE$46,'Reporting criteria'!$AF$46,'Reporting criteria'!$AG$46)</c:f>
              <c:numCache>
                <c:formatCode>0%</c:formatCode>
                <c:ptCount val="32"/>
                <c:pt idx="0">
                  <c:v>0.69047619047619047</c:v>
                </c:pt>
                <c:pt idx="1">
                  <c:v>0.79545454545454541</c:v>
                </c:pt>
                <c:pt idx="2">
                  <c:v>0.68181818181818177</c:v>
                </c:pt>
                <c:pt idx="3">
                  <c:v>0.625</c:v>
                </c:pt>
                <c:pt idx="4">
                  <c:v>0.60869565217391308</c:v>
                </c:pt>
                <c:pt idx="5">
                  <c:v>0.7142857142857143</c:v>
                </c:pt>
                <c:pt idx="6">
                  <c:v>0.7</c:v>
                </c:pt>
                <c:pt idx="7">
                  <c:v>0.52500000000000002</c:v>
                </c:pt>
                <c:pt idx="8">
                  <c:v>0.75</c:v>
                </c:pt>
                <c:pt idx="9">
                  <c:v>0.75</c:v>
                </c:pt>
                <c:pt idx="10">
                  <c:v>0.80952380952380953</c:v>
                </c:pt>
                <c:pt idx="11">
                  <c:v>0.59090909090909094</c:v>
                </c:pt>
                <c:pt idx="12">
                  <c:v>0.42857142857142855</c:v>
                </c:pt>
                <c:pt idx="13">
                  <c:v>0.47619047619047616</c:v>
                </c:pt>
                <c:pt idx="14">
                  <c:v>0.58695652173913049</c:v>
                </c:pt>
                <c:pt idx="15">
                  <c:v>0.45</c:v>
                </c:pt>
                <c:pt idx="16">
                  <c:v>0.71739130434782605</c:v>
                </c:pt>
                <c:pt idx="17">
                  <c:v>0.57499999999999996</c:v>
                </c:pt>
                <c:pt idx="18">
                  <c:v>0.63636363636363635</c:v>
                </c:pt>
                <c:pt idx="19">
                  <c:v>0.56818181818181823</c:v>
                </c:pt>
                <c:pt idx="20">
                  <c:v>0.7857142857142857</c:v>
                </c:pt>
                <c:pt idx="21">
                  <c:v>0.7142857142857143</c:v>
                </c:pt>
                <c:pt idx="22">
                  <c:v>0.7142857142857143</c:v>
                </c:pt>
                <c:pt idx="23">
                  <c:v>0.59090909090909094</c:v>
                </c:pt>
                <c:pt idx="24">
                  <c:v>0.59090909090909094</c:v>
                </c:pt>
                <c:pt idx="25">
                  <c:v>0.59523809523809523</c:v>
                </c:pt>
                <c:pt idx="26">
                  <c:v>0.6428571428571429</c:v>
                </c:pt>
                <c:pt idx="27">
                  <c:v>0.59523809523809523</c:v>
                </c:pt>
                <c:pt idx="28">
                  <c:v>0.68</c:v>
                </c:pt>
                <c:pt idx="29">
                  <c:v>0.7142857142857143</c:v>
                </c:pt>
                <c:pt idx="30">
                  <c:v>0.54761904761904767</c:v>
                </c:pt>
                <c:pt idx="31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B-4231-84DB-0E122B30A2EF}"/>
            </c:ext>
          </c:extLst>
        </c:ser>
        <c:ser>
          <c:idx val="1"/>
          <c:order val="1"/>
          <c:tx>
            <c:strRef>
              <c:f>'Reporting criteria'!$AK$5</c:f>
              <c:strCache>
                <c:ptCount val="1"/>
                <c:pt idx="0">
                  <c:v>ωAM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'Reporting criteria'!$B$3:$AG$3</c:f>
              <c:numCache>
                <c:formatCode>General</c:formatCode>
                <c:ptCount val="32"/>
                <c:pt idx="0">
                  <c:v>51</c:v>
                </c:pt>
                <c:pt idx="1">
                  <c:v>52</c:v>
                </c:pt>
                <c:pt idx="2">
                  <c:v>27</c:v>
                </c:pt>
                <c:pt idx="3">
                  <c:v>28</c:v>
                </c:pt>
                <c:pt idx="4">
                  <c:v>12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5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26</c:v>
                </c:pt>
              </c:numCache>
            </c:numRef>
          </c:cat>
          <c:val>
            <c:numRef>
              <c:f>('Reporting criteria'!$B$47:$Z$47,'Reporting criteria'!$AA$47:$AD$47,'Reporting criteria'!$AE$47,'Reporting criteria'!$AF$47,'Reporting criteria'!$AG$47)</c:f>
              <c:numCache>
                <c:formatCode>0%</c:formatCode>
                <c:ptCount val="32"/>
                <c:pt idx="0">
                  <c:v>0.75</c:v>
                </c:pt>
                <c:pt idx="1">
                  <c:v>0.8214285714285714</c:v>
                </c:pt>
                <c:pt idx="2">
                  <c:v>0.6071428571428571</c:v>
                </c:pt>
                <c:pt idx="3">
                  <c:v>0.7857142857142857</c:v>
                </c:pt>
                <c:pt idx="4">
                  <c:v>0.7857142857142857</c:v>
                </c:pt>
                <c:pt idx="5">
                  <c:v>0.75</c:v>
                </c:pt>
                <c:pt idx="6">
                  <c:v>0.6785714285714286</c:v>
                </c:pt>
                <c:pt idx="7">
                  <c:v>0.5357142857142857</c:v>
                </c:pt>
                <c:pt idx="8">
                  <c:v>0.75</c:v>
                </c:pt>
                <c:pt idx="9">
                  <c:v>0.7857142857142857</c:v>
                </c:pt>
                <c:pt idx="10">
                  <c:v>0.7142857142857143</c:v>
                </c:pt>
                <c:pt idx="11">
                  <c:v>0.7142857142857143</c:v>
                </c:pt>
                <c:pt idx="12">
                  <c:v>0.7142857142857143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0.6428571428571429</c:v>
                </c:pt>
                <c:pt idx="16">
                  <c:v>0.75</c:v>
                </c:pt>
                <c:pt idx="17">
                  <c:v>0.5714285714285714</c:v>
                </c:pt>
                <c:pt idx="18">
                  <c:v>0.4642857142857143</c:v>
                </c:pt>
                <c:pt idx="19">
                  <c:v>0.6428571428571429</c:v>
                </c:pt>
                <c:pt idx="20">
                  <c:v>0.7857142857142857</c:v>
                </c:pt>
                <c:pt idx="21">
                  <c:v>0.6785714285714286</c:v>
                </c:pt>
                <c:pt idx="22">
                  <c:v>0.7142857142857143</c:v>
                </c:pt>
                <c:pt idx="23">
                  <c:v>0.6428571428571429</c:v>
                </c:pt>
                <c:pt idx="24">
                  <c:v>0.6785714285714286</c:v>
                </c:pt>
                <c:pt idx="25">
                  <c:v>0.6428571428571429</c:v>
                </c:pt>
                <c:pt idx="26">
                  <c:v>0.61538461538461542</c:v>
                </c:pt>
                <c:pt idx="27">
                  <c:v>0.6785714285714286</c:v>
                </c:pt>
                <c:pt idx="28">
                  <c:v>0.5714285714285714</c:v>
                </c:pt>
                <c:pt idx="29">
                  <c:v>0.6428571428571429</c:v>
                </c:pt>
                <c:pt idx="30">
                  <c:v>0.5714285714285714</c:v>
                </c:pt>
                <c:pt idx="3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B-4231-84DB-0E122B30A2EF}"/>
            </c:ext>
          </c:extLst>
        </c:ser>
        <c:ser>
          <c:idx val="2"/>
          <c:order val="2"/>
          <c:tx>
            <c:strRef>
              <c:f>'Reporting criteria'!$AM$5</c:f>
              <c:strCache>
                <c:ptCount val="1"/>
                <c:pt idx="0">
                  <c:v>ωC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'Reporting criteria'!$B$3:$AG$3</c:f>
              <c:numCache>
                <c:formatCode>General</c:formatCode>
                <c:ptCount val="32"/>
                <c:pt idx="0">
                  <c:v>51</c:v>
                </c:pt>
                <c:pt idx="1">
                  <c:v>52</c:v>
                </c:pt>
                <c:pt idx="2">
                  <c:v>27</c:v>
                </c:pt>
                <c:pt idx="3">
                  <c:v>28</c:v>
                </c:pt>
                <c:pt idx="4">
                  <c:v>12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5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26</c:v>
                </c:pt>
              </c:numCache>
            </c:numRef>
          </c:cat>
          <c:val>
            <c:numRef>
              <c:f>'Reporting criteria'!$B$45:$AG$45</c:f>
              <c:numCache>
                <c:formatCode>0%</c:formatCode>
                <c:ptCount val="32"/>
                <c:pt idx="0">
                  <c:v>0.76470588235294112</c:v>
                </c:pt>
                <c:pt idx="1">
                  <c:v>0.76470588235294112</c:v>
                </c:pt>
                <c:pt idx="2">
                  <c:v>0.76470588235294112</c:v>
                </c:pt>
                <c:pt idx="3">
                  <c:v>0.82352941176470584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0.6470588235294118</c:v>
                </c:pt>
                <c:pt idx="7">
                  <c:v>0.55882352941176472</c:v>
                </c:pt>
                <c:pt idx="8">
                  <c:v>0.73529411764705888</c:v>
                </c:pt>
                <c:pt idx="9">
                  <c:v>0.79411764705882348</c:v>
                </c:pt>
                <c:pt idx="10">
                  <c:v>0.76470588235294112</c:v>
                </c:pt>
                <c:pt idx="11">
                  <c:v>0.73529411764705888</c:v>
                </c:pt>
                <c:pt idx="12">
                  <c:v>0.70588235294117652</c:v>
                </c:pt>
                <c:pt idx="13">
                  <c:v>0.67647058823529416</c:v>
                </c:pt>
                <c:pt idx="14">
                  <c:v>0.58823529411764708</c:v>
                </c:pt>
                <c:pt idx="15">
                  <c:v>0.67647058823529416</c:v>
                </c:pt>
                <c:pt idx="16">
                  <c:v>0.76470588235294112</c:v>
                </c:pt>
                <c:pt idx="17">
                  <c:v>0.67647058823529416</c:v>
                </c:pt>
                <c:pt idx="18">
                  <c:v>0.67647058823529416</c:v>
                </c:pt>
                <c:pt idx="19">
                  <c:v>0.6470588235294118</c:v>
                </c:pt>
                <c:pt idx="20">
                  <c:v>0.8529411764705882</c:v>
                </c:pt>
                <c:pt idx="21">
                  <c:v>0.79411764705882348</c:v>
                </c:pt>
                <c:pt idx="22">
                  <c:v>0.8529411764705882</c:v>
                </c:pt>
                <c:pt idx="23">
                  <c:v>0.67647058823529416</c:v>
                </c:pt>
                <c:pt idx="24">
                  <c:v>0.76470588235294112</c:v>
                </c:pt>
                <c:pt idx="25">
                  <c:v>0.73529411764705888</c:v>
                </c:pt>
                <c:pt idx="26">
                  <c:v>0.67647058823529416</c:v>
                </c:pt>
                <c:pt idx="27">
                  <c:v>0.67647058823529416</c:v>
                </c:pt>
                <c:pt idx="28">
                  <c:v>0.70588235294117652</c:v>
                </c:pt>
                <c:pt idx="29">
                  <c:v>0.61764705882352944</c:v>
                </c:pt>
                <c:pt idx="30">
                  <c:v>0.67647058823529416</c:v>
                </c:pt>
                <c:pt idx="31">
                  <c:v>0.79411764705882348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A2B-4231-84DB-0E122B30A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5111464"/>
        <c:axId val="885113104"/>
        <c:extLst/>
      </c:barChart>
      <c:catAx>
        <c:axId val="88511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>
                    <a:solidFill>
                      <a:schemeClr val="tx1"/>
                    </a:solidFill>
                  </a:rPr>
                  <a:t>Reference number</a:t>
                </a:r>
              </a:p>
            </c:rich>
          </c:tx>
          <c:layout>
            <c:manualLayout>
              <c:xMode val="edge"/>
              <c:yMode val="edge"/>
              <c:x val="0.40164974410161774"/>
              <c:y val="0.9235295673569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3104"/>
        <c:crosses val="autoZero"/>
        <c:auto val="0"/>
        <c:lblAlgn val="ctr"/>
        <c:lblOffset val="20"/>
        <c:tickMarkSkip val="1"/>
        <c:noMultiLvlLbl val="0"/>
      </c:catAx>
      <c:valAx>
        <c:axId val="88511310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11464"/>
        <c:crossesAt val="1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2602427805424"/>
          <c:y val="4.5647284907885742E-2"/>
          <c:w val="0.85481733180149533"/>
          <c:h val="0.57418051928964242"/>
        </c:manualLayout>
      </c:layout>
      <c:scatterChart>
        <c:scatterStyle val="lineMarker"/>
        <c:varyColors val="0"/>
        <c:ser>
          <c:idx val="1"/>
          <c:order val="0"/>
          <c:tx>
            <c:v>Ra vs σ @ 10^4 cycles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Ra vs σ @ 10^4 cycles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89699465829532"/>
                  <c:y val="0.42047320919097414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Fatigue'!$H$4:$H$19</c:f>
              <c:numCache>
                <c:formatCode>General</c:formatCode>
                <c:ptCount val="16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4.96</c:v>
                </c:pt>
                <c:pt idx="6">
                  <c:v>8.92</c:v>
                </c:pt>
                <c:pt idx="7">
                  <c:v>0.13</c:v>
                </c:pt>
                <c:pt idx="8">
                  <c:v>0.05</c:v>
                </c:pt>
                <c:pt idx="9">
                  <c:v>12</c:v>
                </c:pt>
                <c:pt idx="10">
                  <c:v>32</c:v>
                </c:pt>
                <c:pt idx="11">
                  <c:v>9.8000000000000007</c:v>
                </c:pt>
                <c:pt idx="12">
                  <c:v>15</c:v>
                </c:pt>
                <c:pt idx="13">
                  <c:v>35</c:v>
                </c:pt>
                <c:pt idx="14">
                  <c:v>13</c:v>
                </c:pt>
                <c:pt idx="15">
                  <c:v>27.1</c:v>
                </c:pt>
              </c:numCache>
            </c:numRef>
          </c:xVal>
          <c:yVal>
            <c:numRef>
              <c:f>'Roughness vs Fatigue'!$J$4:$J$19</c:f>
              <c:numCache>
                <c:formatCode>General</c:formatCode>
                <c:ptCount val="16"/>
                <c:pt idx="0">
                  <c:v>415</c:v>
                </c:pt>
                <c:pt idx="1">
                  <c:v>753.76244115787495</c:v>
                </c:pt>
                <c:pt idx="2">
                  <c:v>552.38785521465195</c:v>
                </c:pt>
                <c:pt idx="3">
                  <c:v>539.46199479792506</c:v>
                </c:pt>
                <c:pt idx="4">
                  <c:v>514.36628175080011</c:v>
                </c:pt>
                <c:pt idx="5">
                  <c:v>477.59981730107364</c:v>
                </c:pt>
                <c:pt idx="6">
                  <c:v>515.26211795831205</c:v>
                </c:pt>
                <c:pt idx="7">
                  <c:v>469.04479955249349</c:v>
                </c:pt>
                <c:pt idx="8">
                  <c:v>744.9454183079215</c:v>
                </c:pt>
                <c:pt idx="9">
                  <c:v>403.81803873024</c:v>
                </c:pt>
                <c:pt idx="10">
                  <c:v>355.34971818206537</c:v>
                </c:pt>
                <c:pt idx="11">
                  <c:v>515.65779829393364</c:v>
                </c:pt>
                <c:pt idx="12">
                  <c:v>354.2435105243971</c:v>
                </c:pt>
                <c:pt idx="13">
                  <c:v>317.18272379247105</c:v>
                </c:pt>
                <c:pt idx="14">
                  <c:v>402.39078149628392</c:v>
                </c:pt>
                <c:pt idx="15">
                  <c:v>335.82486939448074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E93-B0C4-906B1268377C}"/>
            </c:ext>
          </c:extLst>
        </c:ser>
        <c:ser>
          <c:idx val="0"/>
          <c:order val="1"/>
          <c:tx>
            <c:v>Ra vs σ @ 10^5 cycles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4F1FFF"/>
              </a:solidFill>
              <a:ln w="9525">
                <a:solidFill>
                  <a:srgbClr val="4F1FFF"/>
                </a:solidFill>
              </a:ln>
              <a:effectLst/>
            </c:spPr>
          </c:marker>
          <c:trendline>
            <c:name>Ra vs σ @ 10^5 cycles</c:name>
            <c:spPr>
              <a:ln w="19050" cap="rnd">
                <a:solidFill>
                  <a:srgbClr val="4F1F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085735338238522"/>
                  <c:y val="0.37395707307851389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Fatigue'!$H$4:$H$19</c:f>
              <c:numCache>
                <c:formatCode>General</c:formatCode>
                <c:ptCount val="16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4.96</c:v>
                </c:pt>
                <c:pt idx="6">
                  <c:v>8.92</c:v>
                </c:pt>
                <c:pt idx="7">
                  <c:v>0.13</c:v>
                </c:pt>
                <c:pt idx="8">
                  <c:v>0.05</c:v>
                </c:pt>
                <c:pt idx="9">
                  <c:v>12</c:v>
                </c:pt>
                <c:pt idx="10">
                  <c:v>32</c:v>
                </c:pt>
                <c:pt idx="11">
                  <c:v>9.8000000000000007</c:v>
                </c:pt>
                <c:pt idx="12">
                  <c:v>15</c:v>
                </c:pt>
                <c:pt idx="13">
                  <c:v>35</c:v>
                </c:pt>
                <c:pt idx="14">
                  <c:v>13</c:v>
                </c:pt>
                <c:pt idx="15">
                  <c:v>27.1</c:v>
                </c:pt>
              </c:numCache>
            </c:numRef>
          </c:xVal>
          <c:yVal>
            <c:numRef>
              <c:f>'Roughness vs Fatigue'!$K$4:$K$19</c:f>
              <c:numCache>
                <c:formatCode>General</c:formatCode>
                <c:ptCount val="16"/>
                <c:pt idx="0">
                  <c:v>353</c:v>
                </c:pt>
                <c:pt idx="1">
                  <c:v>703.9805514473436</c:v>
                </c:pt>
                <c:pt idx="2">
                  <c:v>520.28981901831503</c:v>
                </c:pt>
                <c:pt idx="3">
                  <c:v>488.68999349740642</c:v>
                </c:pt>
                <c:pt idx="4">
                  <c:v>475.68285218850019</c:v>
                </c:pt>
                <c:pt idx="5">
                  <c:v>447.27477162634204</c:v>
                </c:pt>
                <c:pt idx="6">
                  <c:v>365.20264744789017</c:v>
                </c:pt>
                <c:pt idx="7">
                  <c:v>305.33099944061689</c:v>
                </c:pt>
                <c:pt idx="8">
                  <c:v>671.33177288490197</c:v>
                </c:pt>
                <c:pt idx="9">
                  <c:v>330.34254841280006</c:v>
                </c:pt>
                <c:pt idx="10">
                  <c:v>287.1471477275818</c:v>
                </c:pt>
                <c:pt idx="11">
                  <c:v>406.05474786741718</c:v>
                </c:pt>
                <c:pt idx="12">
                  <c:v>304.25438815549637</c:v>
                </c:pt>
                <c:pt idx="13">
                  <c:v>263.90090474058883</c:v>
                </c:pt>
                <c:pt idx="14">
                  <c:v>301.46847687035495</c:v>
                </c:pt>
                <c:pt idx="15">
                  <c:v>242.93858674310093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E93-B0C4-906B1268377C}"/>
            </c:ext>
          </c:extLst>
        </c:ser>
        <c:ser>
          <c:idx val="2"/>
          <c:order val="2"/>
          <c:tx>
            <c:v>Ra vs σ @ 10^6 cycles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Ra vs σ @ 10^6 cycles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10484489881316"/>
                  <c:y val="0.32404984741432091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Fatigue'!$H$4:$H$19</c:f>
              <c:numCache>
                <c:formatCode>General</c:formatCode>
                <c:ptCount val="16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4.96</c:v>
                </c:pt>
                <c:pt idx="6">
                  <c:v>8.92</c:v>
                </c:pt>
                <c:pt idx="7">
                  <c:v>0.13</c:v>
                </c:pt>
                <c:pt idx="8">
                  <c:v>0.05</c:v>
                </c:pt>
                <c:pt idx="9">
                  <c:v>12</c:v>
                </c:pt>
                <c:pt idx="10">
                  <c:v>32</c:v>
                </c:pt>
                <c:pt idx="11">
                  <c:v>9.8000000000000007</c:v>
                </c:pt>
                <c:pt idx="12">
                  <c:v>15</c:v>
                </c:pt>
                <c:pt idx="13">
                  <c:v>35</c:v>
                </c:pt>
                <c:pt idx="14">
                  <c:v>13</c:v>
                </c:pt>
                <c:pt idx="15">
                  <c:v>27.1</c:v>
                </c:pt>
              </c:numCache>
            </c:numRef>
          </c:xVal>
          <c:yVal>
            <c:numRef>
              <c:f>'Roughness vs Fatigue'!$L$4:$L$19</c:f>
              <c:numCache>
                <c:formatCode>General</c:formatCode>
                <c:ptCount val="16"/>
                <c:pt idx="0">
                  <c:v>291</c:v>
                </c:pt>
                <c:pt idx="1">
                  <c:v>654.19866173681237</c:v>
                </c:pt>
                <c:pt idx="2">
                  <c:v>488.19178282197799</c:v>
                </c:pt>
                <c:pt idx="3">
                  <c:v>437.91799219688772</c:v>
                </c:pt>
                <c:pt idx="4">
                  <c:v>436.99942262620021</c:v>
                </c:pt>
                <c:pt idx="5">
                  <c:v>416.9497259516105</c:v>
                </c:pt>
                <c:pt idx="6">
                  <c:v>215.1431769374683</c:v>
                </c:pt>
                <c:pt idx="7">
                  <c:v>141.6171993287403</c:v>
                </c:pt>
                <c:pt idx="8">
                  <c:v>597.7181274618822</c:v>
                </c:pt>
                <c:pt idx="9">
                  <c:v>256.86705809536005</c:v>
                </c:pt>
                <c:pt idx="10">
                  <c:v>218.94457727309816</c:v>
                </c:pt>
                <c:pt idx="11">
                  <c:v>296.4516974409006</c:v>
                </c:pt>
                <c:pt idx="12">
                  <c:v>254.26526578659565</c:v>
                </c:pt>
                <c:pt idx="13">
                  <c:v>210.61908568870666</c:v>
                </c:pt>
                <c:pt idx="14">
                  <c:v>200.54617224442597</c:v>
                </c:pt>
                <c:pt idx="15">
                  <c:v>150.05230409172111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E93-B0C4-906B1268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2800"/>
        <c:axId val="889533936"/>
      </c:scatterChart>
      <c:valAx>
        <c:axId val="889562800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i="1"/>
                  <a:t>Ra</a:t>
                </a:r>
                <a:r>
                  <a:rPr lang="en-AU" sz="1600"/>
                  <a:t> (µm)</a:t>
                </a:r>
              </a:p>
            </c:rich>
          </c:tx>
          <c:layout>
            <c:manualLayout>
              <c:xMode val="edge"/>
              <c:yMode val="edge"/>
              <c:x val="0.39904590556706276"/>
              <c:y val="0.70853889204090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33936"/>
        <c:crosses val="autoZero"/>
        <c:crossBetween val="midCat"/>
      </c:valAx>
      <c:valAx>
        <c:axId val="8895339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i="0"/>
                  <a:t>Effective</a:t>
                </a:r>
                <a:r>
                  <a:rPr lang="en-AU" sz="1600" i="0" baseline="0"/>
                  <a:t> stress (MPa)</a:t>
                </a:r>
                <a:endParaRPr lang="en-AU" sz="160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25631744800051E-3"/>
          <c:y val="0.86025052942384317"/>
          <c:w val="0.98221871497654845"/>
          <c:h val="0.1329881147389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4139852300117"/>
          <c:y val="3.3991729171926471E-2"/>
          <c:w val="0.84561691981626663"/>
          <c:h val="0.59117405491088404"/>
        </c:manualLayout>
      </c:layout>
      <c:scatterChart>
        <c:scatterStyle val="lineMarker"/>
        <c:varyColors val="0"/>
        <c:ser>
          <c:idx val="1"/>
          <c:order val="0"/>
          <c:tx>
            <c:v>Ra vs σ @ 10^4 cycles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Ra vs σ @ 10^4 cycles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847840272213594"/>
                  <c:y val="0.3774819674855468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Fatigue'!$B$4:$B$34</c:f>
              <c:numCache>
                <c:formatCode>General</c:formatCode>
                <c:ptCount val="31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44</c:v>
                </c:pt>
                <c:pt idx="6">
                  <c:v>6.83</c:v>
                </c:pt>
                <c:pt idx="7">
                  <c:v>4.96</c:v>
                </c:pt>
                <c:pt idx="8">
                  <c:v>13</c:v>
                </c:pt>
                <c:pt idx="9">
                  <c:v>27.1</c:v>
                </c:pt>
                <c:pt idx="10">
                  <c:v>11.7</c:v>
                </c:pt>
                <c:pt idx="11">
                  <c:v>31.21</c:v>
                </c:pt>
                <c:pt idx="12">
                  <c:v>8.92</c:v>
                </c:pt>
                <c:pt idx="13">
                  <c:v>0.13</c:v>
                </c:pt>
                <c:pt idx="14">
                  <c:v>0.05</c:v>
                </c:pt>
                <c:pt idx="15">
                  <c:v>13.4</c:v>
                </c:pt>
                <c:pt idx="16">
                  <c:v>12</c:v>
                </c:pt>
                <c:pt idx="17">
                  <c:v>12</c:v>
                </c:pt>
                <c:pt idx="18">
                  <c:v>32</c:v>
                </c:pt>
                <c:pt idx="19">
                  <c:v>32</c:v>
                </c:pt>
                <c:pt idx="20">
                  <c:v>11.7</c:v>
                </c:pt>
                <c:pt idx="21">
                  <c:v>9.8000000000000007</c:v>
                </c:pt>
                <c:pt idx="22">
                  <c:v>38.5</c:v>
                </c:pt>
                <c:pt idx="23">
                  <c:v>32</c:v>
                </c:pt>
                <c:pt idx="24">
                  <c:v>15</c:v>
                </c:pt>
                <c:pt idx="25">
                  <c:v>35</c:v>
                </c:pt>
                <c:pt idx="26">
                  <c:v>13</c:v>
                </c:pt>
                <c:pt idx="27">
                  <c:v>13</c:v>
                </c:pt>
                <c:pt idx="28">
                  <c:v>27.1</c:v>
                </c:pt>
                <c:pt idx="29">
                  <c:v>27.1</c:v>
                </c:pt>
                <c:pt idx="30">
                  <c:v>12</c:v>
                </c:pt>
              </c:numCache>
            </c:numRef>
          </c:xVal>
          <c:yVal>
            <c:numRef>
              <c:f>'Roughness vs Fatigue'!$D$4:$D$34</c:f>
              <c:numCache>
                <c:formatCode>0</c:formatCode>
                <c:ptCount val="31"/>
                <c:pt idx="0" formatCode="General">
                  <c:v>415</c:v>
                </c:pt>
                <c:pt idx="1">
                  <c:v>753.76244115787495</c:v>
                </c:pt>
                <c:pt idx="2">
                  <c:v>552.38785521465195</c:v>
                </c:pt>
                <c:pt idx="3">
                  <c:v>539.46199479792506</c:v>
                </c:pt>
                <c:pt idx="4">
                  <c:v>514.36628175080011</c:v>
                </c:pt>
                <c:pt idx="5">
                  <c:v>285.05274014822288</c:v>
                </c:pt>
                <c:pt idx="6">
                  <c:v>323.5560921829084</c:v>
                </c:pt>
                <c:pt idx="7">
                  <c:v>477.59981730107364</c:v>
                </c:pt>
                <c:pt idx="8">
                  <c:v>359.38482114388717</c:v>
                </c:pt>
                <c:pt idx="9">
                  <c:v>277.02171559781164</c:v>
                </c:pt>
                <c:pt idx="10">
                  <c:v>514.15223081525107</c:v>
                </c:pt>
                <c:pt idx="11">
                  <c:v>408.97771634733886</c:v>
                </c:pt>
                <c:pt idx="12">
                  <c:v>515.26211795831205</c:v>
                </c:pt>
                <c:pt idx="13">
                  <c:v>469.04479955249349</c:v>
                </c:pt>
                <c:pt idx="14">
                  <c:v>744.9454183079215</c:v>
                </c:pt>
                <c:pt idx="15">
                  <c:v>257.80417834708032</c:v>
                </c:pt>
                <c:pt idx="16">
                  <c:v>440.84747084322652</c:v>
                </c:pt>
                <c:pt idx="17">
                  <c:v>403.81803873024</c:v>
                </c:pt>
                <c:pt idx="18">
                  <c:v>363.18348206403789</c:v>
                </c:pt>
                <c:pt idx="19">
                  <c:v>355.34971818206537</c:v>
                </c:pt>
                <c:pt idx="20">
                  <c:v>505.98548373092831</c:v>
                </c:pt>
                <c:pt idx="21">
                  <c:v>515.65779829393364</c:v>
                </c:pt>
                <c:pt idx="22">
                  <c:v>265.89912788699655</c:v>
                </c:pt>
                <c:pt idx="23">
                  <c:v>358.39444020694441</c:v>
                </c:pt>
                <c:pt idx="24">
                  <c:v>354.2435105243971</c:v>
                </c:pt>
                <c:pt idx="25">
                  <c:v>317.18272379247105</c:v>
                </c:pt>
                <c:pt idx="26">
                  <c:v>402.39078149628392</c:v>
                </c:pt>
                <c:pt idx="27">
                  <c:v>357.12530283316147</c:v>
                </c:pt>
                <c:pt idx="28">
                  <c:v>275.62325373233898</c:v>
                </c:pt>
                <c:pt idx="29">
                  <c:v>335.82486939448074</c:v>
                </c:pt>
                <c:pt idx="30">
                  <c:v>380.63489180253623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6-406E-BDC1-65B4A2CFADD0}"/>
            </c:ext>
          </c:extLst>
        </c:ser>
        <c:ser>
          <c:idx val="0"/>
          <c:order val="1"/>
          <c:tx>
            <c:v>Ra vs σ @ 10^5 cycles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4F1FFF"/>
              </a:solidFill>
              <a:ln w="9525">
                <a:solidFill>
                  <a:srgbClr val="4F1FFF"/>
                </a:solidFill>
              </a:ln>
              <a:effectLst/>
            </c:spPr>
          </c:marker>
          <c:trendline>
            <c:name>Ra vs σ @ 10^5 cycles</c:name>
            <c:spPr>
              <a:ln w="19050" cap="rnd">
                <a:solidFill>
                  <a:srgbClr val="4F1FFF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282535678907894"/>
                  <c:y val="0.298264074203091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Fatigue'!$B$4:$B$34</c:f>
              <c:numCache>
                <c:formatCode>General</c:formatCode>
                <c:ptCount val="31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44</c:v>
                </c:pt>
                <c:pt idx="6">
                  <c:v>6.83</c:v>
                </c:pt>
                <c:pt idx="7">
                  <c:v>4.96</c:v>
                </c:pt>
                <c:pt idx="8">
                  <c:v>13</c:v>
                </c:pt>
                <c:pt idx="9">
                  <c:v>27.1</c:v>
                </c:pt>
                <c:pt idx="10">
                  <c:v>11.7</c:v>
                </c:pt>
                <c:pt idx="11">
                  <c:v>31.21</c:v>
                </c:pt>
                <c:pt idx="12">
                  <c:v>8.92</c:v>
                </c:pt>
                <c:pt idx="13">
                  <c:v>0.13</c:v>
                </c:pt>
                <c:pt idx="14">
                  <c:v>0.05</c:v>
                </c:pt>
                <c:pt idx="15">
                  <c:v>13.4</c:v>
                </c:pt>
                <c:pt idx="16">
                  <c:v>12</c:v>
                </c:pt>
                <c:pt idx="17">
                  <c:v>12</c:v>
                </c:pt>
                <c:pt idx="18">
                  <c:v>32</c:v>
                </c:pt>
                <c:pt idx="19">
                  <c:v>32</c:v>
                </c:pt>
                <c:pt idx="20">
                  <c:v>11.7</c:v>
                </c:pt>
                <c:pt idx="21">
                  <c:v>9.8000000000000007</c:v>
                </c:pt>
                <c:pt idx="22">
                  <c:v>38.5</c:v>
                </c:pt>
                <c:pt idx="23">
                  <c:v>32</c:v>
                </c:pt>
                <c:pt idx="24">
                  <c:v>15</c:v>
                </c:pt>
                <c:pt idx="25">
                  <c:v>35</c:v>
                </c:pt>
                <c:pt idx="26">
                  <c:v>13</c:v>
                </c:pt>
                <c:pt idx="27">
                  <c:v>13</c:v>
                </c:pt>
                <c:pt idx="28">
                  <c:v>27.1</c:v>
                </c:pt>
                <c:pt idx="29">
                  <c:v>27.1</c:v>
                </c:pt>
                <c:pt idx="30">
                  <c:v>12</c:v>
                </c:pt>
              </c:numCache>
            </c:numRef>
          </c:xVal>
          <c:yVal>
            <c:numRef>
              <c:f>'Roughness vs Fatigue'!$E$4:$E$34</c:f>
              <c:numCache>
                <c:formatCode>0</c:formatCode>
                <c:ptCount val="31"/>
                <c:pt idx="0" formatCode="General">
                  <c:v>353</c:v>
                </c:pt>
                <c:pt idx="1">
                  <c:v>703.9805514473436</c:v>
                </c:pt>
                <c:pt idx="2">
                  <c:v>520.28981901831503</c:v>
                </c:pt>
                <c:pt idx="3">
                  <c:v>488.68999349740642</c:v>
                </c:pt>
                <c:pt idx="4">
                  <c:v>475.68285218850019</c:v>
                </c:pt>
                <c:pt idx="5">
                  <c:v>205.49842518527862</c:v>
                </c:pt>
                <c:pt idx="6">
                  <c:v>293.73761522863549</c:v>
                </c:pt>
                <c:pt idx="7">
                  <c:v>447.27477162634204</c:v>
                </c:pt>
                <c:pt idx="8">
                  <c:v>273.61352642985901</c:v>
                </c:pt>
                <c:pt idx="9">
                  <c:v>210.1546444972646</c:v>
                </c:pt>
                <c:pt idx="10">
                  <c:v>323.59028851906396</c:v>
                </c:pt>
                <c:pt idx="11">
                  <c:v>163.52214543417358</c:v>
                </c:pt>
                <c:pt idx="12">
                  <c:v>365.20264744789017</c:v>
                </c:pt>
                <c:pt idx="13">
                  <c:v>305.33099944061701</c:v>
                </c:pt>
                <c:pt idx="14">
                  <c:v>671.33177288490197</c:v>
                </c:pt>
                <c:pt idx="15">
                  <c:v>219.09772293385046</c:v>
                </c:pt>
                <c:pt idx="16">
                  <c:v>322.2643385540332</c:v>
                </c:pt>
                <c:pt idx="17">
                  <c:v>330.34254841280006</c:v>
                </c:pt>
                <c:pt idx="18">
                  <c:v>274.4418525800474</c:v>
                </c:pt>
                <c:pt idx="19">
                  <c:v>287.1471477275818</c:v>
                </c:pt>
                <c:pt idx="20">
                  <c:v>327.28185466366051</c:v>
                </c:pt>
                <c:pt idx="21">
                  <c:v>406.05474786741718</c:v>
                </c:pt>
                <c:pt idx="22">
                  <c:v>146.34890985874574</c:v>
                </c:pt>
                <c:pt idx="23">
                  <c:v>166.54305025868064</c:v>
                </c:pt>
                <c:pt idx="24">
                  <c:v>304.25438815549637</c:v>
                </c:pt>
                <c:pt idx="25">
                  <c:v>263.90090474058883</c:v>
                </c:pt>
                <c:pt idx="26">
                  <c:v>301.46847687035495</c:v>
                </c:pt>
                <c:pt idx="27">
                  <c:v>271.90662854145188</c:v>
                </c:pt>
                <c:pt idx="28">
                  <c:v>215.77906716542378</c:v>
                </c:pt>
                <c:pt idx="29">
                  <c:v>242.93858674310093</c:v>
                </c:pt>
                <c:pt idx="30">
                  <c:v>293.98861475317028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66-406E-BDC1-65B4A2CFADD0}"/>
            </c:ext>
          </c:extLst>
        </c:ser>
        <c:ser>
          <c:idx val="2"/>
          <c:order val="2"/>
          <c:tx>
            <c:v>Ra vs σ @ 10^6 cycles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Ra vs σ @ 10^6 cycles</c:nam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724034036255129E-2"/>
                  <c:y val="0.24776211462191641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'Roughness vs Fatigue'!$B$4:$B$34</c:f>
              <c:numCache>
                <c:formatCode>General</c:formatCode>
                <c:ptCount val="31"/>
                <c:pt idx="0">
                  <c:v>17.899999999999999</c:v>
                </c:pt>
                <c:pt idx="1">
                  <c:v>0.3</c:v>
                </c:pt>
                <c:pt idx="2">
                  <c:v>10.1</c:v>
                </c:pt>
                <c:pt idx="3">
                  <c:v>0.9</c:v>
                </c:pt>
                <c:pt idx="4">
                  <c:v>0.4</c:v>
                </c:pt>
                <c:pt idx="5">
                  <c:v>44</c:v>
                </c:pt>
                <c:pt idx="6">
                  <c:v>6.83</c:v>
                </c:pt>
                <c:pt idx="7">
                  <c:v>4.96</c:v>
                </c:pt>
                <c:pt idx="8">
                  <c:v>13</c:v>
                </c:pt>
                <c:pt idx="9">
                  <c:v>27.1</c:v>
                </c:pt>
                <c:pt idx="10">
                  <c:v>11.7</c:v>
                </c:pt>
                <c:pt idx="11">
                  <c:v>31.21</c:v>
                </c:pt>
                <c:pt idx="12">
                  <c:v>8.92</c:v>
                </c:pt>
                <c:pt idx="13">
                  <c:v>0.13</c:v>
                </c:pt>
                <c:pt idx="14">
                  <c:v>0.05</c:v>
                </c:pt>
                <c:pt idx="15">
                  <c:v>13.4</c:v>
                </c:pt>
                <c:pt idx="16">
                  <c:v>12</c:v>
                </c:pt>
                <c:pt idx="17">
                  <c:v>12</c:v>
                </c:pt>
                <c:pt idx="18">
                  <c:v>32</c:v>
                </c:pt>
                <c:pt idx="19">
                  <c:v>32</c:v>
                </c:pt>
                <c:pt idx="20">
                  <c:v>11.7</c:v>
                </c:pt>
                <c:pt idx="21">
                  <c:v>9.8000000000000007</c:v>
                </c:pt>
                <c:pt idx="22">
                  <c:v>38.5</c:v>
                </c:pt>
                <c:pt idx="23">
                  <c:v>32</c:v>
                </c:pt>
                <c:pt idx="24">
                  <c:v>15</c:v>
                </c:pt>
                <c:pt idx="25">
                  <c:v>35</c:v>
                </c:pt>
                <c:pt idx="26">
                  <c:v>13</c:v>
                </c:pt>
                <c:pt idx="27">
                  <c:v>13</c:v>
                </c:pt>
                <c:pt idx="28">
                  <c:v>27.1</c:v>
                </c:pt>
                <c:pt idx="29">
                  <c:v>27.1</c:v>
                </c:pt>
                <c:pt idx="30">
                  <c:v>12</c:v>
                </c:pt>
              </c:numCache>
            </c:numRef>
          </c:xVal>
          <c:yVal>
            <c:numRef>
              <c:f>'Roughness vs Fatigue'!$F$4:$F$34</c:f>
              <c:numCache>
                <c:formatCode>0</c:formatCode>
                <c:ptCount val="31"/>
                <c:pt idx="0" formatCode="General">
                  <c:v>291</c:v>
                </c:pt>
                <c:pt idx="1">
                  <c:v>654.19866173681237</c:v>
                </c:pt>
                <c:pt idx="2">
                  <c:v>488.19178282197799</c:v>
                </c:pt>
                <c:pt idx="3">
                  <c:v>437.91799219688772</c:v>
                </c:pt>
                <c:pt idx="4">
                  <c:v>436.99942262620021</c:v>
                </c:pt>
                <c:pt idx="5">
                  <c:v>125.94411022233436</c:v>
                </c:pt>
                <c:pt idx="6">
                  <c:v>263.91913827436264</c:v>
                </c:pt>
                <c:pt idx="7">
                  <c:v>416.9497259516105</c:v>
                </c:pt>
                <c:pt idx="8">
                  <c:v>187.84223171583085</c:v>
                </c:pt>
                <c:pt idx="9">
                  <c:v>143.28757339671751</c:v>
                </c:pt>
                <c:pt idx="10">
                  <c:v>133.02834622287673</c:v>
                </c:pt>
                <c:pt idx="11">
                  <c:v>0.01</c:v>
                </c:pt>
                <c:pt idx="12">
                  <c:v>215.1431769374683</c:v>
                </c:pt>
                <c:pt idx="13">
                  <c:v>141.6171993287403</c:v>
                </c:pt>
                <c:pt idx="14">
                  <c:v>597.7181274618822</c:v>
                </c:pt>
                <c:pt idx="15">
                  <c:v>180.39126752062057</c:v>
                </c:pt>
                <c:pt idx="16">
                  <c:v>203.68120626483983</c:v>
                </c:pt>
                <c:pt idx="17">
                  <c:v>256.86705809536005</c:v>
                </c:pt>
                <c:pt idx="18">
                  <c:v>185.7002230960569</c:v>
                </c:pt>
                <c:pt idx="19">
                  <c:v>218.94457727309816</c:v>
                </c:pt>
                <c:pt idx="20">
                  <c:v>148.57822559639271</c:v>
                </c:pt>
                <c:pt idx="21">
                  <c:v>296.4516974409006</c:v>
                </c:pt>
                <c:pt idx="22">
                  <c:v>26.798691830494931</c:v>
                </c:pt>
                <c:pt idx="23">
                  <c:v>0.01</c:v>
                </c:pt>
                <c:pt idx="24">
                  <c:v>254.26526578659565</c:v>
                </c:pt>
                <c:pt idx="25">
                  <c:v>210.61908568870666</c:v>
                </c:pt>
                <c:pt idx="26">
                  <c:v>200.54617224442597</c:v>
                </c:pt>
                <c:pt idx="27">
                  <c:v>186.68795424974223</c:v>
                </c:pt>
                <c:pt idx="28">
                  <c:v>155.93488059850853</c:v>
                </c:pt>
                <c:pt idx="29">
                  <c:v>150.05230409172111</c:v>
                </c:pt>
                <c:pt idx="30">
                  <c:v>207.34233770380433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66-406E-BDC1-65B4A2CF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62800"/>
        <c:axId val="889533936"/>
      </c:scatterChart>
      <c:valAx>
        <c:axId val="8895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i="1"/>
                  <a:t>Ra</a:t>
                </a:r>
                <a:r>
                  <a:rPr lang="en-AU" sz="1600"/>
                  <a:t> (µm)</a:t>
                </a:r>
              </a:p>
            </c:rich>
          </c:tx>
          <c:layout>
            <c:manualLayout>
              <c:xMode val="edge"/>
              <c:yMode val="edge"/>
              <c:x val="0.404737935588182"/>
              <c:y val="0.70795209652282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33936"/>
        <c:crosses val="autoZero"/>
        <c:crossBetween val="midCat"/>
      </c:valAx>
      <c:valAx>
        <c:axId val="889533936"/>
        <c:scaling>
          <c:orientation val="minMax"/>
          <c:max val="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Effective stress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6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707592050601966"/>
          <c:w val="0.99545839406868186"/>
          <c:h val="0.14292398912989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n>
            <a:noFill/>
          </a:ln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601435</xdr:colOff>
      <xdr:row>8</xdr:row>
      <xdr:rowOff>119742</xdr:rowOff>
    </xdr:from>
    <xdr:to>
      <xdr:col>46</xdr:col>
      <xdr:colOff>588817</xdr:colOff>
      <xdr:row>47</xdr:row>
      <xdr:rowOff>89140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6ECD-07ED-4FFF-9269-8AE04974D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122465</xdr:colOff>
      <xdr:row>23</xdr:row>
      <xdr:rowOff>100693</xdr:rowOff>
    </xdr:from>
    <xdr:to>
      <xdr:col>34</xdr:col>
      <xdr:colOff>312964</xdr:colOff>
      <xdr:row>38</xdr:row>
      <xdr:rowOff>59871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B1FCEA6A-3944-4EDA-9853-237E6D460A2A}"/>
            </a:ext>
          </a:extLst>
        </xdr:cNvPr>
        <xdr:cNvSpPr/>
      </xdr:nvSpPr>
      <xdr:spPr>
        <a:xfrm>
          <a:off x="17667515" y="4863193"/>
          <a:ext cx="7505699" cy="3197678"/>
        </a:xfrm>
        <a:custGeom>
          <a:avLst/>
          <a:gdLst>
            <a:gd name="connsiteX0" fmla="*/ 2340429 w 7538357"/>
            <a:gd name="connsiteY0" fmla="*/ 122464 h 3197678"/>
            <a:gd name="connsiteX1" fmla="*/ 1374321 w 7538357"/>
            <a:gd name="connsiteY1" fmla="*/ 0 h 3197678"/>
            <a:gd name="connsiteX2" fmla="*/ 176893 w 7538357"/>
            <a:gd name="connsiteY2" fmla="*/ 163285 h 3197678"/>
            <a:gd name="connsiteX3" fmla="*/ 0 w 7538357"/>
            <a:gd name="connsiteY3" fmla="*/ 1170214 h 3197678"/>
            <a:gd name="connsiteX4" fmla="*/ 312964 w 7538357"/>
            <a:gd name="connsiteY4" fmla="*/ 2204357 h 3197678"/>
            <a:gd name="connsiteX5" fmla="*/ 1102179 w 7538357"/>
            <a:gd name="connsiteY5" fmla="*/ 2843892 h 3197678"/>
            <a:gd name="connsiteX6" fmla="*/ 3252107 w 7538357"/>
            <a:gd name="connsiteY6" fmla="*/ 3061607 h 3197678"/>
            <a:gd name="connsiteX7" fmla="*/ 4463143 w 7538357"/>
            <a:gd name="connsiteY7" fmla="*/ 3197678 h 3197678"/>
            <a:gd name="connsiteX8" fmla="*/ 6286500 w 7538357"/>
            <a:gd name="connsiteY8" fmla="*/ 2871107 h 3197678"/>
            <a:gd name="connsiteX9" fmla="*/ 7538357 w 7538357"/>
            <a:gd name="connsiteY9" fmla="*/ 2217964 h 3197678"/>
            <a:gd name="connsiteX10" fmla="*/ 7538357 w 7538357"/>
            <a:gd name="connsiteY10" fmla="*/ 1836964 h 3197678"/>
            <a:gd name="connsiteX11" fmla="*/ 6490607 w 7538357"/>
            <a:gd name="connsiteY11" fmla="*/ 1768928 h 3197678"/>
            <a:gd name="connsiteX12" fmla="*/ 5129893 w 7538357"/>
            <a:gd name="connsiteY12" fmla="*/ 2517321 h 3197678"/>
            <a:gd name="connsiteX13" fmla="*/ 4095750 w 7538357"/>
            <a:gd name="connsiteY13" fmla="*/ 2231571 h 3197678"/>
            <a:gd name="connsiteX14" fmla="*/ 4054929 w 7538357"/>
            <a:gd name="connsiteY14" fmla="*/ 1973035 h 3197678"/>
            <a:gd name="connsiteX15" fmla="*/ 3456214 w 7538357"/>
            <a:gd name="connsiteY15" fmla="*/ 1605642 h 3197678"/>
            <a:gd name="connsiteX16" fmla="*/ 2639786 w 7538357"/>
            <a:gd name="connsiteY16" fmla="*/ 1401535 h 3197678"/>
            <a:gd name="connsiteX17" fmla="*/ 2340429 w 7538357"/>
            <a:gd name="connsiteY17" fmla="*/ 122464 h 31976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7538357" h="3197678">
              <a:moveTo>
                <a:pt x="2340429" y="122464"/>
              </a:moveTo>
              <a:lnTo>
                <a:pt x="1374321" y="0"/>
              </a:lnTo>
              <a:lnTo>
                <a:pt x="176893" y="163285"/>
              </a:lnTo>
              <a:lnTo>
                <a:pt x="0" y="1170214"/>
              </a:lnTo>
              <a:lnTo>
                <a:pt x="312964" y="2204357"/>
              </a:lnTo>
              <a:lnTo>
                <a:pt x="1102179" y="2843892"/>
              </a:lnTo>
              <a:lnTo>
                <a:pt x="3252107" y="3061607"/>
              </a:lnTo>
              <a:lnTo>
                <a:pt x="4463143" y="3197678"/>
              </a:lnTo>
              <a:lnTo>
                <a:pt x="6286500" y="2871107"/>
              </a:lnTo>
              <a:lnTo>
                <a:pt x="7538357" y="2217964"/>
              </a:lnTo>
              <a:lnTo>
                <a:pt x="7538357" y="1836964"/>
              </a:lnTo>
              <a:lnTo>
                <a:pt x="6490607" y="1768928"/>
              </a:lnTo>
              <a:lnTo>
                <a:pt x="5129893" y="2517321"/>
              </a:lnTo>
              <a:lnTo>
                <a:pt x="4095750" y="2231571"/>
              </a:lnTo>
              <a:lnTo>
                <a:pt x="4054929" y="1973035"/>
              </a:lnTo>
              <a:lnTo>
                <a:pt x="3456214" y="1605642"/>
              </a:lnTo>
              <a:lnTo>
                <a:pt x="2639786" y="1401535"/>
              </a:lnTo>
              <a:lnTo>
                <a:pt x="2340429" y="122464"/>
              </a:lnTo>
              <a:close/>
            </a:path>
          </a:pathLst>
        </a:custGeom>
        <a:solidFill>
          <a:srgbClr val="FF0000">
            <a:alpha val="30000"/>
          </a:srgbClr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24</xdr:col>
      <xdr:colOff>13796</xdr:colOff>
      <xdr:row>17</xdr:row>
      <xdr:rowOff>167596</xdr:rowOff>
    </xdr:from>
    <xdr:to>
      <xdr:col>34</xdr:col>
      <xdr:colOff>359141</xdr:colOff>
      <xdr:row>32</xdr:row>
      <xdr:rowOff>46369</xdr:rowOff>
    </xdr:to>
    <xdr:sp macro="" textlink="">
      <xdr:nvSpPr>
        <xdr:cNvPr id="34" name="Freeform: Shape 33">
          <a:extLst>
            <a:ext uri="{FF2B5EF4-FFF2-40B4-BE49-F238E27FC236}">
              <a16:creationId xmlns:a16="http://schemas.microsoft.com/office/drawing/2014/main" id="{093DF6AA-8AFB-4274-975C-D9F5C4B9D371}"/>
            </a:ext>
          </a:extLst>
        </xdr:cNvPr>
        <xdr:cNvSpPr/>
      </xdr:nvSpPr>
      <xdr:spPr>
        <a:xfrm>
          <a:off x="18778046" y="3787096"/>
          <a:ext cx="6441345" cy="2926773"/>
        </a:xfrm>
        <a:custGeom>
          <a:avLst/>
          <a:gdLst>
            <a:gd name="connsiteX0" fmla="*/ 398318 w 6407727"/>
            <a:gd name="connsiteY0" fmla="*/ 0 h 2926773"/>
            <a:gd name="connsiteX1" fmla="*/ 0 w 6407727"/>
            <a:gd name="connsiteY1" fmla="*/ 346364 h 2926773"/>
            <a:gd name="connsiteX2" fmla="*/ 744681 w 6407727"/>
            <a:gd name="connsiteY2" fmla="*/ 1853045 h 2926773"/>
            <a:gd name="connsiteX3" fmla="*/ 2164772 w 6407727"/>
            <a:gd name="connsiteY3" fmla="*/ 2597727 h 2926773"/>
            <a:gd name="connsiteX4" fmla="*/ 6407727 w 6407727"/>
            <a:gd name="connsiteY4" fmla="*/ 2926773 h 2926773"/>
            <a:gd name="connsiteX5" fmla="*/ 5091545 w 6407727"/>
            <a:gd name="connsiteY5" fmla="*/ 1731818 h 2926773"/>
            <a:gd name="connsiteX6" fmla="*/ 4260272 w 6407727"/>
            <a:gd name="connsiteY6" fmla="*/ 1160318 h 2926773"/>
            <a:gd name="connsiteX7" fmla="*/ 1194954 w 6407727"/>
            <a:gd name="connsiteY7" fmla="*/ 1160318 h 2926773"/>
            <a:gd name="connsiteX8" fmla="*/ 398318 w 6407727"/>
            <a:gd name="connsiteY8" fmla="*/ 0 h 29267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6407727" h="2926773">
              <a:moveTo>
                <a:pt x="398318" y="0"/>
              </a:moveTo>
              <a:lnTo>
                <a:pt x="0" y="346364"/>
              </a:lnTo>
              <a:lnTo>
                <a:pt x="744681" y="1853045"/>
              </a:lnTo>
              <a:lnTo>
                <a:pt x="2164772" y="2597727"/>
              </a:lnTo>
              <a:lnTo>
                <a:pt x="6407727" y="2926773"/>
              </a:lnTo>
              <a:lnTo>
                <a:pt x="5091545" y="1731818"/>
              </a:lnTo>
              <a:lnTo>
                <a:pt x="4260272" y="1160318"/>
              </a:lnTo>
              <a:lnTo>
                <a:pt x="1194954" y="1160318"/>
              </a:lnTo>
              <a:lnTo>
                <a:pt x="398318" y="0"/>
              </a:lnTo>
              <a:close/>
            </a:path>
          </a:pathLst>
        </a:custGeom>
        <a:solidFill>
          <a:schemeClr val="accent2">
            <a:alpha val="30000"/>
          </a:schemeClr>
        </a:solidFill>
        <a:ln w="254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468559</xdr:colOff>
      <xdr:row>17</xdr:row>
      <xdr:rowOff>70991</xdr:rowOff>
    </xdr:from>
    <xdr:to>
      <xdr:col>35</xdr:col>
      <xdr:colOff>163286</xdr:colOff>
      <xdr:row>24</xdr:row>
      <xdr:rowOff>81643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F498444-47A0-44B1-B0C7-2BF8A1084086}"/>
            </a:ext>
          </a:extLst>
        </xdr:cNvPr>
        <xdr:cNvCxnSpPr/>
      </xdr:nvCxnSpPr>
      <xdr:spPr>
        <a:xfrm>
          <a:off x="16794409" y="3690491"/>
          <a:ext cx="8838727" cy="1344152"/>
        </a:xfrm>
        <a:prstGeom prst="line">
          <a:avLst/>
        </a:prstGeom>
        <a:ln w="25400">
          <a:solidFill>
            <a:srgbClr val="00B0F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0.64639</cdr:x>
      <cdr:y>0.85821</cdr:y>
    </cdr:from>
    <cdr:to>
      <cdr:x>0.67282</cdr:x>
      <cdr:y>0.90337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28800C65-F9E3-F045-8F75-7C0D15110CDF}"/>
            </a:ext>
          </a:extLst>
        </cdr:cNvPr>
        <cdr:cNvSpPr/>
      </cdr:nvSpPr>
      <cdr:spPr>
        <a:xfrm xmlns:a="http://schemas.openxmlformats.org/drawingml/2006/main">
          <a:off x="10962238" y="6840275"/>
          <a:ext cx="448231" cy="359943"/>
        </a:xfrm>
        <a:prstGeom xmlns:a="http://schemas.openxmlformats.org/drawingml/2006/main" prst="rect">
          <a:avLst/>
        </a:prstGeom>
        <a:solidFill xmlns:a="http://schemas.openxmlformats.org/drawingml/2006/main">
          <a:srgbClr val="00B0F0">
            <a:alpha val="30000"/>
          </a:srgbClr>
        </a:solidFill>
        <a:ln xmlns:a="http://schemas.openxmlformats.org/drawingml/2006/main" w="25400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0.64639</cdr:x>
      <cdr:y>0.93125</cdr:y>
    </cdr:from>
    <cdr:to>
      <cdr:x>0.67282</cdr:x>
      <cdr:y>0.97641</cdr:y>
    </cdr:to>
    <cdr:sp macro="" textlink="">
      <cdr:nvSpPr>
        <cdr:cNvPr id="11" name="Rectangle 10">
          <a:extLst xmlns:a="http://schemas.openxmlformats.org/drawingml/2006/main">
            <a:ext uri="{FF2B5EF4-FFF2-40B4-BE49-F238E27FC236}">
              <a16:creationId xmlns:a16="http://schemas.microsoft.com/office/drawing/2014/main" id="{81B93C5B-1782-9BA9-E6A0-E66E0159F2E4}"/>
            </a:ext>
          </a:extLst>
        </cdr:cNvPr>
        <cdr:cNvSpPr/>
      </cdr:nvSpPr>
      <cdr:spPr>
        <a:xfrm xmlns:a="http://schemas.openxmlformats.org/drawingml/2006/main">
          <a:off x="10962238" y="7422433"/>
          <a:ext cx="448231" cy="359943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alpha val="30000"/>
          </a:schemeClr>
        </a:solidFill>
        <a:ln xmlns:a="http://schemas.openxmlformats.org/drawingml/2006/main" w="25400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0.80386</cdr:x>
      <cdr:y>0.85821</cdr:y>
    </cdr:from>
    <cdr:to>
      <cdr:x>0.83028</cdr:x>
      <cdr:y>0.90338</cdr:y>
    </cdr:to>
    <cdr:sp macro="" textlink="">
      <cdr:nvSpPr>
        <cdr:cNvPr id="12" name="Rectangle 11">
          <a:extLst xmlns:a="http://schemas.openxmlformats.org/drawingml/2006/main">
            <a:ext uri="{FF2B5EF4-FFF2-40B4-BE49-F238E27FC236}">
              <a16:creationId xmlns:a16="http://schemas.microsoft.com/office/drawing/2014/main" id="{8EB05945-FAB4-4BFF-AC38-7D75CB0E3775}"/>
            </a:ext>
          </a:extLst>
        </cdr:cNvPr>
        <cdr:cNvSpPr/>
      </cdr:nvSpPr>
      <cdr:spPr>
        <a:xfrm xmlns:a="http://schemas.openxmlformats.org/drawingml/2006/main">
          <a:off x="13632814" y="6840275"/>
          <a:ext cx="448062" cy="360023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30000"/>
          </a:srgbClr>
        </a:solidFill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0.80386</cdr:x>
      <cdr:y>0.93125</cdr:y>
    </cdr:from>
    <cdr:to>
      <cdr:x>0.83028</cdr:x>
      <cdr:y>0.97642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43E907EC-BACB-9F97-8E0F-6E87E1833B7F}"/>
            </a:ext>
          </a:extLst>
        </cdr:cNvPr>
        <cdr:cNvSpPr/>
      </cdr:nvSpPr>
      <cdr:spPr>
        <a:xfrm xmlns:a="http://schemas.openxmlformats.org/drawingml/2006/main">
          <a:off x="13632814" y="7422433"/>
          <a:ext cx="448062" cy="36002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30000"/>
          </a:srgbClr>
        </a:solidFill>
        <a:ln xmlns:a="http://schemas.openxmlformats.org/drawingml/2006/main" w="254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0.67404</cdr:x>
      <cdr:y>0.85466</cdr:y>
    </cdr:from>
    <cdr:to>
      <cdr:x>0.81828</cdr:x>
      <cdr:y>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7DC9DC33-A493-6D0F-A588-A28E1CE92870}"/>
            </a:ext>
          </a:extLst>
        </cdr:cNvPr>
        <cdr:cNvSpPr txBox="1"/>
      </cdr:nvSpPr>
      <cdr:spPr>
        <a:xfrm xmlns:a="http://schemas.openxmlformats.org/drawingml/2006/main">
          <a:off x="11431120" y="6811980"/>
          <a:ext cx="2446195" cy="1158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2000" b="1"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rPr>
            <a:t>Polished &amp;</a:t>
          </a:r>
          <a:r>
            <a:rPr lang="en-AU" sz="2000" b="1" baseline="0"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rPr>
            <a:t> HIP</a:t>
          </a:r>
          <a:br>
            <a:rPr lang="en-AU" sz="2000" b="1" baseline="0"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rPr>
          </a:br>
          <a:endParaRPr lang="en-AU" sz="2000" b="1" baseline="0">
            <a:latin typeface="Times New Roman" panose="02020603050405020304" pitchFamily="18" charset="0"/>
            <a:ea typeface="Cambria" panose="020405030504060302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AU" sz="2000" b="1" baseline="0">
              <a:latin typeface="Times New Roman" panose="02020603050405020304" pitchFamily="18" charset="0"/>
              <a:ea typeface="Cambria" panose="02040503050406030204" pitchFamily="18" charset="0"/>
              <a:cs typeface="Times New Roman" panose="02020603050405020304" pitchFamily="18" charset="0"/>
            </a:rPr>
            <a:t>Polished</a:t>
          </a:r>
        </a:p>
      </cdr:txBody>
    </cdr:sp>
  </cdr:relSizeAnchor>
  <cdr:relSizeAnchor xmlns:cdr="http://schemas.openxmlformats.org/drawingml/2006/chartDrawing">
    <cdr:from>
      <cdr:x>0.47696</cdr:x>
      <cdr:y>0.03107</cdr:y>
    </cdr:from>
    <cdr:to>
      <cdr:x>0.47696</cdr:x>
      <cdr:y>0.82663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DF722442-0B72-691F-2D3F-0F8E849CF95D}"/>
            </a:ext>
          </a:extLst>
        </cdr:cNvPr>
        <cdr:cNvCxnSpPr/>
      </cdr:nvCxnSpPr>
      <cdr:spPr>
        <a:xfrm xmlns:a="http://schemas.openxmlformats.org/drawingml/2006/main">
          <a:off x="8171386" y="247651"/>
          <a:ext cx="0" cy="6340941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0.82963</cdr:x>
      <cdr:y>0.85659</cdr:y>
    </cdr:from>
    <cdr:to>
      <cdr:x>0.98028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E2853C7-B108-DC87-9429-BBE8A878ACC5}"/>
            </a:ext>
          </a:extLst>
        </cdr:cNvPr>
        <cdr:cNvSpPr txBox="1"/>
      </cdr:nvSpPr>
      <cdr:spPr>
        <a:xfrm xmlns:a="http://schemas.openxmlformats.org/drawingml/2006/main">
          <a:off x="14069852" y="6827363"/>
          <a:ext cx="2554904" cy="1143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20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 surface &amp; HIP</a:t>
          </a:r>
          <a:endParaRPr lang="en-AU" sz="20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AU" sz="2000" b="1" baseline="0"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 xmlns:a="http://schemas.openxmlformats.org/drawingml/2006/main">
          <a:r>
            <a:rPr lang="en-AU" sz="2000" b="1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AB surface</a:t>
          </a:r>
          <a:endParaRPr lang="en-AU" sz="2000" b="1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endParaRPr lang="en-AU" sz="20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0.06346</cdr:x>
      <cdr:y>0.31751</cdr:y>
    </cdr:from>
    <cdr:to>
      <cdr:x>0.58202</cdr:x>
      <cdr:y>0.54494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CDDCF5A3-25EC-13C4-3A7E-A1F5A52CAEC7}"/>
            </a:ext>
          </a:extLst>
        </cdr:cNvPr>
        <cdr:cNvCxnSpPr/>
      </cdr:nvCxnSpPr>
      <cdr:spPr>
        <a:xfrm xmlns:a="http://schemas.openxmlformats.org/drawingml/2006/main">
          <a:off x="1087221" y="2530681"/>
          <a:ext cx="8884168" cy="181270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0.06346</cdr:x>
      <cdr:y>0.4048</cdr:y>
    </cdr:from>
    <cdr:to>
      <cdr:x>0.58202</cdr:x>
      <cdr:y>0.77029</cdr:y>
    </cdr:to>
    <cdr:cxnSp macro="">
      <cdr:nvCxnSpPr>
        <cdr:cNvPr id="26" name="Straight Connector 25">
          <a:extLst xmlns:a="http://schemas.openxmlformats.org/drawingml/2006/main">
            <a:ext uri="{FF2B5EF4-FFF2-40B4-BE49-F238E27FC236}">
              <a16:creationId xmlns:a16="http://schemas.microsoft.com/office/drawing/2014/main" id="{59EBF673-001A-76E0-51E7-635AEC9C4BB7}"/>
            </a:ext>
          </a:extLst>
        </cdr:cNvPr>
        <cdr:cNvCxnSpPr/>
      </cdr:nvCxnSpPr>
      <cdr:spPr>
        <a:xfrm xmlns:a="http://schemas.openxmlformats.org/drawingml/2006/main">
          <a:off x="1087221" y="3226417"/>
          <a:ext cx="8884094" cy="291312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0.06346</cdr:x>
      <cdr:y>0.50456</cdr:y>
    </cdr:from>
    <cdr:to>
      <cdr:x>0.58071</cdr:x>
      <cdr:y>0.78685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1CDE74B4-2D63-72D3-411E-9D76EBBABDB7}"/>
            </a:ext>
          </a:extLst>
        </cdr:cNvPr>
        <cdr:cNvCxnSpPr/>
      </cdr:nvCxnSpPr>
      <cdr:spPr>
        <a:xfrm xmlns:a="http://schemas.openxmlformats.org/drawingml/2006/main">
          <a:off x="1082385" y="4021544"/>
          <a:ext cx="8822255" cy="224998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0.13086</cdr:x>
      <cdr:y>0.11154</cdr:y>
    </cdr:from>
    <cdr:to>
      <cdr:x>0.48182</cdr:x>
      <cdr:y>0.50039</cdr:y>
    </cdr:to>
    <cdr:sp macro="" textlink="">
      <cdr:nvSpPr>
        <cdr:cNvPr id="18" name="Freeform: Shape 17">
          <a:extLst xmlns:a="http://schemas.openxmlformats.org/drawingml/2006/main">
            <a:ext uri="{FF2B5EF4-FFF2-40B4-BE49-F238E27FC236}">
              <a16:creationId xmlns:a16="http://schemas.microsoft.com/office/drawing/2014/main" id="{69CF660B-92B7-418D-A955-BFDC79664CBA}"/>
            </a:ext>
          </a:extLst>
        </cdr:cNvPr>
        <cdr:cNvSpPr/>
      </cdr:nvSpPr>
      <cdr:spPr>
        <a:xfrm xmlns:a="http://schemas.openxmlformats.org/drawingml/2006/main">
          <a:off x="2232025" y="889000"/>
          <a:ext cx="5986019" cy="3099289"/>
        </a:xfrm>
        <a:custGeom xmlns:a="http://schemas.openxmlformats.org/drawingml/2006/main">
          <a:avLst/>
          <a:gdLst>
            <a:gd name="connsiteX0" fmla="*/ 842596 w 5971442"/>
            <a:gd name="connsiteY0" fmla="*/ 0 h 3099289"/>
            <a:gd name="connsiteX1" fmla="*/ 0 w 5971442"/>
            <a:gd name="connsiteY1" fmla="*/ 732692 h 3099289"/>
            <a:gd name="connsiteX2" fmla="*/ 1252904 w 5971442"/>
            <a:gd name="connsiteY2" fmla="*/ 2579077 h 3099289"/>
            <a:gd name="connsiteX3" fmla="*/ 2908788 w 5971442"/>
            <a:gd name="connsiteY3" fmla="*/ 2967404 h 3099289"/>
            <a:gd name="connsiteX4" fmla="*/ 5956788 w 5971442"/>
            <a:gd name="connsiteY4" fmla="*/ 3099289 h 3099289"/>
            <a:gd name="connsiteX5" fmla="*/ 5971442 w 5971442"/>
            <a:gd name="connsiteY5" fmla="*/ 1428750 h 3099289"/>
            <a:gd name="connsiteX6" fmla="*/ 4183673 w 5971442"/>
            <a:gd name="connsiteY6" fmla="*/ 857250 h 3099289"/>
            <a:gd name="connsiteX7" fmla="*/ 2989384 w 5971442"/>
            <a:gd name="connsiteY7" fmla="*/ 300404 h 3099289"/>
            <a:gd name="connsiteX8" fmla="*/ 1172307 w 5971442"/>
            <a:gd name="connsiteY8" fmla="*/ 29308 h 3099289"/>
            <a:gd name="connsiteX9" fmla="*/ 842596 w 5971442"/>
            <a:gd name="connsiteY9" fmla="*/ 0 h 30992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5971442" h="3099289">
              <a:moveTo>
                <a:pt x="842596" y="0"/>
              </a:moveTo>
              <a:lnTo>
                <a:pt x="0" y="732692"/>
              </a:lnTo>
              <a:lnTo>
                <a:pt x="1252904" y="2579077"/>
              </a:lnTo>
              <a:lnTo>
                <a:pt x="2908788" y="2967404"/>
              </a:lnTo>
              <a:lnTo>
                <a:pt x="5956788" y="3099289"/>
              </a:lnTo>
              <a:lnTo>
                <a:pt x="5971442" y="1428750"/>
              </a:lnTo>
              <a:lnTo>
                <a:pt x="4183673" y="857250"/>
              </a:lnTo>
              <a:lnTo>
                <a:pt x="2989384" y="300404"/>
              </a:lnTo>
              <a:lnTo>
                <a:pt x="1172307" y="29308"/>
              </a:lnTo>
              <a:lnTo>
                <a:pt x="842596" y="0"/>
              </a:lnTo>
              <a:close/>
            </a:path>
          </a:pathLst>
        </a:custGeom>
        <a:solidFill xmlns:a="http://schemas.openxmlformats.org/drawingml/2006/main">
          <a:srgbClr val="00B0F0">
            <a:alpha val="30000"/>
          </a:srgbClr>
        </a:solidFill>
        <a:ln xmlns:a="http://schemas.openxmlformats.org/drawingml/2006/main" w="25400">
          <a:solidFill>
            <a:srgbClr val="00B0F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0.14061</cdr:x>
      <cdr:y>0.24123</cdr:y>
    </cdr:from>
    <cdr:to>
      <cdr:x>0.54488</cdr:x>
      <cdr:y>0.74656</cdr:y>
    </cdr:to>
    <cdr:sp macro="" textlink="">
      <cdr:nvSpPr>
        <cdr:cNvPr id="21" name="Freeform: Shape 20">
          <a:extLst xmlns:a="http://schemas.openxmlformats.org/drawingml/2006/main">
            <a:ext uri="{FF2B5EF4-FFF2-40B4-BE49-F238E27FC236}">
              <a16:creationId xmlns:a16="http://schemas.microsoft.com/office/drawing/2014/main" id="{315C96B9-343A-7F6F-1283-D01B20571496}"/>
            </a:ext>
          </a:extLst>
        </cdr:cNvPr>
        <cdr:cNvSpPr/>
      </cdr:nvSpPr>
      <cdr:spPr>
        <a:xfrm xmlns:a="http://schemas.openxmlformats.org/drawingml/2006/main">
          <a:off x="2411342" y="1922670"/>
          <a:ext cx="6932698" cy="4027682"/>
        </a:xfrm>
        <a:custGeom xmlns:a="http://schemas.openxmlformats.org/drawingml/2006/main">
          <a:avLst/>
          <a:gdLst>
            <a:gd name="connsiteX0" fmla="*/ 5783036 w 6926036"/>
            <a:gd name="connsiteY0" fmla="*/ 4027714 h 4027714"/>
            <a:gd name="connsiteX1" fmla="*/ 4422321 w 6926036"/>
            <a:gd name="connsiteY1" fmla="*/ 3891643 h 4027714"/>
            <a:gd name="connsiteX2" fmla="*/ 2612571 w 6926036"/>
            <a:gd name="connsiteY2" fmla="*/ 3469821 h 4027714"/>
            <a:gd name="connsiteX3" fmla="*/ 1401536 w 6926036"/>
            <a:gd name="connsiteY3" fmla="*/ 2993571 h 4027714"/>
            <a:gd name="connsiteX4" fmla="*/ 870857 w 6926036"/>
            <a:gd name="connsiteY4" fmla="*/ 2136321 h 4027714"/>
            <a:gd name="connsiteX5" fmla="*/ 0 w 6926036"/>
            <a:gd name="connsiteY5" fmla="*/ 54429 h 4027714"/>
            <a:gd name="connsiteX6" fmla="*/ 122464 w 6926036"/>
            <a:gd name="connsiteY6" fmla="*/ 0 h 4027714"/>
            <a:gd name="connsiteX7" fmla="*/ 1279071 w 6926036"/>
            <a:gd name="connsiteY7" fmla="*/ 1292679 h 4027714"/>
            <a:gd name="connsiteX8" fmla="*/ 1891393 w 6926036"/>
            <a:gd name="connsiteY8" fmla="*/ 1905000 h 4027714"/>
            <a:gd name="connsiteX9" fmla="*/ 2762250 w 6926036"/>
            <a:gd name="connsiteY9" fmla="*/ 2721429 h 4027714"/>
            <a:gd name="connsiteX10" fmla="*/ 3497036 w 6926036"/>
            <a:gd name="connsiteY10" fmla="*/ 2939143 h 4027714"/>
            <a:gd name="connsiteX11" fmla="*/ 5252357 w 6926036"/>
            <a:gd name="connsiteY11" fmla="*/ 2667000 h 4027714"/>
            <a:gd name="connsiteX12" fmla="*/ 6926036 w 6926036"/>
            <a:gd name="connsiteY12" fmla="*/ 2925536 h 4027714"/>
            <a:gd name="connsiteX13" fmla="*/ 6912428 w 6926036"/>
            <a:gd name="connsiteY13" fmla="*/ 3061607 h 4027714"/>
            <a:gd name="connsiteX14" fmla="*/ 5783036 w 6926036"/>
            <a:gd name="connsiteY14" fmla="*/ 4027714 h 402771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6926036" h="4027714">
              <a:moveTo>
                <a:pt x="5783036" y="4027714"/>
              </a:moveTo>
              <a:lnTo>
                <a:pt x="4422321" y="3891643"/>
              </a:lnTo>
              <a:lnTo>
                <a:pt x="2612571" y="3469821"/>
              </a:lnTo>
              <a:lnTo>
                <a:pt x="1401536" y="2993571"/>
              </a:lnTo>
              <a:lnTo>
                <a:pt x="870857" y="2136321"/>
              </a:lnTo>
              <a:lnTo>
                <a:pt x="0" y="54429"/>
              </a:lnTo>
              <a:lnTo>
                <a:pt x="122464" y="0"/>
              </a:lnTo>
              <a:lnTo>
                <a:pt x="1279071" y="1292679"/>
              </a:lnTo>
              <a:lnTo>
                <a:pt x="1891393" y="1905000"/>
              </a:lnTo>
              <a:lnTo>
                <a:pt x="2762250" y="2721429"/>
              </a:lnTo>
              <a:lnTo>
                <a:pt x="3497036" y="2939143"/>
              </a:lnTo>
              <a:lnTo>
                <a:pt x="5252357" y="2667000"/>
              </a:lnTo>
              <a:lnTo>
                <a:pt x="6926036" y="2925536"/>
              </a:lnTo>
              <a:lnTo>
                <a:pt x="6912428" y="3061607"/>
              </a:lnTo>
              <a:lnTo>
                <a:pt x="5783036" y="4027714"/>
              </a:lnTo>
              <a:close/>
            </a:path>
          </a:pathLst>
        </a:custGeom>
        <a:solidFill xmlns:a="http://schemas.openxmlformats.org/drawingml/2006/main">
          <a:srgbClr val="00B050">
            <a:alpha val="30000"/>
          </a:srgbClr>
        </a:solidFill>
        <a:ln xmlns:a="http://schemas.openxmlformats.org/drawingml/2006/main" w="25400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74838</xdr:colOff>
      <xdr:row>3</xdr:row>
      <xdr:rowOff>176893</xdr:rowOff>
    </xdr:from>
    <xdr:to>
      <xdr:col>55</xdr:col>
      <xdr:colOff>591909</xdr:colOff>
      <xdr:row>27</xdr:row>
      <xdr:rowOff>136073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F07B4-87A9-48EF-8782-BFEE8AE9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432025</xdr:colOff>
      <xdr:row>4</xdr:row>
      <xdr:rowOff>122465</xdr:rowOff>
    </xdr:from>
    <xdr:to>
      <xdr:col>83</xdr:col>
      <xdr:colOff>283584</xdr:colOff>
      <xdr:row>28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93AF4D-5603-4D57-947E-E9D950C22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0.73452</cdr:x>
      <cdr:y>0.02123</cdr:y>
    </cdr:from>
    <cdr:to>
      <cdr:x>0.73452</cdr:x>
      <cdr:y>0.91295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A8D37B1-23E1-0340-A067-E41FCBB245D2}"/>
            </a:ext>
          </a:extLst>
        </cdr:cNvPr>
        <cdr:cNvCxnSpPr/>
      </cdr:nvCxnSpPr>
      <cdr:spPr>
        <a:xfrm xmlns:a="http://schemas.openxmlformats.org/drawingml/2006/main" flipV="1">
          <a:off x="5327198" y="136071"/>
          <a:ext cx="0" cy="571500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0.07605</cdr:x>
      <cdr:y>0.2721</cdr:y>
    </cdr:from>
    <cdr:to>
      <cdr:x>0.91272</cdr:x>
      <cdr:y>0.2721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A8D37B1-23E1-0340-A067-E41FCBB245D2}"/>
            </a:ext>
          </a:extLst>
        </cdr:cNvPr>
        <cdr:cNvCxnSpPr/>
      </cdr:nvCxnSpPr>
      <cdr:spPr>
        <a:xfrm xmlns:a="http://schemas.openxmlformats.org/drawingml/2006/main">
          <a:off x="1246021" y="1810491"/>
          <a:ext cx="13708231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0.79779</cdr:x>
      <cdr:y>0.07939</cdr:y>
    </cdr:from>
    <cdr:to>
      <cdr:x>0.85489</cdr:x>
      <cdr:y>0.20643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74AFB97-0B6D-5683-8137-F17DAF8584C1}"/>
            </a:ext>
          </a:extLst>
        </cdr:cNvPr>
        <cdr:cNvSpPr txBox="1"/>
      </cdr:nvSpPr>
      <cdr:spPr>
        <a:xfrm xmlns:a="http://schemas.openxmlformats.org/drawingml/2006/main">
          <a:off x="12777108" y="5714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0.07639</cdr:x>
      <cdr:y>0.33741</cdr:y>
    </cdr:from>
    <cdr:to>
      <cdr:x>0.91272</cdr:x>
      <cdr:y>0.33741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64C7C672-E23C-A87E-2C4A-BE0BA279663F}"/>
            </a:ext>
          </a:extLst>
        </cdr:cNvPr>
        <cdr:cNvCxnSpPr/>
      </cdr:nvCxnSpPr>
      <cdr:spPr>
        <a:xfrm xmlns:a="http://schemas.openxmlformats.org/drawingml/2006/main">
          <a:off x="1251550" y="2245121"/>
          <a:ext cx="13702702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0.07534</cdr:x>
      <cdr:y>0.31233</cdr:y>
    </cdr:from>
    <cdr:to>
      <cdr:x>0.91189</cdr:x>
      <cdr:y>0.31233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FE69C774-801B-D3AB-FA95-6588C0BF7AB3}"/>
            </a:ext>
          </a:extLst>
        </cdr:cNvPr>
        <cdr:cNvCxnSpPr/>
      </cdr:nvCxnSpPr>
      <cdr:spPr>
        <a:xfrm xmlns:a="http://schemas.openxmlformats.org/drawingml/2006/main">
          <a:off x="1234314" y="2078207"/>
          <a:ext cx="13706330" cy="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accent5">
              <a:lumMod val="40000"/>
              <a:lumOff val="6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233590</xdr:colOff>
      <xdr:row>21</xdr:row>
      <xdr:rowOff>18693</xdr:rowOff>
    </xdr:from>
    <xdr:to>
      <xdr:col>18</xdr:col>
      <xdr:colOff>284679</xdr:colOff>
      <xdr:row>36</xdr:row>
      <xdr:rowOff>68103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22264-3AA0-4114-A02A-EA2389433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33617</xdr:colOff>
      <xdr:row>35</xdr:row>
      <xdr:rowOff>33617</xdr:rowOff>
    </xdr:from>
    <xdr:to>
      <xdr:col>7</xdr:col>
      <xdr:colOff>455417</xdr:colOff>
      <xdr:row>52</xdr:row>
      <xdr:rowOff>146588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156DF1-731A-4389-88EB-B124DCEC9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miteduau-my.sharepoint.com/personal/s3487001_student_rmit_edu_au/Documents/PhD_Research-Jason%20Rogers/6a_Reporting/7_Reporting%20Quality%20&amp;%20Classification/DataAnalysis_v3.xlsx" TargetMode="External"/><Relationship Id="rId1" Type="http://schemas.openxmlformats.org/officeDocument/2006/relationships/externalLinkPath" Target="https://rmiteduau-my.sharepoint.com/personal/s3487001_student_rmit_edu_au/Documents/PhD_Research-Jason%20Rogers/6a_Reporting/7_Reporting%20Quality%20&amp;%20Classification/DataAnalysis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iteria"/>
      <sheetName val="Criteria - subset"/>
      <sheetName val="Sheet1"/>
      <sheetName val="Criteria check"/>
      <sheetName val="Criteria comparison"/>
      <sheetName val="Plotting"/>
      <sheetName val="Fatigue Data"/>
      <sheetName val="3MR"/>
      <sheetName val="Roughness vs Fatigue"/>
      <sheetName val="Master data compilation"/>
      <sheetName val="PANDAT extract-13Sep22"/>
      <sheetName val="Temp ref number"/>
      <sheetName val="Roughness"/>
      <sheetName val="Yield &amp; UTS vs Fatigue"/>
      <sheetName val="HT vs yield"/>
      <sheetName val="Chemical vs yield"/>
    </sheetNames>
    <sheetDataSet>
      <sheetData sheetId="0">
        <row r="43">
          <cell r="D43">
            <v>0.75</v>
          </cell>
          <cell r="E43">
            <v>0.84375</v>
          </cell>
          <cell r="G43">
            <v>0.75</v>
          </cell>
          <cell r="H43">
            <v>0.65625</v>
          </cell>
          <cell r="I43">
            <v>0.59375</v>
          </cell>
          <cell r="J43">
            <v>0.71875</v>
          </cell>
          <cell r="K43">
            <v>0.8125</v>
          </cell>
          <cell r="L43">
            <v>0.8125</v>
          </cell>
          <cell r="M43">
            <v>0.75</v>
          </cell>
          <cell r="N43">
            <v>0.75</v>
          </cell>
          <cell r="O43">
            <v>0.71875</v>
          </cell>
          <cell r="P43">
            <v>0.625</v>
          </cell>
          <cell r="Q43">
            <v>0.71875</v>
          </cell>
          <cell r="S43">
            <v>0.6875</v>
          </cell>
          <cell r="U43">
            <v>0.6470588235294118</v>
          </cell>
          <cell r="V43">
            <v>0.8529411764705882</v>
          </cell>
          <cell r="Y43">
            <v>0.67647058823529416</v>
          </cell>
          <cell r="Z43">
            <v>0.76470588235294112</v>
          </cell>
          <cell r="AC43">
            <v>0.73529411764705888</v>
          </cell>
          <cell r="AD43">
            <v>0.67647058823529416</v>
          </cell>
          <cell r="AE43">
            <v>0.67647058823529416</v>
          </cell>
          <cell r="AF43">
            <v>0.70588235294117652</v>
          </cell>
          <cell r="AH43">
            <v>0.61764705882352944</v>
          </cell>
          <cell r="AJ43">
            <v>0.67647058823529416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@10%5E5" TargetMode="External"/><Relationship Id="rId3" Type="http://schemas.openxmlformats.org/officeDocument/2006/relationships/hyperlink" Target="mailto:S@10%5E4" TargetMode="External"/><Relationship Id="rId7" Type="http://schemas.openxmlformats.org/officeDocument/2006/relationships/hyperlink" Target="mailto:S@10%5E4" TargetMode="External"/><Relationship Id="rId2" Type="http://schemas.openxmlformats.org/officeDocument/2006/relationships/hyperlink" Target="mailto:S@10%5E5" TargetMode="External"/><Relationship Id="rId1" Type="http://schemas.openxmlformats.org/officeDocument/2006/relationships/hyperlink" Target="mailto:S@10%5E4" TargetMode="External"/><Relationship Id="rId6" Type="http://schemas.openxmlformats.org/officeDocument/2006/relationships/hyperlink" Target="mailto:S@10%5E5" TargetMode="External"/><Relationship Id="rId5" Type="http://schemas.openxmlformats.org/officeDocument/2006/relationships/hyperlink" Target="mailto:S@10%5E4" TargetMode="External"/><Relationship Id="rId4" Type="http://schemas.openxmlformats.org/officeDocument/2006/relationships/hyperlink" Target="mailto:S@10%5E5" TargetMode="External"/><Relationship Id="rId9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3393-0C3F-40C3-A530-FFA992A983AA}">
  <dimension ref="A1:S1110"/>
  <sheetViews>
    <sheetView zoomScale="40" zoomScaleNormal="40" workbookViewId="0">
      <selection activeCell="AE50" sqref="AE50"/>
    </sheetView>
  </sheetViews>
  <sheetFormatPr defaultRowHeight="14.4" x14ac:dyDescent="0.3"/>
  <cols>
    <col min="1" max="1" width="31.5546875" style="5" bestFit="1" customWidth="1"/>
    <col min="2" max="2" width="26" style="5" customWidth="1"/>
    <col min="3" max="3" width="9.109375" style="5"/>
    <col min="4" max="6" width="9.33203125" style="5" customWidth="1"/>
    <col min="7" max="7" width="17.33203125" style="5" bestFit="1" customWidth="1"/>
    <col min="8" max="8" width="14.44140625" style="5" bestFit="1" customWidth="1"/>
    <col min="9" max="9" width="11.33203125" style="5" bestFit="1" customWidth="1"/>
    <col min="10" max="10" width="8.6640625" style="5" bestFit="1" customWidth="1"/>
    <col min="11" max="11" width="13.44140625" style="5" bestFit="1" customWidth="1"/>
    <col min="12" max="12" width="11" style="5" customWidth="1"/>
    <col min="13" max="13" width="10.109375" style="5" customWidth="1"/>
    <col min="14" max="15" width="9.109375" style="5"/>
  </cols>
  <sheetData>
    <row r="1" spans="1:19" x14ac:dyDescent="0.3">
      <c r="D1" s="5" t="s">
        <v>0</v>
      </c>
    </row>
    <row r="2" spans="1:19" s="33" customFormat="1" ht="28.8" x14ac:dyDescent="0.3">
      <c r="A2" s="37" t="s">
        <v>1</v>
      </c>
      <c r="B2" s="37" t="s">
        <v>262</v>
      </c>
      <c r="C2" s="37" t="s">
        <v>263</v>
      </c>
      <c r="D2" s="37" t="s">
        <v>2</v>
      </c>
      <c r="E2" s="37" t="s">
        <v>3</v>
      </c>
      <c r="F2" s="38" t="s">
        <v>4</v>
      </c>
      <c r="G2" s="38" t="s">
        <v>5</v>
      </c>
      <c r="H2" s="37" t="s">
        <v>6</v>
      </c>
      <c r="I2" s="37" t="s">
        <v>7</v>
      </c>
      <c r="J2" s="37" t="s">
        <v>8</v>
      </c>
      <c r="K2" s="38" t="s">
        <v>9</v>
      </c>
      <c r="L2" s="37" t="s">
        <v>10</v>
      </c>
      <c r="M2" s="37" t="s">
        <v>11</v>
      </c>
      <c r="N2" s="39"/>
      <c r="O2" s="39"/>
      <c r="S2" s="49"/>
    </row>
    <row r="3" spans="1:19" x14ac:dyDescent="0.3">
      <c r="A3" s="5" t="str">
        <f>B3&amp;", R="&amp;D3&amp;", "&amp;I3&amp;", "&amp;G3</f>
        <v>[27], R=0, 90°, AB + SR</v>
      </c>
      <c r="B3" s="5" t="s">
        <v>12</v>
      </c>
      <c r="C3" s="40">
        <f>[1]Criteria!D43</f>
        <v>0.75</v>
      </c>
      <c r="D3" s="40">
        <v>0</v>
      </c>
      <c r="E3" s="40" t="s">
        <v>13</v>
      </c>
      <c r="F3" s="40" t="s">
        <v>14</v>
      </c>
      <c r="G3" s="40" t="s">
        <v>15</v>
      </c>
      <c r="H3" s="40">
        <v>20</v>
      </c>
      <c r="I3" s="40" t="s">
        <v>16</v>
      </c>
      <c r="J3" s="5">
        <v>250</v>
      </c>
      <c r="K3" s="5">
        <f>J3*((1-$D$3)/2)^0.28</f>
        <v>205.89775431689327</v>
      </c>
      <c r="L3" s="41">
        <f>5250</f>
        <v>5250</v>
      </c>
      <c r="M3" s="5" t="s">
        <v>17</v>
      </c>
      <c r="R3" s="50"/>
    </row>
    <row r="4" spans="1:19" x14ac:dyDescent="0.3">
      <c r="J4" s="5">
        <v>245</v>
      </c>
      <c r="K4" s="5">
        <f t="shared" ref="K4:K10" si="0">J4*((1-$D$3)/2)^0.28</f>
        <v>201.77979923055543</v>
      </c>
      <c r="L4" s="41">
        <f>9000</f>
        <v>9000</v>
      </c>
      <c r="R4" s="50"/>
    </row>
    <row r="5" spans="1:19" x14ac:dyDescent="0.3">
      <c r="J5" s="5">
        <v>210</v>
      </c>
      <c r="K5" s="5">
        <f t="shared" si="0"/>
        <v>172.95411362619035</v>
      </c>
      <c r="L5" s="41">
        <f>10000</f>
        <v>10000</v>
      </c>
      <c r="R5" s="50"/>
    </row>
    <row r="6" spans="1:19" x14ac:dyDescent="0.3">
      <c r="J6" s="5">
        <v>210</v>
      </c>
      <c r="K6" s="5">
        <f t="shared" si="0"/>
        <v>172.95411362619035</v>
      </c>
      <c r="L6" s="41">
        <v>7000</v>
      </c>
      <c r="R6" s="50"/>
    </row>
    <row r="7" spans="1:19" x14ac:dyDescent="0.3">
      <c r="J7" s="5">
        <v>170</v>
      </c>
      <c r="K7" s="5">
        <f t="shared" si="0"/>
        <v>140.01047293548743</v>
      </c>
      <c r="L7" s="41">
        <f>25000</f>
        <v>25000</v>
      </c>
    </row>
    <row r="8" spans="1:19" x14ac:dyDescent="0.3">
      <c r="J8" s="5">
        <v>165</v>
      </c>
      <c r="K8" s="5">
        <f t="shared" si="0"/>
        <v>135.89251784914956</v>
      </c>
      <c r="L8" s="41">
        <v>21000</v>
      </c>
    </row>
    <row r="9" spans="1:19" x14ac:dyDescent="0.3">
      <c r="J9" s="5">
        <v>140</v>
      </c>
      <c r="K9" s="5">
        <f t="shared" si="0"/>
        <v>115.30274241746024</v>
      </c>
      <c r="L9" s="41">
        <f>50000</f>
        <v>50000</v>
      </c>
    </row>
    <row r="10" spans="1:19" x14ac:dyDescent="0.3">
      <c r="J10" s="5">
        <v>110</v>
      </c>
      <c r="K10" s="5">
        <f t="shared" si="0"/>
        <v>90.595011899433047</v>
      </c>
      <c r="L10" s="41">
        <f>150000</f>
        <v>150000</v>
      </c>
    </row>
    <row r="11" spans="1:19" x14ac:dyDescent="0.3">
      <c r="L11" s="41"/>
    </row>
    <row r="12" spans="1:19" x14ac:dyDescent="0.3">
      <c r="D12" s="5" t="s">
        <v>0</v>
      </c>
      <c r="L12" s="41"/>
    </row>
    <row r="13" spans="1:19" ht="28.8" x14ac:dyDescent="0.3">
      <c r="A13" s="37" t="s">
        <v>1</v>
      </c>
      <c r="B13" s="37"/>
      <c r="C13" s="37" t="s">
        <v>263</v>
      </c>
      <c r="D13" s="37" t="s">
        <v>2</v>
      </c>
      <c r="E13" s="37" t="s">
        <v>3</v>
      </c>
      <c r="F13" s="38" t="s">
        <v>4</v>
      </c>
      <c r="G13" s="38" t="s">
        <v>5</v>
      </c>
      <c r="H13" s="37" t="s">
        <v>6</v>
      </c>
      <c r="I13" s="37" t="s">
        <v>7</v>
      </c>
      <c r="J13" s="37" t="s">
        <v>8</v>
      </c>
      <c r="K13" s="38" t="s">
        <v>9</v>
      </c>
      <c r="L13" s="37" t="s">
        <v>10</v>
      </c>
      <c r="M13" s="37" t="s">
        <v>11</v>
      </c>
    </row>
    <row r="14" spans="1:19" x14ac:dyDescent="0.3">
      <c r="A14" s="5" t="str">
        <f>B14&amp;", R="&amp;D14&amp;", "&amp;I14&amp;", "&amp;G14</f>
        <v>[27], R=0, 0°, AB + SR</v>
      </c>
      <c r="B14" s="5" t="s">
        <v>12</v>
      </c>
      <c r="C14" s="40">
        <f>[1]Criteria!D43</f>
        <v>0.75</v>
      </c>
      <c r="D14" s="40">
        <v>0</v>
      </c>
      <c r="E14" s="40" t="s">
        <v>13</v>
      </c>
      <c r="F14" s="40" t="s">
        <v>14</v>
      </c>
      <c r="G14" s="40" t="s">
        <v>15</v>
      </c>
      <c r="H14" s="40">
        <v>20</v>
      </c>
      <c r="I14" s="40" t="s">
        <v>18</v>
      </c>
      <c r="J14" s="5">
        <v>245</v>
      </c>
      <c r="K14" s="5">
        <f>J14*((1-$D$3)/2)^0.28</f>
        <v>201.77979923055543</v>
      </c>
      <c r="L14" s="41">
        <v>19000</v>
      </c>
      <c r="M14" s="5" t="s">
        <v>19</v>
      </c>
    </row>
    <row r="15" spans="1:19" x14ac:dyDescent="0.3">
      <c r="C15" s="40"/>
      <c r="D15" s="40"/>
      <c r="E15" s="40"/>
      <c r="F15" s="40"/>
      <c r="G15" s="40"/>
      <c r="H15" s="40"/>
      <c r="I15" s="40"/>
      <c r="J15" s="5">
        <v>240</v>
      </c>
      <c r="K15" s="5">
        <f t="shared" ref="K15:K22" si="1">J15*((1-$D$3)/2)^0.28</f>
        <v>197.66184414421755</v>
      </c>
      <c r="L15" s="41">
        <v>21000</v>
      </c>
    </row>
    <row r="16" spans="1:19" x14ac:dyDescent="0.3">
      <c r="C16" s="40"/>
      <c r="D16" s="40"/>
      <c r="E16" s="40"/>
      <c r="F16" s="40"/>
      <c r="G16" s="40"/>
      <c r="H16" s="40"/>
      <c r="I16" s="40"/>
      <c r="J16" s="5">
        <v>205</v>
      </c>
      <c r="K16" s="5">
        <f t="shared" si="1"/>
        <v>168.83615853985248</v>
      </c>
      <c r="L16" s="41">
        <v>40000</v>
      </c>
    </row>
    <row r="17" spans="1:13" x14ac:dyDescent="0.3">
      <c r="C17" s="40"/>
      <c r="D17" s="40"/>
      <c r="E17" s="40"/>
      <c r="F17" s="40"/>
      <c r="G17" s="40"/>
      <c r="H17" s="40"/>
      <c r="I17" s="40"/>
      <c r="J17" s="5">
        <v>200</v>
      </c>
      <c r="K17" s="5">
        <f t="shared" si="1"/>
        <v>164.71820345351463</v>
      </c>
      <c r="L17" s="41">
        <v>50000</v>
      </c>
    </row>
    <row r="18" spans="1:13" x14ac:dyDescent="0.3">
      <c r="C18" s="40"/>
      <c r="D18" s="40"/>
      <c r="E18" s="40"/>
      <c r="F18" s="40"/>
      <c r="G18" s="40"/>
      <c r="H18" s="40"/>
      <c r="I18" s="40"/>
      <c r="J18" s="5">
        <v>165</v>
      </c>
      <c r="K18" s="5">
        <f t="shared" si="1"/>
        <v>135.89251784914956</v>
      </c>
      <c r="L18" s="41">
        <v>100000</v>
      </c>
    </row>
    <row r="19" spans="1:13" x14ac:dyDescent="0.3">
      <c r="C19" s="40"/>
      <c r="D19" s="40"/>
      <c r="E19" s="40"/>
      <c r="F19" s="40"/>
      <c r="G19" s="40"/>
      <c r="H19" s="40"/>
      <c r="I19" s="40"/>
      <c r="J19" s="5">
        <v>160</v>
      </c>
      <c r="K19" s="5">
        <f t="shared" si="1"/>
        <v>131.77456276281168</v>
      </c>
      <c r="L19" s="41">
        <v>115000</v>
      </c>
    </row>
    <row r="20" spans="1:13" x14ac:dyDescent="0.3">
      <c r="C20" s="40"/>
      <c r="D20" s="40"/>
      <c r="E20" s="40"/>
      <c r="F20" s="40"/>
      <c r="G20" s="40"/>
      <c r="H20" s="40"/>
      <c r="I20" s="40"/>
      <c r="J20" s="5">
        <v>160</v>
      </c>
      <c r="K20" s="5">
        <f t="shared" si="1"/>
        <v>131.77456276281168</v>
      </c>
      <c r="L20" s="41">
        <v>150000</v>
      </c>
    </row>
    <row r="21" spans="1:13" x14ac:dyDescent="0.3">
      <c r="C21" s="40"/>
      <c r="D21" s="40"/>
      <c r="E21" s="40"/>
      <c r="F21" s="40"/>
      <c r="G21" s="40"/>
      <c r="H21" s="40"/>
      <c r="I21" s="40"/>
      <c r="J21" s="5">
        <v>140</v>
      </c>
      <c r="K21" s="5">
        <f t="shared" si="1"/>
        <v>115.30274241746024</v>
      </c>
      <c r="L21" s="41">
        <v>250000</v>
      </c>
    </row>
    <row r="22" spans="1:13" x14ac:dyDescent="0.3">
      <c r="C22" s="40"/>
      <c r="D22" s="40"/>
      <c r="E22" s="40"/>
      <c r="F22" s="40"/>
      <c r="G22" s="40"/>
      <c r="H22" s="40"/>
      <c r="I22" s="40"/>
      <c r="J22" s="5">
        <v>130</v>
      </c>
      <c r="K22" s="5">
        <f t="shared" si="1"/>
        <v>107.06683224478451</v>
      </c>
      <c r="L22" s="41">
        <v>300000</v>
      </c>
    </row>
    <row r="23" spans="1:13" x14ac:dyDescent="0.3">
      <c r="C23" s="40"/>
      <c r="D23" s="40"/>
      <c r="E23" s="40"/>
      <c r="F23" s="40"/>
      <c r="G23" s="40"/>
      <c r="H23" s="40"/>
      <c r="I23" s="40"/>
      <c r="L23" s="41"/>
    </row>
    <row r="24" spans="1:13" x14ac:dyDescent="0.3">
      <c r="D24" s="5" t="s">
        <v>0</v>
      </c>
      <c r="L24" s="41"/>
    </row>
    <row r="25" spans="1:13" ht="28.8" x14ac:dyDescent="0.3">
      <c r="A25" s="37" t="s">
        <v>1</v>
      </c>
      <c r="B25" s="37"/>
      <c r="C25" s="37" t="s">
        <v>263</v>
      </c>
      <c r="D25" s="37" t="s">
        <v>2</v>
      </c>
      <c r="E25" s="37" t="s">
        <v>3</v>
      </c>
      <c r="F25" s="38" t="s">
        <v>4</v>
      </c>
      <c r="G25" s="38" t="s">
        <v>5</v>
      </c>
      <c r="H25" s="37" t="s">
        <v>6</v>
      </c>
      <c r="I25" s="37" t="s">
        <v>7</v>
      </c>
      <c r="J25" s="37" t="s">
        <v>8</v>
      </c>
      <c r="K25" s="38" t="s">
        <v>9</v>
      </c>
      <c r="L25" s="37" t="s">
        <v>10</v>
      </c>
      <c r="M25" s="37" t="s">
        <v>11</v>
      </c>
    </row>
    <row r="26" spans="1:13" x14ac:dyDescent="0.3">
      <c r="A26" s="5" t="str">
        <f>B26&amp;", R="&amp;D26&amp;", "&amp;I26&amp;", "&amp;G26</f>
        <v>[27], R=0, 0°, AB + SR</v>
      </c>
      <c r="B26" s="5" t="s">
        <v>12</v>
      </c>
      <c r="C26" s="40">
        <f>[1]Criteria!D43</f>
        <v>0.75</v>
      </c>
      <c r="D26" s="40">
        <v>0</v>
      </c>
      <c r="E26" s="40" t="s">
        <v>13</v>
      </c>
      <c r="F26" s="40" t="s">
        <v>14</v>
      </c>
      <c r="G26" s="40" t="s">
        <v>15</v>
      </c>
      <c r="H26" s="40">
        <v>20</v>
      </c>
      <c r="I26" s="40" t="s">
        <v>18</v>
      </c>
      <c r="J26" s="5">
        <v>245</v>
      </c>
      <c r="K26" s="5">
        <f>J26*((1-$D$3)/2)^0.28</f>
        <v>201.77979923055543</v>
      </c>
      <c r="L26" s="41">
        <v>17500</v>
      </c>
      <c r="M26" s="5" t="s">
        <v>20</v>
      </c>
    </row>
    <row r="27" spans="1:13" x14ac:dyDescent="0.3">
      <c r="J27" s="5">
        <v>240</v>
      </c>
      <c r="K27" s="5">
        <f t="shared" ref="K27:K32" si="2">J27*((1-$D$3)/2)^0.28</f>
        <v>197.66184414421755</v>
      </c>
      <c r="L27" s="41">
        <v>25000</v>
      </c>
    </row>
    <row r="28" spans="1:13" x14ac:dyDescent="0.3">
      <c r="J28" s="5">
        <v>205</v>
      </c>
      <c r="K28" s="5">
        <f t="shared" si="2"/>
        <v>168.83615853985248</v>
      </c>
      <c r="L28" s="41">
        <v>40000</v>
      </c>
    </row>
    <row r="29" spans="1:13" x14ac:dyDescent="0.3">
      <c r="J29" s="5">
        <v>170</v>
      </c>
      <c r="K29" s="5">
        <f t="shared" si="2"/>
        <v>140.01047293548743</v>
      </c>
      <c r="L29" s="41">
        <v>80000</v>
      </c>
    </row>
    <row r="30" spans="1:13" x14ac:dyDescent="0.3">
      <c r="J30" s="5">
        <v>150</v>
      </c>
      <c r="K30" s="5">
        <f t="shared" si="2"/>
        <v>123.53865259013597</v>
      </c>
      <c r="L30" s="41">
        <v>125000</v>
      </c>
    </row>
    <row r="31" spans="1:13" x14ac:dyDescent="0.3">
      <c r="J31" s="5">
        <v>140</v>
      </c>
      <c r="K31" s="5">
        <f t="shared" si="2"/>
        <v>115.30274241746024</v>
      </c>
      <c r="L31" s="41">
        <v>14000</v>
      </c>
    </row>
    <row r="32" spans="1:13" x14ac:dyDescent="0.3">
      <c r="J32" s="5">
        <v>130</v>
      </c>
      <c r="K32" s="5">
        <f t="shared" si="2"/>
        <v>107.06683224478451</v>
      </c>
      <c r="L32" s="41">
        <v>210000</v>
      </c>
    </row>
    <row r="34" spans="1:13" x14ac:dyDescent="0.3">
      <c r="D34" s="5" t="s">
        <v>21</v>
      </c>
    </row>
    <row r="35" spans="1:13" ht="28.8" x14ac:dyDescent="0.3">
      <c r="C35" s="37" t="s">
        <v>263</v>
      </c>
      <c r="D35" s="37" t="s">
        <v>2</v>
      </c>
      <c r="E35" s="37" t="s">
        <v>3</v>
      </c>
      <c r="F35" s="38" t="s">
        <v>4</v>
      </c>
      <c r="G35" s="38" t="s">
        <v>22</v>
      </c>
      <c r="H35" s="37" t="s">
        <v>6</v>
      </c>
      <c r="I35" s="37" t="s">
        <v>7</v>
      </c>
      <c r="J35" s="37" t="s">
        <v>8</v>
      </c>
      <c r="K35" s="38" t="s">
        <v>9</v>
      </c>
      <c r="L35" s="37" t="s">
        <v>10</v>
      </c>
      <c r="M35" s="37" t="s">
        <v>11</v>
      </c>
    </row>
    <row r="36" spans="1:13" x14ac:dyDescent="0.3">
      <c r="A36" s="5" t="str">
        <f>B36&amp;", R="&amp;D36&amp;", "&amp;I36&amp;", "&amp;G36</f>
        <v>[28], R=0.1, 90°, AB + HIP</v>
      </c>
      <c r="B36" s="5" t="s">
        <v>23</v>
      </c>
      <c r="C36" s="40">
        <f>[1]Criteria!E43</f>
        <v>0.84375</v>
      </c>
      <c r="D36" s="40">
        <v>0.1</v>
      </c>
      <c r="E36" s="40" t="s">
        <v>24</v>
      </c>
      <c r="F36" s="40" t="s">
        <v>14</v>
      </c>
      <c r="G36" s="40" t="s">
        <v>25</v>
      </c>
      <c r="H36" s="40">
        <v>110</v>
      </c>
      <c r="I36" s="40" t="s">
        <v>16</v>
      </c>
      <c r="J36" s="5">
        <v>600</v>
      </c>
      <c r="K36" s="5">
        <f>J36*((1-$D$36)/2)^0.28</f>
        <v>479.78951642195676</v>
      </c>
      <c r="L36" s="41">
        <f>27500</f>
        <v>27500</v>
      </c>
    </row>
    <row r="37" spans="1:13" x14ac:dyDescent="0.3">
      <c r="J37" s="5">
        <v>550</v>
      </c>
      <c r="K37" s="5">
        <f t="shared" ref="K37:K46" si="3">J37*((1-$D$36)/2)^0.28</f>
        <v>439.80705672012704</v>
      </c>
      <c r="L37" s="41">
        <f>27500</f>
        <v>27500</v>
      </c>
    </row>
    <row r="38" spans="1:13" x14ac:dyDescent="0.3">
      <c r="J38" s="5">
        <v>500</v>
      </c>
      <c r="K38" s="5">
        <f t="shared" si="3"/>
        <v>399.82459701829731</v>
      </c>
      <c r="L38" s="41">
        <f>39000</f>
        <v>39000</v>
      </c>
    </row>
    <row r="39" spans="1:13" x14ac:dyDescent="0.3">
      <c r="J39" s="5">
        <v>475</v>
      </c>
      <c r="K39" s="5">
        <f t="shared" si="3"/>
        <v>379.83336716738245</v>
      </c>
      <c r="L39" s="41">
        <f>55000</f>
        <v>55000</v>
      </c>
    </row>
    <row r="40" spans="1:13" x14ac:dyDescent="0.3">
      <c r="J40" s="5">
        <v>450</v>
      </c>
      <c r="K40" s="5">
        <f t="shared" si="3"/>
        <v>359.84213731646759</v>
      </c>
      <c r="L40" s="41">
        <f>80000</f>
        <v>80000</v>
      </c>
    </row>
    <row r="41" spans="1:13" x14ac:dyDescent="0.3">
      <c r="J41" s="5">
        <v>450</v>
      </c>
      <c r="K41" s="5">
        <f t="shared" si="3"/>
        <v>359.84213731646759</v>
      </c>
      <c r="L41" s="41">
        <v>55000</v>
      </c>
    </row>
    <row r="42" spans="1:13" x14ac:dyDescent="0.3">
      <c r="J42" s="5">
        <v>400</v>
      </c>
      <c r="K42" s="5">
        <f t="shared" si="3"/>
        <v>319.85967761463786</v>
      </c>
      <c r="L42" s="41">
        <f>95000</f>
        <v>95000</v>
      </c>
    </row>
    <row r="43" spans="1:13" x14ac:dyDescent="0.3">
      <c r="J43" s="5">
        <v>375</v>
      </c>
      <c r="K43" s="5">
        <f t="shared" si="3"/>
        <v>299.868447763723</v>
      </c>
      <c r="L43" s="41">
        <f>110000</f>
        <v>110000</v>
      </c>
    </row>
    <row r="44" spans="1:13" x14ac:dyDescent="0.3">
      <c r="J44" s="5">
        <v>350</v>
      </c>
      <c r="K44" s="5">
        <f t="shared" si="3"/>
        <v>279.87721791280813</v>
      </c>
      <c r="L44" s="41">
        <f>180000</f>
        <v>180000</v>
      </c>
    </row>
    <row r="45" spans="1:13" x14ac:dyDescent="0.3">
      <c r="J45" s="5">
        <v>325</v>
      </c>
      <c r="K45" s="5">
        <f t="shared" si="3"/>
        <v>259.88598806189327</v>
      </c>
      <c r="L45" s="41">
        <f>200000</f>
        <v>200000</v>
      </c>
    </row>
    <row r="46" spans="1:13" x14ac:dyDescent="0.3">
      <c r="J46" s="5">
        <v>300</v>
      </c>
      <c r="K46" s="5">
        <f t="shared" si="3"/>
        <v>239.89475821097838</v>
      </c>
      <c r="L46" s="41">
        <f>40000000</f>
        <v>40000000</v>
      </c>
    </row>
    <row r="47" spans="1:13" x14ac:dyDescent="0.3">
      <c r="L47" s="41"/>
    </row>
    <row r="48" spans="1:13" x14ac:dyDescent="0.3">
      <c r="D48" s="5" t="s">
        <v>21</v>
      </c>
    </row>
    <row r="49" spans="1:13" ht="28.8" x14ac:dyDescent="0.3">
      <c r="C49" s="37" t="s">
        <v>263</v>
      </c>
      <c r="D49" s="37" t="s">
        <v>2</v>
      </c>
      <c r="E49" s="37" t="s">
        <v>3</v>
      </c>
      <c r="F49" s="38" t="s">
        <v>4</v>
      </c>
      <c r="G49" s="38" t="s">
        <v>22</v>
      </c>
      <c r="H49" s="37" t="s">
        <v>6</v>
      </c>
      <c r="I49" s="37" t="s">
        <v>7</v>
      </c>
      <c r="J49" s="37" t="s">
        <v>8</v>
      </c>
      <c r="K49" s="38" t="s">
        <v>9</v>
      </c>
      <c r="L49" s="37" t="s">
        <v>10</v>
      </c>
      <c r="M49" s="37" t="s">
        <v>11</v>
      </c>
    </row>
    <row r="50" spans="1:13" x14ac:dyDescent="0.3">
      <c r="A50" s="5" t="str">
        <f>B50&amp;", R="&amp;D50&amp;", "&amp;I50&amp;", "&amp;G50</f>
        <v>[28], R=0.1, 90°, Mach + HIP</v>
      </c>
      <c r="B50" s="5" t="s">
        <v>23</v>
      </c>
      <c r="C50" s="40">
        <f>[1]Criteria!E43</f>
        <v>0.84375</v>
      </c>
      <c r="D50" s="40">
        <v>0.1</v>
      </c>
      <c r="E50" s="40" t="s">
        <v>24</v>
      </c>
      <c r="F50" s="40" t="s">
        <v>14</v>
      </c>
      <c r="G50" s="40" t="s">
        <v>26</v>
      </c>
      <c r="H50" s="40">
        <v>110</v>
      </c>
      <c r="I50" s="40" t="s">
        <v>16</v>
      </c>
      <c r="J50" s="5">
        <v>900</v>
      </c>
      <c r="K50" s="5">
        <f>J50*((1-$D$36)/2)^0.28</f>
        <v>719.68427463293517</v>
      </c>
      <c r="L50" s="41">
        <v>50000</v>
      </c>
    </row>
    <row r="51" spans="1:13" x14ac:dyDescent="0.3">
      <c r="J51" s="5">
        <v>850</v>
      </c>
      <c r="K51" s="5">
        <f t="shared" ref="K51:K60" si="4">J51*((1-$D$36)/2)^0.28</f>
        <v>679.70181493110545</v>
      </c>
      <c r="L51" s="41">
        <v>100000</v>
      </c>
    </row>
    <row r="52" spans="1:13" x14ac:dyDescent="0.3">
      <c r="J52" s="5">
        <v>825</v>
      </c>
      <c r="K52" s="5">
        <f t="shared" si="4"/>
        <v>659.71058508019053</v>
      </c>
      <c r="L52" s="41">
        <v>600000</v>
      </c>
    </row>
    <row r="53" spans="1:13" x14ac:dyDescent="0.3">
      <c r="J53" s="5">
        <v>825</v>
      </c>
      <c r="K53" s="5">
        <f t="shared" si="4"/>
        <v>659.71058508019053</v>
      </c>
      <c r="L53" s="42">
        <v>5000000</v>
      </c>
    </row>
    <row r="54" spans="1:13" x14ac:dyDescent="0.3">
      <c r="J54" s="5">
        <v>800</v>
      </c>
      <c r="K54" s="5">
        <f t="shared" si="4"/>
        <v>639.71935522927572</v>
      </c>
      <c r="L54" s="41">
        <v>3000000</v>
      </c>
    </row>
    <row r="55" spans="1:13" x14ac:dyDescent="0.3">
      <c r="J55" s="5">
        <v>800</v>
      </c>
      <c r="K55" s="5">
        <f t="shared" si="4"/>
        <v>639.71935522927572</v>
      </c>
      <c r="L55" s="41">
        <v>4000000</v>
      </c>
    </row>
    <row r="56" spans="1:13" x14ac:dyDescent="0.3">
      <c r="J56" s="5">
        <v>800</v>
      </c>
      <c r="K56" s="5">
        <f t="shared" si="4"/>
        <v>639.71935522927572</v>
      </c>
      <c r="L56" s="41">
        <v>8000000</v>
      </c>
    </row>
    <row r="57" spans="1:13" x14ac:dyDescent="0.3">
      <c r="J57" s="5">
        <v>775</v>
      </c>
      <c r="K57" s="5">
        <f t="shared" si="4"/>
        <v>619.7281253783608</v>
      </c>
      <c r="L57" s="41">
        <v>4000000</v>
      </c>
    </row>
    <row r="58" spans="1:13" x14ac:dyDescent="0.3">
      <c r="J58" s="5">
        <v>775</v>
      </c>
      <c r="K58" s="5">
        <f t="shared" si="4"/>
        <v>619.7281253783608</v>
      </c>
      <c r="L58" s="41">
        <v>30000000</v>
      </c>
    </row>
    <row r="59" spans="1:13" x14ac:dyDescent="0.3">
      <c r="J59" s="5">
        <v>750</v>
      </c>
      <c r="K59" s="5">
        <f t="shared" si="4"/>
        <v>599.73689552744599</v>
      </c>
      <c r="L59" s="41">
        <v>12500000</v>
      </c>
    </row>
    <row r="60" spans="1:13" x14ac:dyDescent="0.3">
      <c r="J60" s="5">
        <v>600</v>
      </c>
      <c r="K60" s="5">
        <f t="shared" si="4"/>
        <v>479.78951642195676</v>
      </c>
      <c r="L60" s="41">
        <v>30000000</v>
      </c>
    </row>
    <row r="61" spans="1:13" x14ac:dyDescent="0.3">
      <c r="L61" s="41"/>
    </row>
    <row r="62" spans="1:13" x14ac:dyDescent="0.3">
      <c r="D62" s="5" t="s">
        <v>21</v>
      </c>
    </row>
    <row r="63" spans="1:13" ht="28.8" x14ac:dyDescent="0.3">
      <c r="C63" s="37" t="s">
        <v>263</v>
      </c>
      <c r="D63" s="37" t="s">
        <v>2</v>
      </c>
      <c r="E63" s="37" t="s">
        <v>3</v>
      </c>
      <c r="F63" s="38" t="s">
        <v>4</v>
      </c>
      <c r="G63" s="38" t="s">
        <v>22</v>
      </c>
      <c r="H63" s="37" t="s">
        <v>6</v>
      </c>
      <c r="I63" s="37" t="s">
        <v>7</v>
      </c>
      <c r="J63" s="37" t="s">
        <v>8</v>
      </c>
      <c r="K63" s="38" t="s">
        <v>9</v>
      </c>
      <c r="L63" s="37" t="s">
        <v>10</v>
      </c>
      <c r="M63" s="37" t="s">
        <v>11</v>
      </c>
    </row>
    <row r="64" spans="1:13" x14ac:dyDescent="0.3">
      <c r="A64" s="5" t="str">
        <f>B64&amp;", R="&amp;D64&amp;", "&amp;I64&amp;", "&amp;G64</f>
        <v>[28], R=0.1, 90°, Blast + HIP</v>
      </c>
      <c r="B64" s="5" t="s">
        <v>23</v>
      </c>
      <c r="C64" s="40">
        <f>[1]Criteria!E43</f>
        <v>0.84375</v>
      </c>
      <c r="D64" s="40">
        <v>0.1</v>
      </c>
      <c r="E64" s="40" t="s">
        <v>24</v>
      </c>
      <c r="F64" s="40" t="s">
        <v>14</v>
      </c>
      <c r="G64" s="40" t="s">
        <v>27</v>
      </c>
      <c r="H64" s="40">
        <v>110</v>
      </c>
      <c r="I64" s="40" t="s">
        <v>16</v>
      </c>
      <c r="J64" s="5">
        <v>800</v>
      </c>
      <c r="K64" s="5">
        <f>J64*((1-$D$36)/2)^0.28</f>
        <v>639.71935522927572</v>
      </c>
      <c r="L64" s="41">
        <v>40000</v>
      </c>
    </row>
    <row r="65" spans="1:13" x14ac:dyDescent="0.3">
      <c r="J65" s="5">
        <v>750</v>
      </c>
      <c r="K65" s="5">
        <f t="shared" ref="K65:K75" si="5">J65*((1-$D$36)/2)^0.28</f>
        <v>599.73689552744599</v>
      </c>
      <c r="L65" s="41">
        <v>70000</v>
      </c>
    </row>
    <row r="66" spans="1:13" x14ac:dyDescent="0.3">
      <c r="J66" s="5">
        <v>700</v>
      </c>
      <c r="K66" s="5">
        <f t="shared" si="5"/>
        <v>559.75443582561627</v>
      </c>
      <c r="L66" s="41">
        <v>250000</v>
      </c>
    </row>
    <row r="67" spans="1:13" x14ac:dyDescent="0.3">
      <c r="J67" s="5">
        <v>700</v>
      </c>
      <c r="K67" s="5">
        <f t="shared" si="5"/>
        <v>559.75443582561627</v>
      </c>
      <c r="L67" s="41">
        <v>2500000</v>
      </c>
    </row>
    <row r="68" spans="1:13" x14ac:dyDescent="0.3">
      <c r="J68" s="5">
        <v>675</v>
      </c>
      <c r="K68" s="5">
        <f t="shared" si="5"/>
        <v>539.76320597470135</v>
      </c>
      <c r="L68" s="41">
        <v>110000</v>
      </c>
    </row>
    <row r="69" spans="1:13" x14ac:dyDescent="0.3">
      <c r="J69" s="5">
        <v>650</v>
      </c>
      <c r="K69" s="5">
        <f t="shared" si="5"/>
        <v>519.77197612378654</v>
      </c>
      <c r="L69" s="41">
        <v>80000</v>
      </c>
    </row>
    <row r="70" spans="1:13" x14ac:dyDescent="0.3">
      <c r="J70" s="5">
        <v>600</v>
      </c>
      <c r="K70" s="5">
        <f t="shared" si="5"/>
        <v>479.78951642195676</v>
      </c>
      <c r="L70" s="41">
        <v>120000</v>
      </c>
    </row>
    <row r="71" spans="1:13" x14ac:dyDescent="0.3">
      <c r="J71" s="5">
        <v>575</v>
      </c>
      <c r="K71" s="5">
        <f t="shared" si="5"/>
        <v>459.7982865710419</v>
      </c>
      <c r="L71" s="41">
        <v>200000</v>
      </c>
    </row>
    <row r="72" spans="1:13" x14ac:dyDescent="0.3">
      <c r="J72" s="5">
        <v>550</v>
      </c>
      <c r="K72" s="5">
        <f t="shared" si="5"/>
        <v>439.80705672012704</v>
      </c>
      <c r="L72" s="41">
        <v>150000</v>
      </c>
    </row>
    <row r="73" spans="1:13" x14ac:dyDescent="0.3">
      <c r="J73" s="5">
        <v>550</v>
      </c>
      <c r="K73" s="5">
        <f t="shared" si="5"/>
        <v>439.80705672012704</v>
      </c>
      <c r="L73" s="41">
        <v>12500</v>
      </c>
    </row>
    <row r="74" spans="1:13" x14ac:dyDescent="0.3">
      <c r="J74" s="5">
        <v>525</v>
      </c>
      <c r="K74" s="5">
        <f t="shared" si="5"/>
        <v>419.81582686921217</v>
      </c>
      <c r="L74" s="41">
        <v>30000000</v>
      </c>
    </row>
    <row r="75" spans="1:13" x14ac:dyDescent="0.3">
      <c r="J75" s="5">
        <v>500</v>
      </c>
      <c r="K75" s="5">
        <f t="shared" si="5"/>
        <v>399.82459701829731</v>
      </c>
      <c r="L75" s="41">
        <v>30000000</v>
      </c>
    </row>
    <row r="76" spans="1:13" x14ac:dyDescent="0.3">
      <c r="L76" s="41"/>
    </row>
    <row r="77" spans="1:13" x14ac:dyDescent="0.3">
      <c r="D77" s="5" t="s">
        <v>21</v>
      </c>
    </row>
    <row r="78" spans="1:13" ht="28.8" x14ac:dyDescent="0.3">
      <c r="C78" s="37" t="s">
        <v>263</v>
      </c>
      <c r="D78" s="37" t="s">
        <v>2</v>
      </c>
      <c r="E78" s="37" t="s">
        <v>3</v>
      </c>
      <c r="F78" s="38" t="s">
        <v>4</v>
      </c>
      <c r="G78" s="38" t="s">
        <v>22</v>
      </c>
      <c r="H78" s="37" t="s">
        <v>6</v>
      </c>
      <c r="I78" s="37" t="s">
        <v>7</v>
      </c>
      <c r="J78" s="37" t="s">
        <v>8</v>
      </c>
      <c r="K78" s="38" t="s">
        <v>9</v>
      </c>
      <c r="L78" s="37" t="s">
        <v>10</v>
      </c>
      <c r="M78" s="37" t="s">
        <v>11</v>
      </c>
    </row>
    <row r="79" spans="1:13" x14ac:dyDescent="0.3">
      <c r="A79" s="5" t="str">
        <f>B79&amp;", R="&amp;D79&amp;", "&amp;I79&amp;", "&amp;G79</f>
        <v>[28], R=0.1, 90°, Vib Grnd + HIP</v>
      </c>
      <c r="B79" s="5" t="s">
        <v>23</v>
      </c>
      <c r="C79" s="40">
        <f>[1]Criteria!E43</f>
        <v>0.84375</v>
      </c>
      <c r="D79" s="40">
        <v>0.1</v>
      </c>
      <c r="E79" s="40" t="s">
        <v>24</v>
      </c>
      <c r="F79" s="40" t="s">
        <v>14</v>
      </c>
      <c r="G79" s="40" t="s">
        <v>28</v>
      </c>
      <c r="H79" s="40">
        <v>110</v>
      </c>
      <c r="I79" s="40" t="s">
        <v>16</v>
      </c>
      <c r="J79" s="5">
        <v>800</v>
      </c>
      <c r="K79" s="5">
        <f>J79*((1-$D$36)/2)^0.28</f>
        <v>639.71935522927572</v>
      </c>
      <c r="L79" s="41">
        <v>35000</v>
      </c>
      <c r="M79" s="5" t="s">
        <v>29</v>
      </c>
    </row>
    <row r="80" spans="1:13" x14ac:dyDescent="0.3">
      <c r="J80" s="5">
        <v>750</v>
      </c>
      <c r="K80" s="5">
        <f t="shared" ref="K80:K91" si="6">J80*((1-$D$36)/2)^0.28</f>
        <v>599.73689552744599</v>
      </c>
      <c r="L80" s="41">
        <v>49000</v>
      </c>
    </row>
    <row r="81" spans="1:13" x14ac:dyDescent="0.3">
      <c r="J81" s="5">
        <v>700</v>
      </c>
      <c r="K81" s="5">
        <f t="shared" si="6"/>
        <v>559.75443582561627</v>
      </c>
      <c r="L81" s="41">
        <v>110000</v>
      </c>
    </row>
    <row r="82" spans="1:13" x14ac:dyDescent="0.3">
      <c r="J82" s="5">
        <v>650</v>
      </c>
      <c r="K82" s="5">
        <f t="shared" si="6"/>
        <v>519.77197612378654</v>
      </c>
      <c r="L82" s="41">
        <v>140000</v>
      </c>
    </row>
    <row r="83" spans="1:13" x14ac:dyDescent="0.3">
      <c r="J83" s="5">
        <v>625</v>
      </c>
      <c r="K83" s="5">
        <f t="shared" si="6"/>
        <v>499.78074627287162</v>
      </c>
      <c r="L83" s="41">
        <v>40000</v>
      </c>
    </row>
    <row r="84" spans="1:13" x14ac:dyDescent="0.3">
      <c r="J84" s="5">
        <v>600</v>
      </c>
      <c r="K84" s="5">
        <f t="shared" si="6"/>
        <v>479.78951642195676</v>
      </c>
      <c r="L84" s="41">
        <v>30000</v>
      </c>
    </row>
    <row r="85" spans="1:13" x14ac:dyDescent="0.3">
      <c r="J85" s="5">
        <v>575</v>
      </c>
      <c r="K85" s="5">
        <f t="shared" si="6"/>
        <v>459.7982865710419</v>
      </c>
      <c r="L85" s="41">
        <v>30000000</v>
      </c>
    </row>
    <row r="86" spans="1:13" x14ac:dyDescent="0.3">
      <c r="J86" s="5">
        <v>550</v>
      </c>
      <c r="K86" s="5">
        <f t="shared" si="6"/>
        <v>439.80705672012704</v>
      </c>
      <c r="L86" s="41">
        <v>150000</v>
      </c>
    </row>
    <row r="87" spans="1:13" x14ac:dyDescent="0.3">
      <c r="J87" s="5">
        <v>525</v>
      </c>
      <c r="K87" s="5">
        <f t="shared" si="6"/>
        <v>419.81582686921217</v>
      </c>
      <c r="L87" s="41">
        <v>75000</v>
      </c>
    </row>
    <row r="88" spans="1:13" x14ac:dyDescent="0.3">
      <c r="J88" s="5">
        <v>500</v>
      </c>
      <c r="K88" s="5">
        <f t="shared" si="6"/>
        <v>399.82459701829731</v>
      </c>
      <c r="L88" s="41">
        <v>140000</v>
      </c>
    </row>
    <row r="89" spans="1:13" x14ac:dyDescent="0.3">
      <c r="J89" s="5">
        <v>450</v>
      </c>
      <c r="K89" s="5">
        <f t="shared" si="6"/>
        <v>359.84213731646759</v>
      </c>
      <c r="L89" s="41">
        <v>120000</v>
      </c>
    </row>
    <row r="90" spans="1:13" x14ac:dyDescent="0.3">
      <c r="J90" s="5">
        <v>425</v>
      </c>
      <c r="K90" s="5">
        <f t="shared" si="6"/>
        <v>339.85090746555272</v>
      </c>
      <c r="L90" s="41">
        <v>30000000</v>
      </c>
    </row>
    <row r="91" spans="1:13" x14ac:dyDescent="0.3">
      <c r="J91" s="5">
        <v>400</v>
      </c>
      <c r="K91" s="5">
        <f t="shared" si="6"/>
        <v>319.85967761463786</v>
      </c>
      <c r="L91" s="41">
        <v>30000000</v>
      </c>
    </row>
    <row r="92" spans="1:13" x14ac:dyDescent="0.3">
      <c r="L92" s="41"/>
    </row>
    <row r="93" spans="1:13" x14ac:dyDescent="0.3">
      <c r="D93" s="5" t="s">
        <v>21</v>
      </c>
    </row>
    <row r="94" spans="1:13" ht="28.8" x14ac:dyDescent="0.3">
      <c r="C94" s="37" t="s">
        <v>263</v>
      </c>
      <c r="D94" s="37" t="s">
        <v>2</v>
      </c>
      <c r="E94" s="37" t="s">
        <v>3</v>
      </c>
      <c r="F94" s="38" t="s">
        <v>4</v>
      </c>
      <c r="G94" s="38" t="s">
        <v>22</v>
      </c>
      <c r="H94" s="37" t="s">
        <v>6</v>
      </c>
      <c r="I94" s="37" t="s">
        <v>7</v>
      </c>
      <c r="J94" s="37" t="s">
        <v>8</v>
      </c>
      <c r="K94" s="38" t="s">
        <v>9</v>
      </c>
      <c r="L94" s="37" t="s">
        <v>10</v>
      </c>
      <c r="M94" s="37" t="s">
        <v>11</v>
      </c>
    </row>
    <row r="95" spans="1:13" x14ac:dyDescent="0.3">
      <c r="A95" s="5" t="str">
        <f>B95&amp;", R="&amp;D95&amp;", "&amp;I95&amp;", "&amp;G95</f>
        <v>[28], R=0.1, 90°, Mic Mach + HIP</v>
      </c>
      <c r="B95" s="5" t="s">
        <v>23</v>
      </c>
      <c r="C95" s="40">
        <f>[1]Criteria!E43</f>
        <v>0.84375</v>
      </c>
      <c r="D95" s="40">
        <v>0.1</v>
      </c>
      <c r="E95" s="40" t="s">
        <v>24</v>
      </c>
      <c r="F95" s="40" t="s">
        <v>14</v>
      </c>
      <c r="G95" s="40" t="s">
        <v>30</v>
      </c>
      <c r="H95" s="40">
        <v>110</v>
      </c>
      <c r="I95" s="40" t="s">
        <v>16</v>
      </c>
      <c r="J95" s="5">
        <v>750</v>
      </c>
      <c r="K95" s="5">
        <f>J95*((1-$D$36)/2)^0.28</f>
        <v>599.73689552744599</v>
      </c>
      <c r="L95" s="41">
        <v>35000</v>
      </c>
    </row>
    <row r="96" spans="1:13" x14ac:dyDescent="0.3">
      <c r="J96" s="5">
        <v>700</v>
      </c>
      <c r="K96" s="5">
        <f t="shared" ref="K96:K105" si="7">J96*((1-$D$36)/2)^0.28</f>
        <v>559.75443582561627</v>
      </c>
      <c r="L96" s="41">
        <v>35000</v>
      </c>
    </row>
    <row r="97" spans="1:13" x14ac:dyDescent="0.3">
      <c r="J97" s="5">
        <v>650</v>
      </c>
      <c r="K97" s="5">
        <f t="shared" si="7"/>
        <v>519.77197612378654</v>
      </c>
      <c r="L97" s="41">
        <v>30000</v>
      </c>
    </row>
    <row r="98" spans="1:13" x14ac:dyDescent="0.3">
      <c r="J98" s="5">
        <v>600</v>
      </c>
      <c r="K98" s="5">
        <f t="shared" si="7"/>
        <v>479.78951642195676</v>
      </c>
      <c r="L98" s="41">
        <v>41000</v>
      </c>
    </row>
    <row r="99" spans="1:13" x14ac:dyDescent="0.3">
      <c r="J99" s="5">
        <v>575</v>
      </c>
      <c r="K99" s="5">
        <f t="shared" si="7"/>
        <v>459.7982865710419</v>
      </c>
      <c r="L99" s="41">
        <v>75000</v>
      </c>
    </row>
    <row r="100" spans="1:13" x14ac:dyDescent="0.3">
      <c r="J100" s="5">
        <v>550</v>
      </c>
      <c r="K100" s="5">
        <f t="shared" si="7"/>
        <v>439.80705672012704</v>
      </c>
      <c r="L100" s="41">
        <v>70000</v>
      </c>
    </row>
    <row r="101" spans="1:13" x14ac:dyDescent="0.3">
      <c r="J101" s="5">
        <v>540</v>
      </c>
      <c r="K101" s="5">
        <f t="shared" si="7"/>
        <v>431.81056477976108</v>
      </c>
      <c r="L101" s="41">
        <v>70000</v>
      </c>
    </row>
    <row r="102" spans="1:13" x14ac:dyDescent="0.3">
      <c r="J102" s="5">
        <v>525</v>
      </c>
      <c r="K102" s="5">
        <f t="shared" si="7"/>
        <v>419.81582686921217</v>
      </c>
      <c r="L102" s="41">
        <v>125000</v>
      </c>
    </row>
    <row r="103" spans="1:13" x14ac:dyDescent="0.3">
      <c r="J103" s="5">
        <v>525</v>
      </c>
      <c r="K103" s="5">
        <f t="shared" si="7"/>
        <v>419.81582686921217</v>
      </c>
      <c r="L103" s="41">
        <v>9500000</v>
      </c>
    </row>
    <row r="104" spans="1:13" x14ac:dyDescent="0.3">
      <c r="J104" s="5">
        <v>505</v>
      </c>
      <c r="K104" s="5">
        <f t="shared" si="7"/>
        <v>403.82284298848026</v>
      </c>
      <c r="L104" s="41">
        <v>175000</v>
      </c>
    </row>
    <row r="105" spans="1:13" x14ac:dyDescent="0.3">
      <c r="J105" s="5">
        <v>500</v>
      </c>
      <c r="K105" s="5">
        <f t="shared" si="7"/>
        <v>399.82459701829731</v>
      </c>
      <c r="L105" s="41">
        <v>30000000</v>
      </c>
    </row>
    <row r="106" spans="1:13" x14ac:dyDescent="0.3">
      <c r="L106" s="41"/>
    </row>
    <row r="108" spans="1:13" x14ac:dyDescent="0.3">
      <c r="D108" s="5" t="s">
        <v>32</v>
      </c>
    </row>
    <row r="109" spans="1:13" ht="28.8" x14ac:dyDescent="0.3">
      <c r="C109" s="37" t="s">
        <v>263</v>
      </c>
      <c r="D109" s="37" t="s">
        <v>2</v>
      </c>
      <c r="E109" s="37" t="s">
        <v>3</v>
      </c>
      <c r="F109" s="38" t="s">
        <v>4</v>
      </c>
      <c r="G109" s="38" t="s">
        <v>22</v>
      </c>
      <c r="H109" s="37" t="s">
        <v>6</v>
      </c>
      <c r="I109" s="37" t="s">
        <v>7</v>
      </c>
      <c r="J109" s="37" t="s">
        <v>8</v>
      </c>
      <c r="K109" s="38" t="s">
        <v>9</v>
      </c>
      <c r="L109" s="37" t="s">
        <v>10</v>
      </c>
      <c r="M109" s="37" t="s">
        <v>11</v>
      </c>
    </row>
    <row r="110" spans="1:13" x14ac:dyDescent="0.3">
      <c r="A110" s="5" t="str">
        <f>B110&amp;", R="&amp;D110&amp;", "&amp;I110&amp;", "&amp;G110</f>
        <v>[29], R=0.1, 90°, Mach</v>
      </c>
      <c r="B110" s="5" t="s">
        <v>33</v>
      </c>
      <c r="C110" s="40">
        <f>[1]Criteria!G43</f>
        <v>0.75</v>
      </c>
      <c r="D110" s="40">
        <v>0.1</v>
      </c>
      <c r="E110" s="40" t="s">
        <v>34</v>
      </c>
      <c r="F110" s="40" t="s">
        <v>35</v>
      </c>
      <c r="G110" s="40" t="s">
        <v>36</v>
      </c>
      <c r="H110" s="40">
        <v>30</v>
      </c>
      <c r="I110" s="40" t="s">
        <v>16</v>
      </c>
      <c r="J110" s="5">
        <v>600</v>
      </c>
      <c r="K110" s="5">
        <f>J110*((1-$D$110)/2)^0.28</f>
        <v>479.78951642195676</v>
      </c>
      <c r="L110" s="41">
        <f>12000</f>
        <v>12000</v>
      </c>
      <c r="M110" s="5" t="s">
        <v>37</v>
      </c>
    </row>
    <row r="111" spans="1:13" x14ac:dyDescent="0.3">
      <c r="J111" s="5">
        <v>500</v>
      </c>
      <c r="K111" s="5">
        <f>J111*((1-$D$110)/2)^0.28</f>
        <v>399.82459701829731</v>
      </c>
      <c r="L111" s="41">
        <f>60000</f>
        <v>60000</v>
      </c>
    </row>
    <row r="112" spans="1:13" x14ac:dyDescent="0.3">
      <c r="J112" s="5">
        <v>500</v>
      </c>
      <c r="K112" s="5">
        <f>J112*((1-$D$110)/2)^0.28</f>
        <v>399.82459701829731</v>
      </c>
      <c r="L112" s="41">
        <v>50000</v>
      </c>
    </row>
    <row r="113" spans="1:13" x14ac:dyDescent="0.3">
      <c r="J113" s="5">
        <v>450</v>
      </c>
      <c r="K113" s="5">
        <f>J113*((1-$D$110)/2)^0.28</f>
        <v>359.84213731646759</v>
      </c>
      <c r="L113" s="41">
        <f>70000</f>
        <v>70000</v>
      </c>
    </row>
    <row r="114" spans="1:13" x14ac:dyDescent="0.3">
      <c r="J114" s="5">
        <v>350</v>
      </c>
      <c r="K114" s="5">
        <f>J114*((1-$D$110)/2)^0.28</f>
        <v>279.87721791280813</v>
      </c>
      <c r="L114" s="41">
        <f>10000000</f>
        <v>10000000</v>
      </c>
    </row>
    <row r="115" spans="1:13" x14ac:dyDescent="0.3">
      <c r="L115" s="41"/>
    </row>
    <row r="116" spans="1:13" x14ac:dyDescent="0.3">
      <c r="D116" s="5" t="s">
        <v>32</v>
      </c>
    </row>
    <row r="117" spans="1:13" ht="28.8" x14ac:dyDescent="0.3">
      <c r="C117" s="37" t="s">
        <v>263</v>
      </c>
      <c r="D117" s="37" t="s">
        <v>2</v>
      </c>
      <c r="E117" s="37" t="s">
        <v>3</v>
      </c>
      <c r="F117" s="38" t="s">
        <v>4</v>
      </c>
      <c r="G117" s="38" t="s">
        <v>22</v>
      </c>
      <c r="H117" s="37" t="s">
        <v>6</v>
      </c>
      <c r="I117" s="37" t="s">
        <v>7</v>
      </c>
      <c r="J117" s="37" t="s">
        <v>8</v>
      </c>
      <c r="K117" s="38" t="s">
        <v>9</v>
      </c>
      <c r="L117" s="37" t="s">
        <v>10</v>
      </c>
      <c r="M117" s="37" t="s">
        <v>11</v>
      </c>
    </row>
    <row r="118" spans="1:13" x14ac:dyDescent="0.3">
      <c r="A118" s="5" t="str">
        <f>B118&amp;", R="&amp;D118&amp;", "&amp;I118&amp;", "&amp;G118</f>
        <v>[29], R=0.1, 90°, Mach + HIP</v>
      </c>
      <c r="B118" s="5" t="s">
        <v>33</v>
      </c>
      <c r="C118" s="40">
        <f>[1]Criteria!$G$43</f>
        <v>0.75</v>
      </c>
      <c r="D118" s="40">
        <v>0.1</v>
      </c>
      <c r="E118" s="40" t="s">
        <v>34</v>
      </c>
      <c r="F118" s="40" t="s">
        <v>35</v>
      </c>
      <c r="G118" s="40" t="s">
        <v>26</v>
      </c>
      <c r="H118" s="40">
        <v>30</v>
      </c>
      <c r="I118" s="40" t="s">
        <v>16</v>
      </c>
      <c r="J118" s="5">
        <v>650</v>
      </c>
      <c r="K118" s="5">
        <f>J118*((1-$D$110)/2)^0.28</f>
        <v>519.77197612378654</v>
      </c>
      <c r="L118" s="41">
        <v>1250000</v>
      </c>
      <c r="M118" s="5" t="s">
        <v>38</v>
      </c>
    </row>
    <row r="119" spans="1:13" x14ac:dyDescent="0.3">
      <c r="J119" s="5">
        <v>600</v>
      </c>
      <c r="K119" s="5">
        <f>J119*((1-$D$110)/2)^0.28</f>
        <v>479.78951642195676</v>
      </c>
      <c r="L119" s="41">
        <v>3500000</v>
      </c>
    </row>
    <row r="120" spans="1:13" x14ac:dyDescent="0.3">
      <c r="J120" s="5">
        <v>550</v>
      </c>
      <c r="K120" s="5">
        <f>J120*((1-$D$110)/2)^0.28</f>
        <v>439.80705672012704</v>
      </c>
      <c r="L120" s="41">
        <v>10000000</v>
      </c>
    </row>
    <row r="121" spans="1:13" x14ac:dyDescent="0.3">
      <c r="L121" s="41"/>
    </row>
    <row r="122" spans="1:13" x14ac:dyDescent="0.3">
      <c r="D122" s="5" t="s">
        <v>32</v>
      </c>
    </row>
    <row r="123" spans="1:13" ht="28.8" x14ac:dyDescent="0.3">
      <c r="C123" s="37" t="s">
        <v>263</v>
      </c>
      <c r="D123" s="37" t="s">
        <v>2</v>
      </c>
      <c r="E123" s="37" t="s">
        <v>3</v>
      </c>
      <c r="F123" s="38" t="s">
        <v>4</v>
      </c>
      <c r="G123" s="38" t="s">
        <v>22</v>
      </c>
      <c r="H123" s="37" t="s">
        <v>6</v>
      </c>
      <c r="I123" s="37" t="s">
        <v>7</v>
      </c>
      <c r="J123" s="37" t="s">
        <v>8</v>
      </c>
      <c r="K123" s="38" t="s">
        <v>9</v>
      </c>
      <c r="L123" s="37" t="s">
        <v>10</v>
      </c>
      <c r="M123" s="37" t="s">
        <v>11</v>
      </c>
    </row>
    <row r="124" spans="1:13" x14ac:dyDescent="0.3">
      <c r="A124" s="5" t="str">
        <f>B124&amp;", R="&amp;D124&amp;", "&amp;I124&amp;", "&amp;G124</f>
        <v>[29], R=0.1, 90°, Mach</v>
      </c>
      <c r="B124" s="5" t="s">
        <v>33</v>
      </c>
      <c r="C124" s="40">
        <f>[1]Criteria!$G$43</f>
        <v>0.75</v>
      </c>
      <c r="D124" s="40">
        <v>0.1</v>
      </c>
      <c r="E124" s="40" t="s">
        <v>34</v>
      </c>
      <c r="F124" s="40" t="s">
        <v>39</v>
      </c>
      <c r="G124" s="40" t="s">
        <v>36</v>
      </c>
      <c r="H124" s="40">
        <v>30</v>
      </c>
      <c r="I124" s="40" t="s">
        <v>16</v>
      </c>
      <c r="J124" s="5">
        <v>800</v>
      </c>
      <c r="K124" s="5">
        <f t="shared" ref="K124:K129" si="8">J124*((1-$D$110)/2)^0.28</f>
        <v>639.71935522927572</v>
      </c>
      <c r="L124" s="41">
        <v>19000</v>
      </c>
      <c r="M124" s="5" t="s">
        <v>40</v>
      </c>
    </row>
    <row r="125" spans="1:13" x14ac:dyDescent="0.3">
      <c r="J125" s="5">
        <v>700</v>
      </c>
      <c r="K125" s="5">
        <f t="shared" si="8"/>
        <v>559.75443582561627</v>
      </c>
      <c r="L125" s="41">
        <v>50000</v>
      </c>
    </row>
    <row r="126" spans="1:13" x14ac:dyDescent="0.3">
      <c r="J126" s="5">
        <v>600</v>
      </c>
      <c r="K126" s="5">
        <f t="shared" si="8"/>
        <v>479.78951642195676</v>
      </c>
      <c r="L126" s="41">
        <v>90000</v>
      </c>
    </row>
    <row r="127" spans="1:13" x14ac:dyDescent="0.3">
      <c r="J127" s="5">
        <v>500</v>
      </c>
      <c r="K127" s="5">
        <f t="shared" si="8"/>
        <v>399.82459701829731</v>
      </c>
      <c r="L127" s="41">
        <v>200000</v>
      </c>
    </row>
    <row r="128" spans="1:13" x14ac:dyDescent="0.3">
      <c r="J128" s="5">
        <v>450</v>
      </c>
      <c r="K128" s="5">
        <f t="shared" si="8"/>
        <v>359.84213731646759</v>
      </c>
      <c r="L128" s="41">
        <v>1800000</v>
      </c>
    </row>
    <row r="129" spans="1:13" x14ac:dyDescent="0.3">
      <c r="J129" s="5">
        <v>400</v>
      </c>
      <c r="K129" s="5">
        <f t="shared" si="8"/>
        <v>319.85967761463786</v>
      </c>
      <c r="L129" s="41">
        <v>10000000</v>
      </c>
    </row>
    <row r="130" spans="1:13" x14ac:dyDescent="0.3">
      <c r="L130" s="41"/>
    </row>
    <row r="131" spans="1:13" x14ac:dyDescent="0.3">
      <c r="D131" s="5" t="s">
        <v>32</v>
      </c>
    </row>
    <row r="132" spans="1:13" ht="28.8" x14ac:dyDescent="0.3">
      <c r="C132" s="37" t="s">
        <v>263</v>
      </c>
      <c r="D132" s="37" t="s">
        <v>2</v>
      </c>
      <c r="E132" s="37" t="s">
        <v>3</v>
      </c>
      <c r="F132" s="38" t="s">
        <v>4</v>
      </c>
      <c r="G132" s="38" t="s">
        <v>22</v>
      </c>
      <c r="H132" s="37" t="s">
        <v>6</v>
      </c>
      <c r="I132" s="37" t="s">
        <v>7</v>
      </c>
      <c r="J132" s="37" t="s">
        <v>8</v>
      </c>
      <c r="K132" s="38" t="s">
        <v>9</v>
      </c>
      <c r="L132" s="37" t="s">
        <v>10</v>
      </c>
      <c r="M132" s="37" t="s">
        <v>11</v>
      </c>
    </row>
    <row r="133" spans="1:13" x14ac:dyDescent="0.3">
      <c r="A133" s="5" t="str">
        <f>B133&amp;", R="&amp;D133&amp;", "&amp;I133&amp;", "&amp;G133</f>
        <v>[29], R=0.1, 90°, Mach + HIP</v>
      </c>
      <c r="B133" s="5" t="s">
        <v>33</v>
      </c>
      <c r="C133" s="40">
        <f>[1]Criteria!$G$43</f>
        <v>0.75</v>
      </c>
      <c r="D133" s="40">
        <v>0.1</v>
      </c>
      <c r="E133" s="40" t="s">
        <v>34</v>
      </c>
      <c r="F133" s="40" t="s">
        <v>39</v>
      </c>
      <c r="G133" s="40" t="s">
        <v>26</v>
      </c>
      <c r="H133" s="40">
        <v>30</v>
      </c>
      <c r="I133" s="40" t="s">
        <v>16</v>
      </c>
      <c r="J133" s="5">
        <v>800</v>
      </c>
      <c r="K133" s="5">
        <f>J133*((1-$D$110)/2)^0.28</f>
        <v>639.71935522927572</v>
      </c>
      <c r="L133" s="41">
        <v>500000</v>
      </c>
      <c r="M133" s="5" t="s">
        <v>41</v>
      </c>
    </row>
    <row r="134" spans="1:13" x14ac:dyDescent="0.3">
      <c r="J134" s="5">
        <v>700</v>
      </c>
      <c r="K134" s="5">
        <f>J134*((1-$D$110)/2)^0.28</f>
        <v>559.75443582561627</v>
      </c>
      <c r="L134" s="41">
        <v>1500000</v>
      </c>
    </row>
    <row r="135" spans="1:13" x14ac:dyDescent="0.3">
      <c r="J135" s="5">
        <v>600</v>
      </c>
      <c r="K135" s="5">
        <f>J135*((1-$D$110)/2)^0.28</f>
        <v>479.78951642195676</v>
      </c>
      <c r="L135" s="41">
        <v>2900000</v>
      </c>
    </row>
    <row r="136" spans="1:13" x14ac:dyDescent="0.3">
      <c r="J136" s="5">
        <v>575</v>
      </c>
      <c r="K136" s="5">
        <f>J136*((1-$D$110)/2)^0.28</f>
        <v>459.7982865710419</v>
      </c>
      <c r="L136" s="41">
        <v>10000000</v>
      </c>
    </row>
    <row r="138" spans="1:13" x14ac:dyDescent="0.3">
      <c r="D138" s="5" t="s">
        <v>42</v>
      </c>
    </row>
    <row r="139" spans="1:13" ht="28.8" x14ac:dyDescent="0.3">
      <c r="C139" s="37" t="s">
        <v>263</v>
      </c>
      <c r="D139" s="37" t="s">
        <v>2</v>
      </c>
      <c r="E139" s="37" t="s">
        <v>3</v>
      </c>
      <c r="F139" s="38" t="s">
        <v>4</v>
      </c>
      <c r="G139" s="38" t="s">
        <v>22</v>
      </c>
      <c r="H139" s="37" t="s">
        <v>6</v>
      </c>
      <c r="I139" s="37" t="s">
        <v>7</v>
      </c>
      <c r="J139" s="37" t="s">
        <v>8</v>
      </c>
      <c r="K139" s="38" t="s">
        <v>9</v>
      </c>
      <c r="L139" s="37" t="s">
        <v>10</v>
      </c>
      <c r="M139" s="37" t="s">
        <v>11</v>
      </c>
    </row>
    <row r="140" spans="1:13" x14ac:dyDescent="0.3">
      <c r="A140" s="5" t="str">
        <f>B140&amp;", R="&amp;D140&amp;", "&amp;I140&amp;", "&amp;G140</f>
        <v>[30], R=-1, 90°, AB + SR</v>
      </c>
      <c r="B140" s="5" t="s">
        <v>43</v>
      </c>
      <c r="C140" s="40">
        <f>[1]Criteria!H43</f>
        <v>0.65625</v>
      </c>
      <c r="D140" s="40">
        <v>-1</v>
      </c>
      <c r="E140" s="40" t="s">
        <v>44</v>
      </c>
      <c r="F140" s="40" t="s">
        <v>45</v>
      </c>
      <c r="G140" s="40" t="s">
        <v>15</v>
      </c>
      <c r="H140" s="40">
        <v>15</v>
      </c>
      <c r="I140" s="40" t="s">
        <v>16</v>
      </c>
      <c r="J140" s="5">
        <v>250</v>
      </c>
      <c r="K140" s="5">
        <f>J140*((1-$D$140)/2)^0.28</f>
        <v>250</v>
      </c>
      <c r="L140" s="41">
        <f>70000</f>
        <v>70000</v>
      </c>
      <c r="M140" s="5" t="s">
        <v>46</v>
      </c>
    </row>
    <row r="141" spans="1:13" x14ac:dyDescent="0.3">
      <c r="J141" s="5">
        <v>200</v>
      </c>
      <c r="K141" s="5">
        <f t="shared" ref="K141:K148" si="9">J141*((1-$D$140)/2)^0.28</f>
        <v>200</v>
      </c>
      <c r="L141" s="41">
        <f>200000</f>
        <v>200000</v>
      </c>
    </row>
    <row r="142" spans="1:13" x14ac:dyDescent="0.3">
      <c r="J142" s="5">
        <v>180</v>
      </c>
      <c r="K142" s="5">
        <f t="shared" si="9"/>
        <v>180</v>
      </c>
      <c r="L142" s="41">
        <f>600000</f>
        <v>600000</v>
      </c>
    </row>
    <row r="143" spans="1:13" x14ac:dyDescent="0.3">
      <c r="J143" s="5">
        <v>180</v>
      </c>
      <c r="K143" s="5">
        <f t="shared" si="9"/>
        <v>180</v>
      </c>
      <c r="L143" s="41">
        <f>700000</f>
        <v>700000</v>
      </c>
    </row>
    <row r="144" spans="1:13" x14ac:dyDescent="0.3">
      <c r="J144" s="5">
        <v>180</v>
      </c>
      <c r="K144" s="5">
        <f t="shared" si="9"/>
        <v>180</v>
      </c>
      <c r="L144" s="41">
        <f>5500000</f>
        <v>5500000</v>
      </c>
    </row>
    <row r="145" spans="1:13" x14ac:dyDescent="0.3">
      <c r="J145" s="5">
        <v>150</v>
      </c>
      <c r="K145" s="5">
        <f t="shared" si="9"/>
        <v>150</v>
      </c>
      <c r="L145" s="41">
        <f>1000000</f>
        <v>1000000</v>
      </c>
    </row>
    <row r="146" spans="1:13" x14ac:dyDescent="0.3">
      <c r="J146" s="5">
        <v>150</v>
      </c>
      <c r="K146" s="5">
        <f t="shared" si="9"/>
        <v>150</v>
      </c>
      <c r="L146" s="41">
        <f>10000000</f>
        <v>10000000</v>
      </c>
    </row>
    <row r="147" spans="1:13" x14ac:dyDescent="0.3">
      <c r="J147" s="5">
        <v>150</v>
      </c>
      <c r="K147" s="5">
        <f t="shared" si="9"/>
        <v>150</v>
      </c>
      <c r="L147" s="41">
        <f>7500000</f>
        <v>7500000</v>
      </c>
    </row>
    <row r="148" spans="1:13" x14ac:dyDescent="0.3">
      <c r="J148" s="5">
        <v>130</v>
      </c>
      <c r="K148" s="5">
        <f t="shared" si="9"/>
        <v>130</v>
      </c>
      <c r="L148" s="41">
        <f>10000000</f>
        <v>10000000</v>
      </c>
    </row>
    <row r="150" spans="1:13" x14ac:dyDescent="0.3">
      <c r="D150" s="5" t="s">
        <v>47</v>
      </c>
    </row>
    <row r="151" spans="1:13" ht="28.8" x14ac:dyDescent="0.3">
      <c r="C151" s="37" t="s">
        <v>263</v>
      </c>
      <c r="D151" s="37" t="s">
        <v>2</v>
      </c>
      <c r="E151" s="37" t="s">
        <v>3</v>
      </c>
      <c r="F151" s="38" t="s">
        <v>4</v>
      </c>
      <c r="G151" s="38" t="s">
        <v>22</v>
      </c>
      <c r="H151" s="37" t="s">
        <v>6</v>
      </c>
      <c r="I151" s="37" t="s">
        <v>7</v>
      </c>
      <c r="J151" s="37" t="s">
        <v>8</v>
      </c>
      <c r="K151" s="38" t="s">
        <v>9</v>
      </c>
      <c r="L151" s="37" t="s">
        <v>10</v>
      </c>
      <c r="M151" s="37" t="s">
        <v>11</v>
      </c>
    </row>
    <row r="152" spans="1:13" x14ac:dyDescent="0.3">
      <c r="A152" s="5" t="str">
        <f>B152&amp;", R="&amp;D152&amp;", "&amp;I152&amp;", "&amp;G152</f>
        <v>[31], R=0.1, 90°, AB</v>
      </c>
      <c r="B152" s="5" t="s">
        <v>48</v>
      </c>
      <c r="C152" s="40">
        <f>[1]Criteria!J43</f>
        <v>0.71875</v>
      </c>
      <c r="D152" s="40">
        <v>0.1</v>
      </c>
      <c r="E152" s="40" t="s">
        <v>49</v>
      </c>
      <c r="F152" s="40" t="s">
        <v>39</v>
      </c>
      <c r="G152" s="40" t="s">
        <v>50</v>
      </c>
      <c r="H152" s="40">
        <v>10</v>
      </c>
      <c r="I152" s="40" t="s">
        <v>16</v>
      </c>
      <c r="J152" s="5">
        <v>360</v>
      </c>
      <c r="K152" s="5">
        <f>J152*((1-$D$152)/2)^0.28</f>
        <v>287.87370985317409</v>
      </c>
      <c r="L152" s="41">
        <v>15000</v>
      </c>
    </row>
    <row r="153" spans="1:13" x14ac:dyDescent="0.3">
      <c r="J153" s="5">
        <v>360</v>
      </c>
      <c r="K153" s="5">
        <f t="shared" ref="K153:K172" si="10">J153*((1-$D$152)/2)^0.28</f>
        <v>287.87370985317409</v>
      </c>
      <c r="L153" s="41">
        <v>18000</v>
      </c>
    </row>
    <row r="154" spans="1:13" x14ac:dyDescent="0.3">
      <c r="J154" s="5">
        <v>355</v>
      </c>
      <c r="K154" s="5">
        <f t="shared" si="10"/>
        <v>283.87546388299108</v>
      </c>
      <c r="L154" s="41">
        <v>19000</v>
      </c>
    </row>
    <row r="155" spans="1:13" x14ac:dyDescent="0.3">
      <c r="J155" s="5">
        <v>355</v>
      </c>
      <c r="K155" s="5">
        <f t="shared" si="10"/>
        <v>283.87546388299108</v>
      </c>
      <c r="L155" s="41">
        <v>21000</v>
      </c>
    </row>
    <row r="156" spans="1:13" x14ac:dyDescent="0.3">
      <c r="J156" s="5">
        <v>295</v>
      </c>
      <c r="K156" s="5">
        <f t="shared" si="10"/>
        <v>235.8965122407954</v>
      </c>
      <c r="L156" s="41">
        <v>40000</v>
      </c>
    </row>
    <row r="157" spans="1:13" x14ac:dyDescent="0.3">
      <c r="J157" s="5">
        <v>295</v>
      </c>
      <c r="K157" s="5">
        <f t="shared" si="10"/>
        <v>235.8965122407954</v>
      </c>
      <c r="L157" s="41">
        <v>40000</v>
      </c>
    </row>
    <row r="158" spans="1:13" x14ac:dyDescent="0.3">
      <c r="J158" s="5">
        <v>295</v>
      </c>
      <c r="K158" s="5">
        <f t="shared" si="10"/>
        <v>235.8965122407954</v>
      </c>
      <c r="L158" s="41">
        <v>60000</v>
      </c>
    </row>
    <row r="159" spans="1:13" x14ac:dyDescent="0.3">
      <c r="J159" s="5">
        <v>295</v>
      </c>
      <c r="K159" s="5">
        <f t="shared" si="10"/>
        <v>235.8965122407954</v>
      </c>
      <c r="L159" s="41">
        <v>65000</v>
      </c>
    </row>
    <row r="160" spans="1:13" x14ac:dyDescent="0.3">
      <c r="J160" s="5">
        <v>290</v>
      </c>
      <c r="K160" s="5">
        <f t="shared" si="10"/>
        <v>231.89826627061245</v>
      </c>
      <c r="L160" s="41">
        <v>47500</v>
      </c>
    </row>
    <row r="161" spans="1:13" x14ac:dyDescent="0.3">
      <c r="J161" s="5">
        <v>290</v>
      </c>
      <c r="K161" s="5">
        <f t="shared" si="10"/>
        <v>231.89826627061245</v>
      </c>
      <c r="L161" s="41">
        <v>55000</v>
      </c>
    </row>
    <row r="162" spans="1:13" x14ac:dyDescent="0.3">
      <c r="J162" s="5">
        <v>220</v>
      </c>
      <c r="K162" s="5">
        <f t="shared" si="10"/>
        <v>175.92282268805081</v>
      </c>
      <c r="L162" s="41">
        <v>90000</v>
      </c>
    </row>
    <row r="163" spans="1:13" x14ac:dyDescent="0.3">
      <c r="J163" s="5">
        <v>220</v>
      </c>
      <c r="K163" s="5">
        <f t="shared" si="10"/>
        <v>175.92282268805081</v>
      </c>
      <c r="L163" s="41">
        <v>160000</v>
      </c>
    </row>
    <row r="164" spans="1:13" x14ac:dyDescent="0.3">
      <c r="J164" s="5">
        <v>220</v>
      </c>
      <c r="K164" s="5">
        <f t="shared" si="10"/>
        <v>175.92282268805081</v>
      </c>
      <c r="L164" s="41">
        <v>190000</v>
      </c>
    </row>
    <row r="165" spans="1:13" x14ac:dyDescent="0.3">
      <c r="J165" s="5">
        <v>215</v>
      </c>
      <c r="K165" s="5">
        <f t="shared" si="10"/>
        <v>171.92457671786784</v>
      </c>
      <c r="L165" s="41">
        <v>99000</v>
      </c>
    </row>
    <row r="166" spans="1:13" x14ac:dyDescent="0.3">
      <c r="J166" s="5">
        <v>215</v>
      </c>
      <c r="K166" s="5">
        <f t="shared" si="10"/>
        <v>171.92457671786784</v>
      </c>
      <c r="L166" s="41">
        <v>170000</v>
      </c>
    </row>
    <row r="167" spans="1:13" x14ac:dyDescent="0.3">
      <c r="J167" s="5">
        <v>160</v>
      </c>
      <c r="K167" s="5">
        <f t="shared" si="10"/>
        <v>127.94387104585513</v>
      </c>
      <c r="L167" s="41">
        <v>400000</v>
      </c>
    </row>
    <row r="168" spans="1:13" x14ac:dyDescent="0.3">
      <c r="J168" s="5">
        <v>160</v>
      </c>
      <c r="K168" s="5">
        <f t="shared" si="10"/>
        <v>127.94387104585513</v>
      </c>
      <c r="L168" s="41">
        <v>500000</v>
      </c>
    </row>
    <row r="169" spans="1:13" x14ac:dyDescent="0.3">
      <c r="J169" s="5">
        <v>160</v>
      </c>
      <c r="K169" s="5">
        <f t="shared" si="10"/>
        <v>127.94387104585513</v>
      </c>
      <c r="L169" s="41">
        <v>550000</v>
      </c>
    </row>
    <row r="170" spans="1:13" x14ac:dyDescent="0.3">
      <c r="J170" s="5">
        <v>160</v>
      </c>
      <c r="K170" s="5">
        <f t="shared" si="10"/>
        <v>127.94387104585513</v>
      </c>
      <c r="L170" s="41">
        <v>775000</v>
      </c>
    </row>
    <row r="171" spans="1:13" x14ac:dyDescent="0.3">
      <c r="J171" s="5">
        <v>155</v>
      </c>
      <c r="K171" s="5">
        <f t="shared" si="10"/>
        <v>123.94562507567217</v>
      </c>
      <c r="L171" s="41">
        <v>1000000</v>
      </c>
    </row>
    <row r="172" spans="1:13" x14ac:dyDescent="0.3">
      <c r="J172" s="5">
        <v>140</v>
      </c>
      <c r="K172" s="5">
        <f t="shared" si="10"/>
        <v>111.95088716512325</v>
      </c>
      <c r="L172" s="41">
        <v>10000000</v>
      </c>
    </row>
    <row r="173" spans="1:13" x14ac:dyDescent="0.3">
      <c r="L173" s="41"/>
    </row>
    <row r="174" spans="1:13" x14ac:dyDescent="0.3">
      <c r="D174" s="5" t="s">
        <v>47</v>
      </c>
    </row>
    <row r="175" spans="1:13" ht="28.8" x14ac:dyDescent="0.3">
      <c r="C175" s="37" t="s">
        <v>263</v>
      </c>
      <c r="D175" s="37" t="s">
        <v>2</v>
      </c>
      <c r="E175" s="37" t="s">
        <v>3</v>
      </c>
      <c r="F175" s="38" t="s">
        <v>4</v>
      </c>
      <c r="G175" s="38" t="s">
        <v>22</v>
      </c>
      <c r="H175" s="37" t="s">
        <v>6</v>
      </c>
      <c r="I175" s="37" t="s">
        <v>7</v>
      </c>
      <c r="J175" s="37" t="s">
        <v>8</v>
      </c>
      <c r="K175" s="38" t="s">
        <v>9</v>
      </c>
      <c r="L175" s="37" t="s">
        <v>10</v>
      </c>
      <c r="M175" s="37" t="s">
        <v>11</v>
      </c>
    </row>
    <row r="176" spans="1:13" x14ac:dyDescent="0.3">
      <c r="A176" s="5" t="str">
        <f>B176&amp;", R="&amp;D176&amp;", "&amp;I176&amp;", "&amp;G176</f>
        <v>[31], R=0.1, 45°, AB</v>
      </c>
      <c r="B176" s="5" t="s">
        <v>48</v>
      </c>
      <c r="C176" s="40">
        <f>[1]Criteria!J43</f>
        <v>0.71875</v>
      </c>
      <c r="D176" s="40">
        <v>0.1</v>
      </c>
      <c r="E176" s="40" t="s">
        <v>49</v>
      </c>
      <c r="F176" s="40" t="s">
        <v>39</v>
      </c>
      <c r="G176" s="40" t="s">
        <v>50</v>
      </c>
      <c r="H176" s="40">
        <v>10</v>
      </c>
      <c r="I176" s="40" t="s">
        <v>51</v>
      </c>
      <c r="J176" s="5">
        <v>295</v>
      </c>
      <c r="K176" s="5">
        <f>J176*((1-$D$152)/2)^0.28</f>
        <v>235.8965122407954</v>
      </c>
      <c r="L176" s="41">
        <v>125000</v>
      </c>
    </row>
    <row r="177" spans="1:13" x14ac:dyDescent="0.3">
      <c r="J177" s="5">
        <v>290</v>
      </c>
      <c r="K177" s="5">
        <f t="shared" ref="K177:K192" si="11">J177*((1-$D$152)/2)^0.28</f>
        <v>231.89826627061245</v>
      </c>
      <c r="L177" s="41">
        <v>185000</v>
      </c>
    </row>
    <row r="178" spans="1:13" x14ac:dyDescent="0.3">
      <c r="J178" s="5">
        <v>285</v>
      </c>
      <c r="K178" s="5">
        <f t="shared" si="11"/>
        <v>227.90002030042947</v>
      </c>
      <c r="L178" s="41">
        <v>185000</v>
      </c>
    </row>
    <row r="179" spans="1:13" x14ac:dyDescent="0.3">
      <c r="J179" s="5">
        <v>285</v>
      </c>
      <c r="K179" s="5">
        <f t="shared" si="11"/>
        <v>227.90002030042947</v>
      </c>
      <c r="L179" s="41">
        <v>160000</v>
      </c>
    </row>
    <row r="180" spans="1:13" x14ac:dyDescent="0.3">
      <c r="L180" s="41"/>
    </row>
    <row r="181" spans="1:13" x14ac:dyDescent="0.3">
      <c r="D181" s="5" t="s">
        <v>47</v>
      </c>
    </row>
    <row r="182" spans="1:13" ht="28.8" x14ac:dyDescent="0.3">
      <c r="C182" s="37" t="s">
        <v>263</v>
      </c>
      <c r="D182" s="37" t="s">
        <v>2</v>
      </c>
      <c r="E182" s="37" t="s">
        <v>3</v>
      </c>
      <c r="F182" s="38" t="s">
        <v>4</v>
      </c>
      <c r="G182" s="38" t="s">
        <v>22</v>
      </c>
      <c r="H182" s="37" t="s">
        <v>6</v>
      </c>
      <c r="I182" s="37" t="s">
        <v>7</v>
      </c>
      <c r="J182" s="37" t="s">
        <v>8</v>
      </c>
      <c r="K182" s="38" t="s">
        <v>9</v>
      </c>
      <c r="L182" s="37" t="s">
        <v>10</v>
      </c>
      <c r="M182" s="37" t="s">
        <v>11</v>
      </c>
    </row>
    <row r="183" spans="1:13" x14ac:dyDescent="0.3">
      <c r="A183" s="5" t="str">
        <f>B183&amp;", R="&amp;D183&amp;", "&amp;I183&amp;", "&amp;G183</f>
        <v>[31], R=0.1, 0°, AB</v>
      </c>
      <c r="B183" s="5" t="s">
        <v>48</v>
      </c>
      <c r="C183" s="40">
        <f>[1]Criteria!J43</f>
        <v>0.71875</v>
      </c>
      <c r="D183" s="40">
        <v>0.1</v>
      </c>
      <c r="E183" s="40" t="s">
        <v>49</v>
      </c>
      <c r="F183" s="40" t="s">
        <v>39</v>
      </c>
      <c r="G183" s="40" t="s">
        <v>50</v>
      </c>
      <c r="H183" s="40">
        <v>10</v>
      </c>
      <c r="I183" s="40" t="s">
        <v>18</v>
      </c>
      <c r="J183" s="5">
        <v>300</v>
      </c>
      <c r="K183" s="5">
        <f>J183*((1-$D$152)/2)^0.28</f>
        <v>239.89475821097838</v>
      </c>
      <c r="L183" s="41">
        <v>270000</v>
      </c>
    </row>
    <row r="184" spans="1:13" x14ac:dyDescent="0.3">
      <c r="J184" s="5">
        <v>295</v>
      </c>
      <c r="K184" s="5">
        <f t="shared" si="11"/>
        <v>235.8965122407954</v>
      </c>
      <c r="L184" s="41">
        <v>290000</v>
      </c>
    </row>
    <row r="185" spans="1:13" x14ac:dyDescent="0.3">
      <c r="J185" s="5">
        <v>295</v>
      </c>
      <c r="K185" s="5">
        <f t="shared" si="11"/>
        <v>235.8965122407954</v>
      </c>
      <c r="L185" s="41">
        <v>250000</v>
      </c>
    </row>
    <row r="186" spans="1:13" x14ac:dyDescent="0.3">
      <c r="J186" s="5">
        <v>290</v>
      </c>
      <c r="K186" s="5">
        <f t="shared" si="11"/>
        <v>231.89826627061245</v>
      </c>
      <c r="L186" s="41">
        <v>220000</v>
      </c>
    </row>
    <row r="187" spans="1:13" x14ac:dyDescent="0.3">
      <c r="L187" s="41"/>
    </row>
    <row r="188" spans="1:13" x14ac:dyDescent="0.3">
      <c r="D188" s="5" t="s">
        <v>47</v>
      </c>
    </row>
    <row r="189" spans="1:13" ht="28.8" x14ac:dyDescent="0.3">
      <c r="C189" s="37" t="s">
        <v>263</v>
      </c>
      <c r="D189" s="37" t="s">
        <v>2</v>
      </c>
      <c r="E189" s="37" t="s">
        <v>3</v>
      </c>
      <c r="F189" s="38" t="s">
        <v>4</v>
      </c>
      <c r="G189" s="38" t="s">
        <v>22</v>
      </c>
      <c r="H189" s="37" t="s">
        <v>6</v>
      </c>
      <c r="I189" s="37" t="s">
        <v>7</v>
      </c>
      <c r="J189" s="37" t="s">
        <v>8</v>
      </c>
      <c r="K189" s="38" t="s">
        <v>9</v>
      </c>
      <c r="L189" s="37" t="s">
        <v>10</v>
      </c>
      <c r="M189" s="37" t="s">
        <v>11</v>
      </c>
    </row>
    <row r="190" spans="1:13" x14ac:dyDescent="0.3">
      <c r="A190" s="5" t="str">
        <f>B190&amp;", R="&amp;D190&amp;", "&amp;I190&amp;", "&amp;G190</f>
        <v>[31], R=0.1, 90°, AB + HIP</v>
      </c>
      <c r="B190" s="5" t="s">
        <v>48</v>
      </c>
      <c r="C190" s="40">
        <f>[1]Criteria!$J$43</f>
        <v>0.71875</v>
      </c>
      <c r="D190" s="40">
        <v>0.1</v>
      </c>
      <c r="E190" s="40" t="s">
        <v>49</v>
      </c>
      <c r="F190" s="40" t="s">
        <v>39</v>
      </c>
      <c r="G190" s="40" t="s">
        <v>25</v>
      </c>
      <c r="H190" s="40">
        <v>10</v>
      </c>
      <c r="I190" s="40" t="s">
        <v>16</v>
      </c>
      <c r="J190" s="5">
        <v>300</v>
      </c>
      <c r="K190" s="5">
        <f>J190*((1-$D$152)/2)^0.28</f>
        <v>239.89475821097838</v>
      </c>
      <c r="L190" s="41">
        <v>38000</v>
      </c>
    </row>
    <row r="191" spans="1:13" x14ac:dyDescent="0.3">
      <c r="J191" s="5">
        <v>295</v>
      </c>
      <c r="K191" s="5">
        <f t="shared" si="11"/>
        <v>235.8965122407954</v>
      </c>
      <c r="L191" s="41">
        <v>45000</v>
      </c>
    </row>
    <row r="192" spans="1:13" x14ac:dyDescent="0.3">
      <c r="J192" s="5">
        <v>295</v>
      </c>
      <c r="K192" s="5">
        <f t="shared" si="11"/>
        <v>235.8965122407954</v>
      </c>
      <c r="L192" s="41">
        <v>57500</v>
      </c>
    </row>
    <row r="193" spans="1:13" x14ac:dyDescent="0.3">
      <c r="L193" s="41"/>
    </row>
    <row r="194" spans="1:13" x14ac:dyDescent="0.3">
      <c r="D194" s="5" t="s">
        <v>47</v>
      </c>
    </row>
    <row r="195" spans="1:13" ht="28.8" x14ac:dyDescent="0.3">
      <c r="C195" s="37" t="s">
        <v>263</v>
      </c>
      <c r="D195" s="37" t="s">
        <v>2</v>
      </c>
      <c r="E195" s="37" t="s">
        <v>3</v>
      </c>
      <c r="F195" s="38" t="s">
        <v>4</v>
      </c>
      <c r="G195" s="38" t="s">
        <v>22</v>
      </c>
      <c r="H195" s="37" t="s">
        <v>6</v>
      </c>
      <c r="I195" s="37" t="s">
        <v>7</v>
      </c>
      <c r="J195" s="37" t="s">
        <v>8</v>
      </c>
      <c r="K195" s="38" t="s">
        <v>9</v>
      </c>
      <c r="L195" s="37" t="s">
        <v>10</v>
      </c>
      <c r="M195" s="37" t="s">
        <v>11</v>
      </c>
    </row>
    <row r="196" spans="1:13" x14ac:dyDescent="0.3">
      <c r="A196" s="5" t="str">
        <f>B196&amp;", R="&amp;D196&amp;", "&amp;I196&amp;", "&amp;G196</f>
        <v>[31], R=0.1, 0°, Mach</v>
      </c>
      <c r="B196" s="5" t="s">
        <v>48</v>
      </c>
      <c r="C196" s="40">
        <f>[1]Criteria!$J$43</f>
        <v>0.71875</v>
      </c>
      <c r="D196" s="40">
        <v>0.1</v>
      </c>
      <c r="E196" s="40" t="s">
        <v>49</v>
      </c>
      <c r="F196" s="40" t="s">
        <v>39</v>
      </c>
      <c r="G196" s="40" t="s">
        <v>36</v>
      </c>
      <c r="H196" s="40">
        <v>10</v>
      </c>
      <c r="I196" s="40" t="s">
        <v>18</v>
      </c>
      <c r="J196" s="5">
        <v>700</v>
      </c>
      <c r="K196" s="5">
        <f>J196*((1-$D$152)/2)^0.28</f>
        <v>559.75443582561627</v>
      </c>
      <c r="L196" s="41">
        <v>37500</v>
      </c>
      <c r="M196" s="5" t="s">
        <v>52</v>
      </c>
    </row>
    <row r="197" spans="1:13" x14ac:dyDescent="0.3">
      <c r="J197" s="5">
        <v>600</v>
      </c>
      <c r="K197" s="5">
        <f t="shared" ref="K197:K207" si="12">J197*((1-$D$152)/2)^0.28</f>
        <v>479.78951642195676</v>
      </c>
      <c r="L197" s="41">
        <v>70000</v>
      </c>
    </row>
    <row r="198" spans="1:13" x14ac:dyDescent="0.3">
      <c r="J198" s="5">
        <v>600</v>
      </c>
      <c r="K198" s="5">
        <f t="shared" si="12"/>
        <v>479.78951642195676</v>
      </c>
      <c r="L198" s="41">
        <v>91000</v>
      </c>
    </row>
    <row r="199" spans="1:13" x14ac:dyDescent="0.3">
      <c r="J199" s="5">
        <v>500</v>
      </c>
      <c r="K199" s="5">
        <f t="shared" si="12"/>
        <v>399.82459701829731</v>
      </c>
      <c r="L199" s="41">
        <v>190000</v>
      </c>
    </row>
    <row r="200" spans="1:13" x14ac:dyDescent="0.3">
      <c r="J200" s="5">
        <v>460</v>
      </c>
      <c r="K200" s="5">
        <f t="shared" si="12"/>
        <v>367.83862925683354</v>
      </c>
      <c r="L200" s="41">
        <v>220000</v>
      </c>
    </row>
    <row r="201" spans="1:13" x14ac:dyDescent="0.3">
      <c r="J201" s="5">
        <v>450</v>
      </c>
      <c r="K201" s="5">
        <f t="shared" si="12"/>
        <v>359.84213731646759</v>
      </c>
      <c r="L201" s="41">
        <v>440000</v>
      </c>
    </row>
    <row r="202" spans="1:13" x14ac:dyDescent="0.3">
      <c r="J202" s="5">
        <v>450</v>
      </c>
      <c r="K202" s="5">
        <f t="shared" si="12"/>
        <v>359.84213731646759</v>
      </c>
      <c r="L202" s="41">
        <v>920000</v>
      </c>
    </row>
    <row r="203" spans="1:13" x14ac:dyDescent="0.3">
      <c r="J203" s="5">
        <v>450</v>
      </c>
      <c r="K203" s="5">
        <f t="shared" si="12"/>
        <v>359.84213731646759</v>
      </c>
      <c r="L203" s="41">
        <v>10000000</v>
      </c>
    </row>
    <row r="204" spans="1:13" x14ac:dyDescent="0.3">
      <c r="J204" s="5">
        <v>440</v>
      </c>
      <c r="K204" s="5">
        <f t="shared" si="12"/>
        <v>351.84564537610163</v>
      </c>
      <c r="L204" s="42">
        <v>200000</v>
      </c>
    </row>
    <row r="205" spans="1:13" x14ac:dyDescent="0.3">
      <c r="J205" s="5">
        <v>440</v>
      </c>
      <c r="K205" s="5">
        <f t="shared" si="12"/>
        <v>351.84564537610163</v>
      </c>
      <c r="L205" s="42">
        <v>10000000</v>
      </c>
    </row>
    <row r="206" spans="1:13" x14ac:dyDescent="0.3">
      <c r="J206" s="5">
        <v>425</v>
      </c>
      <c r="K206" s="5">
        <f t="shared" si="12"/>
        <v>339.85090746555272</v>
      </c>
      <c r="L206" s="42">
        <v>180000</v>
      </c>
    </row>
    <row r="207" spans="1:13" x14ac:dyDescent="0.3">
      <c r="J207" s="5">
        <v>400</v>
      </c>
      <c r="K207" s="5">
        <f t="shared" si="12"/>
        <v>319.85967761463786</v>
      </c>
      <c r="L207" s="42">
        <v>10000000</v>
      </c>
    </row>
    <row r="209" spans="1:13" x14ac:dyDescent="0.3">
      <c r="D209" s="5" t="s">
        <v>47</v>
      </c>
    </row>
    <row r="210" spans="1:13" ht="28.8" x14ac:dyDescent="0.3">
      <c r="C210" s="37" t="s">
        <v>263</v>
      </c>
      <c r="D210" s="37" t="s">
        <v>2</v>
      </c>
      <c r="E210" s="37" t="s">
        <v>3</v>
      </c>
      <c r="F210" s="38" t="s">
        <v>4</v>
      </c>
      <c r="G210" s="38" t="s">
        <v>22</v>
      </c>
      <c r="H210" s="37" t="s">
        <v>6</v>
      </c>
      <c r="I210" s="37" t="s">
        <v>7</v>
      </c>
      <c r="J210" s="37" t="s">
        <v>8</v>
      </c>
      <c r="K210" s="38" t="s">
        <v>9</v>
      </c>
      <c r="L210" s="37" t="s">
        <v>10</v>
      </c>
      <c r="M210" s="37" t="s">
        <v>11</v>
      </c>
    </row>
    <row r="211" spans="1:13" x14ac:dyDescent="0.3">
      <c r="A211" s="5" t="str">
        <f>B211&amp;", R="&amp;D211&amp;", "&amp;I211&amp;", "&amp;G211</f>
        <v>[31], R=0.1, 90°, Mach</v>
      </c>
      <c r="B211" s="5" t="s">
        <v>48</v>
      </c>
      <c r="C211" s="40">
        <f>[1]Criteria!$J$43</f>
        <v>0.71875</v>
      </c>
      <c r="D211" s="40">
        <v>0.1</v>
      </c>
      <c r="E211" s="40" t="s">
        <v>49</v>
      </c>
      <c r="F211" s="40" t="s">
        <v>39</v>
      </c>
      <c r="G211" s="40" t="s">
        <v>36</v>
      </c>
      <c r="H211" s="40">
        <v>10</v>
      </c>
      <c r="I211" s="40" t="s">
        <v>16</v>
      </c>
      <c r="J211" s="5">
        <v>700</v>
      </c>
      <c r="K211" s="5">
        <f>J211*((1-$D$152)/2)^0.28</f>
        <v>559.75443582561627</v>
      </c>
      <c r="L211" s="41">
        <v>42000</v>
      </c>
      <c r="M211" s="5" t="s">
        <v>52</v>
      </c>
    </row>
    <row r="212" spans="1:13" x14ac:dyDescent="0.3">
      <c r="J212" s="5">
        <v>600</v>
      </c>
      <c r="K212" s="5">
        <f t="shared" ref="K212:K222" si="13">J212*((1-$D$152)/2)^0.28</f>
        <v>479.78951642195676</v>
      </c>
      <c r="L212" s="41">
        <v>60000</v>
      </c>
    </row>
    <row r="213" spans="1:13" x14ac:dyDescent="0.3">
      <c r="J213" s="5">
        <v>600</v>
      </c>
      <c r="K213" s="5">
        <f t="shared" si="13"/>
        <v>479.78951642195676</v>
      </c>
      <c r="L213" s="41">
        <v>72000</v>
      </c>
    </row>
    <row r="214" spans="1:13" x14ac:dyDescent="0.3">
      <c r="J214" s="5">
        <v>500</v>
      </c>
      <c r="K214" s="5">
        <f t="shared" si="13"/>
        <v>399.82459701829731</v>
      </c>
      <c r="L214" s="41">
        <v>175000</v>
      </c>
    </row>
    <row r="215" spans="1:13" x14ac:dyDescent="0.3">
      <c r="J215" s="5">
        <v>450</v>
      </c>
      <c r="K215" s="5">
        <f t="shared" si="13"/>
        <v>359.84213731646759</v>
      </c>
      <c r="L215" s="41">
        <v>220000</v>
      </c>
    </row>
    <row r="216" spans="1:13" x14ac:dyDescent="0.3">
      <c r="J216" s="5">
        <v>440</v>
      </c>
      <c r="K216" s="5">
        <f t="shared" si="13"/>
        <v>351.84564537610163</v>
      </c>
      <c r="L216" s="41">
        <v>300000</v>
      </c>
    </row>
    <row r="217" spans="1:13" x14ac:dyDescent="0.3">
      <c r="J217" s="5">
        <v>420</v>
      </c>
      <c r="K217" s="5">
        <f t="shared" si="13"/>
        <v>335.85266149536972</v>
      </c>
      <c r="L217" s="41">
        <v>10000000</v>
      </c>
    </row>
    <row r="218" spans="1:13" x14ac:dyDescent="0.3">
      <c r="J218" s="5">
        <v>410</v>
      </c>
      <c r="K218" s="5">
        <f t="shared" si="13"/>
        <v>327.85616955500382</v>
      </c>
      <c r="L218" s="41">
        <v>250000</v>
      </c>
    </row>
    <row r="219" spans="1:13" x14ac:dyDescent="0.3">
      <c r="J219" s="5">
        <v>405</v>
      </c>
      <c r="K219" s="5">
        <f t="shared" si="13"/>
        <v>323.85792358482081</v>
      </c>
      <c r="L219" s="42">
        <v>220000</v>
      </c>
    </row>
    <row r="220" spans="1:13" x14ac:dyDescent="0.3">
      <c r="J220" s="5">
        <v>390</v>
      </c>
      <c r="K220" s="5">
        <f t="shared" si="13"/>
        <v>311.8631856742719</v>
      </c>
      <c r="L220" s="42">
        <v>300000</v>
      </c>
    </row>
    <row r="221" spans="1:13" x14ac:dyDescent="0.3">
      <c r="J221" s="5">
        <v>390</v>
      </c>
      <c r="K221" s="5">
        <f t="shared" si="13"/>
        <v>311.8631856742719</v>
      </c>
      <c r="L221" s="42">
        <v>10000000</v>
      </c>
    </row>
    <row r="222" spans="1:13" x14ac:dyDescent="0.3">
      <c r="J222" s="5">
        <v>375</v>
      </c>
      <c r="K222" s="5">
        <f t="shared" si="13"/>
        <v>299.868447763723</v>
      </c>
      <c r="L222" s="42">
        <v>10000000</v>
      </c>
    </row>
    <row r="224" spans="1:13" x14ac:dyDescent="0.3">
      <c r="D224" s="5" t="s">
        <v>53</v>
      </c>
    </row>
    <row r="225" spans="1:13" ht="28.8" x14ac:dyDescent="0.3">
      <c r="C225" s="37" t="s">
        <v>263</v>
      </c>
      <c r="D225" s="37" t="s">
        <v>2</v>
      </c>
      <c r="E225" s="37" t="s">
        <v>3</v>
      </c>
      <c r="F225" s="38" t="s">
        <v>4</v>
      </c>
      <c r="G225" s="38" t="s">
        <v>22</v>
      </c>
      <c r="H225" s="37" t="s">
        <v>6</v>
      </c>
      <c r="I225" s="37" t="s">
        <v>7</v>
      </c>
      <c r="J225" s="37" t="s">
        <v>8</v>
      </c>
      <c r="K225" s="38" t="s">
        <v>9</v>
      </c>
      <c r="L225" s="37" t="s">
        <v>10</v>
      </c>
      <c r="M225" s="37" t="s">
        <v>11</v>
      </c>
    </row>
    <row r="226" spans="1:13" x14ac:dyDescent="0.3">
      <c r="A226" s="5" t="str">
        <f>B226&amp;", R="&amp;D226&amp;", "&amp;I226&amp;", "&amp;G226</f>
        <v>[32], R=0.1, 90°, SB + HT</v>
      </c>
      <c r="B226" s="5" t="s">
        <v>54</v>
      </c>
      <c r="C226" s="40">
        <f>[1]Criteria!I43</f>
        <v>0.59375</v>
      </c>
      <c r="D226" s="40">
        <v>0.1</v>
      </c>
      <c r="E226" s="40" t="s">
        <v>34</v>
      </c>
      <c r="F226" s="40" t="s">
        <v>45</v>
      </c>
      <c r="G226" s="40" t="s">
        <v>55</v>
      </c>
      <c r="H226" s="40">
        <v>50</v>
      </c>
      <c r="I226" s="40" t="s">
        <v>16</v>
      </c>
      <c r="J226" s="5">
        <v>600</v>
      </c>
      <c r="K226" s="5">
        <f>J226*((1-$D$226)/2)^0.28</f>
        <v>479.78951642195676</v>
      </c>
      <c r="L226" s="41">
        <f>90000</f>
        <v>90000</v>
      </c>
      <c r="M226" s="5" t="s">
        <v>56</v>
      </c>
    </row>
    <row r="227" spans="1:13" x14ac:dyDescent="0.3">
      <c r="J227" s="5">
        <v>600</v>
      </c>
      <c r="K227" s="5">
        <f t="shared" ref="K227:K233" si="14">J227*((1-$D$226)/2)^0.28</f>
        <v>479.78951642195676</v>
      </c>
      <c r="L227" s="41">
        <f>70000</f>
        <v>70000</v>
      </c>
    </row>
    <row r="228" spans="1:13" x14ac:dyDescent="0.3">
      <c r="J228" s="5">
        <v>550</v>
      </c>
      <c r="K228" s="5">
        <f t="shared" si="14"/>
        <v>439.80705672012704</v>
      </c>
      <c r="L228" s="41">
        <f>80000</f>
        <v>80000</v>
      </c>
    </row>
    <row r="229" spans="1:13" x14ac:dyDescent="0.3">
      <c r="J229" s="5">
        <v>550</v>
      </c>
      <c r="K229" s="5">
        <f t="shared" si="14"/>
        <v>439.80705672012704</v>
      </c>
      <c r="L229" s="41">
        <f>150000</f>
        <v>150000</v>
      </c>
    </row>
    <row r="230" spans="1:13" x14ac:dyDescent="0.3">
      <c r="J230" s="5">
        <v>500</v>
      </c>
      <c r="K230" s="5">
        <f t="shared" si="14"/>
        <v>399.82459701829731</v>
      </c>
      <c r="L230" s="41">
        <f>200000</f>
        <v>200000</v>
      </c>
    </row>
    <row r="231" spans="1:13" x14ac:dyDescent="0.3">
      <c r="J231" s="5">
        <v>500</v>
      </c>
      <c r="K231" s="5">
        <f>J231*((1-$D$226)/2)^0.28</f>
        <v>399.82459701829731</v>
      </c>
      <c r="L231" s="41">
        <f>10000000</f>
        <v>10000000</v>
      </c>
    </row>
    <row r="232" spans="1:13" x14ac:dyDescent="0.3">
      <c r="J232" s="5">
        <v>475</v>
      </c>
      <c r="K232" s="5">
        <f t="shared" si="14"/>
        <v>379.83336716738245</v>
      </c>
      <c r="L232" s="41">
        <v>10000000</v>
      </c>
    </row>
    <row r="233" spans="1:13" x14ac:dyDescent="0.3">
      <c r="J233" s="5">
        <v>450</v>
      </c>
      <c r="K233" s="5">
        <f t="shared" si="14"/>
        <v>359.84213731646759</v>
      </c>
      <c r="L233" s="41">
        <v>10000000</v>
      </c>
    </row>
    <row r="235" spans="1:13" x14ac:dyDescent="0.3">
      <c r="D235" s="5" t="s">
        <v>57</v>
      </c>
    </row>
    <row r="236" spans="1:13" ht="28.8" x14ac:dyDescent="0.3">
      <c r="C236" s="37" t="s">
        <v>263</v>
      </c>
      <c r="D236" s="37" t="s">
        <v>2</v>
      </c>
      <c r="E236" s="37" t="s">
        <v>3</v>
      </c>
      <c r="F236" s="38" t="s">
        <v>4</v>
      </c>
      <c r="G236" s="38" t="s">
        <v>22</v>
      </c>
      <c r="H236" s="37" t="s">
        <v>6</v>
      </c>
      <c r="I236" s="37" t="s">
        <v>7</v>
      </c>
      <c r="J236" s="37" t="s">
        <v>8</v>
      </c>
      <c r="K236" s="38" t="s">
        <v>9</v>
      </c>
      <c r="L236" s="37" t="s">
        <v>10</v>
      </c>
      <c r="M236" s="37" t="s">
        <v>11</v>
      </c>
    </row>
    <row r="237" spans="1:13" x14ac:dyDescent="0.3">
      <c r="A237" s="5" t="str">
        <f>B237&amp;", R="&amp;D237&amp;", "&amp;I237&amp;", "&amp;G237</f>
        <v>[33], R=-1, 90°, AB + SR</v>
      </c>
      <c r="B237" s="5" t="s">
        <v>58</v>
      </c>
      <c r="C237" s="40">
        <f>[1]Criteria!$K$43</f>
        <v>0.8125</v>
      </c>
      <c r="D237" s="40">
        <v>-1</v>
      </c>
      <c r="E237" s="40" t="s">
        <v>34</v>
      </c>
      <c r="F237" s="40" t="s">
        <v>59</v>
      </c>
      <c r="G237" s="40" t="s">
        <v>15</v>
      </c>
      <c r="H237" s="40">
        <v>150</v>
      </c>
      <c r="I237" s="40" t="s">
        <v>16</v>
      </c>
      <c r="J237" s="5">
        <v>350</v>
      </c>
      <c r="K237" s="5">
        <f>J237*((1-$D$237)/2)^0.28</f>
        <v>350</v>
      </c>
      <c r="L237" s="41">
        <f>72500</f>
        <v>72500</v>
      </c>
    </row>
    <row r="238" spans="1:13" x14ac:dyDescent="0.3">
      <c r="C238" s="40"/>
      <c r="D238" s="40"/>
      <c r="E238" s="40"/>
      <c r="F238" s="40"/>
      <c r="G238" s="40"/>
      <c r="H238" s="40"/>
      <c r="I238" s="40"/>
      <c r="J238" s="5">
        <v>350</v>
      </c>
      <c r="K238" s="5">
        <f t="shared" ref="K238:K250" si="15">J238*((1-$D$237)/2)^0.28</f>
        <v>350</v>
      </c>
      <c r="L238" s="41">
        <v>52000</v>
      </c>
    </row>
    <row r="239" spans="1:13" x14ac:dyDescent="0.3">
      <c r="J239" s="5">
        <v>300</v>
      </c>
      <c r="K239" s="5">
        <f t="shared" si="15"/>
        <v>300</v>
      </c>
      <c r="L239" s="41">
        <f>100000</f>
        <v>100000</v>
      </c>
    </row>
    <row r="240" spans="1:13" x14ac:dyDescent="0.3">
      <c r="J240" s="5">
        <v>300</v>
      </c>
      <c r="K240" s="5">
        <f t="shared" si="15"/>
        <v>300</v>
      </c>
      <c r="L240" s="41">
        <v>95000</v>
      </c>
    </row>
    <row r="241" spans="1:13" x14ac:dyDescent="0.3">
      <c r="J241" s="5">
        <v>300</v>
      </c>
      <c r="K241" s="5">
        <f t="shared" si="15"/>
        <v>300</v>
      </c>
      <c r="L241" s="41">
        <v>47500</v>
      </c>
    </row>
    <row r="242" spans="1:13" x14ac:dyDescent="0.3">
      <c r="J242" s="5">
        <v>275</v>
      </c>
      <c r="K242" s="5">
        <f t="shared" si="15"/>
        <v>275</v>
      </c>
      <c r="L242" s="41">
        <v>275000</v>
      </c>
    </row>
    <row r="243" spans="1:13" x14ac:dyDescent="0.3">
      <c r="J243" s="5">
        <v>275</v>
      </c>
      <c r="K243" s="5">
        <f t="shared" si="15"/>
        <v>275</v>
      </c>
      <c r="L243" s="41">
        <v>250000</v>
      </c>
    </row>
    <row r="244" spans="1:13" x14ac:dyDescent="0.3">
      <c r="J244" s="5">
        <v>275</v>
      </c>
      <c r="K244" s="5">
        <f t="shared" si="15"/>
        <v>275</v>
      </c>
      <c r="L244" s="41">
        <v>175000</v>
      </c>
    </row>
    <row r="245" spans="1:13" x14ac:dyDescent="0.3">
      <c r="J245" s="5">
        <v>250</v>
      </c>
      <c r="K245" s="5">
        <f t="shared" si="15"/>
        <v>250</v>
      </c>
      <c r="L245" s="41">
        <f>15000000</f>
        <v>15000000</v>
      </c>
    </row>
    <row r="246" spans="1:13" x14ac:dyDescent="0.3">
      <c r="J246" s="5">
        <v>250</v>
      </c>
      <c r="K246" s="5">
        <f t="shared" si="15"/>
        <v>250</v>
      </c>
      <c r="L246" s="41">
        <f>290000</f>
        <v>290000</v>
      </c>
    </row>
    <row r="247" spans="1:13" x14ac:dyDescent="0.3">
      <c r="J247" s="5">
        <v>250</v>
      </c>
      <c r="K247" s="5">
        <f t="shared" si="15"/>
        <v>250</v>
      </c>
      <c r="L247" s="42">
        <v>190000</v>
      </c>
    </row>
    <row r="248" spans="1:13" x14ac:dyDescent="0.3">
      <c r="J248" s="5">
        <v>235</v>
      </c>
      <c r="K248" s="5">
        <f t="shared" si="15"/>
        <v>235</v>
      </c>
      <c r="L248" s="41">
        <v>225000</v>
      </c>
    </row>
    <row r="249" spans="1:13" x14ac:dyDescent="0.3">
      <c r="J249" s="5">
        <v>235</v>
      </c>
      <c r="K249" s="5">
        <f t="shared" si="15"/>
        <v>235</v>
      </c>
      <c r="L249" s="41">
        <v>50000000</v>
      </c>
    </row>
    <row r="250" spans="1:13" x14ac:dyDescent="0.3">
      <c r="J250" s="5">
        <v>200</v>
      </c>
      <c r="K250" s="5">
        <f t="shared" si="15"/>
        <v>200</v>
      </c>
      <c r="L250" s="41">
        <v>50000000</v>
      </c>
    </row>
    <row r="251" spans="1:13" x14ac:dyDescent="0.3">
      <c r="L251" s="41"/>
    </row>
    <row r="252" spans="1:13" x14ac:dyDescent="0.3">
      <c r="D252" s="5" t="s">
        <v>57</v>
      </c>
    </row>
    <row r="253" spans="1:13" ht="28.8" x14ac:dyDescent="0.3">
      <c r="C253" s="37" t="s">
        <v>263</v>
      </c>
      <c r="D253" s="37" t="s">
        <v>2</v>
      </c>
      <c r="E253" s="37" t="s">
        <v>3</v>
      </c>
      <c r="F253" s="38" t="s">
        <v>4</v>
      </c>
      <c r="G253" s="38" t="s">
        <v>22</v>
      </c>
      <c r="H253" s="37" t="s">
        <v>6</v>
      </c>
      <c r="I253" s="37" t="s">
        <v>7</v>
      </c>
      <c r="J253" s="37" t="s">
        <v>8</v>
      </c>
      <c r="K253" s="38" t="s">
        <v>9</v>
      </c>
      <c r="L253" s="37" t="s">
        <v>10</v>
      </c>
      <c r="M253" s="37" t="s">
        <v>11</v>
      </c>
    </row>
    <row r="254" spans="1:13" x14ac:dyDescent="0.3">
      <c r="A254" s="5" t="str">
        <f>B254&amp;", R="&amp;D254&amp;", "&amp;I254&amp;", "&amp;G254</f>
        <v>[33], R=-1, 90°, Trib + SR</v>
      </c>
      <c r="B254" s="5" t="s">
        <v>58</v>
      </c>
      <c r="C254" s="40">
        <f>[1]Criteria!$K$43</f>
        <v>0.8125</v>
      </c>
      <c r="D254" s="40">
        <v>-1</v>
      </c>
      <c r="E254" s="40" t="s">
        <v>34</v>
      </c>
      <c r="F254" s="40" t="s">
        <v>59</v>
      </c>
      <c r="G254" s="40" t="s">
        <v>60</v>
      </c>
      <c r="H254" s="40">
        <v>150</v>
      </c>
      <c r="I254" s="40" t="s">
        <v>16</v>
      </c>
      <c r="J254" s="5">
        <v>500</v>
      </c>
      <c r="K254" s="5">
        <f>J254*((1-$D$237)/2)^0.28</f>
        <v>500</v>
      </c>
      <c r="L254" s="41">
        <v>55000</v>
      </c>
    </row>
    <row r="255" spans="1:13" x14ac:dyDescent="0.3">
      <c r="C255" s="40"/>
      <c r="D255" s="40"/>
      <c r="E255" s="40"/>
      <c r="F255" s="40"/>
      <c r="G255" s="40"/>
      <c r="H255" s="40"/>
      <c r="I255" s="40"/>
      <c r="J255" s="5">
        <v>500</v>
      </c>
      <c r="K255" s="5">
        <f t="shared" ref="K255:K263" si="16">J255*((1-$D$237)/2)^0.28</f>
        <v>500</v>
      </c>
      <c r="L255" s="41">
        <v>39000</v>
      </c>
    </row>
    <row r="256" spans="1:13" x14ac:dyDescent="0.3">
      <c r="J256" s="5">
        <v>450</v>
      </c>
      <c r="K256" s="5">
        <f t="shared" si="16"/>
        <v>450</v>
      </c>
      <c r="L256" s="41">
        <v>100000</v>
      </c>
    </row>
    <row r="257" spans="1:16" x14ac:dyDescent="0.3">
      <c r="J257" s="5">
        <v>400</v>
      </c>
      <c r="K257" s="5">
        <f t="shared" si="16"/>
        <v>400</v>
      </c>
      <c r="L257" s="41">
        <v>4200000</v>
      </c>
    </row>
    <row r="258" spans="1:16" x14ac:dyDescent="0.3">
      <c r="J258" s="5">
        <v>400</v>
      </c>
      <c r="K258" s="5">
        <f t="shared" si="16"/>
        <v>400</v>
      </c>
      <c r="L258" s="41">
        <v>310000</v>
      </c>
    </row>
    <row r="259" spans="1:16" x14ac:dyDescent="0.3">
      <c r="J259" s="5">
        <v>375</v>
      </c>
      <c r="K259" s="5">
        <f t="shared" si="16"/>
        <v>375</v>
      </c>
      <c r="L259" s="41">
        <v>7200000</v>
      </c>
    </row>
    <row r="260" spans="1:16" x14ac:dyDescent="0.3">
      <c r="J260" s="5">
        <v>375</v>
      </c>
      <c r="K260" s="5">
        <f t="shared" si="16"/>
        <v>375</v>
      </c>
      <c r="L260" s="41">
        <v>325000</v>
      </c>
    </row>
    <row r="261" spans="1:16" x14ac:dyDescent="0.3">
      <c r="J261" s="5">
        <v>350</v>
      </c>
      <c r="K261" s="5">
        <f t="shared" si="16"/>
        <v>350</v>
      </c>
      <c r="L261" s="41">
        <v>30000000</v>
      </c>
    </row>
    <row r="262" spans="1:16" x14ac:dyDescent="0.3">
      <c r="J262" s="5">
        <v>350</v>
      </c>
      <c r="K262" s="5">
        <f t="shared" si="16"/>
        <v>350</v>
      </c>
      <c r="L262" s="41">
        <v>550000</v>
      </c>
    </row>
    <row r="263" spans="1:16" x14ac:dyDescent="0.3">
      <c r="J263" s="5">
        <v>325</v>
      </c>
      <c r="K263" s="5">
        <f t="shared" si="16"/>
        <v>325</v>
      </c>
      <c r="L263" s="41">
        <v>50000000</v>
      </c>
    </row>
    <row r="264" spans="1:16" x14ac:dyDescent="0.3">
      <c r="L264" s="42"/>
    </row>
    <row r="265" spans="1:16" x14ac:dyDescent="0.3">
      <c r="D265" s="5" t="s">
        <v>57</v>
      </c>
    </row>
    <row r="266" spans="1:16" ht="28.8" x14ac:dyDescent="0.3">
      <c r="C266" s="37" t="s">
        <v>263</v>
      </c>
      <c r="D266" s="37" t="s">
        <v>2</v>
      </c>
      <c r="E266" s="37" t="s">
        <v>3</v>
      </c>
      <c r="F266" s="38" t="s">
        <v>4</v>
      </c>
      <c r="G266" s="38" t="s">
        <v>22</v>
      </c>
      <c r="H266" s="37" t="s">
        <v>6</v>
      </c>
      <c r="I266" s="37" t="s">
        <v>7</v>
      </c>
      <c r="J266" s="37" t="s">
        <v>8</v>
      </c>
      <c r="K266" s="38" t="s">
        <v>9</v>
      </c>
      <c r="L266" s="37" t="s">
        <v>10</v>
      </c>
      <c r="M266" s="37" t="s">
        <v>11</v>
      </c>
      <c r="N266" s="42"/>
      <c r="O266" s="42"/>
      <c r="P266" s="34"/>
    </row>
    <row r="267" spans="1:16" x14ac:dyDescent="0.3">
      <c r="A267" s="5" t="str">
        <f>B267&amp;", R="&amp;D267&amp;", "&amp;I267&amp;", "&amp;G267</f>
        <v>[33], R=-1, 90°, Trib + Pol + SR</v>
      </c>
      <c r="B267" s="5" t="s">
        <v>58</v>
      </c>
      <c r="C267" s="40">
        <f>[1]Criteria!$K$43</f>
        <v>0.8125</v>
      </c>
      <c r="D267" s="40">
        <v>-1</v>
      </c>
      <c r="E267" s="40" t="s">
        <v>34</v>
      </c>
      <c r="F267" s="40" t="s">
        <v>59</v>
      </c>
      <c r="G267" s="40" t="s">
        <v>61</v>
      </c>
      <c r="H267" s="40">
        <v>150</v>
      </c>
      <c r="I267" s="40" t="s">
        <v>16</v>
      </c>
      <c r="J267" s="5">
        <v>400</v>
      </c>
      <c r="K267" s="5">
        <f>J267*((1-$D$237)/2)^0.28</f>
        <v>400</v>
      </c>
      <c r="L267" s="41">
        <v>37500</v>
      </c>
      <c r="N267" s="43"/>
      <c r="O267" s="43"/>
      <c r="P267" s="35"/>
    </row>
    <row r="268" spans="1:16" x14ac:dyDescent="0.3">
      <c r="C268" s="40"/>
      <c r="D268" s="40"/>
      <c r="E268" s="40"/>
      <c r="F268" s="40"/>
      <c r="G268" s="40"/>
      <c r="H268" s="40"/>
      <c r="I268" s="40"/>
      <c r="J268" s="5">
        <v>400</v>
      </c>
      <c r="K268" s="5">
        <f t="shared" ref="K268:K274" si="17">J268*((1-$D$237)/2)^0.28</f>
        <v>400</v>
      </c>
      <c r="L268" s="41">
        <v>60000</v>
      </c>
    </row>
    <row r="269" spans="1:16" x14ac:dyDescent="0.3">
      <c r="J269" s="5">
        <v>350</v>
      </c>
      <c r="K269" s="5">
        <f t="shared" si="17"/>
        <v>350</v>
      </c>
      <c r="L269" s="41">
        <v>125000</v>
      </c>
    </row>
    <row r="270" spans="1:16" x14ac:dyDescent="0.3">
      <c r="J270" s="5">
        <v>350</v>
      </c>
      <c r="K270" s="5">
        <f t="shared" si="17"/>
        <v>350</v>
      </c>
      <c r="L270" s="41">
        <v>150000</v>
      </c>
    </row>
    <row r="271" spans="1:16" x14ac:dyDescent="0.3">
      <c r="J271" s="5">
        <v>300</v>
      </c>
      <c r="K271" s="5">
        <f t="shared" si="17"/>
        <v>300</v>
      </c>
      <c r="L271" s="41">
        <v>220000</v>
      </c>
    </row>
    <row r="272" spans="1:16" x14ac:dyDescent="0.3">
      <c r="J272" s="5">
        <v>300</v>
      </c>
      <c r="K272" s="5">
        <f t="shared" si="17"/>
        <v>300</v>
      </c>
      <c r="L272" s="41">
        <v>925000</v>
      </c>
    </row>
    <row r="273" spans="1:16" x14ac:dyDescent="0.3">
      <c r="J273" s="5">
        <v>275</v>
      </c>
      <c r="K273" s="5">
        <f t="shared" si="17"/>
        <v>275</v>
      </c>
      <c r="L273" s="41">
        <v>4000000</v>
      </c>
    </row>
    <row r="274" spans="1:16" x14ac:dyDescent="0.3">
      <c r="J274" s="5">
        <v>250</v>
      </c>
      <c r="K274" s="5">
        <f t="shared" si="17"/>
        <v>250</v>
      </c>
      <c r="L274" s="41">
        <v>50000000</v>
      </c>
    </row>
    <row r="275" spans="1:16" x14ac:dyDescent="0.3">
      <c r="L275" s="41"/>
    </row>
    <row r="276" spans="1:16" x14ac:dyDescent="0.3">
      <c r="D276" s="5" t="s">
        <v>57</v>
      </c>
    </row>
    <row r="277" spans="1:16" ht="28.8" x14ac:dyDescent="0.3">
      <c r="C277" s="37" t="s">
        <v>263</v>
      </c>
      <c r="D277" s="37" t="s">
        <v>2</v>
      </c>
      <c r="E277" s="37" t="s">
        <v>3</v>
      </c>
      <c r="F277" s="38" t="s">
        <v>4</v>
      </c>
      <c r="G277" s="38" t="s">
        <v>22</v>
      </c>
      <c r="H277" s="37" t="s">
        <v>6</v>
      </c>
      <c r="I277" s="37" t="s">
        <v>7</v>
      </c>
      <c r="J277" s="37" t="s">
        <v>8</v>
      </c>
      <c r="K277" s="38" t="s">
        <v>9</v>
      </c>
      <c r="L277" s="37" t="s">
        <v>10</v>
      </c>
      <c r="M277" s="37" t="s">
        <v>11</v>
      </c>
      <c r="N277" s="42"/>
      <c r="O277" s="42"/>
      <c r="P277" s="34"/>
    </row>
    <row r="278" spans="1:16" x14ac:dyDescent="0.3">
      <c r="A278" s="5" t="str">
        <f>B278&amp;", R="&amp;D278&amp;", "&amp;I278&amp;", "&amp;G278</f>
        <v>[33], R=-1, 90°, Trib+SP+SR</v>
      </c>
      <c r="B278" s="5" t="s">
        <v>58</v>
      </c>
      <c r="C278" s="40">
        <f>[1]Criteria!$K$43</f>
        <v>0.8125</v>
      </c>
      <c r="D278" s="40">
        <v>-1</v>
      </c>
      <c r="E278" s="40" t="s">
        <v>34</v>
      </c>
      <c r="F278" s="40" t="s">
        <v>59</v>
      </c>
      <c r="G278" s="40" t="s">
        <v>62</v>
      </c>
      <c r="H278" s="40">
        <v>150</v>
      </c>
      <c r="I278" s="40" t="s">
        <v>16</v>
      </c>
      <c r="J278" s="5">
        <v>500</v>
      </c>
      <c r="K278" s="5">
        <f>J278*((1-$D$237)/2)^0.28</f>
        <v>500</v>
      </c>
      <c r="L278" s="41">
        <v>225000</v>
      </c>
      <c r="N278" s="43"/>
      <c r="O278" s="43"/>
      <c r="P278" s="35"/>
    </row>
    <row r="279" spans="1:16" x14ac:dyDescent="0.3">
      <c r="C279" s="40"/>
      <c r="D279" s="40"/>
      <c r="E279" s="40"/>
      <c r="F279" s="40"/>
      <c r="G279" s="40"/>
      <c r="H279" s="40"/>
      <c r="I279" s="40"/>
      <c r="J279" s="5">
        <v>500</v>
      </c>
      <c r="K279" s="5">
        <f t="shared" ref="K279:K288" si="18">J279*((1-$D$237)/2)^0.28</f>
        <v>500</v>
      </c>
      <c r="L279" s="41">
        <v>425000</v>
      </c>
    </row>
    <row r="280" spans="1:16" x14ac:dyDescent="0.3">
      <c r="J280" s="5">
        <v>450</v>
      </c>
      <c r="K280" s="5">
        <f t="shared" si="18"/>
        <v>450</v>
      </c>
      <c r="L280" s="41">
        <v>2200000</v>
      </c>
    </row>
    <row r="281" spans="1:16" x14ac:dyDescent="0.3">
      <c r="J281" s="5">
        <v>450</v>
      </c>
      <c r="K281" s="5">
        <f t="shared" si="18"/>
        <v>450</v>
      </c>
      <c r="L281" s="41">
        <v>3750000</v>
      </c>
    </row>
    <row r="282" spans="1:16" x14ac:dyDescent="0.3">
      <c r="J282" s="5">
        <v>400</v>
      </c>
      <c r="K282" s="5">
        <f t="shared" si="18"/>
        <v>400</v>
      </c>
      <c r="L282" s="41">
        <v>2750000</v>
      </c>
    </row>
    <row r="283" spans="1:16" x14ac:dyDescent="0.3">
      <c r="J283" s="5">
        <v>400</v>
      </c>
      <c r="K283" s="5">
        <f t="shared" si="18"/>
        <v>400</v>
      </c>
      <c r="L283" s="41">
        <v>4200000</v>
      </c>
    </row>
    <row r="284" spans="1:16" x14ac:dyDescent="0.3">
      <c r="J284" s="5">
        <v>375</v>
      </c>
      <c r="K284" s="5">
        <f t="shared" si="18"/>
        <v>375</v>
      </c>
      <c r="L284" s="41">
        <v>18000000</v>
      </c>
    </row>
    <row r="285" spans="1:16" x14ac:dyDescent="0.3">
      <c r="J285" s="5">
        <v>375</v>
      </c>
      <c r="K285" s="5">
        <f t="shared" si="18"/>
        <v>375</v>
      </c>
      <c r="L285" s="41">
        <v>20000000</v>
      </c>
    </row>
    <row r="286" spans="1:16" x14ac:dyDescent="0.3">
      <c r="J286" s="5">
        <v>350</v>
      </c>
      <c r="K286" s="5">
        <f t="shared" si="18"/>
        <v>350</v>
      </c>
      <c r="L286" s="41">
        <v>30000000</v>
      </c>
    </row>
    <row r="287" spans="1:16" x14ac:dyDescent="0.3">
      <c r="J287" s="5">
        <v>350</v>
      </c>
      <c r="K287" s="5">
        <f t="shared" si="18"/>
        <v>350</v>
      </c>
      <c r="L287" s="41">
        <v>32500000</v>
      </c>
    </row>
    <row r="288" spans="1:16" x14ac:dyDescent="0.3">
      <c r="J288" s="5">
        <v>325</v>
      </c>
      <c r="K288" s="5">
        <f t="shared" si="18"/>
        <v>325</v>
      </c>
      <c r="L288" s="42">
        <v>50000000</v>
      </c>
    </row>
    <row r="290" spans="1:13" x14ac:dyDescent="0.3">
      <c r="D290" s="5" t="s">
        <v>57</v>
      </c>
    </row>
    <row r="291" spans="1:13" ht="28.8" x14ac:dyDescent="0.3">
      <c r="C291" s="37" t="s">
        <v>263</v>
      </c>
      <c r="D291" s="37" t="s">
        <v>2</v>
      </c>
      <c r="E291" s="37" t="s">
        <v>3</v>
      </c>
      <c r="F291" s="38" t="s">
        <v>4</v>
      </c>
      <c r="G291" s="38" t="s">
        <v>22</v>
      </c>
      <c r="H291" s="37" t="s">
        <v>6</v>
      </c>
      <c r="I291" s="37" t="s">
        <v>7</v>
      </c>
      <c r="J291" s="37" t="s">
        <v>8</v>
      </c>
      <c r="K291" s="38" t="s">
        <v>9</v>
      </c>
      <c r="L291" s="37" t="s">
        <v>10</v>
      </c>
      <c r="M291" s="37" t="s">
        <v>11</v>
      </c>
    </row>
    <row r="292" spans="1:13" x14ac:dyDescent="0.3">
      <c r="A292" s="5" t="str">
        <f>B292&amp;", R="&amp;D292&amp;", "&amp;I292&amp;", "&amp;G292</f>
        <v>[33], R=-1, 90°, Trib.+ HIP</v>
      </c>
      <c r="B292" s="5" t="s">
        <v>58</v>
      </c>
      <c r="C292" s="40">
        <f>[1]Criteria!$K$43</f>
        <v>0.8125</v>
      </c>
      <c r="D292" s="40">
        <v>-1</v>
      </c>
      <c r="E292" s="40" t="s">
        <v>34</v>
      </c>
      <c r="F292" s="40" t="s">
        <v>59</v>
      </c>
      <c r="G292" s="40" t="s">
        <v>63</v>
      </c>
      <c r="H292" s="40">
        <v>150</v>
      </c>
      <c r="I292" s="40" t="s">
        <v>16</v>
      </c>
      <c r="J292" s="5">
        <v>500</v>
      </c>
      <c r="K292" s="5">
        <f>J292*((1-$D$237)/2)^0.28</f>
        <v>500</v>
      </c>
      <c r="L292" s="41">
        <v>72500</v>
      </c>
    </row>
    <row r="293" spans="1:13" x14ac:dyDescent="0.3">
      <c r="C293" s="40"/>
      <c r="D293" s="40"/>
      <c r="E293" s="40"/>
      <c r="F293" s="40"/>
      <c r="G293" s="40"/>
      <c r="H293" s="40"/>
      <c r="I293" s="40"/>
      <c r="J293" s="5">
        <v>500</v>
      </c>
      <c r="K293" s="5">
        <f t="shared" ref="K293:K303" si="19">J293*((1-$D$237)/2)^0.28</f>
        <v>500</v>
      </c>
      <c r="L293" s="41">
        <v>55000</v>
      </c>
    </row>
    <row r="294" spans="1:13" x14ac:dyDescent="0.3">
      <c r="J294" s="5">
        <v>450</v>
      </c>
      <c r="K294" s="5">
        <f t="shared" si="19"/>
        <v>450</v>
      </c>
      <c r="L294" s="41">
        <v>120000</v>
      </c>
    </row>
    <row r="295" spans="1:13" x14ac:dyDescent="0.3">
      <c r="J295" s="5">
        <v>450</v>
      </c>
      <c r="K295" s="5">
        <f t="shared" si="19"/>
        <v>450</v>
      </c>
      <c r="L295" s="41">
        <v>70000</v>
      </c>
    </row>
    <row r="296" spans="1:13" x14ac:dyDescent="0.3">
      <c r="J296" s="5">
        <v>425</v>
      </c>
      <c r="K296" s="5">
        <f t="shared" si="19"/>
        <v>425</v>
      </c>
      <c r="L296" s="41">
        <v>100000</v>
      </c>
    </row>
    <row r="297" spans="1:13" x14ac:dyDescent="0.3">
      <c r="J297" s="5">
        <v>425</v>
      </c>
      <c r="K297" s="5">
        <f t="shared" si="19"/>
        <v>425</v>
      </c>
      <c r="L297" s="41">
        <v>220000</v>
      </c>
    </row>
    <row r="298" spans="1:13" x14ac:dyDescent="0.3">
      <c r="J298" s="5">
        <v>400</v>
      </c>
      <c r="K298" s="5">
        <f t="shared" si="19"/>
        <v>400</v>
      </c>
      <c r="L298" s="41">
        <v>190000</v>
      </c>
    </row>
    <row r="299" spans="1:13" x14ac:dyDescent="0.3">
      <c r="J299" s="5">
        <v>400</v>
      </c>
      <c r="K299" s="5">
        <f t="shared" si="19"/>
        <v>400</v>
      </c>
      <c r="L299" s="41">
        <v>250000</v>
      </c>
    </row>
    <row r="300" spans="1:13" x14ac:dyDescent="0.3">
      <c r="J300" s="5">
        <v>400</v>
      </c>
      <c r="K300" s="5">
        <f t="shared" si="19"/>
        <v>400</v>
      </c>
      <c r="L300" s="41">
        <v>50000000</v>
      </c>
    </row>
    <row r="301" spans="1:13" x14ac:dyDescent="0.3">
      <c r="J301" s="5">
        <v>375</v>
      </c>
      <c r="K301" s="5">
        <f t="shared" si="19"/>
        <v>375</v>
      </c>
      <c r="L301" s="41">
        <v>7000000</v>
      </c>
    </row>
    <row r="302" spans="1:13" x14ac:dyDescent="0.3">
      <c r="J302" s="5">
        <v>375</v>
      </c>
      <c r="K302" s="5">
        <f t="shared" si="19"/>
        <v>375</v>
      </c>
      <c r="L302" s="42">
        <v>50000000</v>
      </c>
    </row>
    <row r="303" spans="1:13" x14ac:dyDescent="0.3">
      <c r="J303" s="5">
        <v>350</v>
      </c>
      <c r="K303" s="5">
        <f t="shared" si="19"/>
        <v>350</v>
      </c>
      <c r="L303" s="42">
        <v>50000000</v>
      </c>
    </row>
    <row r="304" spans="1:13" x14ac:dyDescent="0.3">
      <c r="L304" s="42"/>
    </row>
    <row r="305" spans="1:13" x14ac:dyDescent="0.3">
      <c r="D305" s="5" t="s">
        <v>64</v>
      </c>
    </row>
    <row r="306" spans="1:13" ht="28.8" x14ac:dyDescent="0.3">
      <c r="C306" s="37" t="s">
        <v>263</v>
      </c>
      <c r="D306" s="37" t="s">
        <v>2</v>
      </c>
      <c r="E306" s="37" t="s">
        <v>3</v>
      </c>
      <c r="F306" s="38" t="s">
        <v>4</v>
      </c>
      <c r="G306" s="38" t="s">
        <v>22</v>
      </c>
      <c r="H306" s="37" t="s">
        <v>6</v>
      </c>
      <c r="I306" s="37" t="s">
        <v>7</v>
      </c>
      <c r="J306" s="37" t="s">
        <v>8</v>
      </c>
      <c r="K306" s="38" t="s">
        <v>9</v>
      </c>
      <c r="L306" s="37" t="s">
        <v>10</v>
      </c>
      <c r="M306" s="37" t="s">
        <v>11</v>
      </c>
    </row>
    <row r="307" spans="1:13" x14ac:dyDescent="0.3">
      <c r="A307" s="5" t="str">
        <f>B307&amp;", R="&amp;D307&amp;", "&amp;I307&amp;", "&amp;G307</f>
        <v>[34], R=0.1, n/a, AB + SR</v>
      </c>
      <c r="B307" s="5" t="s">
        <v>65</v>
      </c>
      <c r="C307" s="40">
        <f>[1]Criteria!L43</f>
        <v>0.8125</v>
      </c>
      <c r="D307" s="40">
        <v>0.1</v>
      </c>
      <c r="E307" s="40" t="s">
        <v>34</v>
      </c>
      <c r="F307" s="40" t="s">
        <v>45</v>
      </c>
      <c r="G307" s="40" t="s">
        <v>15</v>
      </c>
      <c r="H307" s="40">
        <v>150</v>
      </c>
      <c r="I307" s="40" t="s">
        <v>31</v>
      </c>
      <c r="J307" s="5">
        <v>500</v>
      </c>
      <c r="K307" s="5">
        <f>J307*((1-$D$307)/2)^0.28</f>
        <v>399.82459701829731</v>
      </c>
      <c r="L307" s="42">
        <v>22500</v>
      </c>
    </row>
    <row r="308" spans="1:13" x14ac:dyDescent="0.3">
      <c r="J308" s="5">
        <v>450</v>
      </c>
      <c r="K308" s="5">
        <f t="shared" ref="K308:K317" si="20">J308*((1-$D$307)/2)^0.28</f>
        <v>359.84213731646759</v>
      </c>
      <c r="L308" s="42">
        <v>30000</v>
      </c>
    </row>
    <row r="309" spans="1:13" x14ac:dyDescent="0.3">
      <c r="J309" s="5">
        <v>390</v>
      </c>
      <c r="K309" s="5">
        <f t="shared" si="20"/>
        <v>311.8631856742719</v>
      </c>
      <c r="L309" s="42">
        <v>35000</v>
      </c>
    </row>
    <row r="310" spans="1:13" x14ac:dyDescent="0.3">
      <c r="J310" s="5">
        <v>375</v>
      </c>
      <c r="K310" s="5">
        <f t="shared" si="20"/>
        <v>299.868447763723</v>
      </c>
      <c r="L310" s="42">
        <v>65000</v>
      </c>
    </row>
    <row r="311" spans="1:13" x14ac:dyDescent="0.3">
      <c r="J311" s="5">
        <v>340</v>
      </c>
      <c r="K311" s="5">
        <f t="shared" si="20"/>
        <v>271.88072597244218</v>
      </c>
      <c r="L311" s="42">
        <v>65000</v>
      </c>
    </row>
    <row r="312" spans="1:13" x14ac:dyDescent="0.3">
      <c r="J312" s="5">
        <v>315</v>
      </c>
      <c r="K312" s="5">
        <f t="shared" si="20"/>
        <v>251.88949612152732</v>
      </c>
      <c r="L312" s="42">
        <v>125000</v>
      </c>
    </row>
    <row r="313" spans="1:13" x14ac:dyDescent="0.3">
      <c r="J313" s="5">
        <v>290</v>
      </c>
      <c r="K313" s="5">
        <f t="shared" si="20"/>
        <v>231.89826627061245</v>
      </c>
      <c r="L313" s="42">
        <v>125000</v>
      </c>
    </row>
    <row r="314" spans="1:13" x14ac:dyDescent="0.3">
      <c r="J314" s="5">
        <v>285</v>
      </c>
      <c r="K314" s="5">
        <f t="shared" si="20"/>
        <v>227.90002030042947</v>
      </c>
      <c r="L314" s="42">
        <v>200000</v>
      </c>
    </row>
    <row r="315" spans="1:13" x14ac:dyDescent="0.3">
      <c r="J315" s="5">
        <v>250</v>
      </c>
      <c r="K315" s="5">
        <f t="shared" si="20"/>
        <v>199.91229850914866</v>
      </c>
      <c r="L315" s="42">
        <v>150000</v>
      </c>
    </row>
    <row r="316" spans="1:13" x14ac:dyDescent="0.3">
      <c r="J316" s="5">
        <v>210</v>
      </c>
      <c r="K316" s="5">
        <f t="shared" si="20"/>
        <v>167.92633074768486</v>
      </c>
      <c r="L316" s="42">
        <v>650000</v>
      </c>
    </row>
    <row r="317" spans="1:13" x14ac:dyDescent="0.3">
      <c r="J317" s="5">
        <v>200</v>
      </c>
      <c r="K317" s="5">
        <f t="shared" si="20"/>
        <v>159.92983880731893</v>
      </c>
      <c r="L317" s="42">
        <v>10000000</v>
      </c>
    </row>
    <row r="318" spans="1:13" x14ac:dyDescent="0.3">
      <c r="L318" s="42"/>
    </row>
    <row r="319" spans="1:13" x14ac:dyDescent="0.3">
      <c r="D319" s="5" t="s">
        <v>64</v>
      </c>
    </row>
    <row r="320" spans="1:13" ht="28.8" x14ac:dyDescent="0.3">
      <c r="C320" s="37" t="s">
        <v>263</v>
      </c>
      <c r="D320" s="37" t="s">
        <v>2</v>
      </c>
      <c r="E320" s="37" t="s">
        <v>3</v>
      </c>
      <c r="F320" s="38" t="s">
        <v>4</v>
      </c>
      <c r="G320" s="38" t="s">
        <v>22</v>
      </c>
      <c r="H320" s="37" t="s">
        <v>6</v>
      </c>
      <c r="I320" s="37" t="s">
        <v>7</v>
      </c>
      <c r="J320" s="37" t="s">
        <v>8</v>
      </c>
      <c r="K320" s="38" t="s">
        <v>9</v>
      </c>
      <c r="L320" s="37" t="s">
        <v>10</v>
      </c>
      <c r="M320" s="37" t="s">
        <v>11</v>
      </c>
    </row>
    <row r="321" spans="1:13" x14ac:dyDescent="0.3">
      <c r="A321" s="5" t="str">
        <f>B321&amp;", R="&amp;D321&amp;", "&amp;I321&amp;", "&amp;G321</f>
        <v>[34], R=0.1, n/a, AB + SR</v>
      </c>
      <c r="B321" s="5" t="s">
        <v>65</v>
      </c>
      <c r="C321" s="40">
        <f>[1]Criteria!L43</f>
        <v>0.8125</v>
      </c>
      <c r="D321" s="40">
        <v>0.1</v>
      </c>
      <c r="E321" s="40" t="s">
        <v>34</v>
      </c>
      <c r="F321" s="40" t="s">
        <v>39</v>
      </c>
      <c r="G321" s="40" t="s">
        <v>15</v>
      </c>
      <c r="H321" s="40">
        <v>150</v>
      </c>
      <c r="I321" s="40" t="s">
        <v>31</v>
      </c>
      <c r="J321" s="5">
        <v>350</v>
      </c>
      <c r="K321" s="5">
        <f>J321*((1-$D$307)/2)^0.28</f>
        <v>279.87721791280813</v>
      </c>
      <c r="L321" s="42">
        <v>30000</v>
      </c>
    </row>
    <row r="322" spans="1:13" x14ac:dyDescent="0.3">
      <c r="J322" s="5">
        <v>325</v>
      </c>
      <c r="K322" s="5">
        <f t="shared" ref="K322:K331" si="21">J322*((1-$D$307)/2)^0.28</f>
        <v>259.88598806189327</v>
      </c>
      <c r="L322" s="42">
        <v>40000</v>
      </c>
    </row>
    <row r="323" spans="1:13" x14ac:dyDescent="0.3">
      <c r="J323" s="5">
        <v>300</v>
      </c>
      <c r="K323" s="5">
        <f t="shared" si="21"/>
        <v>239.89475821097838</v>
      </c>
      <c r="L323" s="42">
        <v>62500</v>
      </c>
    </row>
    <row r="324" spans="1:13" x14ac:dyDescent="0.3">
      <c r="J324" s="5">
        <v>275</v>
      </c>
      <c r="K324" s="5">
        <f t="shared" si="21"/>
        <v>219.90352836006352</v>
      </c>
      <c r="L324" s="42">
        <v>69000</v>
      </c>
    </row>
    <row r="325" spans="1:13" x14ac:dyDescent="0.3">
      <c r="J325" s="5">
        <v>250</v>
      </c>
      <c r="K325" s="5">
        <f t="shared" si="21"/>
        <v>199.91229850914866</v>
      </c>
      <c r="L325" s="42">
        <v>95000</v>
      </c>
    </row>
    <row r="326" spans="1:13" x14ac:dyDescent="0.3">
      <c r="J326" s="5">
        <v>225</v>
      </c>
      <c r="K326" s="5">
        <f t="shared" si="21"/>
        <v>179.92106865823379</v>
      </c>
      <c r="L326" s="42">
        <v>150000</v>
      </c>
    </row>
    <row r="327" spans="1:13" x14ac:dyDescent="0.3">
      <c r="J327" s="5">
        <v>210</v>
      </c>
      <c r="K327" s="5">
        <f t="shared" si="21"/>
        <v>167.92633074768486</v>
      </c>
      <c r="L327" s="42">
        <v>225000</v>
      </c>
    </row>
    <row r="328" spans="1:13" x14ac:dyDescent="0.3">
      <c r="J328" s="5">
        <v>200</v>
      </c>
      <c r="K328" s="5">
        <f t="shared" si="21"/>
        <v>159.92983880731893</v>
      </c>
      <c r="L328" s="42">
        <v>300000</v>
      </c>
    </row>
    <row r="329" spans="1:13" x14ac:dyDescent="0.3">
      <c r="J329" s="5">
        <v>175</v>
      </c>
      <c r="K329" s="5">
        <f t="shared" si="21"/>
        <v>139.93860895640407</v>
      </c>
      <c r="L329" s="42">
        <v>550000</v>
      </c>
    </row>
    <row r="330" spans="1:13" x14ac:dyDescent="0.3">
      <c r="J330" s="5">
        <v>160</v>
      </c>
      <c r="K330" s="5">
        <f t="shared" si="21"/>
        <v>127.94387104585513</v>
      </c>
      <c r="L330" s="42">
        <v>640000</v>
      </c>
    </row>
    <row r="331" spans="1:13" x14ac:dyDescent="0.3">
      <c r="J331" s="5">
        <v>150</v>
      </c>
      <c r="K331" s="5">
        <f t="shared" si="21"/>
        <v>119.94737910548919</v>
      </c>
      <c r="L331" s="42">
        <v>10000000</v>
      </c>
    </row>
    <row r="332" spans="1:13" x14ac:dyDescent="0.3">
      <c r="L332" s="42"/>
    </row>
    <row r="334" spans="1:13" x14ac:dyDescent="0.3">
      <c r="D334" s="5" t="s">
        <v>66</v>
      </c>
    </row>
    <row r="335" spans="1:13" ht="28.8" x14ac:dyDescent="0.3">
      <c r="C335" s="37" t="s">
        <v>263</v>
      </c>
      <c r="D335" s="37" t="s">
        <v>2</v>
      </c>
      <c r="E335" s="37" t="s">
        <v>3</v>
      </c>
      <c r="F335" s="38" t="s">
        <v>4</v>
      </c>
      <c r="G335" s="38" t="s">
        <v>22</v>
      </c>
      <c r="H335" s="37" t="s">
        <v>6</v>
      </c>
      <c r="I335" s="37" t="s">
        <v>7</v>
      </c>
      <c r="J335" s="37" t="s">
        <v>8</v>
      </c>
      <c r="K335" s="38" t="s">
        <v>9</v>
      </c>
      <c r="L335" s="37" t="s">
        <v>10</v>
      </c>
      <c r="M335" s="37" t="s">
        <v>11</v>
      </c>
    </row>
    <row r="336" spans="1:13" x14ac:dyDescent="0.3">
      <c r="A336" s="5" t="str">
        <f>B336&amp;", R="&amp;D336&amp;", "&amp;I336&amp;", "&amp;G336</f>
        <v>[35], R=-1, 90°, AB + SR</v>
      </c>
      <c r="B336" s="5" t="s">
        <v>67</v>
      </c>
      <c r="C336" s="40">
        <f>[1]Criteria!$M$43</f>
        <v>0.75</v>
      </c>
      <c r="D336" s="40">
        <v>-1</v>
      </c>
      <c r="E336" s="40" t="s">
        <v>44</v>
      </c>
      <c r="F336" s="40" t="s">
        <v>45</v>
      </c>
      <c r="G336" s="40" t="s">
        <v>15</v>
      </c>
      <c r="H336" s="40">
        <v>60</v>
      </c>
      <c r="I336" s="40" t="s">
        <v>16</v>
      </c>
      <c r="J336" s="5">
        <v>500</v>
      </c>
      <c r="K336" s="5">
        <f>J336*((1-$D$336)/2)^0.28</f>
        <v>500</v>
      </c>
      <c r="L336" s="42">
        <v>20000</v>
      </c>
    </row>
    <row r="337" spans="1:13" x14ac:dyDescent="0.3">
      <c r="J337" s="5">
        <v>450</v>
      </c>
      <c r="K337" s="5">
        <f t="shared" ref="K337:K348" si="22">J337*((1-$D$336)/2)^0.28</f>
        <v>450</v>
      </c>
      <c r="L337" s="42">
        <v>25000</v>
      </c>
    </row>
    <row r="338" spans="1:13" x14ac:dyDescent="0.3">
      <c r="J338" s="5">
        <v>375</v>
      </c>
      <c r="K338" s="5">
        <f t="shared" si="22"/>
        <v>375</v>
      </c>
      <c r="L338" s="42">
        <v>40000</v>
      </c>
    </row>
    <row r="339" spans="1:13" x14ac:dyDescent="0.3">
      <c r="J339" s="5">
        <v>325</v>
      </c>
      <c r="K339" s="5">
        <f t="shared" si="22"/>
        <v>325</v>
      </c>
      <c r="L339" s="42">
        <v>50000</v>
      </c>
    </row>
    <row r="340" spans="1:13" x14ac:dyDescent="0.3">
      <c r="J340" s="5">
        <v>300</v>
      </c>
      <c r="K340" s="5">
        <f t="shared" si="22"/>
        <v>300</v>
      </c>
      <c r="L340" s="42">
        <v>100000</v>
      </c>
    </row>
    <row r="341" spans="1:13" x14ac:dyDescent="0.3">
      <c r="J341" s="5">
        <v>250</v>
      </c>
      <c r="K341" s="5">
        <f t="shared" si="22"/>
        <v>250</v>
      </c>
      <c r="L341" s="42">
        <v>175000</v>
      </c>
    </row>
    <row r="342" spans="1:13" x14ac:dyDescent="0.3">
      <c r="J342" s="5">
        <v>210</v>
      </c>
      <c r="K342" s="5">
        <f t="shared" si="22"/>
        <v>210</v>
      </c>
      <c r="L342" s="42">
        <v>300000</v>
      </c>
    </row>
    <row r="343" spans="1:13" x14ac:dyDescent="0.3">
      <c r="J343" s="5">
        <v>200</v>
      </c>
      <c r="K343" s="5">
        <f t="shared" si="22"/>
        <v>200</v>
      </c>
      <c r="L343" s="42">
        <v>400000</v>
      </c>
    </row>
    <row r="344" spans="1:13" x14ac:dyDescent="0.3">
      <c r="J344" s="5">
        <v>175</v>
      </c>
      <c r="K344" s="5">
        <f t="shared" si="22"/>
        <v>175</v>
      </c>
      <c r="L344" s="42">
        <v>700000</v>
      </c>
    </row>
    <row r="345" spans="1:13" x14ac:dyDescent="0.3">
      <c r="J345" s="5">
        <v>175</v>
      </c>
      <c r="K345" s="5">
        <f t="shared" si="22"/>
        <v>175</v>
      </c>
      <c r="L345" s="42">
        <v>4000000</v>
      </c>
    </row>
    <row r="346" spans="1:13" x14ac:dyDescent="0.3">
      <c r="J346" s="5">
        <v>150</v>
      </c>
      <c r="K346" s="5">
        <f t="shared" si="22"/>
        <v>150</v>
      </c>
      <c r="L346" s="42">
        <v>1500000</v>
      </c>
    </row>
    <row r="347" spans="1:13" x14ac:dyDescent="0.3">
      <c r="J347" s="5">
        <v>130</v>
      </c>
      <c r="K347" s="5">
        <f t="shared" si="22"/>
        <v>130</v>
      </c>
      <c r="L347" s="42">
        <v>10000000</v>
      </c>
    </row>
    <row r="348" spans="1:13" x14ac:dyDescent="0.3">
      <c r="J348" s="5">
        <v>125</v>
      </c>
      <c r="K348" s="5">
        <f t="shared" si="22"/>
        <v>125</v>
      </c>
      <c r="L348" s="42">
        <v>10000000</v>
      </c>
    </row>
    <row r="349" spans="1:13" x14ac:dyDescent="0.3">
      <c r="L349" s="42"/>
    </row>
    <row r="350" spans="1:13" x14ac:dyDescent="0.3">
      <c r="D350" s="5" t="s">
        <v>66</v>
      </c>
    </row>
    <row r="351" spans="1:13" ht="28.8" x14ac:dyDescent="0.3">
      <c r="C351" s="37" t="s">
        <v>263</v>
      </c>
      <c r="D351" s="37" t="s">
        <v>2</v>
      </c>
      <c r="E351" s="37" t="s">
        <v>3</v>
      </c>
      <c r="F351" s="38" t="s">
        <v>4</v>
      </c>
      <c r="G351" s="38" t="s">
        <v>22</v>
      </c>
      <c r="H351" s="37" t="s">
        <v>6</v>
      </c>
      <c r="I351" s="37" t="s">
        <v>7</v>
      </c>
      <c r="J351" s="37" t="s">
        <v>8</v>
      </c>
      <c r="K351" s="38" t="s">
        <v>9</v>
      </c>
      <c r="L351" s="37" t="s">
        <v>10</v>
      </c>
      <c r="M351" s="37" t="s">
        <v>11</v>
      </c>
    </row>
    <row r="352" spans="1:13" x14ac:dyDescent="0.3">
      <c r="A352" s="5" t="str">
        <f>B352&amp;", R="&amp;D352&amp;", "&amp;I352&amp;", "&amp;G352</f>
        <v>[35], R=-1, 90°, AB + HIP</v>
      </c>
      <c r="B352" s="5" t="s">
        <v>67</v>
      </c>
      <c r="C352" s="40">
        <f>[1]Criteria!$M$43</f>
        <v>0.75</v>
      </c>
      <c r="D352" s="40">
        <v>-1</v>
      </c>
      <c r="E352" s="40" t="s">
        <v>44</v>
      </c>
      <c r="F352" s="40" t="s">
        <v>45</v>
      </c>
      <c r="G352" s="40" t="s">
        <v>25</v>
      </c>
      <c r="H352" s="40">
        <v>60</v>
      </c>
      <c r="I352" s="40" t="s">
        <v>16</v>
      </c>
      <c r="J352" s="5">
        <v>425</v>
      </c>
      <c r="K352" s="5">
        <f>J352*((1-$D$336)/2)^0.28</f>
        <v>425</v>
      </c>
      <c r="L352" s="42">
        <v>40000</v>
      </c>
    </row>
    <row r="353" spans="1:13" x14ac:dyDescent="0.3">
      <c r="J353" s="5">
        <v>390</v>
      </c>
      <c r="K353" s="5">
        <f t="shared" ref="K353:K364" si="23">J353*((1-$D$336)/2)^0.28</f>
        <v>390</v>
      </c>
      <c r="L353" s="42">
        <v>60000</v>
      </c>
    </row>
    <row r="354" spans="1:13" x14ac:dyDescent="0.3">
      <c r="J354" s="5">
        <v>350</v>
      </c>
      <c r="K354" s="5">
        <f t="shared" si="23"/>
        <v>350</v>
      </c>
      <c r="L354" s="42">
        <v>90000</v>
      </c>
    </row>
    <row r="355" spans="1:13" x14ac:dyDescent="0.3">
      <c r="J355" s="5">
        <v>300</v>
      </c>
      <c r="K355" s="5">
        <f t="shared" si="23"/>
        <v>300</v>
      </c>
      <c r="L355" s="42">
        <v>150000</v>
      </c>
    </row>
    <row r="356" spans="1:13" x14ac:dyDescent="0.3">
      <c r="J356" s="5">
        <v>250</v>
      </c>
      <c r="K356" s="5">
        <f t="shared" si="23"/>
        <v>250</v>
      </c>
      <c r="L356" s="42">
        <v>300000</v>
      </c>
    </row>
    <row r="357" spans="1:13" x14ac:dyDescent="0.3">
      <c r="J357" s="5">
        <v>240</v>
      </c>
      <c r="K357" s="5">
        <f t="shared" si="23"/>
        <v>240</v>
      </c>
      <c r="L357" s="42">
        <v>325000</v>
      </c>
    </row>
    <row r="358" spans="1:13" x14ac:dyDescent="0.3">
      <c r="J358" s="5">
        <v>240</v>
      </c>
      <c r="K358" s="5">
        <f t="shared" si="23"/>
        <v>240</v>
      </c>
      <c r="L358" s="42">
        <v>500000</v>
      </c>
    </row>
    <row r="359" spans="1:13" x14ac:dyDescent="0.3">
      <c r="J359" s="5">
        <v>225</v>
      </c>
      <c r="K359" s="5">
        <f t="shared" si="23"/>
        <v>225</v>
      </c>
      <c r="L359" s="42">
        <v>1000000</v>
      </c>
    </row>
    <row r="360" spans="1:13" x14ac:dyDescent="0.3">
      <c r="J360" s="5">
        <v>220</v>
      </c>
      <c r="K360" s="5">
        <f t="shared" si="23"/>
        <v>220</v>
      </c>
      <c r="L360" s="42">
        <v>10000000</v>
      </c>
    </row>
    <row r="361" spans="1:13" x14ac:dyDescent="0.3">
      <c r="J361" s="5">
        <v>215</v>
      </c>
      <c r="K361" s="5">
        <f t="shared" si="23"/>
        <v>215</v>
      </c>
      <c r="L361" s="42">
        <v>10000000</v>
      </c>
    </row>
    <row r="362" spans="1:13" x14ac:dyDescent="0.3">
      <c r="J362" s="5">
        <v>200</v>
      </c>
      <c r="K362" s="5">
        <f t="shared" si="23"/>
        <v>200</v>
      </c>
      <c r="L362" s="42">
        <v>2000000</v>
      </c>
    </row>
    <row r="363" spans="1:13" x14ac:dyDescent="0.3">
      <c r="J363" s="5">
        <v>200</v>
      </c>
      <c r="K363" s="5">
        <f t="shared" si="23"/>
        <v>200</v>
      </c>
      <c r="L363" s="42">
        <v>10000000</v>
      </c>
    </row>
    <row r="364" spans="1:13" x14ac:dyDescent="0.3">
      <c r="J364" s="5">
        <v>195</v>
      </c>
      <c r="K364" s="5">
        <f t="shared" si="23"/>
        <v>195</v>
      </c>
      <c r="L364" s="42">
        <v>10000000</v>
      </c>
    </row>
    <row r="365" spans="1:13" x14ac:dyDescent="0.3">
      <c r="L365" s="42"/>
    </row>
    <row r="366" spans="1:13" x14ac:dyDescent="0.3">
      <c r="D366" s="5" t="s">
        <v>66</v>
      </c>
    </row>
    <row r="367" spans="1:13" ht="28.8" x14ac:dyDescent="0.3">
      <c r="C367" s="37" t="s">
        <v>263</v>
      </c>
      <c r="D367" s="37" t="s">
        <v>2</v>
      </c>
      <c r="E367" s="37" t="s">
        <v>3</v>
      </c>
      <c r="F367" s="38" t="s">
        <v>4</v>
      </c>
      <c r="G367" s="38" t="s">
        <v>22</v>
      </c>
      <c r="H367" s="37" t="s">
        <v>6</v>
      </c>
      <c r="I367" s="37" t="s">
        <v>7</v>
      </c>
      <c r="J367" s="37" t="s">
        <v>8</v>
      </c>
      <c r="K367" s="38" t="s">
        <v>9</v>
      </c>
      <c r="L367" s="37" t="s">
        <v>10</v>
      </c>
      <c r="M367" s="37" t="s">
        <v>11</v>
      </c>
    </row>
    <row r="368" spans="1:13" x14ac:dyDescent="0.3">
      <c r="A368" s="5" t="str">
        <f>B368&amp;", R="&amp;D368&amp;", "&amp;I368&amp;", "&amp;G368</f>
        <v>[35], R=-1, 90°, Pol + HIP</v>
      </c>
      <c r="B368" s="5" t="s">
        <v>67</v>
      </c>
      <c r="C368" s="40">
        <f>[1]Criteria!$M$43</f>
        <v>0.75</v>
      </c>
      <c r="D368" s="40">
        <v>-1</v>
      </c>
      <c r="E368" s="40" t="s">
        <v>44</v>
      </c>
      <c r="F368" s="40" t="s">
        <v>45</v>
      </c>
      <c r="G368" s="40" t="s">
        <v>68</v>
      </c>
      <c r="H368" s="40">
        <v>60</v>
      </c>
      <c r="I368" s="40" t="s">
        <v>16</v>
      </c>
      <c r="J368" s="5">
        <v>750</v>
      </c>
      <c r="K368" s="5">
        <f>J368*((1-$D$336)/2)^0.28</f>
        <v>750</v>
      </c>
      <c r="L368" s="42">
        <v>20000</v>
      </c>
    </row>
    <row r="369" spans="1:13" x14ac:dyDescent="0.3">
      <c r="J369" s="5">
        <v>725</v>
      </c>
      <c r="K369" s="5">
        <f t="shared" ref="K369:K379" si="24">J369*((1-$D$336)/2)^0.28</f>
        <v>725</v>
      </c>
      <c r="L369" s="42">
        <v>22500</v>
      </c>
    </row>
    <row r="370" spans="1:13" x14ac:dyDescent="0.3">
      <c r="J370" s="5">
        <v>690</v>
      </c>
      <c r="K370" s="5">
        <f t="shared" si="24"/>
        <v>690</v>
      </c>
      <c r="L370" s="42">
        <v>40000</v>
      </c>
    </row>
    <row r="371" spans="1:13" x14ac:dyDescent="0.3">
      <c r="J371" s="5">
        <v>630</v>
      </c>
      <c r="K371" s="5">
        <f t="shared" si="24"/>
        <v>630</v>
      </c>
      <c r="L371" s="42">
        <v>35000</v>
      </c>
    </row>
    <row r="372" spans="1:13" x14ac:dyDescent="0.3">
      <c r="J372" s="5">
        <v>630</v>
      </c>
      <c r="K372" s="5">
        <f t="shared" si="24"/>
        <v>630</v>
      </c>
      <c r="L372" s="42">
        <v>50000</v>
      </c>
    </row>
    <row r="373" spans="1:13" x14ac:dyDescent="0.3">
      <c r="J373" s="5">
        <v>615</v>
      </c>
      <c r="K373" s="5">
        <f t="shared" si="24"/>
        <v>615</v>
      </c>
      <c r="L373" s="42">
        <v>50000</v>
      </c>
    </row>
    <row r="374" spans="1:13" x14ac:dyDescent="0.3">
      <c r="J374" s="5">
        <v>615</v>
      </c>
      <c r="K374" s="5">
        <f t="shared" si="24"/>
        <v>615</v>
      </c>
      <c r="L374" s="42">
        <v>100000</v>
      </c>
    </row>
    <row r="375" spans="1:13" x14ac:dyDescent="0.3">
      <c r="J375" s="5">
        <v>610</v>
      </c>
      <c r="K375" s="5">
        <f t="shared" si="24"/>
        <v>610</v>
      </c>
      <c r="L375" s="42">
        <v>55000</v>
      </c>
    </row>
    <row r="376" spans="1:13" x14ac:dyDescent="0.3">
      <c r="J376" s="5">
        <v>600</v>
      </c>
      <c r="K376" s="5">
        <f t="shared" si="24"/>
        <v>600</v>
      </c>
      <c r="L376" s="42">
        <v>55000</v>
      </c>
    </row>
    <row r="377" spans="1:13" x14ac:dyDescent="0.3">
      <c r="J377" s="5">
        <v>600</v>
      </c>
      <c r="K377" s="5">
        <f t="shared" si="24"/>
        <v>600</v>
      </c>
      <c r="L377" s="42">
        <v>10000000</v>
      </c>
    </row>
    <row r="378" spans="1:13" x14ac:dyDescent="0.3">
      <c r="J378" s="5">
        <v>595</v>
      </c>
      <c r="K378" s="5">
        <f t="shared" si="24"/>
        <v>595</v>
      </c>
      <c r="L378" s="42">
        <v>10000000</v>
      </c>
    </row>
    <row r="379" spans="1:13" x14ac:dyDescent="0.3">
      <c r="J379" s="5">
        <v>590</v>
      </c>
      <c r="K379" s="5">
        <f t="shared" si="24"/>
        <v>590</v>
      </c>
      <c r="L379" s="42">
        <v>10000000</v>
      </c>
    </row>
    <row r="380" spans="1:13" x14ac:dyDescent="0.3">
      <c r="L380" s="42"/>
    </row>
    <row r="381" spans="1:13" x14ac:dyDescent="0.3">
      <c r="D381" s="5" t="s">
        <v>66</v>
      </c>
    </row>
    <row r="382" spans="1:13" ht="28.8" x14ac:dyDescent="0.3">
      <c r="C382" s="37" t="s">
        <v>263</v>
      </c>
      <c r="D382" s="37" t="s">
        <v>2</v>
      </c>
      <c r="E382" s="37" t="s">
        <v>3</v>
      </c>
      <c r="F382" s="38" t="s">
        <v>4</v>
      </c>
      <c r="G382" s="38" t="s">
        <v>22</v>
      </c>
      <c r="H382" s="37" t="s">
        <v>6</v>
      </c>
      <c r="I382" s="37" t="s">
        <v>7</v>
      </c>
      <c r="J382" s="37" t="s">
        <v>8</v>
      </c>
      <c r="K382" s="38" t="s">
        <v>9</v>
      </c>
      <c r="L382" s="37" t="s">
        <v>10</v>
      </c>
      <c r="M382" s="37" t="s">
        <v>11</v>
      </c>
    </row>
    <row r="383" spans="1:13" x14ac:dyDescent="0.3">
      <c r="A383" s="5" t="str">
        <f>B383&amp;", R="&amp;D383&amp;", "&amp;I383&amp;", "&amp;G383</f>
        <v>[35], R=-1, 90°, AB</v>
      </c>
      <c r="B383" s="5" t="s">
        <v>67</v>
      </c>
      <c r="C383" s="40">
        <f>[1]Criteria!$M$43</f>
        <v>0.75</v>
      </c>
      <c r="D383" s="40">
        <v>-1</v>
      </c>
      <c r="E383" s="40" t="s">
        <v>44</v>
      </c>
      <c r="F383" s="40" t="s">
        <v>39</v>
      </c>
      <c r="G383" s="40" t="s">
        <v>50</v>
      </c>
      <c r="H383" s="40">
        <v>60</v>
      </c>
      <c r="I383" s="40" t="s">
        <v>16</v>
      </c>
      <c r="J383" s="5">
        <v>400</v>
      </c>
      <c r="K383" s="5">
        <f>J383*((1-$D$336)/2)^0.28</f>
        <v>400</v>
      </c>
      <c r="L383" s="42">
        <v>20000</v>
      </c>
    </row>
    <row r="384" spans="1:13" x14ac:dyDescent="0.3">
      <c r="J384" s="5">
        <v>350</v>
      </c>
      <c r="K384" s="5">
        <f t="shared" ref="K384:K395" si="25">J384*((1-$D$336)/2)^0.28</f>
        <v>350</v>
      </c>
      <c r="L384" s="42">
        <v>22000</v>
      </c>
    </row>
    <row r="385" spans="1:13" x14ac:dyDescent="0.3">
      <c r="J385" s="5">
        <v>325</v>
      </c>
      <c r="K385" s="5">
        <f t="shared" si="25"/>
        <v>325</v>
      </c>
      <c r="L385" s="42">
        <v>40000</v>
      </c>
    </row>
    <row r="386" spans="1:13" x14ac:dyDescent="0.3">
      <c r="J386" s="5">
        <v>290</v>
      </c>
      <c r="K386" s="5">
        <f t="shared" si="25"/>
        <v>290</v>
      </c>
      <c r="L386" s="42">
        <v>65000</v>
      </c>
    </row>
    <row r="387" spans="1:13" x14ac:dyDescent="0.3">
      <c r="J387" s="5">
        <v>230</v>
      </c>
      <c r="K387" s="5">
        <f t="shared" si="25"/>
        <v>230</v>
      </c>
      <c r="L387" s="42">
        <v>100000</v>
      </c>
    </row>
    <row r="388" spans="1:13" x14ac:dyDescent="0.3">
      <c r="J388" s="5">
        <v>220</v>
      </c>
      <c r="K388" s="5">
        <f t="shared" si="25"/>
        <v>220</v>
      </c>
      <c r="L388" s="42">
        <v>150000</v>
      </c>
    </row>
    <row r="389" spans="1:13" x14ac:dyDescent="0.3">
      <c r="J389" s="5">
        <v>200</v>
      </c>
      <c r="K389" s="5">
        <f t="shared" si="25"/>
        <v>200</v>
      </c>
      <c r="L389" s="42">
        <v>350000</v>
      </c>
    </row>
    <row r="390" spans="1:13" x14ac:dyDescent="0.3">
      <c r="J390" s="5">
        <v>190</v>
      </c>
      <c r="K390" s="5">
        <f t="shared" si="25"/>
        <v>190</v>
      </c>
      <c r="L390" s="42">
        <v>500000</v>
      </c>
    </row>
    <row r="391" spans="1:13" x14ac:dyDescent="0.3">
      <c r="J391" s="5">
        <v>175</v>
      </c>
      <c r="K391" s="5">
        <f t="shared" si="25"/>
        <v>175</v>
      </c>
      <c r="L391" s="42">
        <v>1000000</v>
      </c>
    </row>
    <row r="392" spans="1:13" x14ac:dyDescent="0.3">
      <c r="J392" s="5">
        <v>160</v>
      </c>
      <c r="K392" s="5">
        <f t="shared" si="25"/>
        <v>160</v>
      </c>
      <c r="L392" s="42">
        <v>1500000</v>
      </c>
    </row>
    <row r="393" spans="1:13" x14ac:dyDescent="0.3">
      <c r="J393" s="5">
        <v>150</v>
      </c>
      <c r="K393" s="5">
        <f t="shared" si="25"/>
        <v>150</v>
      </c>
      <c r="L393" s="42">
        <v>2000000</v>
      </c>
    </row>
    <row r="394" spans="1:13" x14ac:dyDescent="0.3">
      <c r="J394" s="5">
        <v>140</v>
      </c>
      <c r="K394" s="5">
        <f t="shared" si="25"/>
        <v>140</v>
      </c>
      <c r="L394" s="42">
        <v>10000000</v>
      </c>
    </row>
    <row r="395" spans="1:13" x14ac:dyDescent="0.3">
      <c r="J395" s="5">
        <v>120</v>
      </c>
      <c r="K395" s="5">
        <f t="shared" si="25"/>
        <v>120</v>
      </c>
      <c r="L395" s="42">
        <v>10000000</v>
      </c>
    </row>
    <row r="396" spans="1:13" x14ac:dyDescent="0.3">
      <c r="L396" s="42"/>
    </row>
    <row r="397" spans="1:13" x14ac:dyDescent="0.3">
      <c r="D397" s="5" t="s">
        <v>66</v>
      </c>
    </row>
    <row r="398" spans="1:13" ht="28.8" x14ac:dyDescent="0.3">
      <c r="C398" s="37" t="s">
        <v>263</v>
      </c>
      <c r="D398" s="37" t="s">
        <v>2</v>
      </c>
      <c r="E398" s="37" t="s">
        <v>3</v>
      </c>
      <c r="F398" s="38" t="s">
        <v>4</v>
      </c>
      <c r="G398" s="38" t="s">
        <v>22</v>
      </c>
      <c r="H398" s="37" t="s">
        <v>6</v>
      </c>
      <c r="I398" s="37" t="s">
        <v>7</v>
      </c>
      <c r="J398" s="37" t="s">
        <v>8</v>
      </c>
      <c r="K398" s="38" t="s">
        <v>9</v>
      </c>
      <c r="L398" s="37" t="s">
        <v>10</v>
      </c>
      <c r="M398" s="37" t="s">
        <v>11</v>
      </c>
    </row>
    <row r="399" spans="1:13" x14ac:dyDescent="0.3">
      <c r="A399" s="5" t="str">
        <f>B399&amp;", R="&amp;D399&amp;", "&amp;I399&amp;", "&amp;G399</f>
        <v>[35], R=-1, 90°, AB+HIP</v>
      </c>
      <c r="B399" s="5" t="s">
        <v>67</v>
      </c>
      <c r="C399" s="40">
        <f>[1]Criteria!$M$43</f>
        <v>0.75</v>
      </c>
      <c r="D399" s="40">
        <v>-1</v>
      </c>
      <c r="E399" s="40" t="s">
        <v>44</v>
      </c>
      <c r="F399" s="40" t="s">
        <v>39</v>
      </c>
      <c r="G399" s="40" t="s">
        <v>69</v>
      </c>
      <c r="H399" s="40">
        <v>60</v>
      </c>
      <c r="I399" s="40" t="s">
        <v>16</v>
      </c>
      <c r="J399" s="5">
        <v>400</v>
      </c>
      <c r="K399" s="5">
        <f>J399*((1-$D$336)/2)^0.28</f>
        <v>400</v>
      </c>
      <c r="L399" s="42">
        <v>25000</v>
      </c>
    </row>
    <row r="400" spans="1:13" x14ac:dyDescent="0.3">
      <c r="J400" s="5">
        <v>350</v>
      </c>
      <c r="K400" s="5">
        <f t="shared" ref="K400:K411" si="26">J400*((1-$D$336)/2)^0.28</f>
        <v>350</v>
      </c>
      <c r="L400" s="42">
        <v>40000</v>
      </c>
    </row>
    <row r="401" spans="1:13" x14ac:dyDescent="0.3">
      <c r="J401" s="5">
        <v>325</v>
      </c>
      <c r="K401" s="5">
        <f t="shared" si="26"/>
        <v>325</v>
      </c>
      <c r="L401" s="42">
        <v>55000</v>
      </c>
    </row>
    <row r="402" spans="1:13" x14ac:dyDescent="0.3">
      <c r="J402" s="5">
        <v>290</v>
      </c>
      <c r="K402" s="5">
        <f t="shared" si="26"/>
        <v>290</v>
      </c>
      <c r="L402" s="42">
        <v>100000</v>
      </c>
    </row>
    <row r="403" spans="1:13" x14ac:dyDescent="0.3">
      <c r="J403" s="5">
        <v>250</v>
      </c>
      <c r="K403" s="5">
        <f t="shared" si="26"/>
        <v>250</v>
      </c>
      <c r="L403" s="42">
        <v>175000</v>
      </c>
    </row>
    <row r="404" spans="1:13" x14ac:dyDescent="0.3">
      <c r="J404" s="5">
        <v>230</v>
      </c>
      <c r="K404" s="5">
        <f t="shared" si="26"/>
        <v>230</v>
      </c>
      <c r="L404" s="42">
        <v>200000</v>
      </c>
    </row>
    <row r="405" spans="1:13" x14ac:dyDescent="0.3">
      <c r="J405" s="5">
        <v>230</v>
      </c>
      <c r="K405" s="5">
        <f t="shared" si="26"/>
        <v>230</v>
      </c>
      <c r="L405" s="42">
        <v>300000</v>
      </c>
    </row>
    <row r="406" spans="1:13" x14ac:dyDescent="0.3">
      <c r="J406" s="5">
        <v>220</v>
      </c>
      <c r="K406" s="5">
        <f t="shared" si="26"/>
        <v>220</v>
      </c>
      <c r="L406" s="42">
        <v>250000</v>
      </c>
    </row>
    <row r="407" spans="1:13" x14ac:dyDescent="0.3">
      <c r="J407" s="5">
        <v>210</v>
      </c>
      <c r="K407" s="5">
        <f t="shared" si="26"/>
        <v>210</v>
      </c>
      <c r="L407" s="42">
        <v>400000</v>
      </c>
    </row>
    <row r="408" spans="1:13" x14ac:dyDescent="0.3">
      <c r="J408" s="5">
        <v>200</v>
      </c>
      <c r="K408" s="5">
        <f t="shared" si="26"/>
        <v>200</v>
      </c>
      <c r="L408" s="42">
        <v>350000</v>
      </c>
    </row>
    <row r="409" spans="1:13" x14ac:dyDescent="0.3">
      <c r="J409" s="5">
        <v>200</v>
      </c>
      <c r="K409" s="5">
        <f t="shared" si="26"/>
        <v>200</v>
      </c>
      <c r="L409" s="42">
        <v>10000000</v>
      </c>
    </row>
    <row r="410" spans="1:13" x14ac:dyDescent="0.3">
      <c r="J410" s="5">
        <v>180</v>
      </c>
      <c r="K410" s="5">
        <f t="shared" si="26"/>
        <v>180</v>
      </c>
      <c r="L410" s="42">
        <v>10000000</v>
      </c>
    </row>
    <row r="411" spans="1:13" x14ac:dyDescent="0.3">
      <c r="J411" s="5">
        <v>150</v>
      </c>
      <c r="K411" s="5">
        <f t="shared" si="26"/>
        <v>150</v>
      </c>
      <c r="L411" s="42">
        <v>10000000</v>
      </c>
    </row>
    <row r="412" spans="1:13" x14ac:dyDescent="0.3">
      <c r="L412" s="42"/>
    </row>
    <row r="413" spans="1:13" x14ac:dyDescent="0.3">
      <c r="D413" s="5" t="s">
        <v>66</v>
      </c>
    </row>
    <row r="414" spans="1:13" ht="28.8" x14ac:dyDescent="0.3">
      <c r="C414" s="37" t="s">
        <v>263</v>
      </c>
      <c r="D414" s="37" t="s">
        <v>2</v>
      </c>
      <c r="E414" s="37" t="s">
        <v>3</v>
      </c>
      <c r="F414" s="38" t="s">
        <v>4</v>
      </c>
      <c r="G414" s="38" t="s">
        <v>22</v>
      </c>
      <c r="H414" s="37" t="s">
        <v>6</v>
      </c>
      <c r="I414" s="37" t="s">
        <v>7</v>
      </c>
      <c r="J414" s="37" t="s">
        <v>8</v>
      </c>
      <c r="K414" s="38" t="s">
        <v>9</v>
      </c>
      <c r="L414" s="37" t="s">
        <v>10</v>
      </c>
      <c r="M414" s="37" t="s">
        <v>11</v>
      </c>
    </row>
    <row r="415" spans="1:13" x14ac:dyDescent="0.3">
      <c r="A415" s="5" t="str">
        <f>B415&amp;", R="&amp;D415&amp;", "&amp;I415&amp;", "&amp;G415</f>
        <v>[35], R=-1, 90°, Pol+HIP</v>
      </c>
      <c r="B415" s="5" t="s">
        <v>67</v>
      </c>
      <c r="C415" s="40">
        <f>[1]Criteria!$M$43</f>
        <v>0.75</v>
      </c>
      <c r="D415" s="40">
        <v>-1</v>
      </c>
      <c r="E415" s="40" t="s">
        <v>44</v>
      </c>
      <c r="F415" s="40" t="s">
        <v>39</v>
      </c>
      <c r="G415" s="40" t="s">
        <v>70</v>
      </c>
      <c r="H415" s="40">
        <v>60</v>
      </c>
      <c r="I415" s="40" t="s">
        <v>16</v>
      </c>
      <c r="J415" s="5">
        <v>720</v>
      </c>
      <c r="K415" s="5">
        <f>J415*((1-$D$336)/2)^0.28</f>
        <v>720</v>
      </c>
      <c r="L415" s="42">
        <v>30000</v>
      </c>
    </row>
    <row r="416" spans="1:13" x14ac:dyDescent="0.3">
      <c r="J416" s="5">
        <v>720</v>
      </c>
      <c r="K416" s="5">
        <f t="shared" ref="K416:K427" si="27">J416*((1-$D$336)/2)^0.28</f>
        <v>720</v>
      </c>
      <c r="L416" s="42">
        <v>40000</v>
      </c>
    </row>
    <row r="417" spans="1:13" x14ac:dyDescent="0.3">
      <c r="J417" s="5">
        <v>680</v>
      </c>
      <c r="K417" s="5">
        <f t="shared" si="27"/>
        <v>680</v>
      </c>
      <c r="L417" s="42">
        <v>40000</v>
      </c>
    </row>
    <row r="418" spans="1:13" x14ac:dyDescent="0.3">
      <c r="J418" s="5">
        <v>680</v>
      </c>
      <c r="K418" s="5">
        <f t="shared" si="27"/>
        <v>680</v>
      </c>
      <c r="L418" s="42">
        <v>55000</v>
      </c>
    </row>
    <row r="419" spans="1:13" x14ac:dyDescent="0.3">
      <c r="J419" s="5">
        <v>660</v>
      </c>
      <c r="K419" s="5">
        <f t="shared" si="27"/>
        <v>660</v>
      </c>
      <c r="L419" s="42">
        <v>60000</v>
      </c>
    </row>
    <row r="420" spans="1:13" x14ac:dyDescent="0.3">
      <c r="J420" s="5">
        <v>640</v>
      </c>
      <c r="K420" s="5">
        <f t="shared" si="27"/>
        <v>640</v>
      </c>
      <c r="L420" s="42">
        <v>80000</v>
      </c>
    </row>
    <row r="421" spans="1:13" x14ac:dyDescent="0.3">
      <c r="J421" s="5">
        <v>640</v>
      </c>
      <c r="K421" s="5">
        <f t="shared" si="27"/>
        <v>640</v>
      </c>
      <c r="L421" s="42">
        <v>90000</v>
      </c>
    </row>
    <row r="422" spans="1:13" x14ac:dyDescent="0.3">
      <c r="J422" s="5">
        <v>600</v>
      </c>
      <c r="K422" s="5">
        <f t="shared" si="27"/>
        <v>600</v>
      </c>
      <c r="L422" s="42">
        <v>80000</v>
      </c>
    </row>
    <row r="423" spans="1:13" x14ac:dyDescent="0.3">
      <c r="J423" s="5">
        <v>600</v>
      </c>
      <c r="K423" s="5">
        <f t="shared" si="27"/>
        <v>600</v>
      </c>
      <c r="L423" s="42">
        <v>200000</v>
      </c>
    </row>
    <row r="424" spans="1:13" x14ac:dyDescent="0.3">
      <c r="J424" s="5">
        <v>600</v>
      </c>
      <c r="K424" s="5">
        <f t="shared" si="27"/>
        <v>600</v>
      </c>
      <c r="L424" s="42">
        <v>10000000</v>
      </c>
    </row>
    <row r="425" spans="1:13" x14ac:dyDescent="0.3">
      <c r="J425" s="5">
        <v>580</v>
      </c>
      <c r="K425" s="5">
        <f t="shared" si="27"/>
        <v>580</v>
      </c>
      <c r="L425" s="42">
        <v>10000000</v>
      </c>
    </row>
    <row r="426" spans="1:13" x14ac:dyDescent="0.3">
      <c r="J426" s="5">
        <v>555</v>
      </c>
      <c r="K426" s="5">
        <f t="shared" si="27"/>
        <v>555</v>
      </c>
      <c r="L426" s="42">
        <v>10000000</v>
      </c>
    </row>
    <row r="427" spans="1:13" x14ac:dyDescent="0.3">
      <c r="J427" s="5">
        <v>520</v>
      </c>
      <c r="K427" s="5">
        <f t="shared" si="27"/>
        <v>520</v>
      </c>
      <c r="L427" s="42">
        <v>10000000</v>
      </c>
    </row>
    <row r="429" spans="1:13" x14ac:dyDescent="0.3">
      <c r="D429" s="5" t="s">
        <v>71</v>
      </c>
    </row>
    <row r="430" spans="1:13" ht="28.8" x14ac:dyDescent="0.3">
      <c r="C430" s="37" t="s">
        <v>263</v>
      </c>
      <c r="D430" s="37" t="s">
        <v>2</v>
      </c>
      <c r="E430" s="37" t="s">
        <v>3</v>
      </c>
      <c r="F430" s="38" t="s">
        <v>4</v>
      </c>
      <c r="G430" s="38" t="s">
        <v>22</v>
      </c>
      <c r="H430" s="37" t="s">
        <v>6</v>
      </c>
      <c r="I430" s="37" t="s">
        <v>7</v>
      </c>
      <c r="J430" s="37" t="s">
        <v>8</v>
      </c>
      <c r="K430" s="38" t="s">
        <v>9</v>
      </c>
      <c r="L430" s="37" t="s">
        <v>10</v>
      </c>
      <c r="M430" s="37" t="s">
        <v>11</v>
      </c>
    </row>
    <row r="431" spans="1:13" x14ac:dyDescent="0.3">
      <c r="A431" s="5" t="str">
        <f>B431&amp;", R="&amp;D431&amp;", "&amp;I431&amp;", "&amp;G431</f>
        <v>[36], R=0.1, 90°, SB + HT</v>
      </c>
      <c r="B431" s="5" t="s">
        <v>72</v>
      </c>
      <c r="C431" s="40">
        <f>[1]Criteria!N43</f>
        <v>0.75</v>
      </c>
      <c r="D431" s="40">
        <v>0.1</v>
      </c>
      <c r="E431" s="40" t="s">
        <v>73</v>
      </c>
      <c r="F431" s="40" t="s">
        <v>74</v>
      </c>
      <c r="G431" s="40" t="s">
        <v>55</v>
      </c>
      <c r="H431" s="40">
        <v>8</v>
      </c>
      <c r="I431" s="40" t="s">
        <v>16</v>
      </c>
      <c r="K431" s="5">
        <v>550</v>
      </c>
      <c r="L431" s="42">
        <v>7000</v>
      </c>
      <c r="M431" s="5" t="s">
        <v>75</v>
      </c>
    </row>
    <row r="432" spans="1:13" x14ac:dyDescent="0.3">
      <c r="K432" s="5">
        <v>350</v>
      </c>
      <c r="L432" s="42">
        <v>47500</v>
      </c>
    </row>
    <row r="433" spans="1:16" x14ac:dyDescent="0.3">
      <c r="K433" s="5">
        <v>275</v>
      </c>
      <c r="L433" s="42">
        <v>250000</v>
      </c>
    </row>
    <row r="435" spans="1:16" ht="28.8" x14ac:dyDescent="0.3">
      <c r="C435" s="37" t="s">
        <v>263</v>
      </c>
      <c r="D435" s="37" t="s">
        <v>2</v>
      </c>
      <c r="E435" s="37" t="s">
        <v>3</v>
      </c>
      <c r="F435" s="38" t="s">
        <v>4</v>
      </c>
      <c r="G435" s="38" t="s">
        <v>22</v>
      </c>
      <c r="H435" s="37" t="s">
        <v>6</v>
      </c>
      <c r="I435" s="37" t="s">
        <v>7</v>
      </c>
      <c r="J435" s="37" t="s">
        <v>8</v>
      </c>
      <c r="K435" s="38" t="s">
        <v>9</v>
      </c>
      <c r="L435" s="37" t="s">
        <v>10</v>
      </c>
      <c r="M435" s="37" t="s">
        <v>11</v>
      </c>
    </row>
    <row r="436" spans="1:16" x14ac:dyDescent="0.3">
      <c r="A436" s="5" t="str">
        <f>B436&amp;", R="&amp;D436&amp;", "&amp;I436&amp;", "&amp;G436</f>
        <v>[36], R=0.1, 90°, AB + HIP</v>
      </c>
      <c r="B436" s="5" t="s">
        <v>72</v>
      </c>
      <c r="C436" s="40">
        <f>[1]Criteria!$N$43</f>
        <v>0.75</v>
      </c>
      <c r="D436" s="40">
        <v>0.1</v>
      </c>
      <c r="E436" s="40" t="s">
        <v>73</v>
      </c>
      <c r="F436" s="40" t="s">
        <v>74</v>
      </c>
      <c r="G436" s="40" t="s">
        <v>25</v>
      </c>
      <c r="H436" s="40">
        <v>8</v>
      </c>
      <c r="I436" s="40" t="s">
        <v>16</v>
      </c>
      <c r="K436" s="5">
        <v>650</v>
      </c>
      <c r="L436" s="42">
        <v>6500</v>
      </c>
      <c r="M436" s="5" t="s">
        <v>75</v>
      </c>
    </row>
    <row r="437" spans="1:16" x14ac:dyDescent="0.3">
      <c r="K437" s="5">
        <v>475</v>
      </c>
      <c r="L437" s="42">
        <v>17500</v>
      </c>
    </row>
    <row r="438" spans="1:16" x14ac:dyDescent="0.3">
      <c r="K438" s="5">
        <v>475</v>
      </c>
      <c r="L438" s="42">
        <v>15000</v>
      </c>
    </row>
    <row r="439" spans="1:16" x14ac:dyDescent="0.3">
      <c r="K439" s="5">
        <v>350</v>
      </c>
      <c r="L439" s="42">
        <v>75000</v>
      </c>
    </row>
    <row r="440" spans="1:16" x14ac:dyDescent="0.3">
      <c r="K440" s="5">
        <v>350</v>
      </c>
      <c r="L440" s="42">
        <v>85000</v>
      </c>
    </row>
    <row r="441" spans="1:16" x14ac:dyDescent="0.3">
      <c r="K441" s="5">
        <v>275</v>
      </c>
      <c r="L441" s="42">
        <v>5000000</v>
      </c>
    </row>
    <row r="442" spans="1:16" x14ac:dyDescent="0.3">
      <c r="L442" s="42"/>
    </row>
    <row r="443" spans="1:16" ht="28.8" x14ac:dyDescent="0.3">
      <c r="C443" s="37" t="s">
        <v>263</v>
      </c>
      <c r="D443" s="37" t="s">
        <v>2</v>
      </c>
      <c r="E443" s="37" t="s">
        <v>3</v>
      </c>
      <c r="F443" s="38" t="s">
        <v>4</v>
      </c>
      <c r="G443" s="38" t="s">
        <v>22</v>
      </c>
      <c r="H443" s="37" t="s">
        <v>6</v>
      </c>
      <c r="I443" s="37" t="s">
        <v>7</v>
      </c>
      <c r="J443" s="37" t="s">
        <v>8</v>
      </c>
      <c r="K443" s="38" t="s">
        <v>9</v>
      </c>
      <c r="L443" s="37" t="s">
        <v>10</v>
      </c>
      <c r="M443" s="37" t="s">
        <v>11</v>
      </c>
    </row>
    <row r="444" spans="1:16" x14ac:dyDescent="0.3">
      <c r="A444" s="5" t="str">
        <f>B444&amp;", R="&amp;D444&amp;", "&amp;I444&amp;", "&amp;G444</f>
        <v>[36], R=0.1, 90°, SP</v>
      </c>
      <c r="B444" s="5" t="s">
        <v>72</v>
      </c>
      <c r="C444" s="40">
        <f>[1]Criteria!$N$43</f>
        <v>0.75</v>
      </c>
      <c r="D444" s="40">
        <v>0.1</v>
      </c>
      <c r="E444" s="40" t="s">
        <v>73</v>
      </c>
      <c r="F444" s="40" t="s">
        <v>74</v>
      </c>
      <c r="G444" s="40" t="s">
        <v>76</v>
      </c>
      <c r="H444" s="40">
        <v>8</v>
      </c>
      <c r="I444" s="40" t="s">
        <v>16</v>
      </c>
      <c r="K444" s="5">
        <v>650</v>
      </c>
      <c r="L444" s="42">
        <v>45000</v>
      </c>
      <c r="M444" s="5" t="s">
        <v>75</v>
      </c>
      <c r="N444" s="43"/>
      <c r="O444" s="43"/>
      <c r="P444" s="35"/>
    </row>
    <row r="445" spans="1:16" x14ac:dyDescent="0.3">
      <c r="K445" s="5">
        <v>650</v>
      </c>
      <c r="L445" s="42">
        <v>60000</v>
      </c>
    </row>
    <row r="446" spans="1:16" x14ac:dyDescent="0.3">
      <c r="K446" s="5">
        <v>550</v>
      </c>
      <c r="L446" s="42">
        <v>25000</v>
      </c>
    </row>
    <row r="447" spans="1:16" x14ac:dyDescent="0.3">
      <c r="K447" s="5">
        <v>475</v>
      </c>
      <c r="L447" s="42">
        <v>90000</v>
      </c>
    </row>
    <row r="448" spans="1:16" x14ac:dyDescent="0.3">
      <c r="K448" s="5">
        <v>350</v>
      </c>
      <c r="L448" s="42">
        <v>5000000</v>
      </c>
    </row>
    <row r="449" spans="1:16" x14ac:dyDescent="0.3">
      <c r="L449" s="42"/>
    </row>
    <row r="450" spans="1:16" ht="28.8" x14ac:dyDescent="0.3">
      <c r="C450" s="37" t="s">
        <v>263</v>
      </c>
      <c r="D450" s="37" t="s">
        <v>2</v>
      </c>
      <c r="E450" s="37" t="s">
        <v>3</v>
      </c>
      <c r="F450" s="38" t="s">
        <v>4</v>
      </c>
      <c r="G450" s="38" t="s">
        <v>22</v>
      </c>
      <c r="H450" s="37" t="s">
        <v>6</v>
      </c>
      <c r="I450" s="37" t="s">
        <v>7</v>
      </c>
      <c r="J450" s="37" t="s">
        <v>8</v>
      </c>
      <c r="K450" s="38" t="s">
        <v>9</v>
      </c>
      <c r="L450" s="37" t="s">
        <v>10</v>
      </c>
      <c r="M450" s="37" t="s">
        <v>11</v>
      </c>
    </row>
    <row r="451" spans="1:16" x14ac:dyDescent="0.3">
      <c r="A451" s="5" t="str">
        <f>B451&amp;", R="&amp;D451&amp;", "&amp;I451&amp;", "&amp;G451</f>
        <v>[36], R=0.1, 90°, SP + CASE</v>
      </c>
      <c r="B451" s="5" t="s">
        <v>72</v>
      </c>
      <c r="C451" s="40">
        <f>[1]Criteria!$N$43</f>
        <v>0.75</v>
      </c>
      <c r="D451" s="40">
        <v>0.1</v>
      </c>
      <c r="E451" s="40" t="s">
        <v>73</v>
      </c>
      <c r="F451" s="40" t="s">
        <v>74</v>
      </c>
      <c r="G451" s="40" t="s">
        <v>77</v>
      </c>
      <c r="H451" s="40">
        <v>8</v>
      </c>
      <c r="I451" s="40" t="s">
        <v>16</v>
      </c>
      <c r="K451" s="5">
        <v>650</v>
      </c>
      <c r="L451" s="42">
        <v>30000</v>
      </c>
      <c r="M451" s="5" t="s">
        <v>75</v>
      </c>
      <c r="N451" s="43"/>
      <c r="O451" s="43"/>
      <c r="P451" s="35"/>
    </row>
    <row r="452" spans="1:16" x14ac:dyDescent="0.3">
      <c r="K452" s="5">
        <v>650</v>
      </c>
      <c r="L452" s="42">
        <v>50000</v>
      </c>
    </row>
    <row r="453" spans="1:16" x14ac:dyDescent="0.3">
      <c r="K453" s="5">
        <v>550</v>
      </c>
      <c r="L453" s="42">
        <v>400000</v>
      </c>
    </row>
    <row r="454" spans="1:16" x14ac:dyDescent="0.3">
      <c r="K454" s="5">
        <v>550</v>
      </c>
      <c r="L454" s="42">
        <v>500000</v>
      </c>
    </row>
    <row r="455" spans="1:16" x14ac:dyDescent="0.3">
      <c r="K455" s="5">
        <v>475</v>
      </c>
      <c r="L455" s="42">
        <v>300000</v>
      </c>
    </row>
    <row r="456" spans="1:16" x14ac:dyDescent="0.3">
      <c r="K456" s="5">
        <v>475</v>
      </c>
      <c r="L456" s="42">
        <v>1500000</v>
      </c>
    </row>
    <row r="457" spans="1:16" x14ac:dyDescent="0.3">
      <c r="L457" s="42"/>
    </row>
    <row r="458" spans="1:16" ht="28.8" x14ac:dyDescent="0.3">
      <c r="C458" s="37" t="s">
        <v>263</v>
      </c>
      <c r="D458" s="37" t="s">
        <v>2</v>
      </c>
      <c r="E458" s="37" t="s">
        <v>3</v>
      </c>
      <c r="F458" s="38" t="s">
        <v>4</v>
      </c>
      <c r="G458" s="38" t="s">
        <v>22</v>
      </c>
      <c r="H458" s="37" t="s">
        <v>6</v>
      </c>
      <c r="I458" s="37" t="s">
        <v>7</v>
      </c>
      <c r="J458" s="37" t="s">
        <v>8</v>
      </c>
      <c r="K458" s="38" t="s">
        <v>9</v>
      </c>
      <c r="L458" s="37" t="s">
        <v>10</v>
      </c>
      <c r="M458" s="37" t="s">
        <v>11</v>
      </c>
    </row>
    <row r="459" spans="1:16" x14ac:dyDescent="0.3">
      <c r="A459" s="5" t="str">
        <f>B459&amp;", R="&amp;D459&amp;", "&amp;I459&amp;", "&amp;G459</f>
        <v>[36], R=0.1, 90°, LP</v>
      </c>
      <c r="B459" s="5" t="s">
        <v>72</v>
      </c>
      <c r="C459" s="40">
        <f>[1]Criteria!$N$43</f>
        <v>0.75</v>
      </c>
      <c r="D459" s="40">
        <v>0.1</v>
      </c>
      <c r="E459" s="40" t="s">
        <v>73</v>
      </c>
      <c r="F459" s="40" t="s">
        <v>74</v>
      </c>
      <c r="G459" s="40" t="s">
        <v>78</v>
      </c>
      <c r="H459" s="40">
        <v>8</v>
      </c>
      <c r="I459" s="40" t="s">
        <v>16</v>
      </c>
      <c r="K459" s="5">
        <v>650</v>
      </c>
      <c r="L459" s="42">
        <v>85000</v>
      </c>
      <c r="M459" s="5" t="s">
        <v>75</v>
      </c>
    </row>
    <row r="460" spans="1:16" x14ac:dyDescent="0.3">
      <c r="K460" s="5">
        <v>550</v>
      </c>
      <c r="L460" s="42">
        <v>350000</v>
      </c>
    </row>
    <row r="461" spans="1:16" x14ac:dyDescent="0.3">
      <c r="K461" s="5">
        <v>550</v>
      </c>
      <c r="L461" s="42">
        <v>750000</v>
      </c>
    </row>
    <row r="462" spans="1:16" x14ac:dyDescent="0.3">
      <c r="K462" s="5">
        <v>475</v>
      </c>
      <c r="L462" s="42">
        <v>1500000</v>
      </c>
    </row>
    <row r="463" spans="1:16" x14ac:dyDescent="0.3">
      <c r="K463" s="5">
        <v>475</v>
      </c>
      <c r="L463" s="42">
        <v>3000000</v>
      </c>
    </row>
    <row r="465" spans="1:19" x14ac:dyDescent="0.3">
      <c r="D465" s="5" t="s">
        <v>79</v>
      </c>
    </row>
    <row r="466" spans="1:19" ht="28.8" x14ac:dyDescent="0.3">
      <c r="C466" s="37" t="s">
        <v>263</v>
      </c>
      <c r="D466" s="37" t="s">
        <v>2</v>
      </c>
      <c r="E466" s="37" t="s">
        <v>3</v>
      </c>
      <c r="F466" s="38" t="s">
        <v>4</v>
      </c>
      <c r="G466" s="38" t="s">
        <v>22</v>
      </c>
      <c r="H466" s="37" t="s">
        <v>6</v>
      </c>
      <c r="I466" s="37" t="s">
        <v>7</v>
      </c>
      <c r="J466" s="37" t="s">
        <v>8</v>
      </c>
      <c r="K466" s="38" t="s">
        <v>9</v>
      </c>
      <c r="L466" s="37" t="s">
        <v>10</v>
      </c>
      <c r="M466" s="37" t="s">
        <v>11</v>
      </c>
    </row>
    <row r="467" spans="1:19" x14ac:dyDescent="0.3">
      <c r="A467" s="5" t="str">
        <f>B467&amp;", R="&amp;D467&amp;", "&amp;I467&amp;", "&amp;G467</f>
        <v>[5], R=-1, 90°, Mach + SR</v>
      </c>
      <c r="B467" s="5" t="s">
        <v>80</v>
      </c>
      <c r="C467" s="40">
        <f>[1]Criteria!O43</f>
        <v>0.71875</v>
      </c>
      <c r="D467" s="40">
        <v>-1</v>
      </c>
      <c r="E467" s="40" t="s">
        <v>34</v>
      </c>
      <c r="F467" s="40" t="s">
        <v>74</v>
      </c>
      <c r="G467" s="40" t="s">
        <v>81</v>
      </c>
      <c r="H467" s="40">
        <v>20</v>
      </c>
      <c r="I467" s="40" t="s">
        <v>16</v>
      </c>
      <c r="J467" s="5">
        <v>850</v>
      </c>
      <c r="K467" s="5">
        <f>J467*((1-$D$467)/2)^0.28</f>
        <v>850</v>
      </c>
      <c r="L467" s="42">
        <v>300</v>
      </c>
      <c r="M467" s="5" t="s">
        <v>82</v>
      </c>
      <c r="P467" s="1"/>
      <c r="Q467" s="1"/>
      <c r="R467" s="1"/>
      <c r="S467" s="1"/>
    </row>
    <row r="468" spans="1:19" x14ac:dyDescent="0.3">
      <c r="J468" s="5">
        <v>750</v>
      </c>
      <c r="K468" s="5">
        <f t="shared" ref="K468:K486" si="28">J468*((1-$D$467)/2)^0.28</f>
        <v>750</v>
      </c>
      <c r="L468" s="42">
        <v>5500</v>
      </c>
    </row>
    <row r="469" spans="1:19" x14ac:dyDescent="0.3">
      <c r="J469" s="5">
        <v>750</v>
      </c>
      <c r="K469" s="5">
        <f t="shared" si="28"/>
        <v>750</v>
      </c>
      <c r="L469" s="42">
        <v>4500</v>
      </c>
    </row>
    <row r="470" spans="1:19" x14ac:dyDescent="0.3">
      <c r="J470" s="5">
        <v>750</v>
      </c>
      <c r="K470" s="5">
        <f t="shared" si="28"/>
        <v>750</v>
      </c>
      <c r="L470" s="42">
        <v>4000</v>
      </c>
    </row>
    <row r="471" spans="1:19" x14ac:dyDescent="0.3">
      <c r="J471" s="5">
        <v>650</v>
      </c>
      <c r="K471" s="5">
        <f t="shared" si="28"/>
        <v>650</v>
      </c>
      <c r="L471" s="42">
        <v>20000</v>
      </c>
    </row>
    <row r="472" spans="1:19" x14ac:dyDescent="0.3">
      <c r="J472" s="5">
        <v>650</v>
      </c>
      <c r="K472" s="5">
        <f t="shared" si="28"/>
        <v>650</v>
      </c>
      <c r="L472" s="42">
        <v>18000</v>
      </c>
    </row>
    <row r="473" spans="1:19" x14ac:dyDescent="0.3">
      <c r="J473" s="5">
        <v>650</v>
      </c>
      <c r="K473" s="5">
        <f t="shared" si="28"/>
        <v>650</v>
      </c>
      <c r="L473" s="42">
        <v>12500</v>
      </c>
    </row>
    <row r="474" spans="1:19" x14ac:dyDescent="0.3">
      <c r="J474" s="5">
        <v>550</v>
      </c>
      <c r="K474" s="5">
        <f t="shared" si="28"/>
        <v>550</v>
      </c>
      <c r="L474" s="42">
        <v>250000</v>
      </c>
    </row>
    <row r="475" spans="1:19" x14ac:dyDescent="0.3">
      <c r="J475" s="5">
        <v>550</v>
      </c>
      <c r="K475" s="5">
        <f t="shared" si="28"/>
        <v>550</v>
      </c>
      <c r="L475" s="42">
        <v>150000</v>
      </c>
    </row>
    <row r="476" spans="1:19" x14ac:dyDescent="0.3">
      <c r="J476" s="5">
        <v>550</v>
      </c>
      <c r="K476" s="5">
        <f t="shared" si="28"/>
        <v>550</v>
      </c>
      <c r="L476" s="42">
        <v>92500</v>
      </c>
    </row>
    <row r="477" spans="1:19" x14ac:dyDescent="0.3">
      <c r="J477" s="5">
        <v>550</v>
      </c>
      <c r="K477" s="5">
        <f t="shared" si="28"/>
        <v>550</v>
      </c>
      <c r="L477" s="42">
        <v>48000</v>
      </c>
    </row>
    <row r="478" spans="1:19" x14ac:dyDescent="0.3">
      <c r="J478" s="5">
        <v>550</v>
      </c>
      <c r="K478" s="5">
        <f t="shared" si="28"/>
        <v>550</v>
      </c>
      <c r="L478" s="42">
        <v>32500</v>
      </c>
    </row>
    <row r="479" spans="1:19" x14ac:dyDescent="0.3">
      <c r="J479" s="5">
        <v>500</v>
      </c>
      <c r="K479" s="5">
        <f t="shared" si="28"/>
        <v>500</v>
      </c>
      <c r="L479" s="42">
        <v>450000</v>
      </c>
    </row>
    <row r="480" spans="1:19" x14ac:dyDescent="0.3">
      <c r="J480" s="5">
        <v>500</v>
      </c>
      <c r="K480" s="5">
        <f t="shared" si="28"/>
        <v>500</v>
      </c>
      <c r="L480" s="42">
        <v>200000</v>
      </c>
    </row>
    <row r="481" spans="1:18" x14ac:dyDescent="0.3">
      <c r="J481" s="5">
        <v>500</v>
      </c>
      <c r="K481" s="5">
        <f t="shared" si="28"/>
        <v>500</v>
      </c>
      <c r="L481" s="42">
        <v>150000</v>
      </c>
    </row>
    <row r="482" spans="1:18" x14ac:dyDescent="0.3">
      <c r="J482" s="5">
        <v>500</v>
      </c>
      <c r="K482" s="5">
        <f t="shared" si="28"/>
        <v>500</v>
      </c>
      <c r="L482" s="42">
        <v>110000</v>
      </c>
    </row>
    <row r="483" spans="1:18" x14ac:dyDescent="0.3">
      <c r="J483" s="5">
        <v>500</v>
      </c>
      <c r="K483" s="5">
        <f t="shared" si="28"/>
        <v>500</v>
      </c>
      <c r="L483" s="42">
        <v>65000</v>
      </c>
    </row>
    <row r="484" spans="1:18" x14ac:dyDescent="0.3">
      <c r="J484" s="5">
        <v>400</v>
      </c>
      <c r="K484" s="5">
        <f t="shared" si="28"/>
        <v>400</v>
      </c>
      <c r="L484" s="42">
        <v>2900000</v>
      </c>
    </row>
    <row r="485" spans="1:18" x14ac:dyDescent="0.3">
      <c r="J485" s="5">
        <v>400</v>
      </c>
      <c r="K485" s="5">
        <f t="shared" si="28"/>
        <v>400</v>
      </c>
      <c r="L485" s="42">
        <v>1750000</v>
      </c>
    </row>
    <row r="486" spans="1:18" x14ac:dyDescent="0.3">
      <c r="J486" s="5">
        <v>400</v>
      </c>
      <c r="K486" s="5">
        <f t="shared" si="28"/>
        <v>400</v>
      </c>
      <c r="L486" s="42">
        <v>650000</v>
      </c>
    </row>
    <row r="487" spans="1:18" x14ac:dyDescent="0.3">
      <c r="L487" s="42"/>
    </row>
    <row r="488" spans="1:18" x14ac:dyDescent="0.3">
      <c r="D488" s="5" t="s">
        <v>79</v>
      </c>
    </row>
    <row r="489" spans="1:18" ht="28.8" x14ac:dyDescent="0.3">
      <c r="C489" s="37" t="s">
        <v>263</v>
      </c>
      <c r="D489" s="37" t="s">
        <v>2</v>
      </c>
      <c r="E489" s="37" t="s">
        <v>3</v>
      </c>
      <c r="F489" s="38" t="s">
        <v>4</v>
      </c>
      <c r="G489" s="38" t="s">
        <v>22</v>
      </c>
      <c r="H489" s="37" t="s">
        <v>6</v>
      </c>
      <c r="I489" s="37" t="s">
        <v>7</v>
      </c>
      <c r="J489" s="37" t="s">
        <v>8</v>
      </c>
      <c r="K489" s="38" t="s">
        <v>9</v>
      </c>
      <c r="L489" s="37" t="s">
        <v>10</v>
      </c>
      <c r="M489" s="37" t="s">
        <v>11</v>
      </c>
    </row>
    <row r="490" spans="1:18" x14ac:dyDescent="0.3">
      <c r="A490" s="5" t="str">
        <f>B490&amp;", R="&amp;D490&amp;", "&amp;I490&amp;", "&amp;G490</f>
        <v>[5], R=-1, 0°, Mach + SR</v>
      </c>
      <c r="B490" s="5" t="s">
        <v>80</v>
      </c>
      <c r="C490" s="40">
        <f>[1]Criteria!O43</f>
        <v>0.71875</v>
      </c>
      <c r="D490" s="40">
        <v>-1</v>
      </c>
      <c r="E490" s="40" t="s">
        <v>34</v>
      </c>
      <c r="F490" s="40" t="s">
        <v>74</v>
      </c>
      <c r="G490" s="40" t="s">
        <v>81</v>
      </c>
      <c r="H490" s="40">
        <v>20</v>
      </c>
      <c r="I490" s="40" t="s">
        <v>18</v>
      </c>
      <c r="J490" s="5">
        <v>750</v>
      </c>
      <c r="K490" s="5">
        <f>J490*((1-$D$467)/2)^0.28</f>
        <v>750</v>
      </c>
      <c r="L490" s="42">
        <v>2000</v>
      </c>
      <c r="M490" s="5" t="s">
        <v>82</v>
      </c>
      <c r="P490" s="1"/>
      <c r="Q490" s="1"/>
      <c r="R490" s="1"/>
    </row>
    <row r="491" spans="1:18" x14ac:dyDescent="0.3">
      <c r="J491" s="5">
        <v>750</v>
      </c>
      <c r="K491" s="5">
        <f t="shared" ref="K491:K504" si="29">J491*((1-$D$467)/2)^0.28</f>
        <v>750</v>
      </c>
      <c r="L491" s="42">
        <v>2500</v>
      </c>
    </row>
    <row r="492" spans="1:18" x14ac:dyDescent="0.3">
      <c r="J492" s="5">
        <v>650</v>
      </c>
      <c r="K492" s="5">
        <f t="shared" si="29"/>
        <v>650</v>
      </c>
      <c r="L492" s="42">
        <v>15000</v>
      </c>
    </row>
    <row r="493" spans="1:18" x14ac:dyDescent="0.3">
      <c r="J493" s="5">
        <v>550</v>
      </c>
      <c r="K493" s="5">
        <f t="shared" si="29"/>
        <v>550</v>
      </c>
      <c r="L493" s="42">
        <v>19000</v>
      </c>
    </row>
    <row r="494" spans="1:18" x14ac:dyDescent="0.3">
      <c r="J494" s="5">
        <v>550</v>
      </c>
      <c r="K494" s="5">
        <f t="shared" si="29"/>
        <v>550</v>
      </c>
      <c r="L494" s="42">
        <v>25000</v>
      </c>
    </row>
    <row r="495" spans="1:18" x14ac:dyDescent="0.3">
      <c r="J495" s="5">
        <v>550</v>
      </c>
      <c r="K495" s="5">
        <f t="shared" si="29"/>
        <v>550</v>
      </c>
      <c r="L495" s="42">
        <v>29000</v>
      </c>
    </row>
    <row r="496" spans="1:18" x14ac:dyDescent="0.3">
      <c r="J496" s="5">
        <v>500</v>
      </c>
      <c r="K496" s="5">
        <f t="shared" si="29"/>
        <v>500</v>
      </c>
      <c r="L496" s="42">
        <v>28000</v>
      </c>
    </row>
    <row r="497" spans="1:13" x14ac:dyDescent="0.3">
      <c r="J497" s="5">
        <v>500</v>
      </c>
      <c r="K497" s="5">
        <f t="shared" si="29"/>
        <v>500</v>
      </c>
      <c r="L497" s="42">
        <v>32500</v>
      </c>
    </row>
    <row r="498" spans="1:13" x14ac:dyDescent="0.3">
      <c r="J498" s="5">
        <v>400</v>
      </c>
      <c r="K498" s="5">
        <f t="shared" si="29"/>
        <v>400</v>
      </c>
      <c r="L498" s="42">
        <v>60000</v>
      </c>
    </row>
    <row r="499" spans="1:13" x14ac:dyDescent="0.3">
      <c r="J499" s="5">
        <v>400</v>
      </c>
      <c r="K499" s="5">
        <f t="shared" si="29"/>
        <v>400</v>
      </c>
      <c r="L499" s="42">
        <v>75000</v>
      </c>
    </row>
    <row r="500" spans="1:13" x14ac:dyDescent="0.3">
      <c r="J500" s="5">
        <v>400</v>
      </c>
      <c r="K500" s="5">
        <f t="shared" si="29"/>
        <v>400</v>
      </c>
      <c r="L500" s="42">
        <v>200000</v>
      </c>
    </row>
    <row r="501" spans="1:13" x14ac:dyDescent="0.3">
      <c r="J501" s="5">
        <v>350</v>
      </c>
      <c r="K501" s="5">
        <f t="shared" si="29"/>
        <v>350</v>
      </c>
      <c r="L501" s="42">
        <v>80000</v>
      </c>
    </row>
    <row r="502" spans="1:13" x14ac:dyDescent="0.3">
      <c r="J502" s="5">
        <v>350</v>
      </c>
      <c r="K502" s="5">
        <f t="shared" si="29"/>
        <v>350</v>
      </c>
      <c r="L502" s="42">
        <v>125000</v>
      </c>
    </row>
    <row r="503" spans="1:13" x14ac:dyDescent="0.3">
      <c r="J503" s="5">
        <v>350</v>
      </c>
      <c r="K503" s="5">
        <f t="shared" si="29"/>
        <v>350</v>
      </c>
      <c r="L503" s="42">
        <v>10000000</v>
      </c>
    </row>
    <row r="504" spans="1:13" x14ac:dyDescent="0.3">
      <c r="J504" s="5">
        <v>300</v>
      </c>
      <c r="K504" s="5">
        <f t="shared" si="29"/>
        <v>300</v>
      </c>
      <c r="L504" s="42">
        <v>10000000</v>
      </c>
    </row>
    <row r="506" spans="1:13" x14ac:dyDescent="0.3">
      <c r="D506" s="5" t="s">
        <v>83</v>
      </c>
    </row>
    <row r="507" spans="1:13" ht="28.8" x14ac:dyDescent="0.3">
      <c r="C507" s="37" t="s">
        <v>263</v>
      </c>
      <c r="D507" s="37" t="s">
        <v>2</v>
      </c>
      <c r="E507" s="37" t="s">
        <v>3</v>
      </c>
      <c r="F507" s="38" t="s">
        <v>4</v>
      </c>
      <c r="G507" s="38" t="s">
        <v>22</v>
      </c>
      <c r="H507" s="37" t="s">
        <v>6</v>
      </c>
      <c r="I507" s="37" t="s">
        <v>7</v>
      </c>
      <c r="J507" s="37" t="s">
        <v>8</v>
      </c>
      <c r="K507" s="38" t="s">
        <v>9</v>
      </c>
      <c r="L507" s="37" t="s">
        <v>10</v>
      </c>
      <c r="M507" s="37" t="s">
        <v>11</v>
      </c>
    </row>
    <row r="508" spans="1:13" x14ac:dyDescent="0.3">
      <c r="A508" s="5" t="str">
        <f>B508&amp;", R="&amp;D508&amp;", "&amp;I508&amp;", "&amp;G508</f>
        <v>[37], R=0.1, 90°, AB</v>
      </c>
      <c r="B508" s="5" t="s">
        <v>84</v>
      </c>
      <c r="C508" s="40">
        <f>[1]Criteria!$P$43</f>
        <v>0.625</v>
      </c>
      <c r="D508" s="40">
        <v>0.1</v>
      </c>
      <c r="E508" s="40" t="s">
        <v>34</v>
      </c>
      <c r="F508" s="40" t="s">
        <v>14</v>
      </c>
      <c r="G508" s="40" t="s">
        <v>50</v>
      </c>
      <c r="H508" s="40">
        <v>50</v>
      </c>
      <c r="I508" s="40" t="s">
        <v>16</v>
      </c>
      <c r="J508" s="5">
        <v>500</v>
      </c>
      <c r="K508" s="5">
        <f>J508*((1-$D$508)/2)^0.28</f>
        <v>399.82459701829731</v>
      </c>
      <c r="L508" s="42">
        <v>29000</v>
      </c>
    </row>
    <row r="509" spans="1:13" x14ac:dyDescent="0.3">
      <c r="C509" s="40"/>
      <c r="D509" s="40"/>
      <c r="E509" s="40"/>
      <c r="F509" s="40"/>
      <c r="G509" s="40"/>
      <c r="H509" s="40"/>
      <c r="I509" s="40"/>
      <c r="J509" s="5">
        <v>500</v>
      </c>
      <c r="K509" s="5">
        <f t="shared" ref="K509:K519" si="30">J509*((1-$D$508)/2)^0.28</f>
        <v>399.82459701829731</v>
      </c>
      <c r="L509" s="42">
        <v>25000</v>
      </c>
    </row>
    <row r="510" spans="1:13" x14ac:dyDescent="0.3">
      <c r="J510" s="5">
        <v>400</v>
      </c>
      <c r="K510" s="5">
        <f t="shared" si="30"/>
        <v>319.85967761463786</v>
      </c>
      <c r="L510" s="42">
        <v>72500</v>
      </c>
    </row>
    <row r="511" spans="1:13" x14ac:dyDescent="0.3">
      <c r="J511" s="5">
        <v>400</v>
      </c>
      <c r="K511" s="5">
        <f t="shared" si="30"/>
        <v>319.85967761463786</v>
      </c>
      <c r="L511" s="42">
        <v>60000</v>
      </c>
    </row>
    <row r="512" spans="1:13" x14ac:dyDescent="0.3">
      <c r="J512" s="5">
        <v>300</v>
      </c>
      <c r="K512" s="5">
        <f t="shared" si="30"/>
        <v>239.89475821097838</v>
      </c>
      <c r="L512" s="42">
        <v>150000</v>
      </c>
    </row>
    <row r="513" spans="1:13" x14ac:dyDescent="0.3">
      <c r="J513" s="5">
        <v>300</v>
      </c>
      <c r="K513" s="5">
        <f t="shared" si="30"/>
        <v>239.89475821097838</v>
      </c>
      <c r="L513" s="42">
        <v>150000</v>
      </c>
    </row>
    <row r="514" spans="1:13" x14ac:dyDescent="0.3">
      <c r="J514" s="5">
        <v>250</v>
      </c>
      <c r="K514" s="5">
        <f t="shared" si="30"/>
        <v>199.91229850914866</v>
      </c>
      <c r="L514" s="42">
        <v>500000</v>
      </c>
    </row>
    <row r="515" spans="1:13" x14ac:dyDescent="0.3">
      <c r="J515" s="5">
        <v>250</v>
      </c>
      <c r="K515" s="5">
        <f t="shared" si="30"/>
        <v>199.91229850914866</v>
      </c>
      <c r="L515" s="42">
        <v>375000</v>
      </c>
    </row>
    <row r="516" spans="1:13" x14ac:dyDescent="0.3">
      <c r="J516" s="5">
        <v>225</v>
      </c>
      <c r="K516" s="5">
        <f t="shared" si="30"/>
        <v>179.92106865823379</v>
      </c>
      <c r="L516" s="42">
        <v>750000</v>
      </c>
    </row>
    <row r="517" spans="1:13" x14ac:dyDescent="0.3">
      <c r="J517" s="5">
        <v>225</v>
      </c>
      <c r="K517" s="5">
        <f t="shared" si="30"/>
        <v>179.92106865823379</v>
      </c>
      <c r="L517" s="42">
        <v>750000</v>
      </c>
    </row>
    <row r="518" spans="1:13" x14ac:dyDescent="0.3">
      <c r="J518" s="5">
        <v>225</v>
      </c>
      <c r="K518" s="5">
        <f t="shared" si="30"/>
        <v>179.92106865823379</v>
      </c>
      <c r="L518" s="42">
        <v>10000000</v>
      </c>
    </row>
    <row r="519" spans="1:13" x14ac:dyDescent="0.3">
      <c r="J519" s="5">
        <v>200</v>
      </c>
      <c r="K519" s="5">
        <f t="shared" si="30"/>
        <v>159.92983880731893</v>
      </c>
      <c r="L519" s="42">
        <v>10000000</v>
      </c>
    </row>
    <row r="520" spans="1:13" x14ac:dyDescent="0.3">
      <c r="L520" s="42"/>
    </row>
    <row r="521" spans="1:13" x14ac:dyDescent="0.3">
      <c r="D521" s="5" t="s">
        <v>83</v>
      </c>
    </row>
    <row r="522" spans="1:13" ht="28.8" x14ac:dyDescent="0.3">
      <c r="C522" s="37" t="s">
        <v>263</v>
      </c>
      <c r="D522" s="37" t="s">
        <v>2</v>
      </c>
      <c r="E522" s="37" t="s">
        <v>3</v>
      </c>
      <c r="F522" s="38" t="s">
        <v>4</v>
      </c>
      <c r="G522" s="38" t="s">
        <v>22</v>
      </c>
      <c r="H522" s="37" t="s">
        <v>6</v>
      </c>
      <c r="I522" s="37" t="s">
        <v>7</v>
      </c>
      <c r="J522" s="37" t="s">
        <v>8</v>
      </c>
      <c r="K522" s="38" t="s">
        <v>9</v>
      </c>
      <c r="L522" s="37" t="s">
        <v>10</v>
      </c>
      <c r="M522" s="37" t="s">
        <v>11</v>
      </c>
    </row>
    <row r="523" spans="1:13" x14ac:dyDescent="0.3">
      <c r="A523" s="5" t="str">
        <f>B523&amp;", R="&amp;D523&amp;", "&amp;I523&amp;", "&amp;G523</f>
        <v>[37], R=0.1, 45°, AB</v>
      </c>
      <c r="B523" s="5" t="s">
        <v>84</v>
      </c>
      <c r="C523" s="40">
        <f>[1]Criteria!$P$43</f>
        <v>0.625</v>
      </c>
      <c r="D523" s="40">
        <v>0.1</v>
      </c>
      <c r="E523" s="40" t="s">
        <v>34</v>
      </c>
      <c r="F523" s="40" t="s">
        <v>14</v>
      </c>
      <c r="G523" s="40" t="s">
        <v>50</v>
      </c>
      <c r="H523" s="40">
        <v>50</v>
      </c>
      <c r="I523" s="40" t="s">
        <v>51</v>
      </c>
      <c r="J523" s="5">
        <v>500</v>
      </c>
      <c r="K523" s="5">
        <f>J523*((1-$D$508)/2)^0.28</f>
        <v>399.82459701829731</v>
      </c>
      <c r="L523" s="42">
        <v>30000</v>
      </c>
    </row>
    <row r="524" spans="1:13" x14ac:dyDescent="0.3">
      <c r="J524" s="5">
        <v>400</v>
      </c>
      <c r="K524" s="5">
        <f t="shared" ref="K524:K532" si="31">J524*((1-$D$508)/2)^0.28</f>
        <v>319.85967761463786</v>
      </c>
      <c r="L524" s="42">
        <v>60000</v>
      </c>
    </row>
    <row r="525" spans="1:13" x14ac:dyDescent="0.3">
      <c r="J525" s="5">
        <v>300</v>
      </c>
      <c r="K525" s="5">
        <f t="shared" si="31"/>
        <v>239.89475821097838</v>
      </c>
      <c r="L525" s="42">
        <v>175000</v>
      </c>
    </row>
    <row r="526" spans="1:13" x14ac:dyDescent="0.3">
      <c r="J526" s="5">
        <v>240</v>
      </c>
      <c r="K526" s="5">
        <f t="shared" si="31"/>
        <v>191.9158065687827</v>
      </c>
      <c r="L526" s="42">
        <v>325000</v>
      </c>
    </row>
    <row r="527" spans="1:13" x14ac:dyDescent="0.3">
      <c r="J527" s="5">
        <v>240</v>
      </c>
      <c r="K527" s="5">
        <f t="shared" si="31"/>
        <v>191.9158065687827</v>
      </c>
      <c r="L527" s="42">
        <v>475000</v>
      </c>
    </row>
    <row r="528" spans="1:13" x14ac:dyDescent="0.3">
      <c r="J528" s="5">
        <v>225</v>
      </c>
      <c r="K528" s="5">
        <f t="shared" si="31"/>
        <v>179.92106865823379</v>
      </c>
      <c r="L528" s="42">
        <v>125000</v>
      </c>
    </row>
    <row r="529" spans="1:13" x14ac:dyDescent="0.3">
      <c r="J529" s="5">
        <v>225</v>
      </c>
      <c r="K529" s="5">
        <f t="shared" si="31"/>
        <v>179.92106865823379</v>
      </c>
      <c r="L529" s="42">
        <v>475000</v>
      </c>
    </row>
    <row r="530" spans="1:13" x14ac:dyDescent="0.3">
      <c r="J530" s="5">
        <v>225</v>
      </c>
      <c r="K530" s="5">
        <f t="shared" si="31"/>
        <v>179.92106865823379</v>
      </c>
      <c r="L530" s="42">
        <v>8500000</v>
      </c>
    </row>
    <row r="531" spans="1:13" x14ac:dyDescent="0.3">
      <c r="J531" s="5">
        <v>200</v>
      </c>
      <c r="K531" s="5">
        <f t="shared" si="31"/>
        <v>159.92983880731893</v>
      </c>
      <c r="L531" s="42">
        <v>3300000</v>
      </c>
    </row>
    <row r="532" spans="1:13" x14ac:dyDescent="0.3">
      <c r="J532" s="5">
        <v>200</v>
      </c>
      <c r="K532" s="5">
        <f t="shared" si="31"/>
        <v>159.92983880731893</v>
      </c>
      <c r="L532" s="42">
        <v>10000000</v>
      </c>
    </row>
    <row r="533" spans="1:13" x14ac:dyDescent="0.3">
      <c r="L533" s="42"/>
    </row>
    <row r="534" spans="1:13" x14ac:dyDescent="0.3">
      <c r="D534" s="5" t="s">
        <v>83</v>
      </c>
    </row>
    <row r="535" spans="1:13" ht="28.8" x14ac:dyDescent="0.3">
      <c r="C535" s="37" t="s">
        <v>263</v>
      </c>
      <c r="D535" s="37" t="s">
        <v>2</v>
      </c>
      <c r="E535" s="37" t="s">
        <v>3</v>
      </c>
      <c r="F535" s="38" t="s">
        <v>4</v>
      </c>
      <c r="G535" s="38" t="s">
        <v>22</v>
      </c>
      <c r="H535" s="37" t="s">
        <v>6</v>
      </c>
      <c r="I535" s="37" t="s">
        <v>7</v>
      </c>
      <c r="J535" s="37" t="s">
        <v>8</v>
      </c>
      <c r="K535" s="38" t="s">
        <v>9</v>
      </c>
      <c r="L535" s="37" t="s">
        <v>10</v>
      </c>
      <c r="M535" s="37" t="s">
        <v>11</v>
      </c>
    </row>
    <row r="536" spans="1:13" x14ac:dyDescent="0.3">
      <c r="A536" s="5" t="str">
        <f>B536&amp;", R="&amp;D536&amp;", "&amp;I536&amp;", "&amp;G536</f>
        <v>[37], R=0.1, 90°, Pol</v>
      </c>
      <c r="B536" s="5" t="s">
        <v>84</v>
      </c>
      <c r="C536" s="40">
        <f>[1]Criteria!$P$43</f>
        <v>0.625</v>
      </c>
      <c r="D536" s="40">
        <v>0.1</v>
      </c>
      <c r="E536" s="40" t="s">
        <v>34</v>
      </c>
      <c r="F536" s="40" t="s">
        <v>14</v>
      </c>
      <c r="G536" s="40" t="s">
        <v>85</v>
      </c>
      <c r="H536" s="40">
        <v>50</v>
      </c>
      <c r="I536" s="40" t="s">
        <v>16</v>
      </c>
      <c r="J536" s="5">
        <v>800</v>
      </c>
      <c r="K536" s="5">
        <f>J536*((1-$D$508)/2)^0.28</f>
        <v>639.71935522927572</v>
      </c>
      <c r="L536" s="42">
        <v>25000</v>
      </c>
    </row>
    <row r="537" spans="1:13" x14ac:dyDescent="0.3">
      <c r="J537" s="5">
        <v>750</v>
      </c>
      <c r="K537" s="5">
        <f t="shared" ref="K537:K546" si="32">J537*((1-$D$508)/2)^0.28</f>
        <v>599.73689552744599</v>
      </c>
      <c r="L537" s="42">
        <v>27500</v>
      </c>
    </row>
    <row r="538" spans="1:13" x14ac:dyDescent="0.3">
      <c r="J538" s="5">
        <v>600</v>
      </c>
      <c r="K538" s="5">
        <f t="shared" si="32"/>
        <v>479.78951642195676</v>
      </c>
      <c r="L538" s="42">
        <v>67500</v>
      </c>
    </row>
    <row r="539" spans="1:13" x14ac:dyDescent="0.3">
      <c r="J539" s="5">
        <v>600</v>
      </c>
      <c r="K539" s="5">
        <f t="shared" si="32"/>
        <v>479.78951642195676</v>
      </c>
      <c r="L539" s="42">
        <v>70000</v>
      </c>
    </row>
    <row r="540" spans="1:13" x14ac:dyDescent="0.3">
      <c r="J540" s="5">
        <v>575</v>
      </c>
      <c r="K540" s="5">
        <f t="shared" si="32"/>
        <v>459.7982865710419</v>
      </c>
      <c r="L540" s="42">
        <v>2500000</v>
      </c>
    </row>
    <row r="541" spans="1:13" x14ac:dyDescent="0.3">
      <c r="J541" s="5">
        <v>575</v>
      </c>
      <c r="K541" s="5">
        <f t="shared" si="32"/>
        <v>459.7982865710419</v>
      </c>
      <c r="L541" s="42">
        <v>42500</v>
      </c>
    </row>
    <row r="542" spans="1:13" x14ac:dyDescent="0.3">
      <c r="J542" s="5">
        <v>550</v>
      </c>
      <c r="K542" s="5">
        <f t="shared" si="32"/>
        <v>439.80705672012704</v>
      </c>
      <c r="L542" s="42">
        <v>4000000</v>
      </c>
    </row>
    <row r="543" spans="1:13" x14ac:dyDescent="0.3">
      <c r="J543" s="5">
        <v>525</v>
      </c>
      <c r="K543" s="5">
        <f t="shared" si="32"/>
        <v>419.81582686921217</v>
      </c>
      <c r="L543" s="42">
        <v>4500000</v>
      </c>
    </row>
    <row r="544" spans="1:13" x14ac:dyDescent="0.3">
      <c r="J544" s="5">
        <v>510</v>
      </c>
      <c r="K544" s="5">
        <f t="shared" si="32"/>
        <v>407.82108895866327</v>
      </c>
      <c r="L544" s="42">
        <v>3500000</v>
      </c>
    </row>
    <row r="545" spans="1:13" x14ac:dyDescent="0.3">
      <c r="J545" s="5">
        <v>500</v>
      </c>
      <c r="K545" s="5">
        <f t="shared" si="32"/>
        <v>399.82459701829731</v>
      </c>
      <c r="L545" s="42">
        <v>100000</v>
      </c>
    </row>
    <row r="546" spans="1:13" x14ac:dyDescent="0.3">
      <c r="J546" s="5">
        <v>490</v>
      </c>
      <c r="K546" s="5">
        <f t="shared" si="32"/>
        <v>391.82810507793135</v>
      </c>
      <c r="L546" s="42">
        <v>10000000</v>
      </c>
    </row>
    <row r="547" spans="1:13" x14ac:dyDescent="0.3">
      <c r="L547" s="42"/>
    </row>
    <row r="548" spans="1:13" x14ac:dyDescent="0.3">
      <c r="D548" s="5" t="s">
        <v>83</v>
      </c>
    </row>
    <row r="549" spans="1:13" ht="28.8" x14ac:dyDescent="0.3">
      <c r="C549" s="37" t="s">
        <v>263</v>
      </c>
      <c r="D549" s="37" t="s">
        <v>2</v>
      </c>
      <c r="E549" s="37" t="s">
        <v>3</v>
      </c>
      <c r="F549" s="38" t="s">
        <v>4</v>
      </c>
      <c r="G549" s="38" t="s">
        <v>22</v>
      </c>
      <c r="H549" s="37" t="s">
        <v>6</v>
      </c>
      <c r="I549" s="37" t="s">
        <v>7</v>
      </c>
      <c r="J549" s="37" t="s">
        <v>8</v>
      </c>
      <c r="K549" s="38" t="s">
        <v>9</v>
      </c>
      <c r="L549" s="37" t="s">
        <v>10</v>
      </c>
      <c r="M549" s="37" t="s">
        <v>11</v>
      </c>
    </row>
    <row r="550" spans="1:13" x14ac:dyDescent="0.3">
      <c r="A550" s="5" t="str">
        <f>B550&amp;", R="&amp;D550&amp;", "&amp;I550&amp;", "&amp;G550</f>
        <v>[37], R=0.1, 45°, Pol</v>
      </c>
      <c r="B550" s="5" t="s">
        <v>84</v>
      </c>
      <c r="C550" s="40">
        <f>[1]Criteria!$P$43</f>
        <v>0.625</v>
      </c>
      <c r="D550" s="40">
        <v>0.1</v>
      </c>
      <c r="E550" s="40" t="s">
        <v>34</v>
      </c>
      <c r="F550" s="40" t="s">
        <v>14</v>
      </c>
      <c r="G550" s="40" t="s">
        <v>85</v>
      </c>
      <c r="H550" s="40">
        <v>50</v>
      </c>
      <c r="I550" s="40" t="s">
        <v>51</v>
      </c>
      <c r="J550" s="5">
        <v>700</v>
      </c>
      <c r="K550" s="5">
        <f>J550*((1-$D$508)/2)^0.28</f>
        <v>559.75443582561627</v>
      </c>
      <c r="L550" s="42">
        <v>22500</v>
      </c>
    </row>
    <row r="551" spans="1:13" x14ac:dyDescent="0.3">
      <c r="J551" s="5">
        <v>700</v>
      </c>
      <c r="K551" s="5">
        <f t="shared" ref="K551:K563" si="33">J551*((1-$D$508)/2)^0.28</f>
        <v>559.75443582561627</v>
      </c>
      <c r="L551" s="42">
        <v>25000</v>
      </c>
    </row>
    <row r="552" spans="1:13" x14ac:dyDescent="0.3">
      <c r="J552" s="5">
        <v>600</v>
      </c>
      <c r="K552" s="5">
        <f t="shared" si="33"/>
        <v>479.78951642195676</v>
      </c>
      <c r="L552" s="42">
        <v>120000</v>
      </c>
    </row>
    <row r="553" spans="1:13" x14ac:dyDescent="0.3">
      <c r="J553" s="5">
        <v>600</v>
      </c>
      <c r="K553" s="5">
        <f t="shared" si="33"/>
        <v>479.78951642195676</v>
      </c>
      <c r="L553" s="42">
        <v>3500000</v>
      </c>
    </row>
    <row r="554" spans="1:13" x14ac:dyDescent="0.3">
      <c r="J554" s="5">
        <v>550</v>
      </c>
      <c r="K554" s="5">
        <f t="shared" si="33"/>
        <v>439.80705672012704</v>
      </c>
      <c r="L554" s="42">
        <v>120000</v>
      </c>
    </row>
    <row r="555" spans="1:13" x14ac:dyDescent="0.3">
      <c r="J555" s="5">
        <v>550</v>
      </c>
      <c r="K555" s="5">
        <f t="shared" si="33"/>
        <v>439.80705672012704</v>
      </c>
      <c r="L555" s="42">
        <v>4500000</v>
      </c>
    </row>
    <row r="556" spans="1:13" x14ac:dyDescent="0.3">
      <c r="J556" s="5">
        <v>525</v>
      </c>
      <c r="K556" s="5">
        <f t="shared" si="33"/>
        <v>419.81582686921217</v>
      </c>
      <c r="L556" s="42">
        <v>175000</v>
      </c>
    </row>
    <row r="557" spans="1:13" x14ac:dyDescent="0.3">
      <c r="J557" s="5">
        <v>500</v>
      </c>
      <c r="K557" s="5">
        <f t="shared" si="33"/>
        <v>399.82459701829731</v>
      </c>
      <c r="L557" s="42">
        <v>2000000</v>
      </c>
    </row>
    <row r="558" spans="1:13" x14ac:dyDescent="0.3">
      <c r="J558" s="5">
        <v>500</v>
      </c>
      <c r="K558" s="5">
        <f t="shared" si="33"/>
        <v>399.82459701829731</v>
      </c>
      <c r="L558" s="42">
        <v>10000000</v>
      </c>
    </row>
    <row r="559" spans="1:13" x14ac:dyDescent="0.3">
      <c r="J559" s="5">
        <v>475</v>
      </c>
      <c r="K559" s="5">
        <f t="shared" si="33"/>
        <v>379.83336716738245</v>
      </c>
      <c r="L559" s="42">
        <v>2250000</v>
      </c>
    </row>
    <row r="560" spans="1:13" x14ac:dyDescent="0.3">
      <c r="J560" s="5">
        <v>475</v>
      </c>
      <c r="K560" s="5">
        <f t="shared" si="33"/>
        <v>379.83336716738245</v>
      </c>
      <c r="L560" s="42">
        <v>5500000</v>
      </c>
    </row>
    <row r="561" spans="1:16" x14ac:dyDescent="0.3">
      <c r="J561" s="5">
        <v>450</v>
      </c>
      <c r="K561" s="5">
        <f t="shared" si="33"/>
        <v>359.84213731646759</v>
      </c>
      <c r="L561" s="42">
        <v>85000</v>
      </c>
    </row>
    <row r="562" spans="1:16" x14ac:dyDescent="0.3">
      <c r="J562" s="5">
        <v>450</v>
      </c>
      <c r="K562" s="5">
        <f t="shared" si="33"/>
        <v>359.84213731646759</v>
      </c>
      <c r="L562" s="42">
        <v>10000000</v>
      </c>
    </row>
    <row r="563" spans="1:16" x14ac:dyDescent="0.3">
      <c r="J563" s="5">
        <v>425</v>
      </c>
      <c r="K563" s="5">
        <f t="shared" si="33"/>
        <v>339.85090746555272</v>
      </c>
      <c r="L563" s="42">
        <v>10000000</v>
      </c>
    </row>
    <row r="565" spans="1:16" x14ac:dyDescent="0.3">
      <c r="D565" s="5" t="s">
        <v>86</v>
      </c>
    </row>
    <row r="566" spans="1:16" ht="28.8" x14ac:dyDescent="0.3">
      <c r="C566" s="37" t="s">
        <v>263</v>
      </c>
      <c r="D566" s="37" t="s">
        <v>2</v>
      </c>
      <c r="E566" s="37" t="s">
        <v>3</v>
      </c>
      <c r="F566" s="38" t="s">
        <v>4</v>
      </c>
      <c r="G566" s="38" t="s">
        <v>22</v>
      </c>
      <c r="H566" s="37" t="s">
        <v>6</v>
      </c>
      <c r="I566" s="37" t="s">
        <v>7</v>
      </c>
      <c r="J566" s="37" t="s">
        <v>8</v>
      </c>
      <c r="K566" s="38" t="s">
        <v>9</v>
      </c>
      <c r="L566" s="37" t="s">
        <v>10</v>
      </c>
      <c r="M566" s="37" t="s">
        <v>11</v>
      </c>
      <c r="N566" s="5">
        <f>10000</f>
        <v>10000</v>
      </c>
      <c r="O566" s="5">
        <f>100000</f>
        <v>100000</v>
      </c>
      <c r="P566">
        <f>1000000</f>
        <v>1000000</v>
      </c>
    </row>
    <row r="567" spans="1:16" x14ac:dyDescent="0.3">
      <c r="A567" s="5" t="str">
        <f>B567&amp;", R="&amp;D567&amp;", "&amp;I567&amp;", "&amp;G567</f>
        <v>[38], R=0.1, 90°, Mach</v>
      </c>
      <c r="B567" s="5" t="s">
        <v>87</v>
      </c>
      <c r="C567" s="40">
        <f>[1]Criteria!Q43</f>
        <v>0.71875</v>
      </c>
      <c r="D567" s="40">
        <v>0.1</v>
      </c>
      <c r="E567" s="40" t="s">
        <v>34</v>
      </c>
      <c r="F567" s="40" t="s">
        <v>74</v>
      </c>
      <c r="G567" s="40" t="s">
        <v>36</v>
      </c>
      <c r="H567" s="40">
        <v>10</v>
      </c>
      <c r="I567" s="40" t="s">
        <v>16</v>
      </c>
      <c r="J567" s="5">
        <v>700</v>
      </c>
      <c r="K567" s="5">
        <f>J567*((1-$D$567)/2)^0.28</f>
        <v>559.75443582561627</v>
      </c>
      <c r="L567" s="42">
        <v>225000</v>
      </c>
    </row>
    <row r="568" spans="1:16" x14ac:dyDescent="0.3">
      <c r="C568" s="40"/>
      <c r="D568" s="40"/>
      <c r="E568" s="40"/>
      <c r="F568" s="40"/>
      <c r="G568" s="40"/>
      <c r="H568" s="40"/>
      <c r="I568" s="40"/>
      <c r="J568" s="5">
        <v>700</v>
      </c>
      <c r="K568" s="5">
        <f t="shared" ref="K568:K576" si="34">J568*((1-$D$567)/2)^0.28</f>
        <v>559.75443582561627</v>
      </c>
      <c r="L568" s="42">
        <v>36912</v>
      </c>
    </row>
    <row r="569" spans="1:16" x14ac:dyDescent="0.3">
      <c r="C569" s="40"/>
      <c r="D569" s="40"/>
      <c r="E569" s="40"/>
      <c r="F569" s="40"/>
      <c r="G569" s="40"/>
      <c r="H569" s="40"/>
      <c r="I569" s="40"/>
      <c r="J569" s="5">
        <v>700</v>
      </c>
      <c r="K569" s="5">
        <f t="shared" si="34"/>
        <v>559.75443582561627</v>
      </c>
      <c r="L569" s="42">
        <v>10047</v>
      </c>
    </row>
    <row r="570" spans="1:16" x14ac:dyDescent="0.3">
      <c r="C570" s="40"/>
      <c r="D570" s="40"/>
      <c r="E570" s="40"/>
      <c r="F570" s="40"/>
      <c r="G570" s="40"/>
      <c r="H570" s="40"/>
      <c r="I570" s="40"/>
      <c r="J570" s="5">
        <v>700</v>
      </c>
      <c r="K570" s="5">
        <f t="shared" si="34"/>
        <v>559.75443582561627</v>
      </c>
      <c r="L570" s="42">
        <v>27590</v>
      </c>
    </row>
    <row r="571" spans="1:16" x14ac:dyDescent="0.3">
      <c r="C571" s="40"/>
      <c r="D571" s="40"/>
      <c r="E571" s="40"/>
      <c r="F571" s="40"/>
      <c r="G571" s="40"/>
      <c r="H571" s="40"/>
      <c r="I571" s="40"/>
      <c r="J571" s="5">
        <v>700</v>
      </c>
      <c r="K571" s="5">
        <f t="shared" si="34"/>
        <v>559.75443582561627</v>
      </c>
      <c r="L571" s="42">
        <v>22838</v>
      </c>
    </row>
    <row r="572" spans="1:16" x14ac:dyDescent="0.3">
      <c r="J572" s="5">
        <v>600</v>
      </c>
      <c r="K572" s="5">
        <f t="shared" si="34"/>
        <v>479.78951642195676</v>
      </c>
      <c r="L572" s="42">
        <v>2500000</v>
      </c>
    </row>
    <row r="573" spans="1:16" x14ac:dyDescent="0.3">
      <c r="J573" s="5">
        <v>600</v>
      </c>
      <c r="K573" s="5">
        <f t="shared" si="34"/>
        <v>479.78951642195676</v>
      </c>
      <c r="L573" s="42">
        <v>102693</v>
      </c>
    </row>
    <row r="574" spans="1:16" x14ac:dyDescent="0.3">
      <c r="J574" s="5">
        <v>600</v>
      </c>
      <c r="K574" s="5">
        <f t="shared" si="34"/>
        <v>479.78951642195676</v>
      </c>
      <c r="L574" s="42">
        <v>312853</v>
      </c>
    </row>
    <row r="575" spans="1:16" x14ac:dyDescent="0.3">
      <c r="J575" s="5">
        <v>600</v>
      </c>
      <c r="K575" s="5">
        <f t="shared" si="34"/>
        <v>479.78951642195676</v>
      </c>
      <c r="L575" s="42">
        <v>15491</v>
      </c>
    </row>
    <row r="576" spans="1:16" x14ac:dyDescent="0.3">
      <c r="J576" s="5">
        <v>600</v>
      </c>
      <c r="K576" s="5">
        <f t="shared" si="34"/>
        <v>479.78951642195676</v>
      </c>
      <c r="L576" s="42">
        <v>53441</v>
      </c>
    </row>
    <row r="577" spans="1:16" x14ac:dyDescent="0.3">
      <c r="L577" s="42"/>
    </row>
    <row r="578" spans="1:16" x14ac:dyDescent="0.3">
      <c r="D578" s="5" t="s">
        <v>86</v>
      </c>
    </row>
    <row r="579" spans="1:16" ht="28.8" x14ac:dyDescent="0.3">
      <c r="C579" s="37" t="s">
        <v>263</v>
      </c>
      <c r="D579" s="37" t="s">
        <v>2</v>
      </c>
      <c r="E579" s="37" t="s">
        <v>3</v>
      </c>
      <c r="F579" s="38" t="s">
        <v>4</v>
      </c>
      <c r="G579" s="38" t="s">
        <v>22</v>
      </c>
      <c r="H579" s="37" t="s">
        <v>6</v>
      </c>
      <c r="I579" s="37" t="s">
        <v>7</v>
      </c>
      <c r="J579" s="37" t="s">
        <v>8</v>
      </c>
      <c r="K579" s="38" t="s">
        <v>9</v>
      </c>
      <c r="L579" s="37" t="s">
        <v>10</v>
      </c>
      <c r="M579" s="37" t="s">
        <v>11</v>
      </c>
      <c r="N579" s="5">
        <f>10000</f>
        <v>10000</v>
      </c>
      <c r="O579" s="5">
        <f>100000</f>
        <v>100000</v>
      </c>
      <c r="P579">
        <f>1000000</f>
        <v>1000000</v>
      </c>
    </row>
    <row r="580" spans="1:16" x14ac:dyDescent="0.3">
      <c r="A580" s="5" t="str">
        <f>B580&amp;", R="&amp;D580&amp;", "&amp;I580&amp;", "&amp;G580</f>
        <v>[38], R=0.1, 0°, Mach</v>
      </c>
      <c r="B580" s="5" t="s">
        <v>87</v>
      </c>
      <c r="C580" s="40">
        <f>[1]Criteria!Q43</f>
        <v>0.71875</v>
      </c>
      <c r="D580" s="40">
        <v>0.1</v>
      </c>
      <c r="E580" s="40" t="s">
        <v>34</v>
      </c>
      <c r="F580" s="40" t="s">
        <v>74</v>
      </c>
      <c r="G580" s="40" t="s">
        <v>36</v>
      </c>
      <c r="H580" s="40">
        <v>10</v>
      </c>
      <c r="I580" s="40" t="s">
        <v>18</v>
      </c>
      <c r="J580" s="5">
        <v>700</v>
      </c>
      <c r="K580" s="5">
        <f>J580*((1-$D$567)/2)^0.28</f>
        <v>559.75443582561627</v>
      </c>
      <c r="L580" s="42">
        <v>40000</v>
      </c>
    </row>
    <row r="581" spans="1:16" x14ac:dyDescent="0.3">
      <c r="C581" s="40"/>
      <c r="D581" s="40"/>
      <c r="E581" s="40"/>
      <c r="F581" s="40"/>
      <c r="G581" s="40"/>
      <c r="H581" s="40"/>
      <c r="I581" s="40"/>
      <c r="J581" s="5">
        <v>700</v>
      </c>
      <c r="K581" s="5">
        <f t="shared" ref="K581:K589" si="35">J581*((1-$D$567)/2)^0.28</f>
        <v>559.75443582561627</v>
      </c>
      <c r="L581" s="42">
        <v>1770000</v>
      </c>
    </row>
    <row r="582" spans="1:16" x14ac:dyDescent="0.3">
      <c r="C582" s="40"/>
      <c r="D582" s="40"/>
      <c r="E582" s="40"/>
      <c r="F582" s="40"/>
      <c r="G582" s="40"/>
      <c r="H582" s="40"/>
      <c r="I582" s="40"/>
      <c r="J582" s="5">
        <v>700</v>
      </c>
      <c r="K582" s="5">
        <f t="shared" si="35"/>
        <v>559.75443582561627</v>
      </c>
      <c r="L582" s="42">
        <v>500000</v>
      </c>
    </row>
    <row r="583" spans="1:16" x14ac:dyDescent="0.3">
      <c r="C583" s="40"/>
      <c r="D583" s="40"/>
      <c r="E583" s="40"/>
      <c r="F583" s="40"/>
      <c r="G583" s="40"/>
      <c r="H583" s="40"/>
      <c r="I583" s="40"/>
      <c r="J583" s="5">
        <v>700</v>
      </c>
      <c r="K583" s="5">
        <f t="shared" si="35"/>
        <v>559.75443582561627</v>
      </c>
      <c r="L583" s="42">
        <v>136000</v>
      </c>
    </row>
    <row r="584" spans="1:16" x14ac:dyDescent="0.3">
      <c r="C584" s="40"/>
      <c r="D584" s="40"/>
      <c r="E584" s="40"/>
      <c r="F584" s="40"/>
      <c r="G584" s="40"/>
      <c r="H584" s="40"/>
      <c r="I584" s="40"/>
      <c r="J584" s="5">
        <v>700</v>
      </c>
      <c r="K584" s="5">
        <f t="shared" si="35"/>
        <v>559.75443582561627</v>
      </c>
      <c r="L584" s="42">
        <v>213000</v>
      </c>
    </row>
    <row r="585" spans="1:16" x14ac:dyDescent="0.3">
      <c r="J585" s="5">
        <v>600</v>
      </c>
      <c r="K585" s="5">
        <f t="shared" si="35"/>
        <v>479.78951642195676</v>
      </c>
      <c r="L585" s="42">
        <v>180000</v>
      </c>
    </row>
    <row r="586" spans="1:16" x14ac:dyDescent="0.3">
      <c r="J586" s="5">
        <v>600</v>
      </c>
      <c r="K586" s="5">
        <f t="shared" si="35"/>
        <v>479.78951642195676</v>
      </c>
      <c r="L586" s="42">
        <v>156000</v>
      </c>
    </row>
    <row r="587" spans="1:16" x14ac:dyDescent="0.3">
      <c r="J587" s="5">
        <v>600</v>
      </c>
      <c r="K587" s="5">
        <f t="shared" si="35"/>
        <v>479.78951642195676</v>
      </c>
      <c r="L587" s="42">
        <v>289000</v>
      </c>
    </row>
    <row r="588" spans="1:16" x14ac:dyDescent="0.3">
      <c r="J588" s="5">
        <v>600</v>
      </c>
      <c r="K588" s="5">
        <f t="shared" si="35"/>
        <v>479.78951642195676</v>
      </c>
      <c r="L588" s="42">
        <v>276000</v>
      </c>
    </row>
    <row r="589" spans="1:16" x14ac:dyDescent="0.3">
      <c r="J589" s="5">
        <v>600</v>
      </c>
      <c r="K589" s="5">
        <f t="shared" si="35"/>
        <v>479.78951642195676</v>
      </c>
      <c r="L589" s="42">
        <v>231000</v>
      </c>
    </row>
    <row r="592" spans="1:16" x14ac:dyDescent="0.3">
      <c r="D592" s="5" t="s">
        <v>88</v>
      </c>
    </row>
    <row r="593" spans="1:13" ht="28.8" x14ac:dyDescent="0.3">
      <c r="C593" s="37" t="s">
        <v>263</v>
      </c>
      <c r="D593" s="37" t="s">
        <v>2</v>
      </c>
      <c r="E593" s="37" t="s">
        <v>3</v>
      </c>
      <c r="F593" s="38" t="s">
        <v>4</v>
      </c>
      <c r="G593" s="38" t="s">
        <v>22</v>
      </c>
      <c r="H593" s="37" t="s">
        <v>6</v>
      </c>
      <c r="I593" s="37" t="s">
        <v>7</v>
      </c>
      <c r="J593" s="37" t="s">
        <v>8</v>
      </c>
      <c r="K593" s="38" t="s">
        <v>9</v>
      </c>
      <c r="L593" s="37" t="s">
        <v>10</v>
      </c>
      <c r="M593" s="37" t="s">
        <v>11</v>
      </c>
    </row>
    <row r="594" spans="1:13" x14ac:dyDescent="0.3">
      <c r="A594" s="5" t="str">
        <f>B594&amp;", R="&amp;D594&amp;", "&amp;I594&amp;", "&amp;G594</f>
        <v>[40], R=0, 90°, SB + SR</v>
      </c>
      <c r="B594" s="5" t="s">
        <v>89</v>
      </c>
      <c r="C594" s="40">
        <f>[1]Criteria!S43</f>
        <v>0.6875</v>
      </c>
      <c r="D594" s="40">
        <v>0</v>
      </c>
      <c r="E594" s="40" t="s">
        <v>34</v>
      </c>
      <c r="F594" s="5" t="s">
        <v>74</v>
      </c>
      <c r="G594" s="40" t="s">
        <v>90</v>
      </c>
      <c r="H594" s="40">
        <v>10</v>
      </c>
      <c r="I594" s="40" t="s">
        <v>16</v>
      </c>
      <c r="J594" s="44">
        <v>600</v>
      </c>
      <c r="K594" s="5">
        <f>J594*((1-$D$594)/2)^0.28</f>
        <v>494.15461036054387</v>
      </c>
      <c r="L594" s="42">
        <v>15000</v>
      </c>
      <c r="M594" s="5" t="s">
        <v>91</v>
      </c>
    </row>
    <row r="595" spans="1:13" x14ac:dyDescent="0.3">
      <c r="J595" s="5">
        <v>400</v>
      </c>
      <c r="K595" s="5">
        <f t="shared" ref="K595:K603" si="36">J595*((1-$D$594)/2)^0.28</f>
        <v>329.43640690702927</v>
      </c>
      <c r="L595" s="42">
        <v>100000</v>
      </c>
    </row>
    <row r="596" spans="1:13" x14ac:dyDescent="0.3">
      <c r="J596" s="5">
        <v>400</v>
      </c>
      <c r="K596" s="5">
        <f t="shared" si="36"/>
        <v>329.43640690702927</v>
      </c>
      <c r="L596" s="42">
        <v>90000</v>
      </c>
    </row>
    <row r="597" spans="1:13" x14ac:dyDescent="0.3">
      <c r="J597" s="5">
        <v>350</v>
      </c>
      <c r="K597" s="5">
        <f t="shared" si="36"/>
        <v>288.2568560436506</v>
      </c>
      <c r="L597" s="42">
        <v>110000</v>
      </c>
    </row>
    <row r="598" spans="1:13" x14ac:dyDescent="0.3">
      <c r="J598" s="5">
        <v>325</v>
      </c>
      <c r="K598" s="5">
        <f t="shared" si="36"/>
        <v>267.66708061196124</v>
      </c>
      <c r="L598" s="42">
        <v>225000</v>
      </c>
    </row>
    <row r="599" spans="1:13" x14ac:dyDescent="0.3">
      <c r="J599" s="5">
        <v>310</v>
      </c>
      <c r="K599" s="5">
        <f t="shared" si="36"/>
        <v>255.31321535294765</v>
      </c>
      <c r="L599" s="42">
        <v>200000</v>
      </c>
    </row>
    <row r="600" spans="1:13" x14ac:dyDescent="0.3">
      <c r="J600" s="5">
        <v>310</v>
      </c>
      <c r="K600" s="5">
        <f t="shared" si="36"/>
        <v>255.31321535294765</v>
      </c>
      <c r="L600" s="42">
        <v>400000</v>
      </c>
    </row>
    <row r="601" spans="1:13" x14ac:dyDescent="0.3">
      <c r="J601" s="5">
        <v>300</v>
      </c>
      <c r="K601" s="5">
        <f t="shared" si="36"/>
        <v>247.07730518027194</v>
      </c>
      <c r="L601" s="42">
        <v>450000</v>
      </c>
    </row>
    <row r="602" spans="1:13" x14ac:dyDescent="0.3">
      <c r="J602" s="5">
        <v>290</v>
      </c>
      <c r="K602" s="5">
        <f t="shared" si="36"/>
        <v>238.84139500759619</v>
      </c>
      <c r="L602" s="42">
        <v>2500000</v>
      </c>
    </row>
    <row r="603" spans="1:13" x14ac:dyDescent="0.3">
      <c r="J603" s="5">
        <v>275</v>
      </c>
      <c r="K603" s="5">
        <f t="shared" si="36"/>
        <v>226.4875297485826</v>
      </c>
      <c r="L603" s="42">
        <v>2500000</v>
      </c>
    </row>
    <row r="606" spans="1:13" x14ac:dyDescent="0.3">
      <c r="D606" s="5" t="s">
        <v>92</v>
      </c>
    </row>
    <row r="607" spans="1:13" ht="28.8" x14ac:dyDescent="0.3">
      <c r="C607" s="37" t="s">
        <v>263</v>
      </c>
      <c r="D607" s="37" t="s">
        <v>2</v>
      </c>
      <c r="E607" s="37" t="s">
        <v>3</v>
      </c>
      <c r="F607" s="38" t="s">
        <v>4</v>
      </c>
      <c r="G607" s="38" t="s">
        <v>22</v>
      </c>
      <c r="H607" s="37" t="s">
        <v>6</v>
      </c>
      <c r="I607" s="37" t="s">
        <v>7</v>
      </c>
      <c r="J607" s="37" t="s">
        <v>8</v>
      </c>
      <c r="K607" s="38" t="s">
        <v>9</v>
      </c>
      <c r="L607" s="37" t="s">
        <v>10</v>
      </c>
      <c r="M607" s="37" t="s">
        <v>11</v>
      </c>
    </row>
    <row r="608" spans="1:13" x14ac:dyDescent="0.3">
      <c r="A608" s="5" t="str">
        <f>B608&amp;", R="&amp;D608&amp;", "&amp;I608&amp;", "&amp;G608</f>
        <v>[42], R=0.1, 90°, SB + HIP</v>
      </c>
      <c r="B608" s="5" t="s">
        <v>93</v>
      </c>
      <c r="C608" s="5">
        <f>[1]Criteria!$U$43</f>
        <v>0.6470588235294118</v>
      </c>
      <c r="D608" s="5">
        <v>0.1</v>
      </c>
      <c r="E608" s="5" t="s">
        <v>34</v>
      </c>
      <c r="F608" s="5" t="s">
        <v>94</v>
      </c>
      <c r="G608" s="5" t="s">
        <v>95</v>
      </c>
      <c r="H608" s="5">
        <v>20</v>
      </c>
      <c r="I608" s="5" t="s">
        <v>16</v>
      </c>
      <c r="J608" s="5">
        <v>500</v>
      </c>
      <c r="K608" s="5">
        <f>J608*((1-$D$608)/2)^0.28</f>
        <v>399.82459701829731</v>
      </c>
      <c r="L608" s="5">
        <v>32000</v>
      </c>
    </row>
    <row r="609" spans="1:13" x14ac:dyDescent="0.3">
      <c r="J609" s="5">
        <v>450</v>
      </c>
      <c r="K609" s="5">
        <f t="shared" ref="K609:K615" si="37">J609*((1-$D$608)/2)^0.28</f>
        <v>359.84213731646759</v>
      </c>
      <c r="L609" s="5">
        <v>63000</v>
      </c>
    </row>
    <row r="610" spans="1:13" x14ac:dyDescent="0.3">
      <c r="J610" s="5">
        <v>375</v>
      </c>
      <c r="K610" s="5">
        <f t="shared" si="37"/>
        <v>299.868447763723</v>
      </c>
      <c r="L610" s="5">
        <v>125000</v>
      </c>
    </row>
    <row r="611" spans="1:13" x14ac:dyDescent="0.3">
      <c r="J611" s="5">
        <v>350</v>
      </c>
      <c r="K611" s="5">
        <f t="shared" si="37"/>
        <v>279.87721791280813</v>
      </c>
      <c r="L611" s="5">
        <v>190000</v>
      </c>
    </row>
    <row r="612" spans="1:13" x14ac:dyDescent="0.3">
      <c r="J612" s="5">
        <v>325</v>
      </c>
      <c r="K612" s="5">
        <f t="shared" si="37"/>
        <v>259.88598806189327</v>
      </c>
      <c r="L612" s="5">
        <v>110000</v>
      </c>
    </row>
    <row r="613" spans="1:13" x14ac:dyDescent="0.3">
      <c r="J613" s="5">
        <v>315</v>
      </c>
      <c r="K613" s="5">
        <f t="shared" si="37"/>
        <v>251.88949612152732</v>
      </c>
      <c r="L613" s="5">
        <v>125000</v>
      </c>
    </row>
    <row r="614" spans="1:13" x14ac:dyDescent="0.3">
      <c r="J614" s="5">
        <v>310</v>
      </c>
      <c r="K614" s="5">
        <f t="shared" si="37"/>
        <v>247.89125015134434</v>
      </c>
      <c r="L614" s="5">
        <v>7000000</v>
      </c>
    </row>
    <row r="615" spans="1:13" x14ac:dyDescent="0.3">
      <c r="J615" s="5">
        <v>300</v>
      </c>
      <c r="K615" s="5">
        <f t="shared" si="37"/>
        <v>239.89475821097838</v>
      </c>
      <c r="L615" s="5">
        <v>175000</v>
      </c>
    </row>
    <row r="617" spans="1:13" x14ac:dyDescent="0.3">
      <c r="D617" s="5" t="s">
        <v>92</v>
      </c>
    </row>
    <row r="618" spans="1:13" ht="28.8" x14ac:dyDescent="0.3">
      <c r="C618" s="37" t="s">
        <v>263</v>
      </c>
      <c r="D618" s="37" t="s">
        <v>2</v>
      </c>
      <c r="E618" s="37" t="s">
        <v>3</v>
      </c>
      <c r="F618" s="38" t="s">
        <v>4</v>
      </c>
      <c r="G618" s="38" t="s">
        <v>22</v>
      </c>
      <c r="H618" s="37" t="s">
        <v>6</v>
      </c>
      <c r="I618" s="37" t="s">
        <v>7</v>
      </c>
      <c r="J618" s="37" t="s">
        <v>8</v>
      </c>
      <c r="K618" s="38" t="s">
        <v>9</v>
      </c>
      <c r="L618" s="37" t="s">
        <v>10</v>
      </c>
      <c r="M618" s="37" t="s">
        <v>11</v>
      </c>
    </row>
    <row r="619" spans="1:13" x14ac:dyDescent="0.3">
      <c r="A619" s="5" t="str">
        <f>B619&amp;", R="&amp;D619&amp;", "&amp;I619&amp;", "&amp;G619</f>
        <v>[42], R=0.1, 90°, SB</v>
      </c>
      <c r="B619" s="5" t="s">
        <v>93</v>
      </c>
      <c r="C619" s="5">
        <f>[1]Criteria!$U$43</f>
        <v>0.6470588235294118</v>
      </c>
      <c r="D619" s="5">
        <v>0.1</v>
      </c>
      <c r="E619" s="5" t="s">
        <v>34</v>
      </c>
      <c r="F619" s="5" t="s">
        <v>94</v>
      </c>
      <c r="G619" s="5" t="s">
        <v>96</v>
      </c>
      <c r="H619" s="5">
        <v>20</v>
      </c>
      <c r="I619" s="5" t="s">
        <v>16</v>
      </c>
      <c r="J619" s="5">
        <v>575</v>
      </c>
      <c r="K619" s="5">
        <f>J619*((1-$D$608)/2)^0.28</f>
        <v>459.7982865710419</v>
      </c>
      <c r="L619" s="42">
        <v>30000</v>
      </c>
    </row>
    <row r="620" spans="1:13" x14ac:dyDescent="0.3">
      <c r="J620" s="5">
        <v>500</v>
      </c>
      <c r="K620" s="5">
        <f t="shared" ref="K620:K627" si="38">J620*((1-$D$608)/2)^0.28</f>
        <v>399.82459701829731</v>
      </c>
      <c r="L620" s="42">
        <v>55000</v>
      </c>
    </row>
    <row r="621" spans="1:13" x14ac:dyDescent="0.3">
      <c r="J621" s="5">
        <v>500</v>
      </c>
      <c r="K621" s="5">
        <f t="shared" si="38"/>
        <v>399.82459701829731</v>
      </c>
      <c r="L621" s="42">
        <v>60000</v>
      </c>
    </row>
    <row r="622" spans="1:13" x14ac:dyDescent="0.3">
      <c r="J622" s="5">
        <v>400</v>
      </c>
      <c r="K622" s="5">
        <f t="shared" si="38"/>
        <v>319.85967761463786</v>
      </c>
      <c r="L622" s="42">
        <v>80000</v>
      </c>
    </row>
    <row r="623" spans="1:13" x14ac:dyDescent="0.3">
      <c r="J623" s="5">
        <v>400</v>
      </c>
      <c r="K623" s="5">
        <f t="shared" si="38"/>
        <v>319.85967761463786</v>
      </c>
      <c r="L623" s="42">
        <v>250000</v>
      </c>
    </row>
    <row r="624" spans="1:13" x14ac:dyDescent="0.3">
      <c r="J624" s="5">
        <v>350</v>
      </c>
      <c r="K624" s="5">
        <f t="shared" si="38"/>
        <v>279.87721791280813</v>
      </c>
      <c r="L624" s="42">
        <v>5000000</v>
      </c>
    </row>
    <row r="625" spans="1:13" x14ac:dyDescent="0.3">
      <c r="J625" s="5">
        <v>300</v>
      </c>
      <c r="K625" s="5">
        <f t="shared" si="38"/>
        <v>239.89475821097838</v>
      </c>
      <c r="L625" s="42">
        <v>425000</v>
      </c>
    </row>
    <row r="626" spans="1:13" x14ac:dyDescent="0.3">
      <c r="J626" s="5">
        <v>300</v>
      </c>
      <c r="K626" s="5">
        <f t="shared" si="38"/>
        <v>239.89475821097838</v>
      </c>
      <c r="L626" s="42">
        <v>5000000</v>
      </c>
    </row>
    <row r="627" spans="1:13" x14ac:dyDescent="0.3">
      <c r="J627" s="5">
        <v>250</v>
      </c>
      <c r="K627" s="5">
        <f t="shared" si="38"/>
        <v>199.91229850914866</v>
      </c>
      <c r="L627" s="42">
        <v>5000000</v>
      </c>
    </row>
    <row r="629" spans="1:13" x14ac:dyDescent="0.3">
      <c r="D629" s="5" t="s">
        <v>92</v>
      </c>
    </row>
    <row r="630" spans="1:13" ht="28.8" x14ac:dyDescent="0.3">
      <c r="C630" s="37" t="s">
        <v>263</v>
      </c>
      <c r="D630" s="37" t="s">
        <v>2</v>
      </c>
      <c r="E630" s="37" t="s">
        <v>3</v>
      </c>
      <c r="F630" s="38" t="s">
        <v>4</v>
      </c>
      <c r="G630" s="38" t="s">
        <v>22</v>
      </c>
      <c r="H630" s="37" t="s">
        <v>6</v>
      </c>
      <c r="I630" s="37" t="s">
        <v>7</v>
      </c>
      <c r="J630" s="37" t="s">
        <v>8</v>
      </c>
      <c r="K630" s="38" t="s">
        <v>9</v>
      </c>
      <c r="L630" s="37" t="s">
        <v>10</v>
      </c>
      <c r="M630" s="37" t="s">
        <v>11</v>
      </c>
    </row>
    <row r="631" spans="1:13" x14ac:dyDescent="0.3">
      <c r="A631" s="5" t="str">
        <f>B631&amp;", R="&amp;D631&amp;", "&amp;I631&amp;", "&amp;G631</f>
        <v>[42], R=0.1, 90°, Pol + HIP</v>
      </c>
      <c r="B631" s="5" t="s">
        <v>93</v>
      </c>
      <c r="C631" s="5">
        <f>[1]Criteria!$U$43</f>
        <v>0.6470588235294118</v>
      </c>
      <c r="D631" s="5">
        <v>0.1</v>
      </c>
      <c r="E631" s="5" t="s">
        <v>34</v>
      </c>
      <c r="F631" s="5" t="s">
        <v>94</v>
      </c>
      <c r="G631" s="5" t="s">
        <v>68</v>
      </c>
      <c r="H631" s="5">
        <v>20</v>
      </c>
      <c r="I631" s="5" t="s">
        <v>16</v>
      </c>
      <c r="J631" s="5">
        <v>825</v>
      </c>
      <c r="K631" s="5">
        <f>J631*((1-$D$608)/2)^0.28</f>
        <v>659.71058508019053</v>
      </c>
      <c r="L631" s="42">
        <v>50000</v>
      </c>
    </row>
    <row r="632" spans="1:13" x14ac:dyDescent="0.3">
      <c r="J632" s="5">
        <v>800</v>
      </c>
      <c r="K632" s="5">
        <f>J632*((1-$D$608)/2)^0.28</f>
        <v>639.71935522927572</v>
      </c>
      <c r="L632" s="42">
        <v>35000</v>
      </c>
    </row>
    <row r="633" spans="1:13" x14ac:dyDescent="0.3">
      <c r="J633" s="5">
        <v>650</v>
      </c>
      <c r="K633" s="5">
        <f>J633*((1-$D$608)/2)^0.28</f>
        <v>519.77197612378654</v>
      </c>
      <c r="L633" s="42">
        <v>400000</v>
      </c>
    </row>
    <row r="634" spans="1:13" x14ac:dyDescent="0.3">
      <c r="J634" s="5">
        <v>600</v>
      </c>
      <c r="K634" s="5">
        <f>J634*((1-$D$608)/2)^0.28</f>
        <v>479.78951642195676</v>
      </c>
      <c r="L634" s="42">
        <v>450000</v>
      </c>
    </row>
    <row r="635" spans="1:13" x14ac:dyDescent="0.3">
      <c r="J635" s="5">
        <v>475</v>
      </c>
      <c r="K635" s="5">
        <f>J635*((1-$D$608)/2)^0.28</f>
        <v>379.83336716738245</v>
      </c>
      <c r="L635" s="42">
        <v>8500000</v>
      </c>
    </row>
    <row r="636" spans="1:13" x14ac:dyDescent="0.3">
      <c r="L636" s="42"/>
    </row>
    <row r="637" spans="1:13" x14ac:dyDescent="0.3">
      <c r="D637" s="5" t="s">
        <v>92</v>
      </c>
    </row>
    <row r="638" spans="1:13" ht="28.8" x14ac:dyDescent="0.3">
      <c r="C638" s="37" t="s">
        <v>263</v>
      </c>
      <c r="D638" s="37" t="s">
        <v>2</v>
      </c>
      <c r="E638" s="37" t="s">
        <v>3</v>
      </c>
      <c r="F638" s="38" t="s">
        <v>4</v>
      </c>
      <c r="G638" s="38" t="s">
        <v>22</v>
      </c>
      <c r="H638" s="37" t="s">
        <v>6</v>
      </c>
      <c r="I638" s="37" t="s">
        <v>7</v>
      </c>
      <c r="J638" s="37" t="s">
        <v>8</v>
      </c>
      <c r="K638" s="38" t="s">
        <v>9</v>
      </c>
      <c r="L638" s="37" t="s">
        <v>10</v>
      </c>
      <c r="M638" s="37" t="s">
        <v>11</v>
      </c>
    </row>
    <row r="639" spans="1:13" x14ac:dyDescent="0.3">
      <c r="A639" s="5" t="str">
        <f>B639&amp;", R="&amp;D639&amp;", "&amp;I639&amp;", "&amp;G639</f>
        <v>[42], R=0.1, 90°, SB</v>
      </c>
      <c r="B639" s="5" t="s">
        <v>93</v>
      </c>
      <c r="C639" s="5">
        <f>[1]Criteria!$U$43</f>
        <v>0.6470588235294118</v>
      </c>
      <c r="D639" s="5">
        <v>0.1</v>
      </c>
      <c r="E639" s="5" t="s">
        <v>34</v>
      </c>
      <c r="F639" s="5" t="s">
        <v>39</v>
      </c>
      <c r="G639" s="5" t="s">
        <v>96</v>
      </c>
      <c r="H639" s="5">
        <v>20</v>
      </c>
      <c r="I639" s="5" t="s">
        <v>16</v>
      </c>
      <c r="J639" s="5">
        <v>400</v>
      </c>
      <c r="K639" s="5">
        <f>J639*((1-$D$608)/2)^0.28</f>
        <v>319.85967761463786</v>
      </c>
      <c r="L639" s="42">
        <v>20000</v>
      </c>
    </row>
    <row r="640" spans="1:13" x14ac:dyDescent="0.3">
      <c r="J640" s="5">
        <v>400</v>
      </c>
      <c r="K640" s="5">
        <f t="shared" ref="K640:K645" si="39">J640*((1-$D$608)/2)^0.28</f>
        <v>319.85967761463786</v>
      </c>
      <c r="L640" s="42">
        <v>26000</v>
      </c>
    </row>
    <row r="641" spans="1:13" x14ac:dyDescent="0.3">
      <c r="J641" s="5">
        <v>250</v>
      </c>
      <c r="K641" s="5">
        <f t="shared" si="39"/>
        <v>199.91229850914866</v>
      </c>
      <c r="L641" s="42">
        <v>300000</v>
      </c>
    </row>
    <row r="642" spans="1:13" x14ac:dyDescent="0.3">
      <c r="J642" s="5">
        <v>225</v>
      </c>
      <c r="K642" s="5">
        <f t="shared" si="39"/>
        <v>179.92106865823379</v>
      </c>
      <c r="L642" s="42">
        <v>175000</v>
      </c>
    </row>
    <row r="643" spans="1:13" x14ac:dyDescent="0.3">
      <c r="J643" s="5">
        <v>200</v>
      </c>
      <c r="K643" s="5">
        <f t="shared" si="39"/>
        <v>159.92983880731893</v>
      </c>
      <c r="L643" s="42">
        <v>700000</v>
      </c>
    </row>
    <row r="644" spans="1:13" x14ac:dyDescent="0.3">
      <c r="J644" s="5">
        <v>190</v>
      </c>
      <c r="K644" s="5">
        <f t="shared" si="39"/>
        <v>151.93334686695297</v>
      </c>
      <c r="L644" s="42">
        <v>800000</v>
      </c>
    </row>
    <row r="645" spans="1:13" x14ac:dyDescent="0.3">
      <c r="J645" s="5">
        <v>150</v>
      </c>
      <c r="K645" s="5">
        <f t="shared" si="39"/>
        <v>119.94737910548919</v>
      </c>
      <c r="L645" s="42">
        <v>8500000</v>
      </c>
    </row>
    <row r="647" spans="1:13" x14ac:dyDescent="0.3">
      <c r="D647" s="5" t="s">
        <v>92</v>
      </c>
    </row>
    <row r="648" spans="1:13" ht="28.8" x14ac:dyDescent="0.3">
      <c r="C648" s="37" t="s">
        <v>263</v>
      </c>
      <c r="D648" s="37" t="s">
        <v>2</v>
      </c>
      <c r="E648" s="37" t="s">
        <v>3</v>
      </c>
      <c r="F648" s="38" t="s">
        <v>4</v>
      </c>
      <c r="G648" s="38" t="s">
        <v>22</v>
      </c>
      <c r="H648" s="37" t="s">
        <v>6</v>
      </c>
      <c r="I648" s="37" t="s">
        <v>7</v>
      </c>
      <c r="J648" s="37" t="s">
        <v>8</v>
      </c>
      <c r="K648" s="38" t="s">
        <v>9</v>
      </c>
      <c r="L648" s="37" t="s">
        <v>10</v>
      </c>
      <c r="M648" s="37" t="s">
        <v>11</v>
      </c>
    </row>
    <row r="649" spans="1:13" x14ac:dyDescent="0.3">
      <c r="A649" s="5" t="str">
        <f>B649&amp;", R="&amp;D649&amp;", "&amp;I649&amp;", "&amp;G649</f>
        <v>[42], R=0.1, 90°, SB + HIP</v>
      </c>
      <c r="B649" s="5" t="s">
        <v>93</v>
      </c>
      <c r="C649" s="5">
        <f>[1]Criteria!$U$43</f>
        <v>0.6470588235294118</v>
      </c>
      <c r="D649" s="5">
        <v>0.1</v>
      </c>
      <c r="E649" s="5" t="s">
        <v>34</v>
      </c>
      <c r="F649" s="5" t="s">
        <v>39</v>
      </c>
      <c r="G649" s="5" t="s">
        <v>95</v>
      </c>
      <c r="H649" s="5">
        <v>20</v>
      </c>
      <c r="I649" s="5" t="s">
        <v>16</v>
      </c>
      <c r="J649" s="5">
        <v>400</v>
      </c>
      <c r="K649" s="5">
        <f>J649*((1-$D$608)/2)^0.28</f>
        <v>319.85967761463786</v>
      </c>
      <c r="L649" s="42">
        <v>47500</v>
      </c>
    </row>
    <row r="650" spans="1:13" x14ac:dyDescent="0.3">
      <c r="J650" s="5">
        <v>350</v>
      </c>
      <c r="K650" s="5">
        <f t="shared" ref="K650:K655" si="40">J650*((1-$D$608)/2)^0.28</f>
        <v>279.87721791280813</v>
      </c>
      <c r="L650" s="42">
        <v>70000</v>
      </c>
    </row>
    <row r="651" spans="1:13" x14ac:dyDescent="0.3">
      <c r="J651" s="5">
        <v>300</v>
      </c>
      <c r="K651" s="5">
        <f t="shared" si="40"/>
        <v>239.89475821097838</v>
      </c>
      <c r="L651" s="42">
        <v>175000</v>
      </c>
    </row>
    <row r="652" spans="1:13" x14ac:dyDescent="0.3">
      <c r="J652" s="5">
        <v>250</v>
      </c>
      <c r="K652" s="5">
        <f t="shared" si="40"/>
        <v>199.91229850914866</v>
      </c>
      <c r="L652" s="42">
        <v>325000</v>
      </c>
    </row>
    <row r="653" spans="1:13" x14ac:dyDescent="0.3">
      <c r="J653" s="5">
        <v>225</v>
      </c>
      <c r="K653" s="5">
        <f t="shared" si="40"/>
        <v>179.92106865823379</v>
      </c>
      <c r="L653" s="42">
        <v>950000</v>
      </c>
    </row>
    <row r="654" spans="1:13" x14ac:dyDescent="0.3">
      <c r="J654" s="5">
        <v>225</v>
      </c>
      <c r="K654" s="5">
        <f t="shared" si="40"/>
        <v>179.92106865823379</v>
      </c>
      <c r="L654" s="42">
        <v>10000000</v>
      </c>
    </row>
    <row r="655" spans="1:13" x14ac:dyDescent="0.3">
      <c r="J655" s="5">
        <v>210</v>
      </c>
      <c r="K655" s="5">
        <f t="shared" si="40"/>
        <v>167.92633074768486</v>
      </c>
      <c r="L655" s="42">
        <v>10000000</v>
      </c>
    </row>
    <row r="656" spans="1:13" x14ac:dyDescent="0.3">
      <c r="L656" s="42"/>
    </row>
    <row r="657" spans="1:16" x14ac:dyDescent="0.3">
      <c r="D657" s="5" t="s">
        <v>92</v>
      </c>
    </row>
    <row r="658" spans="1:16" ht="28.8" x14ac:dyDescent="0.3">
      <c r="C658" s="37" t="s">
        <v>263</v>
      </c>
      <c r="D658" s="37" t="s">
        <v>2</v>
      </c>
      <c r="E658" s="37" t="s">
        <v>3</v>
      </c>
      <c r="F658" s="38" t="s">
        <v>4</v>
      </c>
      <c r="G658" s="38" t="s">
        <v>22</v>
      </c>
      <c r="H658" s="37" t="s">
        <v>6</v>
      </c>
      <c r="I658" s="37" t="s">
        <v>7</v>
      </c>
      <c r="J658" s="37" t="s">
        <v>8</v>
      </c>
      <c r="K658" s="38" t="s">
        <v>9</v>
      </c>
      <c r="L658" s="37" t="s">
        <v>10</v>
      </c>
      <c r="M658" s="37" t="s">
        <v>11</v>
      </c>
    </row>
    <row r="659" spans="1:16" x14ac:dyDescent="0.3">
      <c r="A659" s="5" t="str">
        <f>B659&amp;", R="&amp;D659&amp;", "&amp;I659&amp;", "&amp;G659</f>
        <v>[42], R=0.1, 90°, Pol + HIP</v>
      </c>
      <c r="B659" s="5" t="s">
        <v>93</v>
      </c>
      <c r="C659" s="5">
        <f>[1]Criteria!$U$43</f>
        <v>0.6470588235294118</v>
      </c>
      <c r="D659" s="5">
        <v>0.1</v>
      </c>
      <c r="E659" s="5" t="s">
        <v>34</v>
      </c>
      <c r="F659" s="5" t="s">
        <v>39</v>
      </c>
      <c r="G659" s="5" t="s">
        <v>68</v>
      </c>
      <c r="H659" s="5">
        <v>20</v>
      </c>
      <c r="I659" s="5" t="s">
        <v>16</v>
      </c>
      <c r="J659" s="5">
        <v>825</v>
      </c>
      <c r="K659" s="5">
        <f>J659*((1-$D$608)/2)^0.28</f>
        <v>659.71058508019053</v>
      </c>
      <c r="L659" s="42">
        <v>1250000</v>
      </c>
    </row>
    <row r="660" spans="1:16" x14ac:dyDescent="0.3">
      <c r="J660" s="5">
        <v>800</v>
      </c>
      <c r="K660" s="5">
        <f>J660*((1-$D$608)/2)^0.28</f>
        <v>639.71935522927572</v>
      </c>
      <c r="L660" s="42">
        <v>2500000</v>
      </c>
    </row>
    <row r="661" spans="1:16" x14ac:dyDescent="0.3">
      <c r="J661" s="5">
        <v>800</v>
      </c>
      <c r="K661" s="5">
        <f>J661*((1-$D$608)/2)^0.28</f>
        <v>639.71935522927572</v>
      </c>
      <c r="L661" s="42">
        <v>2750000</v>
      </c>
    </row>
    <row r="662" spans="1:16" x14ac:dyDescent="0.3">
      <c r="L662" s="42"/>
    </row>
    <row r="664" spans="1:16" x14ac:dyDescent="0.3">
      <c r="D664" s="5" t="s">
        <v>98</v>
      </c>
    </row>
    <row r="665" spans="1:16" ht="28.8" x14ac:dyDescent="0.3">
      <c r="C665" s="37" t="s">
        <v>263</v>
      </c>
      <c r="D665" s="37" t="s">
        <v>2</v>
      </c>
      <c r="E665" s="37" t="s">
        <v>3</v>
      </c>
      <c r="F665" s="38" t="s">
        <v>4</v>
      </c>
      <c r="G665" s="38" t="s">
        <v>22</v>
      </c>
      <c r="H665" s="37" t="s">
        <v>6</v>
      </c>
      <c r="I665" s="37" t="s">
        <v>7</v>
      </c>
      <c r="J665" s="37" t="s">
        <v>8</v>
      </c>
      <c r="K665" s="38" t="s">
        <v>9</v>
      </c>
      <c r="L665" s="37" t="s">
        <v>10</v>
      </c>
      <c r="M665" s="37" t="s">
        <v>11</v>
      </c>
    </row>
    <row r="666" spans="1:16" x14ac:dyDescent="0.3">
      <c r="A666" s="5" t="str">
        <f>B666&amp;", R="&amp;D666&amp;", "&amp;I666&amp;", "&amp;G666</f>
        <v>[43], R=0.1, 90°, SB + SR</v>
      </c>
      <c r="B666" s="5" t="s">
        <v>99</v>
      </c>
      <c r="C666" s="5">
        <f>[1]Criteria!$V$43</f>
        <v>0.8529411764705882</v>
      </c>
      <c r="D666" s="5">
        <v>0.1</v>
      </c>
      <c r="E666" s="5" t="s">
        <v>73</v>
      </c>
      <c r="F666" s="5" t="s">
        <v>74</v>
      </c>
      <c r="G666" s="5" t="s">
        <v>90</v>
      </c>
      <c r="H666" s="5">
        <v>8</v>
      </c>
      <c r="I666" s="5" t="s">
        <v>16</v>
      </c>
      <c r="J666" s="5">
        <v>700</v>
      </c>
      <c r="K666" s="5">
        <f>J666*((1-$D$666)/2)^0.28</f>
        <v>559.75443582561627</v>
      </c>
      <c r="L666" s="42">
        <v>7000</v>
      </c>
    </row>
    <row r="667" spans="1:16" x14ac:dyDescent="0.3">
      <c r="J667" s="5">
        <v>590</v>
      </c>
      <c r="K667" s="5">
        <f>J667*((1-$D$666)/2)^0.28</f>
        <v>471.79302448159081</v>
      </c>
      <c r="L667" s="42">
        <v>17500</v>
      </c>
    </row>
    <row r="668" spans="1:16" x14ac:dyDescent="0.3">
      <c r="J668" s="5">
        <v>435</v>
      </c>
      <c r="K668" s="5">
        <f>J668*((1-$D$666)/2)^0.28</f>
        <v>347.84739940591868</v>
      </c>
      <c r="L668" s="42">
        <v>46000</v>
      </c>
    </row>
    <row r="669" spans="1:16" x14ac:dyDescent="0.3">
      <c r="J669" s="5">
        <v>335</v>
      </c>
      <c r="K669" s="5">
        <f>J669*((1-$D$666)/2)^0.28</f>
        <v>267.88248000225917</v>
      </c>
      <c r="L669" s="42">
        <v>250000</v>
      </c>
    </row>
    <row r="671" spans="1:16" x14ac:dyDescent="0.3">
      <c r="D671" s="5" t="s">
        <v>98</v>
      </c>
    </row>
    <row r="672" spans="1:16" ht="28.8" x14ac:dyDescent="0.3">
      <c r="C672" s="37" t="s">
        <v>263</v>
      </c>
      <c r="D672" s="37" t="s">
        <v>2</v>
      </c>
      <c r="E672" s="37" t="s">
        <v>3</v>
      </c>
      <c r="F672" s="38" t="s">
        <v>4</v>
      </c>
      <c r="G672" s="38" t="s">
        <v>22</v>
      </c>
      <c r="H672" s="37" t="s">
        <v>6</v>
      </c>
      <c r="I672" s="37" t="s">
        <v>7</v>
      </c>
      <c r="J672" s="37" t="s">
        <v>8</v>
      </c>
      <c r="K672" s="38" t="s">
        <v>9</v>
      </c>
      <c r="L672" s="37" t="s">
        <v>10</v>
      </c>
      <c r="M672" s="37" t="s">
        <v>11</v>
      </c>
      <c r="N672" s="42"/>
      <c r="O672" s="42"/>
      <c r="P672" s="34"/>
    </row>
    <row r="673" spans="1:16" x14ac:dyDescent="0.3">
      <c r="A673" s="5" t="str">
        <f>B673&amp;", R="&amp;D673&amp;", "&amp;I673&amp;", "&amp;G673</f>
        <v>[43], R=0.1, 90°, SP + SR</v>
      </c>
      <c r="B673" s="5" t="s">
        <v>99</v>
      </c>
      <c r="C673" s="5">
        <f>[1]Criteria!$V$43</f>
        <v>0.8529411764705882</v>
      </c>
      <c r="D673" s="5">
        <v>0.1</v>
      </c>
      <c r="E673" s="5" t="s">
        <v>73</v>
      </c>
      <c r="F673" s="5" t="s">
        <v>74</v>
      </c>
      <c r="G673" s="5" t="s">
        <v>100</v>
      </c>
      <c r="H673" s="5">
        <v>8</v>
      </c>
      <c r="I673" s="5" t="s">
        <v>16</v>
      </c>
      <c r="J673" s="5">
        <v>800</v>
      </c>
      <c r="K673" s="5">
        <f t="shared" ref="K673:K678" si="41">J673*((1-$D$666)/2)^0.28</f>
        <v>639.71935522927572</v>
      </c>
      <c r="L673" s="42">
        <v>45000</v>
      </c>
      <c r="N673" s="45"/>
      <c r="O673" s="45"/>
      <c r="P673" s="36"/>
    </row>
    <row r="674" spans="1:16" x14ac:dyDescent="0.3">
      <c r="J674" s="5">
        <v>800</v>
      </c>
      <c r="K674" s="5">
        <f t="shared" si="41"/>
        <v>639.71935522927572</v>
      </c>
      <c r="L674" s="42">
        <v>60000</v>
      </c>
    </row>
    <row r="675" spans="1:16" x14ac:dyDescent="0.3">
      <c r="J675" s="5">
        <v>700</v>
      </c>
      <c r="K675" s="5">
        <f t="shared" si="41"/>
        <v>559.75443582561627</v>
      </c>
      <c r="L675" s="42">
        <v>20000</v>
      </c>
    </row>
    <row r="676" spans="1:16" x14ac:dyDescent="0.3">
      <c r="J676" s="5">
        <v>700</v>
      </c>
      <c r="K676" s="5">
        <f t="shared" si="41"/>
        <v>559.75443582561627</v>
      </c>
      <c r="L676" s="42">
        <v>25000</v>
      </c>
    </row>
    <row r="677" spans="1:16" x14ac:dyDescent="0.3">
      <c r="J677" s="5">
        <v>580</v>
      </c>
      <c r="K677" s="5">
        <f t="shared" si="41"/>
        <v>463.79653254122491</v>
      </c>
      <c r="L677" s="42">
        <v>95000</v>
      </c>
    </row>
    <row r="678" spans="1:16" x14ac:dyDescent="0.3">
      <c r="J678" s="5">
        <v>440</v>
      </c>
      <c r="K678" s="5">
        <f t="shared" si="41"/>
        <v>351.84564537610163</v>
      </c>
      <c r="L678" s="42">
        <v>5000000</v>
      </c>
    </row>
    <row r="680" spans="1:16" x14ac:dyDescent="0.3">
      <c r="D680" s="5" t="s">
        <v>98</v>
      </c>
    </row>
    <row r="681" spans="1:16" ht="28.8" x14ac:dyDescent="0.3">
      <c r="C681" s="37" t="s">
        <v>263</v>
      </c>
      <c r="D681" s="37" t="s">
        <v>2</v>
      </c>
      <c r="E681" s="37" t="s">
        <v>3</v>
      </c>
      <c r="F681" s="38" t="s">
        <v>4</v>
      </c>
      <c r="G681" s="38" t="s">
        <v>22</v>
      </c>
      <c r="H681" s="37" t="s">
        <v>6</v>
      </c>
      <c r="I681" s="37" t="s">
        <v>7</v>
      </c>
      <c r="J681" s="37" t="s">
        <v>8</v>
      </c>
      <c r="K681" s="38" t="s">
        <v>9</v>
      </c>
      <c r="L681" s="37" t="s">
        <v>10</v>
      </c>
      <c r="M681" s="37" t="s">
        <v>11</v>
      </c>
      <c r="N681" s="42"/>
      <c r="O681" s="42"/>
      <c r="P681" s="34"/>
    </row>
    <row r="682" spans="1:16" x14ac:dyDescent="0.3">
      <c r="A682" s="5" t="str">
        <f>B682&amp;", R="&amp;D682&amp;", "&amp;I682&amp;", "&amp;G682</f>
        <v>[43], R=0.1, 90°, SP + CASE</v>
      </c>
      <c r="B682" s="5" t="s">
        <v>99</v>
      </c>
      <c r="C682" s="5">
        <f>[1]Criteria!$V$43</f>
        <v>0.8529411764705882</v>
      </c>
      <c r="D682" s="5">
        <v>0.1</v>
      </c>
      <c r="E682" s="5" t="s">
        <v>73</v>
      </c>
      <c r="F682" s="5" t="s">
        <v>74</v>
      </c>
      <c r="G682" s="5" t="s">
        <v>77</v>
      </c>
      <c r="H682" s="5">
        <v>8</v>
      </c>
      <c r="I682" s="5" t="s">
        <v>16</v>
      </c>
      <c r="J682" s="5">
        <v>800</v>
      </c>
      <c r="K682" s="5">
        <f t="shared" ref="K682:K687" si="42">J682*((1-$D$666)/2)^0.28</f>
        <v>639.71935522927572</v>
      </c>
      <c r="L682" s="42">
        <v>30000</v>
      </c>
      <c r="N682" s="45"/>
      <c r="O682" s="45"/>
      <c r="P682" s="36"/>
    </row>
    <row r="683" spans="1:16" x14ac:dyDescent="0.3">
      <c r="J683" s="5">
        <v>800</v>
      </c>
      <c r="K683" s="5">
        <f t="shared" si="42"/>
        <v>639.71935522927572</v>
      </c>
      <c r="L683" s="42">
        <v>50000</v>
      </c>
    </row>
    <row r="684" spans="1:16" x14ac:dyDescent="0.3">
      <c r="J684" s="5">
        <v>700</v>
      </c>
      <c r="K684" s="5">
        <f t="shared" si="42"/>
        <v>559.75443582561627</v>
      </c>
      <c r="L684" s="42">
        <v>400000</v>
      </c>
    </row>
    <row r="685" spans="1:16" x14ac:dyDescent="0.3">
      <c r="J685" s="5">
        <v>700</v>
      </c>
      <c r="K685" s="5">
        <f t="shared" si="42"/>
        <v>559.75443582561627</v>
      </c>
      <c r="L685" s="42">
        <v>500000</v>
      </c>
    </row>
    <row r="686" spans="1:16" x14ac:dyDescent="0.3">
      <c r="J686" s="5">
        <v>590</v>
      </c>
      <c r="K686" s="5">
        <f t="shared" si="42"/>
        <v>471.79302448159081</v>
      </c>
      <c r="L686" s="42">
        <v>320000</v>
      </c>
    </row>
    <row r="687" spans="1:16" x14ac:dyDescent="0.3">
      <c r="J687" s="5">
        <v>590</v>
      </c>
      <c r="K687" s="5">
        <f t="shared" si="42"/>
        <v>471.79302448159081</v>
      </c>
      <c r="L687" s="42">
        <v>1600000</v>
      </c>
    </row>
    <row r="689" spans="1:16" x14ac:dyDescent="0.3">
      <c r="D689" s="5" t="s">
        <v>98</v>
      </c>
    </row>
    <row r="690" spans="1:16" ht="28.8" x14ac:dyDescent="0.3">
      <c r="C690" s="37" t="s">
        <v>263</v>
      </c>
      <c r="D690" s="37" t="s">
        <v>2</v>
      </c>
      <c r="E690" s="37" t="s">
        <v>3</v>
      </c>
      <c r="F690" s="38" t="s">
        <v>4</v>
      </c>
      <c r="G690" s="38" t="s">
        <v>22</v>
      </c>
      <c r="H690" s="37" t="s">
        <v>6</v>
      </c>
      <c r="I690" s="37" t="s">
        <v>7</v>
      </c>
      <c r="J690" s="37" t="s">
        <v>8</v>
      </c>
      <c r="K690" s="38" t="s">
        <v>9</v>
      </c>
      <c r="L690" s="37" t="s">
        <v>10</v>
      </c>
      <c r="M690" s="37" t="s">
        <v>11</v>
      </c>
      <c r="N690" s="42"/>
      <c r="O690" s="42"/>
      <c r="P690" s="34"/>
    </row>
    <row r="691" spans="1:16" x14ac:dyDescent="0.3">
      <c r="A691" s="5" t="str">
        <f>B691&amp;", R="&amp;D691&amp;", "&amp;I691&amp;", "&amp;G691</f>
        <v>[43], R=0.1, 90°, LP + SR</v>
      </c>
      <c r="B691" s="5" t="s">
        <v>99</v>
      </c>
      <c r="C691" s="5">
        <f>[1]Criteria!$V$43</f>
        <v>0.8529411764705882</v>
      </c>
      <c r="D691" s="5">
        <v>0.1</v>
      </c>
      <c r="E691" s="5" t="s">
        <v>73</v>
      </c>
      <c r="F691" s="5" t="s">
        <v>74</v>
      </c>
      <c r="G691" s="5" t="s">
        <v>101</v>
      </c>
      <c r="H691" s="5">
        <v>8</v>
      </c>
      <c r="I691" s="5" t="s">
        <v>16</v>
      </c>
      <c r="J691" s="5">
        <v>800</v>
      </c>
      <c r="K691" s="5">
        <f t="shared" ref="K691:K696" si="43">J691*((1-$D$666)/2)^0.28</f>
        <v>639.71935522927572</v>
      </c>
      <c r="L691" s="42">
        <v>85000</v>
      </c>
      <c r="N691" s="45"/>
      <c r="O691" s="45"/>
      <c r="P691" s="36"/>
    </row>
    <row r="692" spans="1:16" x14ac:dyDescent="0.3">
      <c r="J692" s="5">
        <v>800</v>
      </c>
      <c r="K692" s="5">
        <f t="shared" si="43"/>
        <v>639.71935522927572</v>
      </c>
      <c r="L692" s="42">
        <v>100000</v>
      </c>
    </row>
    <row r="693" spans="1:16" x14ac:dyDescent="0.3">
      <c r="J693" s="5">
        <v>700</v>
      </c>
      <c r="K693" s="5">
        <f t="shared" si="43"/>
        <v>559.75443582561627</v>
      </c>
      <c r="L693" s="42">
        <v>350000</v>
      </c>
    </row>
    <row r="694" spans="1:16" x14ac:dyDescent="0.3">
      <c r="J694" s="5">
        <v>700</v>
      </c>
      <c r="K694" s="5">
        <f t="shared" si="43"/>
        <v>559.75443582561627</v>
      </c>
      <c r="L694" s="42">
        <v>750000</v>
      </c>
    </row>
    <row r="695" spans="1:16" x14ac:dyDescent="0.3">
      <c r="J695" s="5">
        <v>580</v>
      </c>
      <c r="K695" s="5">
        <f t="shared" si="43"/>
        <v>463.79653254122491</v>
      </c>
      <c r="L695" s="42">
        <v>1500000</v>
      </c>
    </row>
    <row r="696" spans="1:16" x14ac:dyDescent="0.3">
      <c r="J696" s="5">
        <v>580</v>
      </c>
      <c r="K696" s="5">
        <f t="shared" si="43"/>
        <v>463.79653254122491</v>
      </c>
      <c r="L696" s="42">
        <v>3000000</v>
      </c>
    </row>
    <row r="699" spans="1:16" x14ac:dyDescent="0.3">
      <c r="D699" s="5" t="s">
        <v>102</v>
      </c>
    </row>
    <row r="700" spans="1:16" ht="28.8" x14ac:dyDescent="0.3">
      <c r="C700" s="37" t="s">
        <v>263</v>
      </c>
      <c r="D700" s="37" t="s">
        <v>2</v>
      </c>
      <c r="E700" s="37" t="s">
        <v>3</v>
      </c>
      <c r="F700" s="38" t="s">
        <v>4</v>
      </c>
      <c r="G700" s="38" t="s">
        <v>22</v>
      </c>
      <c r="H700" s="37" t="s">
        <v>6</v>
      </c>
      <c r="I700" s="37" t="s">
        <v>7</v>
      </c>
      <c r="J700" s="37" t="s">
        <v>8</v>
      </c>
      <c r="K700" s="38" t="s">
        <v>9</v>
      </c>
      <c r="L700" s="37" t="s">
        <v>10</v>
      </c>
      <c r="M700" s="37" t="s">
        <v>11</v>
      </c>
      <c r="N700" s="42"/>
      <c r="O700" s="42"/>
      <c r="P700" s="34"/>
    </row>
    <row r="701" spans="1:16" x14ac:dyDescent="0.3">
      <c r="A701" s="5" t="str">
        <f>B701&amp;", R="&amp;D701&amp;", "&amp;I701&amp;", "&amp;G701</f>
        <v>[46], R=-1, 90°, Pol + HIP</v>
      </c>
      <c r="B701" s="5" t="s">
        <v>103</v>
      </c>
      <c r="C701" s="5">
        <f>[1]Criteria!Y43</f>
        <v>0.67647058823529416</v>
      </c>
      <c r="D701" s="5">
        <v>-1</v>
      </c>
      <c r="E701" s="5" t="s">
        <v>34</v>
      </c>
      <c r="F701" s="5" t="s">
        <v>74</v>
      </c>
      <c r="G701" s="5" t="s">
        <v>68</v>
      </c>
      <c r="H701" s="5">
        <v>10</v>
      </c>
      <c r="I701" s="5" t="s">
        <v>16</v>
      </c>
      <c r="J701" s="5">
        <v>700</v>
      </c>
      <c r="K701" s="5">
        <f>J701*((1-$D$701)/2)^0.28</f>
        <v>700</v>
      </c>
      <c r="L701" s="42">
        <v>10000</v>
      </c>
      <c r="M701" s="5" t="s">
        <v>104</v>
      </c>
      <c r="N701" s="45"/>
      <c r="O701" s="45"/>
      <c r="P701" s="36"/>
    </row>
    <row r="702" spans="1:16" x14ac:dyDescent="0.3">
      <c r="J702" s="5">
        <v>650</v>
      </c>
      <c r="K702" s="5">
        <f t="shared" ref="K702:K715" si="44">J702*((1-$D$701)/2)^0.28</f>
        <v>650</v>
      </c>
      <c r="L702" s="42">
        <v>15000</v>
      </c>
    </row>
    <row r="703" spans="1:16" x14ac:dyDescent="0.3">
      <c r="J703" s="5">
        <v>650</v>
      </c>
      <c r="K703" s="5">
        <f t="shared" si="44"/>
        <v>650</v>
      </c>
      <c r="L703" s="42">
        <v>20000</v>
      </c>
    </row>
    <row r="704" spans="1:16" x14ac:dyDescent="0.3">
      <c r="J704" s="5">
        <v>600</v>
      </c>
      <c r="K704" s="5">
        <f t="shared" si="44"/>
        <v>600</v>
      </c>
      <c r="L704" s="42">
        <v>15000</v>
      </c>
    </row>
    <row r="705" spans="1:13" x14ac:dyDescent="0.3">
      <c r="J705" s="5">
        <v>600</v>
      </c>
      <c r="K705" s="5">
        <f t="shared" si="44"/>
        <v>600</v>
      </c>
      <c r="L705" s="42">
        <v>20000</v>
      </c>
    </row>
    <row r="706" spans="1:13" x14ac:dyDescent="0.3">
      <c r="J706" s="5">
        <v>550</v>
      </c>
      <c r="K706" s="5">
        <f t="shared" si="44"/>
        <v>550</v>
      </c>
      <c r="L706" s="42">
        <v>30000</v>
      </c>
    </row>
    <row r="707" spans="1:13" x14ac:dyDescent="0.3">
      <c r="J707" s="5">
        <v>550</v>
      </c>
      <c r="K707" s="5">
        <f t="shared" si="44"/>
        <v>550</v>
      </c>
      <c r="L707" s="42">
        <v>40000</v>
      </c>
    </row>
    <row r="708" spans="1:13" x14ac:dyDescent="0.3">
      <c r="J708" s="5">
        <v>500</v>
      </c>
      <c r="K708" s="5">
        <f t="shared" si="44"/>
        <v>500</v>
      </c>
      <c r="L708" s="42">
        <v>45000</v>
      </c>
    </row>
    <row r="709" spans="1:13" x14ac:dyDescent="0.3">
      <c r="J709" s="5">
        <v>500</v>
      </c>
      <c r="K709" s="5">
        <f t="shared" si="44"/>
        <v>500</v>
      </c>
      <c r="L709" s="42">
        <v>60000</v>
      </c>
    </row>
    <row r="710" spans="1:13" x14ac:dyDescent="0.3">
      <c r="J710" s="5">
        <v>500</v>
      </c>
      <c r="K710" s="5">
        <f t="shared" si="44"/>
        <v>500</v>
      </c>
      <c r="L710" s="42">
        <v>80000</v>
      </c>
    </row>
    <row r="711" spans="1:13" x14ac:dyDescent="0.3">
      <c r="J711" s="5">
        <v>450</v>
      </c>
      <c r="K711" s="5">
        <f t="shared" si="44"/>
        <v>450</v>
      </c>
      <c r="L711" s="42">
        <v>25000</v>
      </c>
    </row>
    <row r="712" spans="1:13" x14ac:dyDescent="0.3">
      <c r="J712" s="5">
        <v>450</v>
      </c>
      <c r="K712" s="5">
        <f t="shared" si="44"/>
        <v>450</v>
      </c>
      <c r="L712" s="42">
        <v>90000</v>
      </c>
    </row>
    <row r="713" spans="1:13" x14ac:dyDescent="0.3">
      <c r="J713" s="5">
        <v>400</v>
      </c>
      <c r="K713" s="5">
        <f t="shared" si="44"/>
        <v>400</v>
      </c>
      <c r="L713" s="42">
        <v>200000</v>
      </c>
    </row>
    <row r="714" spans="1:13" x14ac:dyDescent="0.3">
      <c r="J714" s="5">
        <v>400</v>
      </c>
      <c r="K714" s="5">
        <f t="shared" si="44"/>
        <v>400</v>
      </c>
      <c r="L714" s="42">
        <v>350000</v>
      </c>
    </row>
    <row r="715" spans="1:13" x14ac:dyDescent="0.3">
      <c r="J715" s="5">
        <v>400</v>
      </c>
      <c r="K715" s="5">
        <f t="shared" si="44"/>
        <v>400</v>
      </c>
      <c r="L715" s="42">
        <v>1200000</v>
      </c>
    </row>
    <row r="716" spans="1:13" x14ac:dyDescent="0.3">
      <c r="L716" s="42"/>
    </row>
    <row r="717" spans="1:13" x14ac:dyDescent="0.3">
      <c r="D717" s="5" t="s">
        <v>105</v>
      </c>
    </row>
    <row r="718" spans="1:13" ht="28.8" x14ac:dyDescent="0.3">
      <c r="C718" s="37" t="s">
        <v>263</v>
      </c>
      <c r="D718" s="37" t="s">
        <v>2</v>
      </c>
      <c r="E718" s="37" t="s">
        <v>3</v>
      </c>
      <c r="F718" s="38" t="s">
        <v>4</v>
      </c>
      <c r="G718" s="38" t="s">
        <v>22</v>
      </c>
      <c r="H718" s="37" t="s">
        <v>6</v>
      </c>
      <c r="I718" s="37" t="s">
        <v>7</v>
      </c>
      <c r="J718" s="37" t="s">
        <v>8</v>
      </c>
      <c r="K718" s="38" t="s">
        <v>9</v>
      </c>
      <c r="L718" s="37" t="s">
        <v>10</v>
      </c>
      <c r="M718" s="37" t="s">
        <v>11</v>
      </c>
    </row>
    <row r="719" spans="1:13" x14ac:dyDescent="0.3">
      <c r="A719" s="5" t="str">
        <f>B719&amp;", R="&amp;D719&amp;", "&amp;I719&amp;", "&amp;G719</f>
        <v>[47], R=0.1, 0°, AB</v>
      </c>
      <c r="B719" s="5" t="s">
        <v>106</v>
      </c>
      <c r="C719" s="5">
        <f>[1]Criteria!$Z$43</f>
        <v>0.76470588235294112</v>
      </c>
      <c r="D719" s="5">
        <v>0.1</v>
      </c>
      <c r="E719" s="5" t="s">
        <v>107</v>
      </c>
      <c r="F719" s="5" t="s">
        <v>14</v>
      </c>
      <c r="G719" s="5" t="s">
        <v>50</v>
      </c>
      <c r="H719" s="5">
        <v>10</v>
      </c>
      <c r="I719" s="5" t="s">
        <v>18</v>
      </c>
      <c r="J719" s="5">
        <v>600</v>
      </c>
      <c r="K719" s="5">
        <f>J719*((1-$D$719)/2)^0.28</f>
        <v>479.78951642195676</v>
      </c>
      <c r="L719" s="42">
        <v>62000</v>
      </c>
      <c r="M719" s="5" t="s">
        <v>108</v>
      </c>
    </row>
    <row r="720" spans="1:13" x14ac:dyDescent="0.3">
      <c r="L720" s="42"/>
    </row>
    <row r="721" spans="1:13" x14ac:dyDescent="0.3">
      <c r="D721" s="5" t="s">
        <v>105</v>
      </c>
    </row>
    <row r="722" spans="1:13" ht="28.8" x14ac:dyDescent="0.3">
      <c r="C722" s="37" t="s">
        <v>263</v>
      </c>
      <c r="D722" s="37" t="s">
        <v>2</v>
      </c>
      <c r="E722" s="37" t="s">
        <v>3</v>
      </c>
      <c r="F722" s="38" t="s">
        <v>4</v>
      </c>
      <c r="G722" s="38" t="s">
        <v>22</v>
      </c>
      <c r="H722" s="37" t="s">
        <v>6</v>
      </c>
      <c r="I722" s="37" t="s">
        <v>7</v>
      </c>
      <c r="J722" s="37" t="s">
        <v>8</v>
      </c>
      <c r="K722" s="38" t="s">
        <v>9</v>
      </c>
      <c r="L722" s="37" t="s">
        <v>10</v>
      </c>
      <c r="M722" s="37" t="s">
        <v>11</v>
      </c>
    </row>
    <row r="723" spans="1:13" x14ac:dyDescent="0.3">
      <c r="A723" s="5" t="str">
        <f>B723&amp;", R="&amp;D723&amp;", "&amp;I723&amp;", "&amp;G723</f>
        <v>[47], R=0.1, 0°, EDM</v>
      </c>
      <c r="B723" s="5" t="s">
        <v>106</v>
      </c>
      <c r="C723" s="5">
        <f>[1]Criteria!$Z$43</f>
        <v>0.76470588235294112</v>
      </c>
      <c r="D723" s="5">
        <v>0.1</v>
      </c>
      <c r="E723" s="5" t="s">
        <v>107</v>
      </c>
      <c r="F723" s="5" t="s">
        <v>14</v>
      </c>
      <c r="G723" s="5" t="s">
        <v>109</v>
      </c>
      <c r="H723" s="5">
        <v>10</v>
      </c>
      <c r="I723" s="5" t="s">
        <v>18</v>
      </c>
      <c r="J723" s="5">
        <v>600</v>
      </c>
      <c r="K723" s="5">
        <f>J723*((1-$D$719)/2)^0.28</f>
        <v>479.78951642195676</v>
      </c>
      <c r="L723" s="42">
        <v>79900</v>
      </c>
      <c r="M723" s="5" t="s">
        <v>108</v>
      </c>
    </row>
    <row r="724" spans="1:13" x14ac:dyDescent="0.3">
      <c r="L724" s="42"/>
    </row>
    <row r="725" spans="1:13" x14ac:dyDescent="0.3">
      <c r="D725" s="5" t="s">
        <v>105</v>
      </c>
    </row>
    <row r="726" spans="1:13" ht="28.8" x14ac:dyDescent="0.3">
      <c r="C726" s="37" t="s">
        <v>263</v>
      </c>
      <c r="D726" s="37" t="s">
        <v>2</v>
      </c>
      <c r="E726" s="37" t="s">
        <v>3</v>
      </c>
      <c r="F726" s="38" t="s">
        <v>4</v>
      </c>
      <c r="G726" s="38" t="s">
        <v>22</v>
      </c>
      <c r="H726" s="37" t="s">
        <v>6</v>
      </c>
      <c r="I726" s="37" t="s">
        <v>7</v>
      </c>
      <c r="J726" s="37" t="s">
        <v>8</v>
      </c>
      <c r="K726" s="38" t="s">
        <v>9</v>
      </c>
      <c r="L726" s="37" t="s">
        <v>10</v>
      </c>
      <c r="M726" s="37" t="s">
        <v>11</v>
      </c>
    </row>
    <row r="727" spans="1:13" x14ac:dyDescent="0.3">
      <c r="A727" s="5" t="str">
        <f>B727&amp;", R="&amp;D727&amp;", "&amp;I727&amp;", "&amp;G727</f>
        <v>[47], R=0.1, 0°, AB</v>
      </c>
      <c r="B727" s="5" t="s">
        <v>106</v>
      </c>
      <c r="C727" s="5">
        <f>[1]Criteria!$Z$43</f>
        <v>0.76470588235294112</v>
      </c>
      <c r="D727" s="5">
        <v>0.1</v>
      </c>
      <c r="E727" s="5" t="s">
        <v>107</v>
      </c>
      <c r="F727" s="5" t="s">
        <v>39</v>
      </c>
      <c r="G727" s="5" t="s">
        <v>50</v>
      </c>
      <c r="H727" s="5">
        <v>10</v>
      </c>
      <c r="I727" s="5" t="s">
        <v>18</v>
      </c>
      <c r="J727" s="5">
        <v>600</v>
      </c>
      <c r="K727" s="5">
        <f>J727*((1-$D$719)/2)^0.28</f>
        <v>479.78951642195676</v>
      </c>
      <c r="L727" s="42">
        <v>29000</v>
      </c>
      <c r="M727" s="5" t="s">
        <v>108</v>
      </c>
    </row>
    <row r="728" spans="1:13" x14ac:dyDescent="0.3">
      <c r="L728" s="42"/>
    </row>
    <row r="729" spans="1:13" x14ac:dyDescent="0.3">
      <c r="D729" s="5" t="s">
        <v>105</v>
      </c>
    </row>
    <row r="730" spans="1:13" ht="28.8" x14ac:dyDescent="0.3">
      <c r="C730" s="37" t="s">
        <v>263</v>
      </c>
      <c r="D730" s="37" t="s">
        <v>2</v>
      </c>
      <c r="E730" s="37" t="s">
        <v>3</v>
      </c>
      <c r="F730" s="38" t="s">
        <v>4</v>
      </c>
      <c r="G730" s="38" t="s">
        <v>22</v>
      </c>
      <c r="H730" s="37" t="s">
        <v>6</v>
      </c>
      <c r="I730" s="37" t="s">
        <v>7</v>
      </c>
      <c r="J730" s="37" t="s">
        <v>8</v>
      </c>
      <c r="K730" s="38" t="s">
        <v>9</v>
      </c>
      <c r="L730" s="37" t="s">
        <v>10</v>
      </c>
      <c r="M730" s="37" t="s">
        <v>11</v>
      </c>
    </row>
    <row r="731" spans="1:13" x14ac:dyDescent="0.3">
      <c r="A731" s="5" t="str">
        <f>B731&amp;", R="&amp;D731&amp;", "&amp;I731&amp;", "&amp;G731</f>
        <v>[47], R=0.1, 0°, EDM</v>
      </c>
      <c r="B731" s="5" t="s">
        <v>106</v>
      </c>
      <c r="C731" s="5">
        <f>[1]Criteria!$Z$43</f>
        <v>0.76470588235294112</v>
      </c>
      <c r="D731" s="5">
        <v>0.1</v>
      </c>
      <c r="E731" s="5" t="s">
        <v>107</v>
      </c>
      <c r="F731" s="5" t="s">
        <v>39</v>
      </c>
      <c r="G731" s="5" t="s">
        <v>109</v>
      </c>
      <c r="H731" s="5">
        <v>10</v>
      </c>
      <c r="I731" s="5" t="s">
        <v>18</v>
      </c>
      <c r="J731" s="5">
        <v>600</v>
      </c>
      <c r="K731" s="5">
        <f>J731*((1-$D$719)/2)^0.28</f>
        <v>479.78951642195676</v>
      </c>
      <c r="L731" s="42">
        <v>48900</v>
      </c>
      <c r="M731" s="5" t="s">
        <v>108</v>
      </c>
    </row>
    <row r="732" spans="1:13" x14ac:dyDescent="0.3">
      <c r="L732" s="42"/>
    </row>
    <row r="733" spans="1:13" x14ac:dyDescent="0.3">
      <c r="D733" s="5" t="s">
        <v>105</v>
      </c>
    </row>
    <row r="734" spans="1:13" ht="28.8" x14ac:dyDescent="0.3">
      <c r="C734" s="37" t="s">
        <v>263</v>
      </c>
      <c r="D734" s="37" t="s">
        <v>2</v>
      </c>
      <c r="E734" s="37" t="s">
        <v>3</v>
      </c>
      <c r="F734" s="38" t="s">
        <v>4</v>
      </c>
      <c r="G734" s="38" t="s">
        <v>22</v>
      </c>
      <c r="H734" s="37" t="s">
        <v>6</v>
      </c>
      <c r="I734" s="37" t="s">
        <v>7</v>
      </c>
      <c r="J734" s="37" t="s">
        <v>8</v>
      </c>
      <c r="K734" s="38" t="s">
        <v>9</v>
      </c>
      <c r="L734" s="37" t="s">
        <v>10</v>
      </c>
      <c r="M734" s="37" t="s">
        <v>11</v>
      </c>
    </row>
    <row r="735" spans="1:13" x14ac:dyDescent="0.3">
      <c r="A735" s="5" t="str">
        <f>B735&amp;", R="&amp;D735&amp;", "&amp;I735&amp;", "&amp;G735</f>
        <v>[47], R=0.1, 0°, ROLLED</v>
      </c>
      <c r="B735" s="5" t="s">
        <v>106</v>
      </c>
      <c r="C735" s="5">
        <f>[1]Criteria!$Z$43</f>
        <v>0.76470588235294112</v>
      </c>
      <c r="D735" s="5">
        <v>0.1</v>
      </c>
      <c r="E735" s="5" t="s">
        <v>107</v>
      </c>
      <c r="F735" s="5" t="s">
        <v>110</v>
      </c>
      <c r="G735" s="5" t="s">
        <v>111</v>
      </c>
      <c r="H735" s="5">
        <v>10</v>
      </c>
      <c r="I735" s="5" t="s">
        <v>18</v>
      </c>
      <c r="J735" s="5">
        <v>600</v>
      </c>
      <c r="K735" s="5">
        <f>J735*((1-$D$719)/2)^0.28</f>
        <v>479.78951642195676</v>
      </c>
      <c r="L735" s="42">
        <v>167000</v>
      </c>
      <c r="M735" s="5" t="s">
        <v>108</v>
      </c>
    </row>
    <row r="736" spans="1:13" x14ac:dyDescent="0.3">
      <c r="L736" s="42"/>
    </row>
    <row r="737" spans="1:13" x14ac:dyDescent="0.3">
      <c r="D737" s="5" t="s">
        <v>112</v>
      </c>
    </row>
    <row r="738" spans="1:13" ht="28.8" x14ac:dyDescent="0.3">
      <c r="C738" s="37" t="s">
        <v>263</v>
      </c>
      <c r="D738" s="37" t="s">
        <v>2</v>
      </c>
      <c r="E738" s="37" t="s">
        <v>3</v>
      </c>
      <c r="F738" s="38" t="s">
        <v>4</v>
      </c>
      <c r="G738" s="38" t="s">
        <v>22</v>
      </c>
      <c r="H738" s="37" t="s">
        <v>6</v>
      </c>
      <c r="I738" s="37" t="s">
        <v>7</v>
      </c>
      <c r="J738" s="37" t="s">
        <v>8</v>
      </c>
      <c r="K738" s="38" t="s">
        <v>9</v>
      </c>
      <c r="L738" s="37" t="s">
        <v>10</v>
      </c>
      <c r="M738" s="37" t="s">
        <v>11</v>
      </c>
    </row>
    <row r="739" spans="1:13" x14ac:dyDescent="0.3">
      <c r="A739" s="5" t="str">
        <f>B739&amp;", R="&amp;D739&amp;", "&amp;I739&amp;", "&amp;G739</f>
        <v>[48], R=-0.2, 90°, AB</v>
      </c>
      <c r="B739" s="5" t="s">
        <v>113</v>
      </c>
      <c r="C739" s="5">
        <f>[1]Criteria!$AC$43</f>
        <v>0.73529411764705888</v>
      </c>
      <c r="D739" s="5">
        <v>-0.2</v>
      </c>
      <c r="E739" s="5" t="s">
        <v>34</v>
      </c>
      <c r="F739" s="5" t="s">
        <v>74</v>
      </c>
      <c r="G739" s="5" t="s">
        <v>50</v>
      </c>
      <c r="H739" s="5">
        <v>20</v>
      </c>
      <c r="I739" s="5" t="s">
        <v>16</v>
      </c>
      <c r="J739" s="5">
        <v>400</v>
      </c>
      <c r="K739" s="5">
        <f>J739*((1-$D$739)/2)^0.28</f>
        <v>346.69081942322049</v>
      </c>
      <c r="L739" s="42">
        <v>3500</v>
      </c>
    </row>
    <row r="740" spans="1:13" x14ac:dyDescent="0.3">
      <c r="J740" s="5">
        <v>275</v>
      </c>
      <c r="K740" s="5">
        <f>J740*((1-$D$739)/2)^0.28</f>
        <v>238.3499383534641</v>
      </c>
      <c r="L740" s="42">
        <v>15000</v>
      </c>
    </row>
    <row r="741" spans="1:13" x14ac:dyDescent="0.3">
      <c r="J741" s="5">
        <v>125</v>
      </c>
      <c r="K741" s="5">
        <f>J741*((1-$D$739)/2)^0.28</f>
        <v>108.34088106975641</v>
      </c>
      <c r="L741" s="42">
        <v>95000</v>
      </c>
    </row>
    <row r="742" spans="1:13" x14ac:dyDescent="0.3">
      <c r="J742" s="5">
        <v>100</v>
      </c>
      <c r="K742" s="5">
        <f>J742*((1-$D$739)/2)^0.28</f>
        <v>86.672704855805122</v>
      </c>
      <c r="L742" s="42">
        <v>225000</v>
      </c>
    </row>
    <row r="743" spans="1:13" x14ac:dyDescent="0.3">
      <c r="J743" s="5">
        <v>75</v>
      </c>
      <c r="K743" s="5">
        <f>J743*((1-$D$739)/2)^0.28</f>
        <v>65.004528641853852</v>
      </c>
      <c r="L743" s="42">
        <v>1000000</v>
      </c>
    </row>
    <row r="744" spans="1:13" x14ac:dyDescent="0.3">
      <c r="L744" s="42"/>
    </row>
    <row r="745" spans="1:13" x14ac:dyDescent="0.3">
      <c r="D745" s="5" t="s">
        <v>112</v>
      </c>
    </row>
    <row r="746" spans="1:13" ht="28.8" x14ac:dyDescent="0.3">
      <c r="C746" s="37" t="s">
        <v>263</v>
      </c>
      <c r="D746" s="37" t="s">
        <v>2</v>
      </c>
      <c r="E746" s="37" t="s">
        <v>3</v>
      </c>
      <c r="F746" s="38" t="s">
        <v>4</v>
      </c>
      <c r="G746" s="38" t="s">
        <v>22</v>
      </c>
      <c r="H746" s="37" t="s">
        <v>6</v>
      </c>
      <c r="I746" s="37" t="s">
        <v>7</v>
      </c>
      <c r="J746" s="37" t="s">
        <v>8</v>
      </c>
      <c r="K746" s="38" t="s">
        <v>9</v>
      </c>
      <c r="L746" s="37" t="s">
        <v>10</v>
      </c>
      <c r="M746" s="37" t="s">
        <v>11</v>
      </c>
    </row>
    <row r="747" spans="1:13" x14ac:dyDescent="0.3">
      <c r="A747" s="5" t="str">
        <f>B747&amp;", R="&amp;D747&amp;", "&amp;I747&amp;", "&amp;G747</f>
        <v>[48], R=-0.2, 0°, AB</v>
      </c>
      <c r="B747" s="5" t="s">
        <v>113</v>
      </c>
      <c r="C747" s="5">
        <f>[1]Criteria!$AC$43</f>
        <v>0.73529411764705888</v>
      </c>
      <c r="D747" s="5">
        <v>-0.2</v>
      </c>
      <c r="E747" s="5" t="s">
        <v>34</v>
      </c>
      <c r="F747" s="5" t="s">
        <v>74</v>
      </c>
      <c r="G747" s="5" t="s">
        <v>50</v>
      </c>
      <c r="H747" s="5">
        <v>20</v>
      </c>
      <c r="I747" s="5" t="s">
        <v>18</v>
      </c>
      <c r="J747" s="5">
        <v>550</v>
      </c>
      <c r="K747" s="5">
        <f>J747*((1-$D$739)/2)^0.28</f>
        <v>476.69987670692819</v>
      </c>
      <c r="L747" s="42">
        <v>4500</v>
      </c>
      <c r="M747" s="5" t="s">
        <v>114</v>
      </c>
    </row>
    <row r="748" spans="1:13" x14ac:dyDescent="0.3">
      <c r="J748" s="5">
        <v>475</v>
      </c>
      <c r="K748" s="5">
        <f>J748*((1-$D$739)/2)^0.28</f>
        <v>411.69534806507437</v>
      </c>
      <c r="L748" s="42">
        <v>5000</v>
      </c>
    </row>
    <row r="749" spans="1:13" x14ac:dyDescent="0.3">
      <c r="J749" s="5">
        <v>350</v>
      </c>
      <c r="K749" s="5">
        <f>J749*((1-$D$739)/2)^0.28</f>
        <v>303.35446699531792</v>
      </c>
      <c r="L749" s="42">
        <v>12500</v>
      </c>
    </row>
    <row r="750" spans="1:13" x14ac:dyDescent="0.3">
      <c r="J750" s="5">
        <v>200</v>
      </c>
      <c r="K750" s="5">
        <f>J750*((1-$D$739)/2)^0.28</f>
        <v>173.34540971161024</v>
      </c>
      <c r="L750" s="42">
        <v>50000</v>
      </c>
    </row>
    <row r="751" spans="1:13" x14ac:dyDescent="0.3">
      <c r="J751" s="5">
        <v>150</v>
      </c>
      <c r="K751" s="5">
        <f>J751*((1-$D$739)/2)^0.28</f>
        <v>130.0090572837077</v>
      </c>
      <c r="L751" s="42">
        <v>250000</v>
      </c>
    </row>
    <row r="752" spans="1:13" x14ac:dyDescent="0.3">
      <c r="L752" s="42"/>
    </row>
    <row r="753" spans="1:13" x14ac:dyDescent="0.3">
      <c r="D753" s="5" t="s">
        <v>112</v>
      </c>
    </row>
    <row r="754" spans="1:13" ht="28.8" x14ac:dyDescent="0.3">
      <c r="C754" s="37" t="s">
        <v>263</v>
      </c>
      <c r="D754" s="37" t="s">
        <v>2</v>
      </c>
      <c r="E754" s="37" t="s">
        <v>3</v>
      </c>
      <c r="F754" s="38" t="s">
        <v>4</v>
      </c>
      <c r="G754" s="38" t="s">
        <v>22</v>
      </c>
      <c r="H754" s="37" t="s">
        <v>6</v>
      </c>
      <c r="I754" s="37" t="s">
        <v>7</v>
      </c>
      <c r="J754" s="37" t="s">
        <v>8</v>
      </c>
      <c r="K754" s="38" t="s">
        <v>9</v>
      </c>
      <c r="L754" s="37" t="s">
        <v>10</v>
      </c>
      <c r="M754" s="37" t="s">
        <v>11</v>
      </c>
    </row>
    <row r="755" spans="1:13" x14ac:dyDescent="0.3">
      <c r="A755" s="5" t="str">
        <f>B755&amp;", R="&amp;D755&amp;", "&amp;I755&amp;", "&amp;G755</f>
        <v>[48], R=-0.2, 90°, Mach</v>
      </c>
      <c r="B755" s="5" t="s">
        <v>113</v>
      </c>
      <c r="C755" s="5">
        <f>[1]Criteria!$AC$43</f>
        <v>0.73529411764705888</v>
      </c>
      <c r="D755" s="5">
        <v>-0.2</v>
      </c>
      <c r="E755" s="5" t="s">
        <v>34</v>
      </c>
      <c r="F755" s="5" t="s">
        <v>74</v>
      </c>
      <c r="G755" s="5" t="s">
        <v>36</v>
      </c>
      <c r="H755" s="5">
        <v>20</v>
      </c>
      <c r="I755" s="5" t="s">
        <v>16</v>
      </c>
      <c r="J755" s="5">
        <v>200</v>
      </c>
      <c r="K755" s="5">
        <f>J755*((1-$D$739)/2)^0.28</f>
        <v>173.34540971161024</v>
      </c>
      <c r="L755" s="42">
        <v>50000</v>
      </c>
    </row>
    <row r="756" spans="1:13" x14ac:dyDescent="0.3">
      <c r="J756" s="5">
        <v>125</v>
      </c>
      <c r="K756" s="5">
        <f t="shared" ref="K756:K761" si="45">J756*((1-$D$739)/2)^0.28</f>
        <v>108.34088106975641</v>
      </c>
      <c r="L756" s="42">
        <v>110000</v>
      </c>
    </row>
    <row r="757" spans="1:13" x14ac:dyDescent="0.3">
      <c r="J757" s="5">
        <v>100</v>
      </c>
      <c r="K757" s="5">
        <f t="shared" si="45"/>
        <v>86.672704855805122</v>
      </c>
      <c r="L757" s="42">
        <v>85000</v>
      </c>
    </row>
    <row r="758" spans="1:13" x14ac:dyDescent="0.3">
      <c r="J758" s="5">
        <v>100</v>
      </c>
      <c r="K758" s="5">
        <f t="shared" si="45"/>
        <v>86.672704855805122</v>
      </c>
      <c r="L758" s="42">
        <v>120000</v>
      </c>
    </row>
    <row r="759" spans="1:13" x14ac:dyDescent="0.3">
      <c r="J759" s="5">
        <v>100</v>
      </c>
      <c r="K759" s="5">
        <f t="shared" si="45"/>
        <v>86.672704855805122</v>
      </c>
      <c r="L759" s="42">
        <v>150000</v>
      </c>
    </row>
    <row r="760" spans="1:13" x14ac:dyDescent="0.3">
      <c r="J760" s="5">
        <v>100</v>
      </c>
      <c r="K760" s="5">
        <f t="shared" si="45"/>
        <v>86.672704855805122</v>
      </c>
      <c r="L760" s="42">
        <v>300000</v>
      </c>
    </row>
    <row r="761" spans="1:13" x14ac:dyDescent="0.3">
      <c r="J761" s="5">
        <v>100</v>
      </c>
      <c r="K761" s="5">
        <f t="shared" si="45"/>
        <v>86.672704855805122</v>
      </c>
      <c r="L761" s="42">
        <v>325000</v>
      </c>
    </row>
    <row r="762" spans="1:13" x14ac:dyDescent="0.3">
      <c r="L762" s="42"/>
    </row>
    <row r="763" spans="1:13" x14ac:dyDescent="0.3">
      <c r="D763" s="5" t="s">
        <v>112</v>
      </c>
    </row>
    <row r="764" spans="1:13" ht="28.8" x14ac:dyDescent="0.3">
      <c r="C764" s="37" t="s">
        <v>263</v>
      </c>
      <c r="D764" s="37" t="s">
        <v>2</v>
      </c>
      <c r="E764" s="37" t="s">
        <v>3</v>
      </c>
      <c r="F764" s="38" t="s">
        <v>4</v>
      </c>
      <c r="G764" s="38" t="s">
        <v>22</v>
      </c>
      <c r="H764" s="37" t="s">
        <v>6</v>
      </c>
      <c r="I764" s="37" t="s">
        <v>7</v>
      </c>
      <c r="J764" s="37" t="s">
        <v>8</v>
      </c>
      <c r="K764" s="38" t="s">
        <v>9</v>
      </c>
      <c r="L764" s="37" t="s">
        <v>10</v>
      </c>
      <c r="M764" s="37" t="s">
        <v>11</v>
      </c>
    </row>
    <row r="765" spans="1:13" x14ac:dyDescent="0.3">
      <c r="A765" s="5" t="str">
        <f>B765&amp;", R="&amp;D765&amp;", "&amp;I765&amp;", "&amp;G765</f>
        <v>[48], R=-0.2, 0°, Mach</v>
      </c>
      <c r="B765" s="5" t="s">
        <v>113</v>
      </c>
      <c r="C765" s="5">
        <f>[1]Criteria!$AC$43</f>
        <v>0.73529411764705888</v>
      </c>
      <c r="D765" s="5">
        <v>-0.2</v>
      </c>
      <c r="E765" s="5" t="s">
        <v>34</v>
      </c>
      <c r="F765" s="5" t="s">
        <v>74</v>
      </c>
      <c r="G765" s="5" t="s">
        <v>36</v>
      </c>
      <c r="H765" s="5">
        <v>20</v>
      </c>
      <c r="I765" s="5" t="s">
        <v>18</v>
      </c>
      <c r="J765" s="5">
        <v>480</v>
      </c>
      <c r="K765" s="5">
        <f>J765*((1-$D$739)/2)^0.28</f>
        <v>416.02898330786462</v>
      </c>
      <c r="L765" s="42">
        <v>110000</v>
      </c>
      <c r="M765" s="5" t="s">
        <v>114</v>
      </c>
    </row>
    <row r="766" spans="1:13" x14ac:dyDescent="0.3">
      <c r="J766" s="5">
        <v>350</v>
      </c>
      <c r="K766" s="5">
        <f t="shared" ref="K766:K773" si="46">J766*((1-$D$739)/2)^0.28</f>
        <v>303.35446699531792</v>
      </c>
      <c r="L766" s="42">
        <v>30000</v>
      </c>
    </row>
    <row r="767" spans="1:13" x14ac:dyDescent="0.3">
      <c r="J767" s="5">
        <v>210</v>
      </c>
      <c r="K767" s="5">
        <f t="shared" si="46"/>
        <v>182.01268019719078</v>
      </c>
      <c r="L767" s="42">
        <v>100000</v>
      </c>
    </row>
    <row r="768" spans="1:13" x14ac:dyDescent="0.3">
      <c r="J768" s="5">
        <v>210</v>
      </c>
      <c r="K768" s="5">
        <f t="shared" si="46"/>
        <v>182.01268019719078</v>
      </c>
      <c r="L768" s="42">
        <v>175000</v>
      </c>
    </row>
    <row r="769" spans="1:13" x14ac:dyDescent="0.3">
      <c r="J769" s="5">
        <v>175</v>
      </c>
      <c r="K769" s="5">
        <f t="shared" si="46"/>
        <v>151.67723349765896</v>
      </c>
      <c r="L769" s="42">
        <v>120000</v>
      </c>
    </row>
    <row r="770" spans="1:13" x14ac:dyDescent="0.3">
      <c r="J770" s="5">
        <v>175</v>
      </c>
      <c r="K770" s="5">
        <f t="shared" si="46"/>
        <v>151.67723349765896</v>
      </c>
      <c r="L770" s="42">
        <v>150000</v>
      </c>
    </row>
    <row r="771" spans="1:13" x14ac:dyDescent="0.3">
      <c r="J771" s="5">
        <v>175</v>
      </c>
      <c r="K771" s="5">
        <f t="shared" si="46"/>
        <v>151.67723349765896</v>
      </c>
      <c r="L771" s="42">
        <v>220000</v>
      </c>
    </row>
    <row r="772" spans="1:13" x14ac:dyDescent="0.3">
      <c r="J772" s="5">
        <v>175</v>
      </c>
      <c r="K772" s="5">
        <f t="shared" si="46"/>
        <v>151.67723349765896</v>
      </c>
      <c r="L772" s="42">
        <v>300000</v>
      </c>
    </row>
    <row r="773" spans="1:13" x14ac:dyDescent="0.3">
      <c r="J773" s="5">
        <v>150</v>
      </c>
      <c r="K773" s="5">
        <f t="shared" si="46"/>
        <v>130.0090572837077</v>
      </c>
      <c r="L773" s="42">
        <v>350000</v>
      </c>
    </row>
    <row r="775" spans="1:13" x14ac:dyDescent="0.3">
      <c r="D775" s="5" t="s">
        <v>115</v>
      </c>
    </row>
    <row r="776" spans="1:13" ht="28.8" x14ac:dyDescent="0.3">
      <c r="C776" s="37" t="s">
        <v>263</v>
      </c>
      <c r="D776" s="37" t="s">
        <v>2</v>
      </c>
      <c r="E776" s="37" t="s">
        <v>3</v>
      </c>
      <c r="F776" s="38" t="s">
        <v>4</v>
      </c>
      <c r="G776" s="38" t="s">
        <v>22</v>
      </c>
      <c r="H776" s="37" t="s">
        <v>6</v>
      </c>
      <c r="I776" s="37" t="s">
        <v>7</v>
      </c>
      <c r="J776" s="37" t="s">
        <v>8</v>
      </c>
      <c r="K776" s="38" t="s">
        <v>9</v>
      </c>
      <c r="L776" s="37" t="s">
        <v>10</v>
      </c>
      <c r="M776" s="37" t="s">
        <v>11</v>
      </c>
    </row>
    <row r="777" spans="1:13" x14ac:dyDescent="0.3">
      <c r="A777" s="5" t="str">
        <f>B777&amp;", R="&amp;D777&amp;", "&amp;I777&amp;", "&amp;G777</f>
        <v>[49], R=0.1, 0°, AB + HIP</v>
      </c>
      <c r="B777" s="5" t="s">
        <v>116</v>
      </c>
      <c r="C777" s="5">
        <f>[1]Criteria!$AD$43</f>
        <v>0.67647058823529416</v>
      </c>
      <c r="D777" s="5">
        <v>0.1</v>
      </c>
      <c r="E777" s="5" t="s">
        <v>34</v>
      </c>
      <c r="F777" s="5" t="s">
        <v>45</v>
      </c>
      <c r="G777" s="5" t="s">
        <v>25</v>
      </c>
      <c r="H777" s="5" t="s">
        <v>31</v>
      </c>
      <c r="I777" s="5" t="s">
        <v>18</v>
      </c>
      <c r="J777" s="5">
        <v>500</v>
      </c>
      <c r="K777" s="5">
        <f>J777*((1-$D$777)/2)^0.28</f>
        <v>399.82459701829731</v>
      </c>
      <c r="L777" s="42">
        <v>25000</v>
      </c>
    </row>
    <row r="778" spans="1:13" x14ac:dyDescent="0.3">
      <c r="J778" s="5">
        <v>450</v>
      </c>
      <c r="K778" s="5">
        <f t="shared" ref="K778:K786" si="47">J778*((1-$D$777)/2)^0.28</f>
        <v>359.84213731646759</v>
      </c>
      <c r="L778" s="42">
        <v>37500</v>
      </c>
    </row>
    <row r="779" spans="1:13" x14ac:dyDescent="0.3">
      <c r="J779" s="5">
        <v>400</v>
      </c>
      <c r="K779" s="5">
        <f t="shared" si="47"/>
        <v>319.85967761463786</v>
      </c>
      <c r="L779" s="42">
        <v>80000</v>
      </c>
    </row>
    <row r="780" spans="1:13" x14ac:dyDescent="0.3">
      <c r="J780" s="5">
        <v>375</v>
      </c>
      <c r="K780" s="5">
        <f t="shared" si="47"/>
        <v>299.868447763723</v>
      </c>
      <c r="L780" s="42">
        <v>92500</v>
      </c>
    </row>
    <row r="781" spans="1:13" x14ac:dyDescent="0.3">
      <c r="J781" s="5">
        <v>350</v>
      </c>
      <c r="K781" s="5">
        <f t="shared" si="47"/>
        <v>279.87721791280813</v>
      </c>
      <c r="L781" s="42">
        <v>125000</v>
      </c>
    </row>
    <row r="782" spans="1:13" x14ac:dyDescent="0.3">
      <c r="J782" s="5">
        <v>300</v>
      </c>
      <c r="K782" s="5">
        <f t="shared" si="47"/>
        <v>239.89475821097838</v>
      </c>
      <c r="L782" s="42">
        <v>240000</v>
      </c>
    </row>
    <row r="783" spans="1:13" x14ac:dyDescent="0.3">
      <c r="J783" s="5">
        <v>250</v>
      </c>
      <c r="K783" s="5">
        <f t="shared" si="47"/>
        <v>199.91229850914866</v>
      </c>
      <c r="L783" s="42">
        <v>425000</v>
      </c>
    </row>
    <row r="784" spans="1:13" x14ac:dyDescent="0.3">
      <c r="J784" s="5">
        <v>225</v>
      </c>
      <c r="K784" s="5">
        <f t="shared" si="47"/>
        <v>179.92106865823379</v>
      </c>
      <c r="L784" s="42">
        <v>780000</v>
      </c>
    </row>
    <row r="785" spans="1:13" x14ac:dyDescent="0.3">
      <c r="J785" s="5">
        <v>200</v>
      </c>
      <c r="K785" s="5">
        <f t="shared" si="47"/>
        <v>159.92983880731893</v>
      </c>
      <c r="L785" s="42">
        <v>3000000</v>
      </c>
    </row>
    <row r="786" spans="1:13" x14ac:dyDescent="0.3">
      <c r="J786" s="5">
        <v>175</v>
      </c>
      <c r="K786" s="5">
        <f t="shared" si="47"/>
        <v>139.93860895640407</v>
      </c>
      <c r="L786" s="42">
        <v>10000000</v>
      </c>
    </row>
    <row r="787" spans="1:13" x14ac:dyDescent="0.3">
      <c r="L787" s="42"/>
    </row>
    <row r="788" spans="1:13" x14ac:dyDescent="0.3">
      <c r="D788" s="5" t="s">
        <v>115</v>
      </c>
    </row>
    <row r="789" spans="1:13" ht="28.8" x14ac:dyDescent="0.3">
      <c r="C789" s="37" t="s">
        <v>263</v>
      </c>
      <c r="D789" s="37" t="s">
        <v>2</v>
      </c>
      <c r="E789" s="37" t="s">
        <v>3</v>
      </c>
      <c r="F789" s="38" t="s">
        <v>4</v>
      </c>
      <c r="G789" s="38" t="s">
        <v>22</v>
      </c>
      <c r="H789" s="37" t="s">
        <v>6</v>
      </c>
      <c r="I789" s="37" t="s">
        <v>7</v>
      </c>
      <c r="J789" s="37" t="s">
        <v>8</v>
      </c>
      <c r="K789" s="38" t="s">
        <v>9</v>
      </c>
      <c r="L789" s="37" t="s">
        <v>10</v>
      </c>
      <c r="M789" s="37" t="s">
        <v>11</v>
      </c>
    </row>
    <row r="790" spans="1:13" x14ac:dyDescent="0.3">
      <c r="A790" s="5" t="str">
        <f>B790&amp;", R="&amp;D790&amp;", "&amp;I790&amp;", "&amp;G790</f>
        <v>[49], R=0.1, 0°, AB + SR</v>
      </c>
      <c r="B790" s="5" t="s">
        <v>116</v>
      </c>
      <c r="C790" s="5">
        <f>[1]Criteria!$AD$43</f>
        <v>0.67647058823529416</v>
      </c>
      <c r="D790" s="5">
        <v>0.1</v>
      </c>
      <c r="E790" s="5" t="s">
        <v>34</v>
      </c>
      <c r="F790" s="5" t="s">
        <v>45</v>
      </c>
      <c r="G790" s="5" t="s">
        <v>15</v>
      </c>
      <c r="H790" s="5" t="s">
        <v>31</v>
      </c>
      <c r="I790" s="5" t="s">
        <v>18</v>
      </c>
      <c r="J790" s="5">
        <v>500</v>
      </c>
      <c r="K790" s="5">
        <f>J790*((1-$D$777)/2)^0.28</f>
        <v>399.82459701829731</v>
      </c>
      <c r="L790" s="42">
        <v>22500</v>
      </c>
    </row>
    <row r="791" spans="1:13" x14ac:dyDescent="0.3">
      <c r="J791" s="5">
        <v>450</v>
      </c>
      <c r="K791" s="5">
        <f t="shared" ref="K791:K800" si="48">J791*((1-$D$777)/2)^0.28</f>
        <v>359.84213731646759</v>
      </c>
      <c r="L791" s="42">
        <v>30000</v>
      </c>
    </row>
    <row r="792" spans="1:13" x14ac:dyDescent="0.3">
      <c r="J792" s="5">
        <v>375</v>
      </c>
      <c r="K792" s="5">
        <f t="shared" si="48"/>
        <v>299.868447763723</v>
      </c>
      <c r="L792" s="42">
        <v>37500</v>
      </c>
    </row>
    <row r="793" spans="1:13" x14ac:dyDescent="0.3">
      <c r="J793" s="5">
        <v>375</v>
      </c>
      <c r="K793" s="5">
        <f t="shared" si="48"/>
        <v>299.868447763723</v>
      </c>
      <c r="L793" s="42">
        <v>65000</v>
      </c>
    </row>
    <row r="794" spans="1:13" x14ac:dyDescent="0.3">
      <c r="J794" s="5">
        <v>340</v>
      </c>
      <c r="K794" s="5">
        <f t="shared" si="48"/>
        <v>271.88072597244218</v>
      </c>
      <c r="L794" s="42">
        <v>65000</v>
      </c>
    </row>
    <row r="795" spans="1:13" x14ac:dyDescent="0.3">
      <c r="J795" s="5">
        <v>320</v>
      </c>
      <c r="K795" s="5">
        <f t="shared" si="48"/>
        <v>255.88774209171027</v>
      </c>
      <c r="L795" s="42">
        <v>125000</v>
      </c>
    </row>
    <row r="796" spans="1:13" x14ac:dyDescent="0.3">
      <c r="J796" s="5">
        <v>280</v>
      </c>
      <c r="K796" s="5">
        <f t="shared" si="48"/>
        <v>223.9017743302465</v>
      </c>
      <c r="L796" s="42">
        <v>125000</v>
      </c>
    </row>
    <row r="797" spans="1:13" x14ac:dyDescent="0.3">
      <c r="J797" s="5">
        <v>275</v>
      </c>
      <c r="K797" s="5">
        <f t="shared" si="48"/>
        <v>219.90352836006352</v>
      </c>
      <c r="L797" s="42">
        <v>200000</v>
      </c>
    </row>
    <row r="798" spans="1:13" x14ac:dyDescent="0.3">
      <c r="J798" s="5">
        <v>250</v>
      </c>
      <c r="K798" s="5">
        <f t="shared" si="48"/>
        <v>199.91229850914866</v>
      </c>
      <c r="L798" s="42">
        <v>160000</v>
      </c>
    </row>
    <row r="799" spans="1:13" x14ac:dyDescent="0.3">
      <c r="J799" s="5">
        <v>210</v>
      </c>
      <c r="K799" s="5">
        <f t="shared" si="48"/>
        <v>167.92633074768486</v>
      </c>
      <c r="L799" s="42">
        <v>675000</v>
      </c>
    </row>
    <row r="800" spans="1:13" x14ac:dyDescent="0.3">
      <c r="J800" s="5">
        <v>200</v>
      </c>
      <c r="K800" s="5">
        <f t="shared" si="48"/>
        <v>159.92983880731893</v>
      </c>
      <c r="L800" s="42">
        <v>10000000</v>
      </c>
    </row>
    <row r="801" spans="1:13" x14ac:dyDescent="0.3">
      <c r="L801" s="42"/>
    </row>
    <row r="802" spans="1:13" x14ac:dyDescent="0.3">
      <c r="D802" s="5" t="s">
        <v>115</v>
      </c>
    </row>
    <row r="803" spans="1:13" ht="28.8" x14ac:dyDescent="0.3">
      <c r="C803" s="37" t="s">
        <v>263</v>
      </c>
      <c r="D803" s="37" t="s">
        <v>2</v>
      </c>
      <c r="E803" s="37" t="s">
        <v>3</v>
      </c>
      <c r="F803" s="38" t="s">
        <v>4</v>
      </c>
      <c r="G803" s="38" t="s">
        <v>22</v>
      </c>
      <c r="H803" s="37" t="s">
        <v>6</v>
      </c>
      <c r="I803" s="37" t="s">
        <v>7</v>
      </c>
      <c r="J803" s="37" t="s">
        <v>8</v>
      </c>
      <c r="K803" s="38" t="s">
        <v>9</v>
      </c>
      <c r="L803" s="37" t="s">
        <v>10</v>
      </c>
      <c r="M803" s="37" t="s">
        <v>11</v>
      </c>
    </row>
    <row r="804" spans="1:13" x14ac:dyDescent="0.3">
      <c r="A804" s="5" t="str">
        <f>B804&amp;", R="&amp;D804&amp;", "&amp;I804&amp;", "&amp;G804</f>
        <v>[49], R=0.1, 0°, AB + SR</v>
      </c>
      <c r="B804" s="5" t="s">
        <v>116</v>
      </c>
      <c r="C804" s="5">
        <f>[1]Criteria!$AD$43</f>
        <v>0.67647058823529416</v>
      </c>
      <c r="D804" s="5">
        <v>0.1</v>
      </c>
      <c r="E804" s="5" t="s">
        <v>34</v>
      </c>
      <c r="F804" s="5" t="s">
        <v>39</v>
      </c>
      <c r="G804" s="5" t="s">
        <v>15</v>
      </c>
      <c r="H804" s="5" t="s">
        <v>31</v>
      </c>
      <c r="I804" s="5" t="s">
        <v>18</v>
      </c>
      <c r="J804" s="5">
        <v>350</v>
      </c>
      <c r="K804" s="5">
        <f>J804*((1-$D$777)/2)^0.28</f>
        <v>279.87721791280813</v>
      </c>
      <c r="L804" s="42">
        <v>30000</v>
      </c>
    </row>
    <row r="805" spans="1:13" x14ac:dyDescent="0.3">
      <c r="J805" s="5">
        <v>325</v>
      </c>
      <c r="K805" s="5">
        <f t="shared" ref="K805:K814" si="49">J805*((1-$D$777)/2)^0.28</f>
        <v>259.88598806189327</v>
      </c>
      <c r="L805" s="42">
        <v>42500</v>
      </c>
    </row>
    <row r="806" spans="1:13" x14ac:dyDescent="0.3">
      <c r="J806" s="5">
        <v>300</v>
      </c>
      <c r="K806" s="5">
        <f t="shared" si="49"/>
        <v>239.89475821097838</v>
      </c>
      <c r="L806" s="42">
        <v>62000</v>
      </c>
    </row>
    <row r="807" spans="1:13" x14ac:dyDescent="0.3">
      <c r="J807" s="5">
        <v>275</v>
      </c>
      <c r="K807" s="5">
        <f t="shared" si="49"/>
        <v>219.90352836006352</v>
      </c>
      <c r="L807" s="42">
        <v>67000</v>
      </c>
    </row>
    <row r="808" spans="1:13" x14ac:dyDescent="0.3">
      <c r="J808" s="5">
        <v>250</v>
      </c>
      <c r="K808" s="5">
        <f t="shared" si="49"/>
        <v>199.91229850914866</v>
      </c>
      <c r="L808" s="42">
        <v>95000</v>
      </c>
    </row>
    <row r="809" spans="1:13" x14ac:dyDescent="0.3">
      <c r="J809" s="5">
        <v>225</v>
      </c>
      <c r="K809" s="5">
        <f t="shared" si="49"/>
        <v>179.92106865823379</v>
      </c>
      <c r="L809" s="42">
        <v>150000</v>
      </c>
    </row>
    <row r="810" spans="1:13" x14ac:dyDescent="0.3">
      <c r="J810" s="5">
        <v>215</v>
      </c>
      <c r="K810" s="5">
        <f t="shared" si="49"/>
        <v>171.92457671786784</v>
      </c>
      <c r="L810" s="42">
        <v>220000</v>
      </c>
    </row>
    <row r="811" spans="1:13" x14ac:dyDescent="0.3">
      <c r="J811" s="5">
        <v>200</v>
      </c>
      <c r="K811" s="5">
        <f t="shared" si="49"/>
        <v>159.92983880731893</v>
      </c>
      <c r="L811" s="42">
        <v>300000</v>
      </c>
    </row>
    <row r="812" spans="1:13" x14ac:dyDescent="0.3">
      <c r="J812" s="5">
        <v>275</v>
      </c>
      <c r="K812" s="5">
        <f t="shared" si="49"/>
        <v>219.90352836006352</v>
      </c>
      <c r="L812" s="42">
        <v>550000</v>
      </c>
    </row>
    <row r="813" spans="1:13" x14ac:dyDescent="0.3">
      <c r="J813" s="5">
        <v>160</v>
      </c>
      <c r="K813" s="5">
        <f t="shared" si="49"/>
        <v>127.94387104585513</v>
      </c>
      <c r="L813" s="42">
        <v>650000</v>
      </c>
    </row>
    <row r="814" spans="1:13" x14ac:dyDescent="0.3">
      <c r="J814" s="5">
        <v>150</v>
      </c>
      <c r="K814" s="5">
        <f t="shared" si="49"/>
        <v>119.94737910548919</v>
      </c>
      <c r="L814" s="42">
        <v>10000000</v>
      </c>
    </row>
    <row r="815" spans="1:13" x14ac:dyDescent="0.3">
      <c r="L815" s="42"/>
    </row>
    <row r="816" spans="1:13" x14ac:dyDescent="0.3">
      <c r="D816" s="5" t="s">
        <v>115</v>
      </c>
    </row>
    <row r="817" spans="1:13" ht="28.8" x14ac:dyDescent="0.3">
      <c r="C817" s="37" t="s">
        <v>263</v>
      </c>
      <c r="D817" s="37" t="s">
        <v>2</v>
      </c>
      <c r="E817" s="37" t="s">
        <v>3</v>
      </c>
      <c r="F817" s="38" t="s">
        <v>4</v>
      </c>
      <c r="G817" s="38" t="s">
        <v>22</v>
      </c>
      <c r="H817" s="37" t="s">
        <v>6</v>
      </c>
      <c r="I817" s="37" t="s">
        <v>7</v>
      </c>
      <c r="J817" s="37" t="s">
        <v>8</v>
      </c>
      <c r="K817" s="38" t="s">
        <v>9</v>
      </c>
      <c r="L817" s="37" t="s">
        <v>10</v>
      </c>
      <c r="M817" s="37" t="s">
        <v>11</v>
      </c>
    </row>
    <row r="818" spans="1:13" x14ac:dyDescent="0.3">
      <c r="A818" s="5" t="str">
        <f>B818&amp;", R="&amp;D818&amp;", "&amp;I818&amp;", "&amp;G818</f>
        <v>[49], R=0.1, 0°, AB + HIP</v>
      </c>
      <c r="B818" s="5" t="s">
        <v>116</v>
      </c>
      <c r="C818" s="5">
        <f>[1]Criteria!$AD$43</f>
        <v>0.67647058823529416</v>
      </c>
      <c r="D818" s="5">
        <v>0.1</v>
      </c>
      <c r="E818" s="5" t="s">
        <v>34</v>
      </c>
      <c r="F818" s="5" t="s">
        <v>39</v>
      </c>
      <c r="G818" s="5" t="s">
        <v>25</v>
      </c>
      <c r="H818" s="5" t="s">
        <v>31</v>
      </c>
      <c r="I818" s="5" t="s">
        <v>18</v>
      </c>
      <c r="J818" s="5">
        <v>450</v>
      </c>
      <c r="K818" s="5">
        <f>J818*((1-$D$777)/2)^0.28</f>
        <v>359.84213731646759</v>
      </c>
      <c r="L818" s="42">
        <v>20000</v>
      </c>
    </row>
    <row r="819" spans="1:13" x14ac:dyDescent="0.3">
      <c r="J819" s="5">
        <v>400</v>
      </c>
      <c r="K819" s="5">
        <f t="shared" ref="K819:K827" si="50">J819*((1-$D$777)/2)^0.28</f>
        <v>319.85967761463786</v>
      </c>
      <c r="L819" s="42">
        <v>28000</v>
      </c>
    </row>
    <row r="820" spans="1:13" x14ac:dyDescent="0.3">
      <c r="J820" s="5">
        <v>350</v>
      </c>
      <c r="K820" s="5">
        <f t="shared" si="50"/>
        <v>279.87721791280813</v>
      </c>
      <c r="L820" s="42">
        <v>38000</v>
      </c>
    </row>
    <row r="821" spans="1:13" x14ac:dyDescent="0.3">
      <c r="J821" s="5">
        <v>325</v>
      </c>
      <c r="K821" s="5">
        <f t="shared" si="50"/>
        <v>259.88598806189327</v>
      </c>
      <c r="L821" s="42">
        <v>52000</v>
      </c>
    </row>
    <row r="822" spans="1:13" x14ac:dyDescent="0.3">
      <c r="J822" s="5">
        <v>300</v>
      </c>
      <c r="K822" s="5">
        <f t="shared" si="50"/>
        <v>239.89475821097838</v>
      </c>
      <c r="L822" s="42">
        <v>85000</v>
      </c>
    </row>
    <row r="823" spans="1:13" x14ac:dyDescent="0.3">
      <c r="J823" s="5">
        <v>250</v>
      </c>
      <c r="K823" s="5">
        <f t="shared" si="50"/>
        <v>199.91229850914866</v>
      </c>
      <c r="L823" s="42">
        <v>150000</v>
      </c>
    </row>
    <row r="824" spans="1:13" x14ac:dyDescent="0.3">
      <c r="J824" s="5">
        <v>225</v>
      </c>
      <c r="K824" s="5">
        <f t="shared" si="50"/>
        <v>179.92106865823379</v>
      </c>
      <c r="L824" s="42">
        <v>175000</v>
      </c>
    </row>
    <row r="825" spans="1:13" x14ac:dyDescent="0.3">
      <c r="J825" s="5">
        <v>200</v>
      </c>
      <c r="K825" s="5">
        <f t="shared" si="50"/>
        <v>159.92983880731893</v>
      </c>
      <c r="L825" s="42">
        <v>420000</v>
      </c>
    </row>
    <row r="826" spans="1:13" x14ac:dyDescent="0.3">
      <c r="J826" s="5">
        <v>150</v>
      </c>
      <c r="K826" s="5">
        <f t="shared" si="50"/>
        <v>119.94737910548919</v>
      </c>
      <c r="L826" s="42">
        <v>1750000</v>
      </c>
    </row>
    <row r="827" spans="1:13" x14ac:dyDescent="0.3">
      <c r="J827" s="5">
        <v>125</v>
      </c>
      <c r="K827" s="5">
        <f t="shared" si="50"/>
        <v>99.956149254574328</v>
      </c>
      <c r="L827" s="42">
        <v>10000000</v>
      </c>
    </row>
    <row r="828" spans="1:13" x14ac:dyDescent="0.3">
      <c r="L828" s="42"/>
    </row>
    <row r="829" spans="1:13" x14ac:dyDescent="0.3">
      <c r="D829" s="5" t="s">
        <v>115</v>
      </c>
    </row>
    <row r="830" spans="1:13" ht="28.8" x14ac:dyDescent="0.3">
      <c r="C830" s="37" t="s">
        <v>263</v>
      </c>
      <c r="D830" s="37" t="s">
        <v>2</v>
      </c>
      <c r="E830" s="37" t="s">
        <v>3</v>
      </c>
      <c r="F830" s="38" t="s">
        <v>4</v>
      </c>
      <c r="G830" s="38" t="s">
        <v>22</v>
      </c>
      <c r="H830" s="37" t="s">
        <v>6</v>
      </c>
      <c r="I830" s="37" t="s">
        <v>7</v>
      </c>
      <c r="J830" s="37" t="s">
        <v>8</v>
      </c>
      <c r="K830" s="38" t="s">
        <v>9</v>
      </c>
      <c r="L830" s="37" t="s">
        <v>10</v>
      </c>
      <c r="M830" s="37" t="s">
        <v>11</v>
      </c>
    </row>
    <row r="831" spans="1:13" x14ac:dyDescent="0.3">
      <c r="A831" s="5" t="str">
        <f>B831&amp;", R="&amp;D831&amp;", "&amp;I831&amp;", "&amp;G831</f>
        <v>[49], R=0.1, 0°, Mach + SR</v>
      </c>
      <c r="B831" s="5" t="s">
        <v>116</v>
      </c>
      <c r="C831" s="5">
        <f>[1]Criteria!$AD$43</f>
        <v>0.67647058823529416</v>
      </c>
      <c r="D831" s="5">
        <v>0.1</v>
      </c>
      <c r="E831" s="5" t="s">
        <v>34</v>
      </c>
      <c r="F831" s="5" t="s">
        <v>45</v>
      </c>
      <c r="G831" s="5" t="s">
        <v>81</v>
      </c>
      <c r="H831" s="5" t="s">
        <v>31</v>
      </c>
      <c r="I831" s="5" t="s">
        <v>18</v>
      </c>
      <c r="J831" s="5">
        <v>850</v>
      </c>
      <c r="K831" s="5">
        <f>J831*((1-$D$777)/2)^0.28</f>
        <v>679.70181493110545</v>
      </c>
      <c r="L831" s="42">
        <v>18000</v>
      </c>
    </row>
    <row r="832" spans="1:13" x14ac:dyDescent="0.3">
      <c r="J832" s="5">
        <v>750</v>
      </c>
      <c r="K832" s="5">
        <f t="shared" ref="K832:K841" si="51">J832*((1-$D$777)/2)^0.28</f>
        <v>599.73689552744599</v>
      </c>
      <c r="L832" s="42">
        <v>90000</v>
      </c>
    </row>
    <row r="833" spans="1:13" x14ac:dyDescent="0.3">
      <c r="J833" s="5">
        <v>690</v>
      </c>
      <c r="K833" s="5">
        <f t="shared" si="51"/>
        <v>551.75794388525026</v>
      </c>
      <c r="L833" s="42">
        <v>150000</v>
      </c>
    </row>
    <row r="834" spans="1:13" x14ac:dyDescent="0.3">
      <c r="J834" s="5">
        <v>650</v>
      </c>
      <c r="K834" s="5">
        <f t="shared" si="51"/>
        <v>519.77197612378654</v>
      </c>
      <c r="L834" s="42">
        <v>150000</v>
      </c>
    </row>
    <row r="835" spans="1:13" x14ac:dyDescent="0.3">
      <c r="J835" s="5">
        <v>650</v>
      </c>
      <c r="K835" s="5">
        <f t="shared" si="51"/>
        <v>519.77197612378654</v>
      </c>
      <c r="L835" s="42">
        <v>1500000</v>
      </c>
    </row>
    <row r="836" spans="1:13" x14ac:dyDescent="0.3">
      <c r="J836" s="5">
        <v>625</v>
      </c>
      <c r="K836" s="5">
        <f t="shared" si="51"/>
        <v>499.78074627287162</v>
      </c>
      <c r="L836" s="42">
        <v>5500000</v>
      </c>
    </row>
    <row r="837" spans="1:13" x14ac:dyDescent="0.3">
      <c r="J837" s="5">
        <v>600</v>
      </c>
      <c r="K837" s="5">
        <f t="shared" si="51"/>
        <v>479.78951642195676</v>
      </c>
      <c r="L837" s="42">
        <v>45000</v>
      </c>
    </row>
    <row r="838" spans="1:13" x14ac:dyDescent="0.3">
      <c r="J838" s="5">
        <v>575</v>
      </c>
      <c r="K838" s="5">
        <f t="shared" si="51"/>
        <v>459.7982865710419</v>
      </c>
      <c r="L838" s="42">
        <v>350000</v>
      </c>
    </row>
    <row r="839" spans="1:13" x14ac:dyDescent="0.3">
      <c r="J839" s="5">
        <v>550</v>
      </c>
      <c r="K839" s="5">
        <f t="shared" si="51"/>
        <v>439.80705672012704</v>
      </c>
      <c r="L839" s="42">
        <v>2750000</v>
      </c>
    </row>
    <row r="840" spans="1:13" x14ac:dyDescent="0.3">
      <c r="J840" s="5">
        <v>500</v>
      </c>
      <c r="K840" s="5">
        <f t="shared" si="51"/>
        <v>399.82459701829731</v>
      </c>
      <c r="L840" s="42">
        <v>1500000</v>
      </c>
    </row>
    <row r="841" spans="1:13" x14ac:dyDescent="0.3">
      <c r="J841" s="5">
        <v>475</v>
      </c>
      <c r="K841" s="5">
        <f t="shared" si="51"/>
        <v>379.83336716738245</v>
      </c>
      <c r="L841" s="42">
        <v>10000000</v>
      </c>
    </row>
    <row r="842" spans="1:13" x14ac:dyDescent="0.3">
      <c r="L842" s="42"/>
    </row>
    <row r="843" spans="1:13" x14ac:dyDescent="0.3">
      <c r="D843" s="5" t="s">
        <v>115</v>
      </c>
    </row>
    <row r="844" spans="1:13" ht="28.8" x14ac:dyDescent="0.3">
      <c r="C844" s="37" t="s">
        <v>263</v>
      </c>
      <c r="D844" s="37" t="s">
        <v>2</v>
      </c>
      <c r="E844" s="37" t="s">
        <v>3</v>
      </c>
      <c r="F844" s="38" t="s">
        <v>4</v>
      </c>
      <c r="G844" s="38" t="s">
        <v>22</v>
      </c>
      <c r="H844" s="37" t="s">
        <v>6</v>
      </c>
      <c r="I844" s="37" t="s">
        <v>7</v>
      </c>
      <c r="J844" s="37" t="s">
        <v>8</v>
      </c>
      <c r="K844" s="38" t="s">
        <v>9</v>
      </c>
      <c r="L844" s="37" t="s">
        <v>10</v>
      </c>
      <c r="M844" s="37" t="s">
        <v>11</v>
      </c>
    </row>
    <row r="845" spans="1:13" x14ac:dyDescent="0.3">
      <c r="A845" s="5" t="str">
        <f>B845&amp;", R="&amp;D845&amp;", "&amp;I845&amp;", "&amp;G845</f>
        <v>[49], R=0.1, 0°, Mach + HIP</v>
      </c>
      <c r="B845" s="5" t="s">
        <v>116</v>
      </c>
      <c r="C845" s="5">
        <f>[1]Criteria!$AD$43</f>
        <v>0.67647058823529416</v>
      </c>
      <c r="D845" s="5">
        <v>0.1</v>
      </c>
      <c r="E845" s="5" t="s">
        <v>34</v>
      </c>
      <c r="F845" s="5" t="s">
        <v>45</v>
      </c>
      <c r="G845" s="5" t="s">
        <v>26</v>
      </c>
      <c r="H845" s="5" t="s">
        <v>31</v>
      </c>
      <c r="I845" s="5" t="s">
        <v>18</v>
      </c>
      <c r="J845" s="5">
        <v>800</v>
      </c>
      <c r="K845" s="5">
        <f>J845*((1-$D$777)/2)^0.28</f>
        <v>639.71935522927572</v>
      </c>
      <c r="L845" s="42">
        <v>80000</v>
      </c>
    </row>
    <row r="846" spans="1:13" x14ac:dyDescent="0.3">
      <c r="J846" s="5">
        <v>775</v>
      </c>
      <c r="K846" s="5">
        <f t="shared" ref="K846:K854" si="52">J846*((1-$D$777)/2)^0.28</f>
        <v>619.7281253783608</v>
      </c>
      <c r="L846" s="42">
        <v>1500000</v>
      </c>
    </row>
    <row r="847" spans="1:13" x14ac:dyDescent="0.3">
      <c r="J847" s="5">
        <v>750</v>
      </c>
      <c r="K847" s="5">
        <f t="shared" si="52"/>
        <v>599.73689552744599</v>
      </c>
      <c r="L847" s="42">
        <v>1500000</v>
      </c>
    </row>
    <row r="848" spans="1:13" x14ac:dyDescent="0.3">
      <c r="J848" s="5">
        <v>725</v>
      </c>
      <c r="K848" s="5">
        <f t="shared" si="52"/>
        <v>579.74566567653108</v>
      </c>
      <c r="L848" s="42">
        <v>2000000</v>
      </c>
    </row>
    <row r="849" spans="1:13" x14ac:dyDescent="0.3">
      <c r="J849" s="5">
        <v>700</v>
      </c>
      <c r="K849" s="5">
        <f t="shared" si="52"/>
        <v>559.75443582561627</v>
      </c>
      <c r="L849" s="42">
        <v>1800000</v>
      </c>
    </row>
    <row r="850" spans="1:13" x14ac:dyDescent="0.3">
      <c r="J850" s="5">
        <v>675</v>
      </c>
      <c r="K850" s="5">
        <f t="shared" si="52"/>
        <v>539.76320597470135</v>
      </c>
      <c r="L850" s="42">
        <v>3000000</v>
      </c>
    </row>
    <row r="851" spans="1:13" x14ac:dyDescent="0.3">
      <c r="J851" s="5">
        <v>650</v>
      </c>
      <c r="K851" s="5">
        <f t="shared" si="52"/>
        <v>519.77197612378654</v>
      </c>
      <c r="L851" s="42">
        <v>3250000</v>
      </c>
    </row>
    <row r="852" spans="1:13" x14ac:dyDescent="0.3">
      <c r="J852" s="5">
        <v>625</v>
      </c>
      <c r="K852" s="5">
        <f t="shared" si="52"/>
        <v>499.78074627287162</v>
      </c>
      <c r="L852" s="42">
        <v>6500000</v>
      </c>
    </row>
    <row r="853" spans="1:13" x14ac:dyDescent="0.3">
      <c r="J853" s="5">
        <v>600</v>
      </c>
      <c r="K853" s="5">
        <f t="shared" si="52"/>
        <v>479.78951642195676</v>
      </c>
      <c r="L853" s="42">
        <v>10000000</v>
      </c>
    </row>
    <row r="854" spans="1:13" x14ac:dyDescent="0.3">
      <c r="J854" s="5">
        <v>575</v>
      </c>
      <c r="K854" s="5">
        <f t="shared" si="52"/>
        <v>459.7982865710419</v>
      </c>
      <c r="L854" s="42">
        <v>17500000</v>
      </c>
    </row>
    <row r="855" spans="1:13" x14ac:dyDescent="0.3">
      <c r="L855" s="42"/>
    </row>
    <row r="856" spans="1:13" x14ac:dyDescent="0.3">
      <c r="D856" s="5" t="s">
        <v>115</v>
      </c>
    </row>
    <row r="857" spans="1:13" ht="28.8" x14ac:dyDescent="0.3">
      <c r="C857" s="37" t="s">
        <v>263</v>
      </c>
      <c r="D857" s="37" t="s">
        <v>2</v>
      </c>
      <c r="E857" s="37" t="s">
        <v>3</v>
      </c>
      <c r="F857" s="38" t="s">
        <v>4</v>
      </c>
      <c r="G857" s="38" t="s">
        <v>22</v>
      </c>
      <c r="H857" s="37" t="s">
        <v>6</v>
      </c>
      <c r="I857" s="37" t="s">
        <v>7</v>
      </c>
      <c r="J857" s="37" t="s">
        <v>8</v>
      </c>
      <c r="K857" s="38" t="s">
        <v>9</v>
      </c>
      <c r="L857" s="37" t="s">
        <v>10</v>
      </c>
      <c r="M857" s="37" t="s">
        <v>11</v>
      </c>
    </row>
    <row r="858" spans="1:13" x14ac:dyDescent="0.3">
      <c r="A858" s="5" t="str">
        <f>B858&amp;", R="&amp;D858&amp;", "&amp;I858&amp;", "&amp;G858</f>
        <v>[49], R=0.1, 0°, Mach + SR</v>
      </c>
      <c r="B858" s="5" t="s">
        <v>116</v>
      </c>
      <c r="C858" s="5">
        <f>[1]Criteria!$AD$43</f>
        <v>0.67647058823529416</v>
      </c>
      <c r="D858" s="5">
        <v>0.1</v>
      </c>
      <c r="E858" s="5" t="s">
        <v>34</v>
      </c>
      <c r="F858" s="5" t="s">
        <v>39</v>
      </c>
      <c r="G858" s="5" t="s">
        <v>81</v>
      </c>
      <c r="H858" s="5" t="s">
        <v>31</v>
      </c>
      <c r="I858" s="5" t="s">
        <v>18</v>
      </c>
      <c r="J858" s="5">
        <v>625</v>
      </c>
      <c r="K858" s="5">
        <f>J858*((1-$D$777)/2)^0.28</f>
        <v>499.78074627287162</v>
      </c>
      <c r="L858" s="42">
        <v>15000</v>
      </c>
    </row>
    <row r="859" spans="1:13" x14ac:dyDescent="0.3">
      <c r="J859" s="5">
        <v>600</v>
      </c>
      <c r="K859" s="5">
        <f t="shared" ref="K859:K867" si="53">J859*((1-$D$777)/2)^0.28</f>
        <v>479.78951642195676</v>
      </c>
      <c r="L859" s="42">
        <v>25000</v>
      </c>
    </row>
    <row r="860" spans="1:13" x14ac:dyDescent="0.3">
      <c r="J860" s="5">
        <v>575</v>
      </c>
      <c r="K860" s="5">
        <f t="shared" si="53"/>
        <v>459.7982865710419</v>
      </c>
      <c r="L860" s="42">
        <v>15000</v>
      </c>
    </row>
    <row r="861" spans="1:13" x14ac:dyDescent="0.3">
      <c r="J861" s="5">
        <v>575</v>
      </c>
      <c r="K861" s="5">
        <f t="shared" si="53"/>
        <v>459.7982865710419</v>
      </c>
      <c r="L861" s="42">
        <v>22000</v>
      </c>
    </row>
    <row r="862" spans="1:13" x14ac:dyDescent="0.3">
      <c r="J862" s="5">
        <v>550</v>
      </c>
      <c r="K862" s="5">
        <f t="shared" si="53"/>
        <v>439.80705672012704</v>
      </c>
      <c r="L862" s="42">
        <v>38000</v>
      </c>
    </row>
    <row r="863" spans="1:13" x14ac:dyDescent="0.3">
      <c r="J863" s="5">
        <v>525</v>
      </c>
      <c r="K863" s="5">
        <f t="shared" si="53"/>
        <v>419.81582686921217</v>
      </c>
      <c r="L863" s="42">
        <v>48000</v>
      </c>
    </row>
    <row r="864" spans="1:13" x14ac:dyDescent="0.3">
      <c r="J864" s="5">
        <v>450</v>
      </c>
      <c r="K864" s="5">
        <f t="shared" si="53"/>
        <v>359.84213731646759</v>
      </c>
      <c r="L864" s="42">
        <v>60000</v>
      </c>
    </row>
    <row r="865" spans="1:13" x14ac:dyDescent="0.3">
      <c r="J865" s="5">
        <v>425</v>
      </c>
      <c r="K865" s="5">
        <f t="shared" si="53"/>
        <v>339.85090746555272</v>
      </c>
      <c r="L865" s="42">
        <v>150000</v>
      </c>
    </row>
    <row r="866" spans="1:13" x14ac:dyDescent="0.3">
      <c r="J866" s="5">
        <v>375</v>
      </c>
      <c r="K866" s="5">
        <f t="shared" si="53"/>
        <v>299.868447763723</v>
      </c>
      <c r="L866" s="42">
        <v>95000</v>
      </c>
    </row>
    <row r="867" spans="1:13" x14ac:dyDescent="0.3">
      <c r="J867" s="5">
        <v>275</v>
      </c>
      <c r="K867" s="5">
        <f t="shared" si="53"/>
        <v>219.90352836006352</v>
      </c>
      <c r="L867" s="42">
        <v>10000000</v>
      </c>
    </row>
    <row r="868" spans="1:13" x14ac:dyDescent="0.3">
      <c r="L868" s="42"/>
    </row>
    <row r="869" spans="1:13" x14ac:dyDescent="0.3">
      <c r="D869" s="5" t="s">
        <v>115</v>
      </c>
    </row>
    <row r="870" spans="1:13" ht="28.8" x14ac:dyDescent="0.3">
      <c r="C870" s="37" t="s">
        <v>263</v>
      </c>
      <c r="D870" s="37" t="s">
        <v>2</v>
      </c>
      <c r="E870" s="37" t="s">
        <v>3</v>
      </c>
      <c r="F870" s="38" t="s">
        <v>4</v>
      </c>
      <c r="G870" s="38" t="s">
        <v>22</v>
      </c>
      <c r="H870" s="37" t="s">
        <v>6</v>
      </c>
      <c r="I870" s="37" t="s">
        <v>7</v>
      </c>
      <c r="J870" s="37" t="s">
        <v>8</v>
      </c>
      <c r="K870" s="38" t="s">
        <v>9</v>
      </c>
      <c r="L870" s="37" t="s">
        <v>10</v>
      </c>
      <c r="M870" s="37" t="s">
        <v>11</v>
      </c>
    </row>
    <row r="871" spans="1:13" x14ac:dyDescent="0.3">
      <c r="A871" s="5" t="str">
        <f>B871&amp;", R="&amp;D871&amp;", "&amp;I871&amp;", "&amp;G871</f>
        <v>[49], R=0.1, 0°, Mach + HIP</v>
      </c>
      <c r="B871" s="5" t="s">
        <v>116</v>
      </c>
      <c r="C871" s="5">
        <f>[1]Criteria!$AD$43</f>
        <v>0.67647058823529416</v>
      </c>
      <c r="D871" s="5">
        <v>0.1</v>
      </c>
      <c r="E871" s="5" t="s">
        <v>34</v>
      </c>
      <c r="F871" s="5" t="s">
        <v>39</v>
      </c>
      <c r="G871" s="5" t="s">
        <v>26</v>
      </c>
      <c r="H871" s="5" t="s">
        <v>31</v>
      </c>
      <c r="I871" s="5" t="s">
        <v>18</v>
      </c>
      <c r="J871" s="5">
        <v>700</v>
      </c>
      <c r="K871" s="5">
        <f t="shared" ref="K871:K876" si="54">J871*((1-$D$777)/2)^0.28</f>
        <v>559.75443582561627</v>
      </c>
      <c r="L871" s="42">
        <v>1900000</v>
      </c>
    </row>
    <row r="872" spans="1:13" x14ac:dyDescent="0.3">
      <c r="J872" s="5">
        <v>625</v>
      </c>
      <c r="K872" s="5">
        <f t="shared" si="54"/>
        <v>499.78074627287162</v>
      </c>
      <c r="L872" s="42">
        <v>4000000</v>
      </c>
    </row>
    <row r="873" spans="1:13" x14ac:dyDescent="0.3">
      <c r="J873" s="5">
        <v>650</v>
      </c>
      <c r="K873" s="5">
        <f t="shared" si="54"/>
        <v>519.77197612378654</v>
      </c>
      <c r="L873" s="42">
        <v>5200000</v>
      </c>
    </row>
    <row r="874" spans="1:13" x14ac:dyDescent="0.3">
      <c r="J874" s="5">
        <v>625</v>
      </c>
      <c r="K874" s="5">
        <f t="shared" si="54"/>
        <v>499.78074627287162</v>
      </c>
      <c r="L874" s="42">
        <v>6500000</v>
      </c>
    </row>
    <row r="875" spans="1:13" x14ac:dyDescent="0.3">
      <c r="J875" s="5">
        <v>600</v>
      </c>
      <c r="K875" s="5">
        <f t="shared" si="54"/>
        <v>479.78951642195676</v>
      </c>
      <c r="L875" s="42">
        <v>10000000</v>
      </c>
    </row>
    <row r="876" spans="1:13" x14ac:dyDescent="0.3">
      <c r="J876" s="5">
        <v>575</v>
      </c>
      <c r="K876" s="5">
        <f t="shared" si="54"/>
        <v>459.7982865710419</v>
      </c>
      <c r="L876" s="42">
        <v>25000000</v>
      </c>
    </row>
    <row r="878" spans="1:13" x14ac:dyDescent="0.3">
      <c r="D878" s="5" t="s">
        <v>117</v>
      </c>
    </row>
    <row r="879" spans="1:13" ht="28.8" x14ac:dyDescent="0.3">
      <c r="C879" s="37" t="s">
        <v>263</v>
      </c>
      <c r="D879" s="37" t="s">
        <v>2</v>
      </c>
      <c r="E879" s="37" t="s">
        <v>3</v>
      </c>
      <c r="F879" s="38" t="s">
        <v>4</v>
      </c>
      <c r="G879" s="38" t="s">
        <v>22</v>
      </c>
      <c r="H879" s="37" t="s">
        <v>6</v>
      </c>
      <c r="I879" s="37" t="s">
        <v>7</v>
      </c>
      <c r="J879" s="37" t="s">
        <v>8</v>
      </c>
      <c r="K879" s="38" t="s">
        <v>9</v>
      </c>
      <c r="L879" s="37" t="s">
        <v>10</v>
      </c>
      <c r="M879" s="37" t="s">
        <v>11</v>
      </c>
    </row>
    <row r="880" spans="1:13" x14ac:dyDescent="0.3">
      <c r="A880" s="5" t="str">
        <f>B880&amp;", R="&amp;D880&amp;", "&amp;I880&amp;", "&amp;G880</f>
        <v>[50], R=0.1, 90°, AB</v>
      </c>
      <c r="B880" s="5" t="s">
        <v>118</v>
      </c>
      <c r="C880" s="5">
        <f>[1]Criteria!$AE$43</f>
        <v>0.67647058823529416</v>
      </c>
      <c r="D880" s="5">
        <v>0.1</v>
      </c>
      <c r="E880" s="5" t="s">
        <v>34</v>
      </c>
      <c r="F880" s="5" t="s">
        <v>39</v>
      </c>
      <c r="G880" s="5" t="s">
        <v>50</v>
      </c>
      <c r="H880" s="5">
        <v>10</v>
      </c>
      <c r="I880" s="5" t="s">
        <v>16</v>
      </c>
      <c r="J880" s="5">
        <v>600</v>
      </c>
      <c r="K880" s="5">
        <f>J880*((1-$D$880)/2)^0.28</f>
        <v>479.78951642195676</v>
      </c>
      <c r="L880" s="42">
        <v>6100</v>
      </c>
    </row>
    <row r="881" spans="1:16" x14ac:dyDescent="0.3">
      <c r="J881" s="5">
        <v>600</v>
      </c>
      <c r="K881" s="5">
        <f t="shared" ref="K881:K888" si="55">J881*((1-$D$880)/2)^0.28</f>
        <v>479.78951642195676</v>
      </c>
      <c r="L881" s="42">
        <v>5800</v>
      </c>
    </row>
    <row r="882" spans="1:16" x14ac:dyDescent="0.3">
      <c r="J882" s="5">
        <v>500</v>
      </c>
      <c r="K882" s="5">
        <f t="shared" si="55"/>
        <v>399.82459701829731</v>
      </c>
      <c r="L882" s="42">
        <v>11000</v>
      </c>
    </row>
    <row r="883" spans="1:16" x14ac:dyDescent="0.3">
      <c r="J883" s="5">
        <v>500</v>
      </c>
      <c r="K883" s="5">
        <f t="shared" si="55"/>
        <v>399.82459701829731</v>
      </c>
      <c r="L883" s="42">
        <v>9500</v>
      </c>
    </row>
    <row r="884" spans="1:16" x14ac:dyDescent="0.3">
      <c r="J884" s="5">
        <v>400</v>
      </c>
      <c r="K884" s="5">
        <f t="shared" si="55"/>
        <v>319.85967761463786</v>
      </c>
      <c r="L884" s="42">
        <v>22000</v>
      </c>
    </row>
    <row r="885" spans="1:16" x14ac:dyDescent="0.3">
      <c r="J885" s="5">
        <v>400</v>
      </c>
      <c r="K885" s="5">
        <f t="shared" si="55"/>
        <v>319.85967761463786</v>
      </c>
      <c r="L885" s="42">
        <v>20000</v>
      </c>
    </row>
    <row r="886" spans="1:16" x14ac:dyDescent="0.3">
      <c r="J886" s="5">
        <v>400</v>
      </c>
      <c r="K886" s="5">
        <f t="shared" si="55"/>
        <v>319.85967761463786</v>
      </c>
      <c r="L886" s="42">
        <v>19000</v>
      </c>
    </row>
    <row r="887" spans="1:16" x14ac:dyDescent="0.3">
      <c r="J887" s="5">
        <v>300</v>
      </c>
      <c r="K887" s="5">
        <f t="shared" si="55"/>
        <v>239.89475821097838</v>
      </c>
      <c r="L887" s="42">
        <v>60000</v>
      </c>
    </row>
    <row r="888" spans="1:16" x14ac:dyDescent="0.3">
      <c r="J888" s="5">
        <v>300</v>
      </c>
      <c r="K888" s="5">
        <f t="shared" si="55"/>
        <v>239.89475821097838</v>
      </c>
      <c r="L888" s="42">
        <v>50000</v>
      </c>
    </row>
    <row r="889" spans="1:16" x14ac:dyDescent="0.3">
      <c r="L889" s="42"/>
    </row>
    <row r="890" spans="1:16" x14ac:dyDescent="0.3">
      <c r="D890" s="5" t="s">
        <v>117</v>
      </c>
    </row>
    <row r="891" spans="1:16" ht="28.8" x14ac:dyDescent="0.3">
      <c r="C891" s="37" t="s">
        <v>263</v>
      </c>
      <c r="D891" s="37" t="s">
        <v>2</v>
      </c>
      <c r="E891" s="37" t="s">
        <v>3</v>
      </c>
      <c r="F891" s="38" t="s">
        <v>4</v>
      </c>
      <c r="G891" s="38" t="s">
        <v>22</v>
      </c>
      <c r="H891" s="37" t="s">
        <v>6</v>
      </c>
      <c r="I891" s="37" t="s">
        <v>7</v>
      </c>
      <c r="J891" s="37" t="s">
        <v>8</v>
      </c>
      <c r="K891" s="38" t="s">
        <v>9</v>
      </c>
      <c r="L891" s="37" t="s">
        <v>10</v>
      </c>
      <c r="M891" s="37" t="s">
        <v>11</v>
      </c>
    </row>
    <row r="892" spans="1:16" x14ac:dyDescent="0.3">
      <c r="A892" s="5" t="str">
        <f>B892&amp;", R="&amp;D892&amp;", "&amp;I892&amp;", "&amp;G892</f>
        <v>[50], R=0.1, 90°, Etch</v>
      </c>
      <c r="B892" s="5" t="s">
        <v>118</v>
      </c>
      <c r="C892" s="5">
        <f>[1]Criteria!$AE$43</f>
        <v>0.67647058823529416</v>
      </c>
      <c r="D892" s="5">
        <v>0.1</v>
      </c>
      <c r="E892" s="5" t="s">
        <v>34</v>
      </c>
      <c r="F892" s="5" t="s">
        <v>39</v>
      </c>
      <c r="G892" s="5" t="s">
        <v>119</v>
      </c>
      <c r="H892" s="5">
        <v>10</v>
      </c>
      <c r="I892" s="5" t="s">
        <v>16</v>
      </c>
      <c r="J892" s="5">
        <v>600</v>
      </c>
      <c r="K892" s="5">
        <f>J892*((1-$D$880)/2)^0.28</f>
        <v>479.78951642195676</v>
      </c>
      <c r="L892" s="42">
        <v>5000</v>
      </c>
      <c r="N892" s="45"/>
      <c r="O892" s="45"/>
      <c r="P892" s="36"/>
    </row>
    <row r="893" spans="1:16" x14ac:dyDescent="0.3">
      <c r="J893" s="5">
        <v>600</v>
      </c>
      <c r="K893" s="5">
        <f t="shared" ref="K893:K899" si="56">J893*((1-$D$880)/2)^0.28</f>
        <v>479.78951642195676</v>
      </c>
      <c r="L893" s="42">
        <v>15000</v>
      </c>
    </row>
    <row r="894" spans="1:16" x14ac:dyDescent="0.3">
      <c r="J894" s="5">
        <v>600</v>
      </c>
      <c r="K894" s="5">
        <f t="shared" si="56"/>
        <v>479.78951642195676</v>
      </c>
      <c r="L894" s="42">
        <v>25000</v>
      </c>
    </row>
    <row r="895" spans="1:16" x14ac:dyDescent="0.3">
      <c r="J895" s="5">
        <v>500</v>
      </c>
      <c r="K895" s="5">
        <f t="shared" si="56"/>
        <v>399.82459701829731</v>
      </c>
      <c r="L895" s="42">
        <v>20000</v>
      </c>
    </row>
    <row r="896" spans="1:16" x14ac:dyDescent="0.3">
      <c r="J896" s="5">
        <v>500</v>
      </c>
      <c r="K896" s="5">
        <f t="shared" si="56"/>
        <v>399.82459701829731</v>
      </c>
      <c r="L896" s="42">
        <v>35000</v>
      </c>
    </row>
    <row r="897" spans="1:13" x14ac:dyDescent="0.3">
      <c r="J897" s="5">
        <v>400</v>
      </c>
      <c r="K897" s="5">
        <f t="shared" si="56"/>
        <v>319.85967761463786</v>
      </c>
      <c r="L897" s="42">
        <v>90000</v>
      </c>
    </row>
    <row r="898" spans="1:13" x14ac:dyDescent="0.3">
      <c r="J898" s="5">
        <v>300</v>
      </c>
      <c r="K898" s="5">
        <f t="shared" si="56"/>
        <v>239.89475821097838</v>
      </c>
      <c r="L898" s="42">
        <v>1000000</v>
      </c>
    </row>
    <row r="899" spans="1:13" x14ac:dyDescent="0.3">
      <c r="J899" s="5">
        <v>300</v>
      </c>
      <c r="K899" s="5">
        <f t="shared" si="56"/>
        <v>239.89475821097838</v>
      </c>
      <c r="L899" s="42">
        <v>500000</v>
      </c>
    </row>
    <row r="900" spans="1:13" x14ac:dyDescent="0.3">
      <c r="L900" s="42"/>
    </row>
    <row r="901" spans="1:13" x14ac:dyDescent="0.3">
      <c r="D901" s="5" t="s">
        <v>117</v>
      </c>
    </row>
    <row r="902" spans="1:13" ht="28.8" x14ac:dyDescent="0.3">
      <c r="C902" s="37" t="s">
        <v>263</v>
      </c>
      <c r="D902" s="37" t="s">
        <v>2</v>
      </c>
      <c r="E902" s="37" t="s">
        <v>3</v>
      </c>
      <c r="F902" s="38" t="s">
        <v>4</v>
      </c>
      <c r="G902" s="38" t="s">
        <v>22</v>
      </c>
      <c r="H902" s="37" t="s">
        <v>6</v>
      </c>
      <c r="I902" s="37" t="s">
        <v>7</v>
      </c>
      <c r="J902" s="37" t="s">
        <v>8</v>
      </c>
      <c r="K902" s="38" t="s">
        <v>9</v>
      </c>
      <c r="L902" s="37" t="s">
        <v>10</v>
      </c>
      <c r="M902" s="37" t="s">
        <v>11</v>
      </c>
    </row>
    <row r="903" spans="1:13" x14ac:dyDescent="0.3">
      <c r="A903" s="5" t="str">
        <f>B903&amp;", R="&amp;D903&amp;", "&amp;I903&amp;", "&amp;G903</f>
        <v>[50], R=0.1, 90°, Etch + HIP</v>
      </c>
      <c r="B903" s="5" t="s">
        <v>118</v>
      </c>
      <c r="C903" s="5">
        <f>[1]Criteria!$AE$43</f>
        <v>0.67647058823529416</v>
      </c>
      <c r="D903" s="5">
        <v>0.1</v>
      </c>
      <c r="E903" s="5" t="s">
        <v>34</v>
      </c>
      <c r="F903" s="5" t="s">
        <v>39</v>
      </c>
      <c r="G903" s="5" t="s">
        <v>120</v>
      </c>
      <c r="H903" s="5">
        <v>10</v>
      </c>
      <c r="I903" s="5" t="s">
        <v>16</v>
      </c>
      <c r="J903" s="5">
        <v>600</v>
      </c>
      <c r="K903" s="5">
        <f>J903*((1-$D$880)/2)^0.28</f>
        <v>479.78951642195676</v>
      </c>
      <c r="L903" s="42">
        <v>20000</v>
      </c>
    </row>
    <row r="904" spans="1:13" x14ac:dyDescent="0.3">
      <c r="J904" s="5">
        <v>600</v>
      </c>
      <c r="K904" s="5">
        <f t="shared" ref="K904:K912" si="57">J904*((1-$D$880)/2)^0.28</f>
        <v>479.78951642195676</v>
      </c>
      <c r="L904" s="42">
        <v>25000</v>
      </c>
    </row>
    <row r="905" spans="1:13" x14ac:dyDescent="0.3">
      <c r="J905" s="5">
        <v>600</v>
      </c>
      <c r="K905" s="5">
        <f t="shared" si="57"/>
        <v>479.78951642195676</v>
      </c>
      <c r="L905" s="42">
        <v>45000</v>
      </c>
    </row>
    <row r="906" spans="1:13" x14ac:dyDescent="0.3">
      <c r="J906" s="5">
        <v>500</v>
      </c>
      <c r="K906" s="5">
        <f t="shared" si="57"/>
        <v>399.82459701829731</v>
      </c>
      <c r="L906" s="42">
        <v>80000</v>
      </c>
    </row>
    <row r="907" spans="1:13" x14ac:dyDescent="0.3">
      <c r="J907" s="5">
        <v>500</v>
      </c>
      <c r="K907" s="5">
        <f t="shared" si="57"/>
        <v>399.82459701829731</v>
      </c>
      <c r="L907" s="42">
        <v>70000</v>
      </c>
    </row>
    <row r="908" spans="1:13" x14ac:dyDescent="0.3">
      <c r="J908" s="5">
        <v>400</v>
      </c>
      <c r="K908" s="5">
        <f t="shared" si="57"/>
        <v>319.85967761463786</v>
      </c>
      <c r="L908" s="42">
        <v>80000</v>
      </c>
    </row>
    <row r="909" spans="1:13" x14ac:dyDescent="0.3">
      <c r="J909" s="5">
        <v>400</v>
      </c>
      <c r="K909" s="5">
        <f t="shared" si="57"/>
        <v>319.85967761463786</v>
      </c>
      <c r="L909" s="42">
        <v>300000</v>
      </c>
    </row>
    <row r="910" spans="1:13" x14ac:dyDescent="0.3">
      <c r="J910" s="5">
        <v>300</v>
      </c>
      <c r="K910" s="5">
        <f t="shared" si="57"/>
        <v>239.89475821097838</v>
      </c>
      <c r="L910" s="42">
        <v>125000</v>
      </c>
    </row>
    <row r="911" spans="1:13" x14ac:dyDescent="0.3">
      <c r="J911" s="5">
        <v>300</v>
      </c>
      <c r="K911" s="5">
        <f t="shared" si="57"/>
        <v>239.89475821097838</v>
      </c>
      <c r="L911" s="42">
        <v>400000</v>
      </c>
    </row>
    <row r="912" spans="1:13" x14ac:dyDescent="0.3">
      <c r="J912" s="5">
        <v>300</v>
      </c>
      <c r="K912" s="5">
        <f t="shared" si="57"/>
        <v>239.89475821097838</v>
      </c>
      <c r="L912" s="42">
        <v>1500000</v>
      </c>
    </row>
    <row r="913" spans="1:16" x14ac:dyDescent="0.3">
      <c r="L913" s="42"/>
    </row>
    <row r="914" spans="1:16" x14ac:dyDescent="0.3">
      <c r="D914" s="5" t="s">
        <v>117</v>
      </c>
    </row>
    <row r="915" spans="1:16" ht="28.8" x14ac:dyDescent="0.3">
      <c r="C915" s="37" t="s">
        <v>263</v>
      </c>
      <c r="D915" s="37" t="s">
        <v>2</v>
      </c>
      <c r="E915" s="37" t="s">
        <v>3</v>
      </c>
      <c r="F915" s="38" t="s">
        <v>4</v>
      </c>
      <c r="G915" s="38" t="s">
        <v>22</v>
      </c>
      <c r="H915" s="37" t="s">
        <v>6</v>
      </c>
      <c r="I915" s="37" t="s">
        <v>7</v>
      </c>
      <c r="J915" s="37" t="s">
        <v>8</v>
      </c>
      <c r="K915" s="38" t="s">
        <v>9</v>
      </c>
      <c r="L915" s="37" t="s">
        <v>10</v>
      </c>
      <c r="M915" s="37" t="s">
        <v>11</v>
      </c>
    </row>
    <row r="916" spans="1:16" x14ac:dyDescent="0.3">
      <c r="A916" s="5" t="str">
        <f>B916&amp;", R="&amp;D916&amp;", "&amp;I916&amp;", "&amp;G916</f>
        <v>[50], R=0.1, 90°, Mach</v>
      </c>
      <c r="B916" s="5" t="s">
        <v>118</v>
      </c>
      <c r="C916" s="5">
        <f>[1]Criteria!$AE$43</f>
        <v>0.67647058823529416</v>
      </c>
      <c r="D916" s="5">
        <v>0.1</v>
      </c>
      <c r="E916" s="5" t="s">
        <v>34</v>
      </c>
      <c r="F916" s="5" t="s">
        <v>39</v>
      </c>
      <c r="G916" s="5" t="s">
        <v>36</v>
      </c>
      <c r="H916" s="5">
        <v>10</v>
      </c>
      <c r="I916" s="5" t="s">
        <v>16</v>
      </c>
      <c r="J916" s="5">
        <v>600</v>
      </c>
      <c r="K916" s="5">
        <f>J916*((1-$D$880)/2)^0.28</f>
        <v>479.78951642195676</v>
      </c>
      <c r="L916" s="42">
        <v>7000</v>
      </c>
      <c r="M916" s="5" t="s">
        <v>121</v>
      </c>
      <c r="N916" s="45"/>
      <c r="O916" s="45"/>
      <c r="P916" s="36"/>
    </row>
    <row r="917" spans="1:16" x14ac:dyDescent="0.3">
      <c r="J917" s="5">
        <v>600</v>
      </c>
      <c r="K917" s="5">
        <f t="shared" ref="K917:K926" si="58">J917*((1-$D$880)/2)^0.28</f>
        <v>479.78951642195676</v>
      </c>
      <c r="L917" s="42">
        <v>8000</v>
      </c>
    </row>
    <row r="918" spans="1:16" x14ac:dyDescent="0.3">
      <c r="J918" s="5">
        <v>600</v>
      </c>
      <c r="K918" s="5">
        <f t="shared" si="58"/>
        <v>479.78951642195676</v>
      </c>
      <c r="L918" s="42">
        <v>9500</v>
      </c>
    </row>
    <row r="919" spans="1:16" x14ac:dyDescent="0.3">
      <c r="J919" s="5">
        <v>600</v>
      </c>
      <c r="K919" s="5">
        <f t="shared" si="58"/>
        <v>479.78951642195676</v>
      </c>
      <c r="L919" s="42">
        <v>10000</v>
      </c>
    </row>
    <row r="920" spans="1:16" x14ac:dyDescent="0.3">
      <c r="J920" s="5">
        <v>500</v>
      </c>
      <c r="K920" s="5">
        <f t="shared" si="58"/>
        <v>399.82459701829731</v>
      </c>
      <c r="L920" s="42">
        <v>17500</v>
      </c>
    </row>
    <row r="921" spans="1:16" x14ac:dyDescent="0.3">
      <c r="J921" s="5">
        <v>500</v>
      </c>
      <c r="K921" s="5">
        <f t="shared" si="58"/>
        <v>399.82459701829731</v>
      </c>
      <c r="L921" s="42">
        <v>19000</v>
      </c>
    </row>
    <row r="922" spans="1:16" x14ac:dyDescent="0.3">
      <c r="J922" s="5">
        <v>400</v>
      </c>
      <c r="K922" s="5">
        <f t="shared" si="58"/>
        <v>319.85967761463786</v>
      </c>
      <c r="L922" s="42">
        <v>35000</v>
      </c>
    </row>
    <row r="923" spans="1:16" x14ac:dyDescent="0.3">
      <c r="J923" s="5">
        <v>400</v>
      </c>
      <c r="K923" s="5">
        <f t="shared" si="58"/>
        <v>319.85967761463786</v>
      </c>
      <c r="L923" s="42">
        <v>45000</v>
      </c>
    </row>
    <row r="924" spans="1:16" x14ac:dyDescent="0.3">
      <c r="J924" s="5">
        <v>300</v>
      </c>
      <c r="K924" s="5">
        <f t="shared" si="58"/>
        <v>239.89475821097838</v>
      </c>
      <c r="L924" s="42">
        <v>90000</v>
      </c>
    </row>
    <row r="925" spans="1:16" x14ac:dyDescent="0.3">
      <c r="J925" s="5">
        <v>300</v>
      </c>
      <c r="K925" s="5">
        <f t="shared" si="58"/>
        <v>239.89475821097838</v>
      </c>
      <c r="L925" s="42">
        <v>80000</v>
      </c>
    </row>
    <row r="926" spans="1:16" x14ac:dyDescent="0.3">
      <c r="J926" s="5">
        <v>300</v>
      </c>
      <c r="K926" s="5">
        <f t="shared" si="58"/>
        <v>239.89475821097838</v>
      </c>
      <c r="L926" s="42">
        <v>65000</v>
      </c>
    </row>
    <row r="927" spans="1:16" x14ac:dyDescent="0.3">
      <c r="L927" s="42"/>
    </row>
    <row r="928" spans="1:16" x14ac:dyDescent="0.3">
      <c r="D928" s="5" t="s">
        <v>117</v>
      </c>
    </row>
    <row r="929" spans="1:16" ht="28.8" x14ac:dyDescent="0.3">
      <c r="C929" s="37" t="s">
        <v>263</v>
      </c>
      <c r="D929" s="37" t="s">
        <v>2</v>
      </c>
      <c r="E929" s="37" t="s">
        <v>3</v>
      </c>
      <c r="F929" s="38" t="s">
        <v>4</v>
      </c>
      <c r="G929" s="38" t="s">
        <v>22</v>
      </c>
      <c r="H929" s="37" t="s">
        <v>6</v>
      </c>
      <c r="I929" s="37" t="s">
        <v>7</v>
      </c>
      <c r="J929" s="37" t="s">
        <v>8</v>
      </c>
      <c r="K929" s="38" t="s">
        <v>9</v>
      </c>
      <c r="L929" s="37" t="s">
        <v>10</v>
      </c>
      <c r="M929" s="37" t="s">
        <v>11</v>
      </c>
    </row>
    <row r="930" spans="1:16" x14ac:dyDescent="0.3">
      <c r="A930" s="5" t="str">
        <f>B930&amp;", R="&amp;D930&amp;", "&amp;I930&amp;", "&amp;G930</f>
        <v>[50], R=0.1, 90°, Mach + HIP</v>
      </c>
      <c r="B930" s="5" t="s">
        <v>118</v>
      </c>
      <c r="C930" s="5">
        <f>[1]Criteria!$AE$43</f>
        <v>0.67647058823529416</v>
      </c>
      <c r="D930" s="5">
        <v>0.1</v>
      </c>
      <c r="E930" s="5" t="s">
        <v>34</v>
      </c>
      <c r="F930" s="5" t="s">
        <v>39</v>
      </c>
      <c r="G930" s="5" t="s">
        <v>26</v>
      </c>
      <c r="H930" s="5">
        <v>10</v>
      </c>
      <c r="I930" s="5" t="s">
        <v>16</v>
      </c>
      <c r="J930" s="5">
        <v>600</v>
      </c>
      <c r="K930" s="5">
        <f>J930*((1-$D$880)/2)^0.28</f>
        <v>479.78951642195676</v>
      </c>
      <c r="L930" s="42">
        <v>20000</v>
      </c>
      <c r="M930" s="5" t="s">
        <v>121</v>
      </c>
    </row>
    <row r="931" spans="1:16" x14ac:dyDescent="0.3">
      <c r="J931" s="5">
        <v>600</v>
      </c>
      <c r="K931" s="5">
        <f t="shared" ref="K931:K939" si="59">J931*((1-$D$880)/2)^0.28</f>
        <v>479.78951642195676</v>
      </c>
      <c r="L931" s="42">
        <v>25000</v>
      </c>
    </row>
    <row r="932" spans="1:16" x14ac:dyDescent="0.3">
      <c r="J932" s="5">
        <v>500</v>
      </c>
      <c r="K932" s="5">
        <f t="shared" si="59"/>
        <v>399.82459701829731</v>
      </c>
      <c r="L932" s="42">
        <v>19000</v>
      </c>
    </row>
    <row r="933" spans="1:16" x14ac:dyDescent="0.3">
      <c r="J933" s="5">
        <v>500</v>
      </c>
      <c r="K933" s="5">
        <f t="shared" si="59"/>
        <v>399.82459701829731</v>
      </c>
      <c r="L933" s="42">
        <v>25000</v>
      </c>
    </row>
    <row r="934" spans="1:16" x14ac:dyDescent="0.3">
      <c r="J934" s="5">
        <v>500</v>
      </c>
      <c r="K934" s="5">
        <f t="shared" si="59"/>
        <v>399.82459701829731</v>
      </c>
      <c r="L934" s="42">
        <v>39000</v>
      </c>
    </row>
    <row r="935" spans="1:16" x14ac:dyDescent="0.3">
      <c r="J935" s="5">
        <v>400</v>
      </c>
      <c r="K935" s="5">
        <f t="shared" si="59"/>
        <v>319.85967761463786</v>
      </c>
      <c r="L935" s="42">
        <v>27500</v>
      </c>
    </row>
    <row r="936" spans="1:16" x14ac:dyDescent="0.3">
      <c r="J936" s="5">
        <v>400</v>
      </c>
      <c r="K936" s="5">
        <f t="shared" si="59"/>
        <v>319.85967761463786</v>
      </c>
      <c r="L936" s="42">
        <v>35000</v>
      </c>
    </row>
    <row r="937" spans="1:16" x14ac:dyDescent="0.3">
      <c r="J937" s="5">
        <v>400</v>
      </c>
      <c r="K937" s="5">
        <f t="shared" si="59"/>
        <v>319.85967761463786</v>
      </c>
      <c r="L937" s="42">
        <v>75000</v>
      </c>
    </row>
    <row r="938" spans="1:16" x14ac:dyDescent="0.3">
      <c r="J938" s="5">
        <v>300</v>
      </c>
      <c r="K938" s="5">
        <f t="shared" si="59"/>
        <v>239.89475821097838</v>
      </c>
      <c r="L938" s="42">
        <v>200000</v>
      </c>
    </row>
    <row r="939" spans="1:16" x14ac:dyDescent="0.3">
      <c r="J939" s="5">
        <v>300</v>
      </c>
      <c r="K939" s="5">
        <f t="shared" si="59"/>
        <v>239.89475821097838</v>
      </c>
      <c r="L939" s="42">
        <v>350000</v>
      </c>
    </row>
    <row r="940" spans="1:16" x14ac:dyDescent="0.3">
      <c r="L940" s="42"/>
    </row>
    <row r="941" spans="1:16" x14ac:dyDescent="0.3">
      <c r="D941" s="5" t="s">
        <v>117</v>
      </c>
    </row>
    <row r="942" spans="1:16" ht="28.8" x14ac:dyDescent="0.3">
      <c r="C942" s="37" t="s">
        <v>263</v>
      </c>
      <c r="D942" s="37" t="s">
        <v>2</v>
      </c>
      <c r="E942" s="37" t="s">
        <v>3</v>
      </c>
      <c r="F942" s="38" t="s">
        <v>4</v>
      </c>
      <c r="G942" s="38" t="s">
        <v>22</v>
      </c>
      <c r="H942" s="37" t="s">
        <v>6</v>
      </c>
      <c r="I942" s="37" t="s">
        <v>7</v>
      </c>
      <c r="J942" s="37" t="s">
        <v>8</v>
      </c>
      <c r="K942" s="38" t="s">
        <v>9</v>
      </c>
      <c r="L942" s="37" t="s">
        <v>10</v>
      </c>
      <c r="M942" s="37" t="s">
        <v>11</v>
      </c>
    </row>
    <row r="943" spans="1:16" x14ac:dyDescent="0.3">
      <c r="A943" s="5" t="str">
        <f>B943&amp;", R="&amp;D943&amp;", "&amp;I943&amp;", "&amp;G943</f>
        <v>[50], R=0.1, 90°, Mach</v>
      </c>
      <c r="B943" s="5" t="s">
        <v>118</v>
      </c>
      <c r="C943" s="5">
        <f>[1]Criteria!$AE$43</f>
        <v>0.67647058823529416</v>
      </c>
      <c r="D943" s="5">
        <v>0.1</v>
      </c>
      <c r="E943" s="5" t="s">
        <v>34</v>
      </c>
      <c r="F943" s="5" t="s">
        <v>39</v>
      </c>
      <c r="G943" s="5" t="s">
        <v>36</v>
      </c>
      <c r="H943" s="5">
        <v>10</v>
      </c>
      <c r="I943" s="5" t="s">
        <v>16</v>
      </c>
      <c r="J943" s="5">
        <v>800</v>
      </c>
      <c r="K943" s="5">
        <f>J943*((1-$D$880)/2)^0.28</f>
        <v>639.71935522927572</v>
      </c>
      <c r="L943" s="42">
        <v>12500</v>
      </c>
      <c r="M943" s="5" t="s">
        <v>122</v>
      </c>
      <c r="N943" s="45"/>
      <c r="O943" s="45"/>
      <c r="P943" s="36"/>
    </row>
    <row r="944" spans="1:16" x14ac:dyDescent="0.3">
      <c r="J944" s="5">
        <v>800</v>
      </c>
      <c r="K944" s="5">
        <f t="shared" ref="K944:K953" si="60">J944*((1-$D$880)/2)^0.28</f>
        <v>639.71935522927572</v>
      </c>
      <c r="L944" s="42">
        <v>14000</v>
      </c>
    </row>
    <row r="945" spans="1:13" x14ac:dyDescent="0.3">
      <c r="J945" s="5">
        <v>700</v>
      </c>
      <c r="K945" s="5">
        <f t="shared" si="60"/>
        <v>559.75443582561627</v>
      </c>
      <c r="L945" s="42">
        <v>50000</v>
      </c>
    </row>
    <row r="946" spans="1:13" x14ac:dyDescent="0.3">
      <c r="J946" s="5">
        <v>700</v>
      </c>
      <c r="K946" s="5">
        <f t="shared" si="60"/>
        <v>559.75443582561627</v>
      </c>
      <c r="L946" s="42">
        <v>52500</v>
      </c>
    </row>
    <row r="947" spans="1:13" x14ac:dyDescent="0.3">
      <c r="J947" s="5">
        <v>700</v>
      </c>
      <c r="K947" s="5">
        <f t="shared" si="60"/>
        <v>559.75443582561627</v>
      </c>
      <c r="L947" s="42">
        <v>95000</v>
      </c>
    </row>
    <row r="948" spans="1:13" x14ac:dyDescent="0.3">
      <c r="J948" s="5">
        <v>600</v>
      </c>
      <c r="K948" s="5">
        <f t="shared" si="60"/>
        <v>479.78951642195676</v>
      </c>
      <c r="L948" s="42">
        <v>100000</v>
      </c>
    </row>
    <row r="949" spans="1:13" x14ac:dyDescent="0.3">
      <c r="J949" s="5">
        <v>600</v>
      </c>
      <c r="K949" s="5">
        <f t="shared" si="60"/>
        <v>479.78951642195676</v>
      </c>
      <c r="L949" s="42">
        <v>125000</v>
      </c>
    </row>
    <row r="950" spans="1:13" x14ac:dyDescent="0.3">
      <c r="J950" s="5">
        <v>600</v>
      </c>
      <c r="K950" s="5">
        <f t="shared" si="60"/>
        <v>479.78951642195676</v>
      </c>
      <c r="L950" s="42">
        <v>150000</v>
      </c>
    </row>
    <row r="951" spans="1:13" x14ac:dyDescent="0.3">
      <c r="J951" s="5">
        <v>500</v>
      </c>
      <c r="K951" s="5">
        <f t="shared" si="60"/>
        <v>399.82459701829731</v>
      </c>
      <c r="L951" s="42">
        <v>800000</v>
      </c>
    </row>
    <row r="952" spans="1:13" x14ac:dyDescent="0.3">
      <c r="J952" s="5">
        <v>500</v>
      </c>
      <c r="K952" s="5">
        <f t="shared" si="60"/>
        <v>399.82459701829731</v>
      </c>
      <c r="L952" s="42">
        <v>900000</v>
      </c>
    </row>
    <row r="953" spans="1:13" x14ac:dyDescent="0.3">
      <c r="J953" s="5">
        <v>500</v>
      </c>
      <c r="K953" s="5">
        <f t="shared" si="60"/>
        <v>399.82459701829731</v>
      </c>
      <c r="L953" s="42">
        <v>1500000</v>
      </c>
    </row>
    <row r="954" spans="1:13" x14ac:dyDescent="0.3">
      <c r="L954" s="42"/>
    </row>
    <row r="955" spans="1:13" x14ac:dyDescent="0.3">
      <c r="D955" s="5" t="s">
        <v>117</v>
      </c>
    </row>
    <row r="956" spans="1:13" ht="28.8" x14ac:dyDescent="0.3">
      <c r="C956" s="37" t="s">
        <v>263</v>
      </c>
      <c r="D956" s="37" t="s">
        <v>2</v>
      </c>
      <c r="E956" s="37" t="s">
        <v>3</v>
      </c>
      <c r="F956" s="38" t="s">
        <v>4</v>
      </c>
      <c r="G956" s="38" t="s">
        <v>22</v>
      </c>
      <c r="H956" s="37" t="s">
        <v>6</v>
      </c>
      <c r="I956" s="37" t="s">
        <v>7</v>
      </c>
      <c r="J956" s="37" t="s">
        <v>8</v>
      </c>
      <c r="K956" s="38" t="s">
        <v>9</v>
      </c>
      <c r="L956" s="37" t="s">
        <v>10</v>
      </c>
      <c r="M956" s="37" t="s">
        <v>11</v>
      </c>
    </row>
    <row r="957" spans="1:13" x14ac:dyDescent="0.3">
      <c r="A957" s="5" t="str">
        <f>B957&amp;", R="&amp;D957&amp;", "&amp;I957&amp;", "&amp;G957</f>
        <v>[50], R=0.1, 90°, Mach + HIP</v>
      </c>
      <c r="B957" s="5" t="s">
        <v>118</v>
      </c>
      <c r="C957" s="5">
        <f>[1]Criteria!$AE$43</f>
        <v>0.67647058823529416</v>
      </c>
      <c r="D957" s="5">
        <v>0.1</v>
      </c>
      <c r="E957" s="5" t="s">
        <v>34</v>
      </c>
      <c r="F957" s="5" t="s">
        <v>39</v>
      </c>
      <c r="G957" s="5" t="s">
        <v>26</v>
      </c>
      <c r="H957" s="5">
        <v>10</v>
      </c>
      <c r="I957" s="5" t="s">
        <v>16</v>
      </c>
      <c r="J957" s="5">
        <v>900</v>
      </c>
      <c r="K957" s="5">
        <f>J957*((1-$D$880)/2)^0.28</f>
        <v>719.68427463293517</v>
      </c>
      <c r="L957" s="42">
        <v>15000</v>
      </c>
      <c r="M957" s="5" t="s">
        <v>122</v>
      </c>
    </row>
    <row r="958" spans="1:13" x14ac:dyDescent="0.3">
      <c r="J958" s="5">
        <v>900</v>
      </c>
      <c r="K958" s="5">
        <f t="shared" ref="K958:K966" si="61">J958*((1-$D$880)/2)^0.28</f>
        <v>719.68427463293517</v>
      </c>
      <c r="L958" s="42">
        <v>30000</v>
      </c>
    </row>
    <row r="959" spans="1:13" x14ac:dyDescent="0.3">
      <c r="J959" s="5">
        <v>900</v>
      </c>
      <c r="K959" s="5">
        <f t="shared" si="61"/>
        <v>719.68427463293517</v>
      </c>
      <c r="L959" s="42">
        <v>31000</v>
      </c>
    </row>
    <row r="960" spans="1:13" x14ac:dyDescent="0.3">
      <c r="J960" s="5">
        <v>800</v>
      </c>
      <c r="K960" s="5">
        <f t="shared" si="61"/>
        <v>639.71935522927572</v>
      </c>
      <c r="L960" s="42">
        <v>250000</v>
      </c>
    </row>
    <row r="961" spans="1:13" x14ac:dyDescent="0.3">
      <c r="J961" s="5">
        <v>800</v>
      </c>
      <c r="K961" s="5">
        <f t="shared" si="61"/>
        <v>639.71935522927572</v>
      </c>
      <c r="L961" s="42">
        <v>500000</v>
      </c>
    </row>
    <row r="962" spans="1:13" x14ac:dyDescent="0.3">
      <c r="J962" s="5">
        <v>800</v>
      </c>
      <c r="K962" s="5">
        <f t="shared" si="61"/>
        <v>639.71935522927572</v>
      </c>
      <c r="L962" s="42">
        <v>1500000</v>
      </c>
    </row>
    <row r="963" spans="1:13" x14ac:dyDescent="0.3">
      <c r="J963" s="5">
        <v>800</v>
      </c>
      <c r="K963" s="5">
        <f t="shared" si="61"/>
        <v>639.71935522927572</v>
      </c>
      <c r="L963" s="42">
        <v>1750000</v>
      </c>
    </row>
    <row r="964" spans="1:13" x14ac:dyDescent="0.3">
      <c r="J964" s="5">
        <v>700</v>
      </c>
      <c r="K964" s="5">
        <f t="shared" si="61"/>
        <v>559.75443582561627</v>
      </c>
      <c r="L964" s="42">
        <v>300000</v>
      </c>
    </row>
    <row r="965" spans="1:13" x14ac:dyDescent="0.3">
      <c r="J965" s="5">
        <v>700</v>
      </c>
      <c r="K965" s="5">
        <f t="shared" si="61"/>
        <v>559.75443582561627</v>
      </c>
      <c r="L965" s="42">
        <v>2500000</v>
      </c>
    </row>
    <row r="966" spans="1:13" x14ac:dyDescent="0.3">
      <c r="J966" s="5">
        <v>600</v>
      </c>
      <c r="K966" s="5">
        <f t="shared" si="61"/>
        <v>479.78951642195676</v>
      </c>
      <c r="L966" s="42">
        <v>7000000</v>
      </c>
    </row>
    <row r="967" spans="1:13" x14ac:dyDescent="0.3">
      <c r="L967" s="42"/>
    </row>
    <row r="968" spans="1:13" x14ac:dyDescent="0.3">
      <c r="D968" s="5" t="s">
        <v>123</v>
      </c>
    </row>
    <row r="969" spans="1:13" ht="28.8" x14ac:dyDescent="0.3">
      <c r="C969" s="37" t="s">
        <v>263</v>
      </c>
      <c r="D969" s="37" t="s">
        <v>2</v>
      </c>
      <c r="E969" s="37" t="s">
        <v>3</v>
      </c>
      <c r="F969" s="38" t="s">
        <v>4</v>
      </c>
      <c r="G969" s="38" t="s">
        <v>22</v>
      </c>
      <c r="H969" s="37" t="s">
        <v>6</v>
      </c>
      <c r="I969" s="37" t="s">
        <v>7</v>
      </c>
      <c r="J969" s="37" t="s">
        <v>8</v>
      </c>
      <c r="K969" s="38" t="s">
        <v>9</v>
      </c>
      <c r="L969" s="37" t="s">
        <v>10</v>
      </c>
      <c r="M969" s="37" t="s">
        <v>11</v>
      </c>
    </row>
    <row r="970" spans="1:13" x14ac:dyDescent="0.3">
      <c r="A970" s="5" t="str">
        <f>B970&amp;", R="&amp;D970&amp;", "&amp;I970&amp;", "&amp;G970</f>
        <v>[53], R=0.1, 90°, Pol + HIP</v>
      </c>
      <c r="B970" s="5" t="s">
        <v>124</v>
      </c>
      <c r="C970" s="5">
        <f>[1]Criteria!$AF$43</f>
        <v>0.70588235294117652</v>
      </c>
      <c r="D970" s="5">
        <v>0.1</v>
      </c>
      <c r="E970" s="5" t="s">
        <v>34</v>
      </c>
      <c r="F970" s="5" t="s">
        <v>45</v>
      </c>
      <c r="G970" s="5" t="s">
        <v>68</v>
      </c>
      <c r="H970" s="5">
        <v>50</v>
      </c>
      <c r="I970" s="5" t="s">
        <v>16</v>
      </c>
      <c r="J970" s="5">
        <v>1000</v>
      </c>
      <c r="K970" s="5">
        <f>J970*((1-$D$970)/2)^0.28</f>
        <v>799.64919403659462</v>
      </c>
      <c r="L970" s="42">
        <v>15000</v>
      </c>
      <c r="M970" s="5" t="s">
        <v>125</v>
      </c>
    </row>
    <row r="971" spans="1:13" x14ac:dyDescent="0.3">
      <c r="J971" s="5">
        <v>1000</v>
      </c>
      <c r="K971" s="5">
        <f t="shared" ref="K971:K985" si="62">J971*((1-$D$970)/2)^0.28</f>
        <v>799.64919403659462</v>
      </c>
      <c r="L971" s="42">
        <v>19000</v>
      </c>
    </row>
    <row r="972" spans="1:13" x14ac:dyDescent="0.3">
      <c r="J972" s="5">
        <v>1000</v>
      </c>
      <c r="K972" s="5">
        <f t="shared" si="62"/>
        <v>799.64919403659462</v>
      </c>
      <c r="L972" s="42">
        <v>21000</v>
      </c>
    </row>
    <row r="973" spans="1:13" x14ac:dyDescent="0.3">
      <c r="J973" s="5">
        <v>950</v>
      </c>
      <c r="K973" s="5">
        <f t="shared" si="62"/>
        <v>759.6667343347649</v>
      </c>
      <c r="L973" s="42">
        <v>52500</v>
      </c>
    </row>
    <row r="974" spans="1:13" x14ac:dyDescent="0.3">
      <c r="J974" s="5">
        <v>950</v>
      </c>
      <c r="K974" s="5">
        <f t="shared" si="62"/>
        <v>759.6667343347649</v>
      </c>
      <c r="L974" s="42">
        <v>175000</v>
      </c>
    </row>
    <row r="975" spans="1:13" x14ac:dyDescent="0.3">
      <c r="J975" s="5">
        <v>950</v>
      </c>
      <c r="K975" s="5">
        <f t="shared" si="62"/>
        <v>759.6667343347649</v>
      </c>
      <c r="L975" s="42">
        <v>225000</v>
      </c>
    </row>
    <row r="976" spans="1:13" x14ac:dyDescent="0.3">
      <c r="J976" s="5">
        <v>900</v>
      </c>
      <c r="K976" s="5">
        <f t="shared" si="62"/>
        <v>719.68427463293517</v>
      </c>
      <c r="L976" s="42">
        <v>300000</v>
      </c>
    </row>
    <row r="977" spans="1:13" x14ac:dyDescent="0.3">
      <c r="J977" s="5">
        <v>900</v>
      </c>
      <c r="K977" s="5">
        <f t="shared" si="62"/>
        <v>719.68427463293517</v>
      </c>
      <c r="L977" s="42">
        <v>350000</v>
      </c>
    </row>
    <row r="978" spans="1:13" x14ac:dyDescent="0.3">
      <c r="J978" s="5">
        <v>850</v>
      </c>
      <c r="K978" s="5">
        <f t="shared" si="62"/>
        <v>679.70181493110545</v>
      </c>
      <c r="L978" s="42">
        <v>1100000</v>
      </c>
    </row>
    <row r="979" spans="1:13" x14ac:dyDescent="0.3">
      <c r="J979" s="5">
        <v>800</v>
      </c>
      <c r="K979" s="5">
        <f t="shared" si="62"/>
        <v>639.71935522927572</v>
      </c>
      <c r="L979" s="42">
        <v>2000000</v>
      </c>
    </row>
    <row r="980" spans="1:13" x14ac:dyDescent="0.3">
      <c r="J980" s="5">
        <v>750</v>
      </c>
      <c r="K980" s="5">
        <f t="shared" si="62"/>
        <v>599.73689552744599</v>
      </c>
      <c r="L980" s="42">
        <v>3500000</v>
      </c>
    </row>
    <row r="981" spans="1:13" x14ac:dyDescent="0.3">
      <c r="J981" s="5">
        <v>725</v>
      </c>
      <c r="K981" s="5">
        <f t="shared" si="62"/>
        <v>579.74566567653108</v>
      </c>
      <c r="L981" s="42">
        <v>2500000</v>
      </c>
    </row>
    <row r="982" spans="1:13" x14ac:dyDescent="0.3">
      <c r="J982" s="5">
        <v>725</v>
      </c>
      <c r="K982" s="5">
        <f t="shared" si="62"/>
        <v>579.74566567653108</v>
      </c>
      <c r="L982" s="42">
        <v>2750000</v>
      </c>
    </row>
    <row r="983" spans="1:13" x14ac:dyDescent="0.3">
      <c r="J983" s="5">
        <v>715</v>
      </c>
      <c r="K983" s="5">
        <f t="shared" si="62"/>
        <v>571.74917373616518</v>
      </c>
      <c r="L983" s="42">
        <v>2900000</v>
      </c>
    </row>
    <row r="984" spans="1:13" x14ac:dyDescent="0.3">
      <c r="J984" s="5">
        <v>715</v>
      </c>
      <c r="K984" s="5">
        <f t="shared" si="62"/>
        <v>571.74917373616518</v>
      </c>
      <c r="L984" s="42">
        <v>10000000</v>
      </c>
    </row>
    <row r="985" spans="1:13" x14ac:dyDescent="0.3">
      <c r="J985" s="5">
        <v>680</v>
      </c>
      <c r="K985" s="5">
        <f t="shared" si="62"/>
        <v>543.76145194488436</v>
      </c>
      <c r="L985" s="42">
        <v>10000000</v>
      </c>
    </row>
    <row r="986" spans="1:13" x14ac:dyDescent="0.3">
      <c r="L986" s="42"/>
    </row>
    <row r="987" spans="1:13" x14ac:dyDescent="0.3">
      <c r="D987" s="5" t="s">
        <v>123</v>
      </c>
    </row>
    <row r="988" spans="1:13" ht="28.8" x14ac:dyDescent="0.3">
      <c r="C988" s="37" t="s">
        <v>263</v>
      </c>
      <c r="D988" s="37" t="s">
        <v>2</v>
      </c>
      <c r="E988" s="37" t="s">
        <v>3</v>
      </c>
      <c r="F988" s="38" t="s">
        <v>4</v>
      </c>
      <c r="G988" s="38" t="s">
        <v>22</v>
      </c>
      <c r="H988" s="37" t="s">
        <v>6</v>
      </c>
      <c r="I988" s="37" t="s">
        <v>7</v>
      </c>
      <c r="J988" s="37" t="s">
        <v>8</v>
      </c>
      <c r="K988" s="38" t="s">
        <v>9</v>
      </c>
      <c r="L988" s="37" t="s">
        <v>10</v>
      </c>
      <c r="M988" s="37" t="s">
        <v>11</v>
      </c>
    </row>
    <row r="989" spans="1:13" x14ac:dyDescent="0.3">
      <c r="A989" s="5" t="str">
        <f>B989&amp;", R="&amp;D989&amp;", "&amp;I989&amp;", "&amp;G989</f>
        <v>[53], R=-1, 90°, Pol + HIP</v>
      </c>
      <c r="B989" s="5" t="s">
        <v>124</v>
      </c>
      <c r="C989" s="5">
        <f>[1]Criteria!$AF$43</f>
        <v>0.70588235294117652</v>
      </c>
      <c r="D989" s="5">
        <v>-1</v>
      </c>
      <c r="E989" s="5" t="s">
        <v>34</v>
      </c>
      <c r="F989" s="5" t="s">
        <v>45</v>
      </c>
      <c r="G989" s="5" t="s">
        <v>68</v>
      </c>
      <c r="H989" s="5">
        <v>59</v>
      </c>
      <c r="I989" s="5" t="s">
        <v>16</v>
      </c>
      <c r="J989" s="5">
        <v>700</v>
      </c>
      <c r="K989" s="5">
        <f>J989*((1-$D$989)/2)^0.28</f>
        <v>700</v>
      </c>
      <c r="L989" s="42">
        <v>5000</v>
      </c>
      <c r="M989" s="5" t="s">
        <v>125</v>
      </c>
    </row>
    <row r="990" spans="1:13" x14ac:dyDescent="0.3">
      <c r="J990" s="5">
        <v>700</v>
      </c>
      <c r="K990" s="5">
        <f t="shared" ref="K990:K997" si="63">J990*((1-$D$989)/2)^0.28</f>
        <v>700</v>
      </c>
      <c r="L990" s="42">
        <v>17000</v>
      </c>
    </row>
    <row r="991" spans="1:13" x14ac:dyDescent="0.3">
      <c r="J991" s="5">
        <v>700</v>
      </c>
      <c r="K991" s="5">
        <f t="shared" si="63"/>
        <v>700</v>
      </c>
      <c r="L991" s="42">
        <v>18000</v>
      </c>
    </row>
    <row r="992" spans="1:13" x14ac:dyDescent="0.3">
      <c r="J992" s="5">
        <v>650</v>
      </c>
      <c r="K992" s="5">
        <f t="shared" si="63"/>
        <v>650</v>
      </c>
      <c r="L992" s="42">
        <v>220000</v>
      </c>
    </row>
    <row r="993" spans="1:13" x14ac:dyDescent="0.3">
      <c r="J993" s="5">
        <v>650</v>
      </c>
      <c r="K993" s="5">
        <f t="shared" si="63"/>
        <v>650</v>
      </c>
      <c r="L993" s="42">
        <v>410000</v>
      </c>
    </row>
    <row r="994" spans="1:13" x14ac:dyDescent="0.3">
      <c r="J994" s="5">
        <v>650</v>
      </c>
      <c r="K994" s="5">
        <f t="shared" si="63"/>
        <v>650</v>
      </c>
      <c r="L994" s="42">
        <v>1500000</v>
      </c>
    </row>
    <row r="995" spans="1:13" x14ac:dyDescent="0.3">
      <c r="J995" s="5">
        <v>600</v>
      </c>
      <c r="K995" s="5">
        <f t="shared" si="63"/>
        <v>600</v>
      </c>
      <c r="L995" s="42">
        <v>1800000</v>
      </c>
    </row>
    <row r="996" spans="1:13" x14ac:dyDescent="0.3">
      <c r="J996" s="5">
        <v>600</v>
      </c>
      <c r="K996" s="5">
        <f t="shared" si="63"/>
        <v>600</v>
      </c>
      <c r="L996" s="42">
        <v>1900000</v>
      </c>
    </row>
    <row r="997" spans="1:13" x14ac:dyDescent="0.3">
      <c r="J997" s="5">
        <v>600</v>
      </c>
      <c r="K997" s="5">
        <f t="shared" si="63"/>
        <v>600</v>
      </c>
      <c r="L997" s="42">
        <v>4250000</v>
      </c>
    </row>
    <row r="998" spans="1:13" x14ac:dyDescent="0.3">
      <c r="L998" s="42"/>
    </row>
    <row r="999" spans="1:13" x14ac:dyDescent="0.3">
      <c r="D999" s="5" t="s">
        <v>123</v>
      </c>
    </row>
    <row r="1000" spans="1:13" ht="28.8" x14ac:dyDescent="0.3">
      <c r="C1000" s="37" t="s">
        <v>263</v>
      </c>
      <c r="D1000" s="37" t="s">
        <v>2</v>
      </c>
      <c r="E1000" s="37" t="s">
        <v>3</v>
      </c>
      <c r="F1000" s="38" t="s">
        <v>4</v>
      </c>
      <c r="G1000" s="38" t="s">
        <v>22</v>
      </c>
      <c r="H1000" s="37" t="s">
        <v>6</v>
      </c>
      <c r="I1000" s="37" t="s">
        <v>7</v>
      </c>
      <c r="J1000" s="37" t="s">
        <v>8</v>
      </c>
      <c r="K1000" s="38" t="s">
        <v>9</v>
      </c>
      <c r="L1000" s="37" t="s">
        <v>10</v>
      </c>
      <c r="M1000" s="37" t="s">
        <v>11</v>
      </c>
    </row>
    <row r="1001" spans="1:13" x14ac:dyDescent="0.3">
      <c r="A1001" s="5" t="str">
        <f>B1001&amp;", R="&amp;D1001&amp;", "&amp;I1001&amp;", "&amp;G1001</f>
        <v>[53], R=0.1, 90°, Pol + SR</v>
      </c>
      <c r="B1001" s="5" t="s">
        <v>124</v>
      </c>
      <c r="C1001" s="5">
        <f>[1]Criteria!$AF$43</f>
        <v>0.70588235294117652</v>
      </c>
      <c r="D1001" s="5">
        <v>0.1</v>
      </c>
      <c r="E1001" s="5" t="s">
        <v>34</v>
      </c>
      <c r="F1001" s="5" t="s">
        <v>45</v>
      </c>
      <c r="G1001" s="5" t="s">
        <v>126</v>
      </c>
      <c r="H1001" s="5">
        <v>50</v>
      </c>
      <c r="I1001" s="5" t="s">
        <v>16</v>
      </c>
      <c r="J1001" s="5">
        <v>750</v>
      </c>
      <c r="K1001" s="5">
        <f>J1001*((1-$D$970)/2)^0.28</f>
        <v>599.73689552744599</v>
      </c>
      <c r="L1001" s="42">
        <v>15000</v>
      </c>
      <c r="M1001" s="5" t="s">
        <v>125</v>
      </c>
    </row>
    <row r="1002" spans="1:13" x14ac:dyDescent="0.3">
      <c r="J1002" s="5">
        <v>750</v>
      </c>
      <c r="K1002" s="5">
        <f t="shared" ref="K1002:K1015" si="64">J1002*((1-$D$970)/2)^0.28</f>
        <v>599.73689552744599</v>
      </c>
      <c r="L1002" s="42">
        <v>27500</v>
      </c>
    </row>
    <row r="1003" spans="1:13" x14ac:dyDescent="0.3">
      <c r="J1003" s="5">
        <v>750</v>
      </c>
      <c r="K1003" s="5">
        <f t="shared" si="64"/>
        <v>599.73689552744599</v>
      </c>
      <c r="L1003" s="42">
        <v>29000</v>
      </c>
    </row>
    <row r="1004" spans="1:13" x14ac:dyDescent="0.3">
      <c r="J1004" s="5">
        <v>600</v>
      </c>
      <c r="K1004" s="5">
        <f t="shared" si="64"/>
        <v>479.78951642195676</v>
      </c>
      <c r="L1004" s="42">
        <v>65000</v>
      </c>
    </row>
    <row r="1005" spans="1:13" x14ac:dyDescent="0.3">
      <c r="J1005" s="5">
        <v>600</v>
      </c>
      <c r="K1005" s="5">
        <f t="shared" si="64"/>
        <v>479.78951642195676</v>
      </c>
      <c r="L1005" s="42">
        <v>70000</v>
      </c>
    </row>
    <row r="1006" spans="1:13" x14ac:dyDescent="0.3">
      <c r="J1006" s="5">
        <v>600</v>
      </c>
      <c r="K1006" s="5">
        <f t="shared" si="64"/>
        <v>479.78951642195676</v>
      </c>
      <c r="L1006" s="42">
        <v>120000</v>
      </c>
    </row>
    <row r="1007" spans="1:13" x14ac:dyDescent="0.3">
      <c r="J1007" s="5">
        <v>600</v>
      </c>
      <c r="K1007" s="5">
        <f t="shared" si="64"/>
        <v>479.78951642195676</v>
      </c>
      <c r="L1007" s="42">
        <v>2000000</v>
      </c>
    </row>
    <row r="1008" spans="1:13" x14ac:dyDescent="0.3">
      <c r="J1008" s="5">
        <v>600</v>
      </c>
      <c r="K1008" s="5">
        <f t="shared" si="64"/>
        <v>479.78951642195676</v>
      </c>
      <c r="L1008" s="42">
        <v>3500000</v>
      </c>
    </row>
    <row r="1009" spans="1:13" x14ac:dyDescent="0.3">
      <c r="J1009" s="5">
        <v>550</v>
      </c>
      <c r="K1009" s="5">
        <f t="shared" si="64"/>
        <v>439.80705672012704</v>
      </c>
      <c r="L1009" s="42">
        <v>120000</v>
      </c>
    </row>
    <row r="1010" spans="1:13" x14ac:dyDescent="0.3">
      <c r="J1010" s="5">
        <v>550</v>
      </c>
      <c r="K1010" s="5">
        <f t="shared" si="64"/>
        <v>439.80705672012704</v>
      </c>
      <c r="L1010" s="42">
        <v>4000000</v>
      </c>
    </row>
    <row r="1011" spans="1:13" x14ac:dyDescent="0.3">
      <c r="J1011" s="5">
        <v>550</v>
      </c>
      <c r="K1011" s="5">
        <f t="shared" si="64"/>
        <v>439.80705672012704</v>
      </c>
      <c r="L1011" s="42">
        <v>4500000</v>
      </c>
    </row>
    <row r="1012" spans="1:13" x14ac:dyDescent="0.3">
      <c r="J1012" s="5">
        <v>500</v>
      </c>
      <c r="K1012" s="5">
        <f t="shared" si="64"/>
        <v>399.82459701829731</v>
      </c>
      <c r="L1012" s="42">
        <v>100000</v>
      </c>
    </row>
    <row r="1013" spans="1:13" x14ac:dyDescent="0.3">
      <c r="J1013" s="5">
        <v>500</v>
      </c>
      <c r="K1013" s="5">
        <f t="shared" si="64"/>
        <v>399.82459701829731</v>
      </c>
      <c r="L1013" s="42">
        <v>2100000</v>
      </c>
    </row>
    <row r="1014" spans="1:13" x14ac:dyDescent="0.3">
      <c r="J1014" s="5">
        <v>500</v>
      </c>
      <c r="K1014" s="5">
        <f t="shared" si="64"/>
        <v>399.82459701829731</v>
      </c>
      <c r="L1014" s="42">
        <v>3500000</v>
      </c>
    </row>
    <row r="1015" spans="1:13" x14ac:dyDescent="0.3">
      <c r="J1015" s="5">
        <v>500</v>
      </c>
      <c r="K1015" s="5">
        <f t="shared" si="64"/>
        <v>399.82459701829731</v>
      </c>
      <c r="L1015" s="42">
        <v>10000000</v>
      </c>
    </row>
    <row r="1016" spans="1:13" x14ac:dyDescent="0.3">
      <c r="L1016" s="42"/>
    </row>
    <row r="1017" spans="1:13" x14ac:dyDescent="0.3">
      <c r="D1017" s="5" t="s">
        <v>123</v>
      </c>
    </row>
    <row r="1018" spans="1:13" ht="28.8" x14ac:dyDescent="0.3">
      <c r="C1018" s="37" t="s">
        <v>263</v>
      </c>
      <c r="D1018" s="37" t="s">
        <v>2</v>
      </c>
      <c r="E1018" s="37" t="s">
        <v>3</v>
      </c>
      <c r="F1018" s="38" t="s">
        <v>4</v>
      </c>
      <c r="G1018" s="38" t="s">
        <v>22</v>
      </c>
      <c r="H1018" s="37" t="s">
        <v>6</v>
      </c>
      <c r="I1018" s="37" t="s">
        <v>7</v>
      </c>
      <c r="J1018" s="37" t="s">
        <v>8</v>
      </c>
      <c r="K1018" s="38" t="s">
        <v>9</v>
      </c>
      <c r="L1018" s="37" t="s">
        <v>10</v>
      </c>
      <c r="M1018" s="37" t="s">
        <v>11</v>
      </c>
    </row>
    <row r="1019" spans="1:13" x14ac:dyDescent="0.3">
      <c r="A1019" s="5" t="str">
        <f>B1019&amp;", R="&amp;D1019&amp;", "&amp;I1019&amp;", "&amp;G1019</f>
        <v>[53], R=-1, 90°, Pol + SR</v>
      </c>
      <c r="B1019" s="5" t="s">
        <v>124</v>
      </c>
      <c r="C1019" s="5">
        <f>[1]Criteria!$AF$43</f>
        <v>0.70588235294117652</v>
      </c>
      <c r="D1019" s="5">
        <v>-1</v>
      </c>
      <c r="E1019" s="5" t="s">
        <v>34</v>
      </c>
      <c r="F1019" s="5" t="s">
        <v>45</v>
      </c>
      <c r="G1019" s="5" t="s">
        <v>126</v>
      </c>
      <c r="H1019" s="5">
        <v>59</v>
      </c>
      <c r="I1019" s="5" t="s">
        <v>16</v>
      </c>
      <c r="J1019" s="5">
        <v>450</v>
      </c>
      <c r="K1019" s="5">
        <f>J1019*((1-$D$1019)/2)^0.28</f>
        <v>450</v>
      </c>
      <c r="L1019" s="42">
        <v>500000</v>
      </c>
      <c r="M1019" s="5" t="s">
        <v>125</v>
      </c>
    </row>
    <row r="1020" spans="1:13" x14ac:dyDescent="0.3">
      <c r="J1020" s="5">
        <v>450</v>
      </c>
      <c r="K1020" s="5">
        <f t="shared" ref="K1020:K1025" si="65">J1020*((1-$D$1019)/2)^0.28</f>
        <v>450</v>
      </c>
      <c r="L1020" s="42">
        <v>1200000</v>
      </c>
      <c r="M1020" s="5" t="s">
        <v>127</v>
      </c>
    </row>
    <row r="1021" spans="1:13" x14ac:dyDescent="0.3">
      <c r="J1021" s="5">
        <v>400</v>
      </c>
      <c r="K1021" s="5">
        <f t="shared" si="65"/>
        <v>400</v>
      </c>
      <c r="L1021" s="42">
        <v>900000</v>
      </c>
    </row>
    <row r="1022" spans="1:13" x14ac:dyDescent="0.3">
      <c r="J1022" s="5">
        <v>400</v>
      </c>
      <c r="K1022" s="5">
        <f t="shared" si="65"/>
        <v>400</v>
      </c>
      <c r="L1022" s="42">
        <v>2250000</v>
      </c>
    </row>
    <row r="1023" spans="1:13" x14ac:dyDescent="0.3">
      <c r="J1023" s="5">
        <v>400</v>
      </c>
      <c r="K1023" s="5">
        <f t="shared" si="65"/>
        <v>400</v>
      </c>
      <c r="L1023" s="42">
        <v>4500000</v>
      </c>
    </row>
    <row r="1024" spans="1:13" x14ac:dyDescent="0.3">
      <c r="J1024" s="5">
        <v>350</v>
      </c>
      <c r="K1024" s="5">
        <f t="shared" si="65"/>
        <v>350</v>
      </c>
      <c r="L1024" s="42">
        <v>575000</v>
      </c>
    </row>
    <row r="1025" spans="1:13" x14ac:dyDescent="0.3">
      <c r="J1025" s="5">
        <v>350</v>
      </c>
      <c r="K1025" s="5">
        <f t="shared" si="65"/>
        <v>350</v>
      </c>
      <c r="L1025" s="42">
        <v>10000000</v>
      </c>
    </row>
    <row r="1027" spans="1:13" x14ac:dyDescent="0.3">
      <c r="D1027" s="5" t="s">
        <v>128</v>
      </c>
    </row>
    <row r="1028" spans="1:13" ht="28.8" x14ac:dyDescent="0.3">
      <c r="C1028" s="37" t="s">
        <v>263</v>
      </c>
      <c r="D1028" s="37" t="s">
        <v>2</v>
      </c>
      <c r="E1028" s="37" t="s">
        <v>3</v>
      </c>
      <c r="F1028" s="38" t="s">
        <v>4</v>
      </c>
      <c r="G1028" s="38" t="s">
        <v>22</v>
      </c>
      <c r="H1028" s="37" t="s">
        <v>6</v>
      </c>
      <c r="I1028" s="37" t="s">
        <v>7</v>
      </c>
      <c r="J1028" s="37" t="s">
        <v>8</v>
      </c>
      <c r="K1028" s="38" t="s">
        <v>9</v>
      </c>
      <c r="L1028" s="37" t="s">
        <v>10</v>
      </c>
      <c r="M1028" s="37" t="s">
        <v>11</v>
      </c>
    </row>
    <row r="1029" spans="1:13" x14ac:dyDescent="0.3">
      <c r="A1029" s="5" t="str">
        <f>B1029&amp;", R="&amp;D1029&amp;", "&amp;I1029&amp;", "&amp;G1029</f>
        <v>[54], R=0.1, 90°, AB</v>
      </c>
      <c r="B1029" s="5" t="s">
        <v>129</v>
      </c>
      <c r="C1029" s="5">
        <f>[1]Criteria!$AH$43</f>
        <v>0.61764705882352944</v>
      </c>
      <c r="D1029" s="5">
        <v>0.1</v>
      </c>
      <c r="E1029" s="5" t="s">
        <v>34</v>
      </c>
      <c r="F1029" s="5" t="s">
        <v>39</v>
      </c>
      <c r="G1029" s="5" t="s">
        <v>50</v>
      </c>
      <c r="H1029" s="5">
        <v>10</v>
      </c>
      <c r="I1029" s="5" t="s">
        <v>16</v>
      </c>
      <c r="J1029" s="5">
        <v>360</v>
      </c>
      <c r="K1029" s="5">
        <f>J1029*((1-$D$1029)/2)^0.28</f>
        <v>287.87370985317409</v>
      </c>
      <c r="L1029" s="42">
        <v>21000</v>
      </c>
    </row>
    <row r="1030" spans="1:13" x14ac:dyDescent="0.3">
      <c r="J1030" s="5">
        <v>360</v>
      </c>
      <c r="K1030" s="5">
        <f t="shared" ref="K1030:K1049" si="66">J1030*((1-$D$1029)/2)^0.28</f>
        <v>287.87370985317409</v>
      </c>
      <c r="L1030" s="42">
        <v>19000</v>
      </c>
    </row>
    <row r="1031" spans="1:13" x14ac:dyDescent="0.3">
      <c r="J1031" s="5">
        <v>360</v>
      </c>
      <c r="K1031" s="5">
        <f t="shared" si="66"/>
        <v>287.87370985317409</v>
      </c>
      <c r="L1031" s="42">
        <v>17500</v>
      </c>
    </row>
    <row r="1032" spans="1:13" x14ac:dyDescent="0.3">
      <c r="J1032" s="5">
        <v>360</v>
      </c>
      <c r="K1032" s="5">
        <f t="shared" si="66"/>
        <v>287.87370985317409</v>
      </c>
      <c r="L1032" s="42">
        <v>15000</v>
      </c>
    </row>
    <row r="1033" spans="1:13" x14ac:dyDescent="0.3">
      <c r="J1033" s="5">
        <v>295</v>
      </c>
      <c r="K1033" s="5">
        <f t="shared" si="66"/>
        <v>235.8965122407954</v>
      </c>
      <c r="L1033" s="42">
        <v>40000</v>
      </c>
    </row>
    <row r="1034" spans="1:13" x14ac:dyDescent="0.3">
      <c r="J1034" s="5">
        <v>295</v>
      </c>
      <c r="K1034" s="5">
        <f t="shared" si="66"/>
        <v>235.8965122407954</v>
      </c>
      <c r="L1034" s="42">
        <v>42500</v>
      </c>
    </row>
    <row r="1035" spans="1:13" x14ac:dyDescent="0.3">
      <c r="J1035" s="5">
        <v>290</v>
      </c>
      <c r="K1035" s="5">
        <f t="shared" si="66"/>
        <v>231.89826627061245</v>
      </c>
      <c r="L1035" s="42">
        <v>47500</v>
      </c>
    </row>
    <row r="1036" spans="1:13" x14ac:dyDescent="0.3">
      <c r="J1036" s="5">
        <v>290</v>
      </c>
      <c r="K1036" s="5">
        <f t="shared" si="66"/>
        <v>231.89826627061245</v>
      </c>
      <c r="L1036" s="42">
        <v>55000</v>
      </c>
    </row>
    <row r="1037" spans="1:13" x14ac:dyDescent="0.3">
      <c r="J1037" s="5">
        <v>295</v>
      </c>
      <c r="K1037" s="5">
        <f t="shared" si="66"/>
        <v>235.8965122407954</v>
      </c>
      <c r="L1037" s="42">
        <v>60000</v>
      </c>
    </row>
    <row r="1038" spans="1:13" x14ac:dyDescent="0.3">
      <c r="J1038" s="5">
        <v>290</v>
      </c>
      <c r="K1038" s="5">
        <f t="shared" si="66"/>
        <v>231.89826627061245</v>
      </c>
      <c r="L1038" s="42">
        <v>65000</v>
      </c>
    </row>
    <row r="1039" spans="1:13" x14ac:dyDescent="0.3">
      <c r="J1039" s="5">
        <v>215</v>
      </c>
      <c r="K1039" s="5">
        <f t="shared" si="66"/>
        <v>171.92457671786784</v>
      </c>
      <c r="L1039" s="42">
        <v>90000</v>
      </c>
    </row>
    <row r="1040" spans="1:13" x14ac:dyDescent="0.3">
      <c r="J1040" s="5">
        <v>215</v>
      </c>
      <c r="K1040" s="5">
        <f t="shared" si="66"/>
        <v>171.92457671786784</v>
      </c>
      <c r="L1040" s="42">
        <v>100000</v>
      </c>
    </row>
    <row r="1041" spans="1:13" x14ac:dyDescent="0.3">
      <c r="J1041" s="5">
        <v>215</v>
      </c>
      <c r="K1041" s="5">
        <f t="shared" si="66"/>
        <v>171.92457671786784</v>
      </c>
      <c r="L1041" s="42">
        <v>150000</v>
      </c>
    </row>
    <row r="1042" spans="1:13" x14ac:dyDescent="0.3">
      <c r="J1042" s="5">
        <v>215</v>
      </c>
      <c r="K1042" s="5">
        <f t="shared" si="66"/>
        <v>171.92457671786784</v>
      </c>
      <c r="L1042" s="42">
        <v>160000</v>
      </c>
    </row>
    <row r="1043" spans="1:13" x14ac:dyDescent="0.3">
      <c r="J1043" s="5">
        <v>215</v>
      </c>
      <c r="K1043" s="5">
        <f t="shared" si="66"/>
        <v>171.92457671786784</v>
      </c>
      <c r="L1043" s="42">
        <v>190000</v>
      </c>
    </row>
    <row r="1044" spans="1:13" x14ac:dyDescent="0.3">
      <c r="J1044" s="5">
        <v>160</v>
      </c>
      <c r="K1044" s="5">
        <f t="shared" si="66"/>
        <v>127.94387104585513</v>
      </c>
      <c r="L1044" s="42">
        <v>400000</v>
      </c>
    </row>
    <row r="1045" spans="1:13" x14ac:dyDescent="0.3">
      <c r="J1045" s="5">
        <v>160</v>
      </c>
      <c r="K1045" s="5">
        <f t="shared" si="66"/>
        <v>127.94387104585513</v>
      </c>
      <c r="L1045" s="42">
        <v>500000</v>
      </c>
    </row>
    <row r="1046" spans="1:13" x14ac:dyDescent="0.3">
      <c r="J1046" s="5">
        <v>160</v>
      </c>
      <c r="K1046" s="5">
        <f t="shared" si="66"/>
        <v>127.94387104585513</v>
      </c>
      <c r="L1046" s="42">
        <v>5500000</v>
      </c>
    </row>
    <row r="1047" spans="1:13" x14ac:dyDescent="0.3">
      <c r="J1047" s="5">
        <v>160</v>
      </c>
      <c r="K1047" s="5">
        <f t="shared" si="66"/>
        <v>127.94387104585513</v>
      </c>
      <c r="L1047" s="42">
        <v>775000</v>
      </c>
    </row>
    <row r="1048" spans="1:13" x14ac:dyDescent="0.3">
      <c r="J1048" s="5">
        <v>160</v>
      </c>
      <c r="K1048" s="5">
        <f t="shared" si="66"/>
        <v>127.94387104585513</v>
      </c>
      <c r="L1048" s="42">
        <v>1000000</v>
      </c>
    </row>
    <row r="1049" spans="1:13" x14ac:dyDescent="0.3">
      <c r="J1049" s="5">
        <v>140</v>
      </c>
      <c r="K1049" s="5">
        <f t="shared" si="66"/>
        <v>111.95088716512325</v>
      </c>
      <c r="L1049" s="42">
        <v>10000000</v>
      </c>
    </row>
    <row r="1050" spans="1:13" x14ac:dyDescent="0.3">
      <c r="L1050" s="42"/>
    </row>
    <row r="1051" spans="1:13" x14ac:dyDescent="0.3">
      <c r="D1051" s="5" t="s">
        <v>128</v>
      </c>
    </row>
    <row r="1052" spans="1:13" ht="28.8" x14ac:dyDescent="0.3">
      <c r="C1052" s="37" t="s">
        <v>263</v>
      </c>
      <c r="D1052" s="37" t="s">
        <v>2</v>
      </c>
      <c r="E1052" s="37" t="s">
        <v>3</v>
      </c>
      <c r="F1052" s="38" t="s">
        <v>4</v>
      </c>
      <c r="G1052" s="38" t="s">
        <v>22</v>
      </c>
      <c r="H1052" s="37" t="s">
        <v>6</v>
      </c>
      <c r="I1052" s="37" t="s">
        <v>7</v>
      </c>
      <c r="J1052" s="37" t="s">
        <v>8</v>
      </c>
      <c r="K1052" s="38" t="s">
        <v>9</v>
      </c>
      <c r="L1052" s="37" t="s">
        <v>10</v>
      </c>
      <c r="M1052" s="37" t="s">
        <v>11</v>
      </c>
    </row>
    <row r="1053" spans="1:13" x14ac:dyDescent="0.3">
      <c r="A1053" s="5" t="str">
        <f>B1053&amp;", R="&amp;D1053&amp;", "&amp;I1053&amp;", "&amp;G1053</f>
        <v>[54], R=0.1, 90°, Etch</v>
      </c>
      <c r="B1053" s="5" t="s">
        <v>129</v>
      </c>
      <c r="C1053" s="5">
        <f>[1]Criteria!$AH$43</f>
        <v>0.61764705882352944</v>
      </c>
      <c r="D1053" s="5">
        <v>0.1</v>
      </c>
      <c r="E1053" s="5" t="s">
        <v>34</v>
      </c>
      <c r="F1053" s="5" t="s">
        <v>39</v>
      </c>
      <c r="G1053" s="5" t="s">
        <v>119</v>
      </c>
      <c r="H1053" s="5">
        <v>10</v>
      </c>
      <c r="I1053" s="5" t="s">
        <v>16</v>
      </c>
      <c r="J1053" s="5">
        <v>300</v>
      </c>
      <c r="K1053" s="5">
        <f>J1053*((1-$D$1029)/2)^0.28</f>
        <v>239.89475821097838</v>
      </c>
      <c r="L1053" s="42">
        <v>110000</v>
      </c>
    </row>
    <row r="1054" spans="1:13" x14ac:dyDescent="0.3">
      <c r="J1054" s="5">
        <v>300</v>
      </c>
      <c r="K1054" s="5">
        <f t="shared" ref="K1054:K1064" si="67">J1054*((1-$D$1029)/2)^0.28</f>
        <v>239.89475821097838</v>
      </c>
      <c r="L1054" s="42">
        <v>125000</v>
      </c>
    </row>
    <row r="1055" spans="1:13" x14ac:dyDescent="0.3">
      <c r="J1055" s="5">
        <v>300</v>
      </c>
      <c r="K1055" s="5">
        <f t="shared" si="67"/>
        <v>239.89475821097838</v>
      </c>
      <c r="L1055" s="42">
        <v>200000</v>
      </c>
    </row>
    <row r="1056" spans="1:13" x14ac:dyDescent="0.3">
      <c r="J1056" s="5">
        <v>295</v>
      </c>
      <c r="K1056" s="5">
        <f t="shared" si="67"/>
        <v>235.8965122407954</v>
      </c>
      <c r="L1056" s="42">
        <v>95000</v>
      </c>
    </row>
    <row r="1057" spans="1:13" x14ac:dyDescent="0.3">
      <c r="J1057" s="5">
        <v>295</v>
      </c>
      <c r="K1057" s="5">
        <f t="shared" si="67"/>
        <v>235.8965122407954</v>
      </c>
      <c r="L1057" s="42">
        <v>180000</v>
      </c>
    </row>
    <row r="1058" spans="1:13" x14ac:dyDescent="0.3">
      <c r="J1058" s="5">
        <v>290</v>
      </c>
      <c r="K1058" s="5">
        <f t="shared" si="67"/>
        <v>231.89826627061245</v>
      </c>
      <c r="L1058" s="42">
        <v>100000</v>
      </c>
    </row>
    <row r="1059" spans="1:13" x14ac:dyDescent="0.3">
      <c r="J1059" s="5">
        <v>290</v>
      </c>
      <c r="K1059" s="5">
        <f t="shared" si="67"/>
        <v>231.89826627061245</v>
      </c>
      <c r="L1059" s="42">
        <v>180000</v>
      </c>
    </row>
    <row r="1060" spans="1:13" x14ac:dyDescent="0.3">
      <c r="J1060" s="5">
        <v>225</v>
      </c>
      <c r="K1060" s="5">
        <f t="shared" si="67"/>
        <v>179.92106865823379</v>
      </c>
      <c r="L1060" s="42">
        <v>350000</v>
      </c>
    </row>
    <row r="1061" spans="1:13" x14ac:dyDescent="0.3">
      <c r="J1061" s="5">
        <v>225</v>
      </c>
      <c r="K1061" s="5">
        <f t="shared" si="67"/>
        <v>179.92106865823379</v>
      </c>
      <c r="L1061" s="42">
        <v>400000</v>
      </c>
    </row>
    <row r="1062" spans="1:13" x14ac:dyDescent="0.3">
      <c r="J1062" s="5">
        <v>225</v>
      </c>
      <c r="K1062" s="5">
        <f t="shared" si="67"/>
        <v>179.92106865823379</v>
      </c>
      <c r="L1062" s="42">
        <v>4000000</v>
      </c>
    </row>
    <row r="1063" spans="1:13" x14ac:dyDescent="0.3">
      <c r="J1063" s="5">
        <v>225</v>
      </c>
      <c r="K1063" s="5">
        <f t="shared" si="67"/>
        <v>179.92106865823379</v>
      </c>
      <c r="L1063" s="42">
        <v>5500000</v>
      </c>
    </row>
    <row r="1064" spans="1:13" x14ac:dyDescent="0.3">
      <c r="J1064" s="5">
        <v>225</v>
      </c>
      <c r="K1064" s="5">
        <f t="shared" si="67"/>
        <v>179.92106865823379</v>
      </c>
      <c r="L1064" s="42">
        <v>10000000</v>
      </c>
    </row>
    <row r="1065" spans="1:13" x14ac:dyDescent="0.3">
      <c r="L1065" s="42"/>
    </row>
    <row r="1066" spans="1:13" x14ac:dyDescent="0.3">
      <c r="D1066" s="5" t="s">
        <v>128</v>
      </c>
    </row>
    <row r="1067" spans="1:13" ht="28.8" x14ac:dyDescent="0.3">
      <c r="C1067" s="37" t="s">
        <v>263</v>
      </c>
      <c r="D1067" s="37" t="s">
        <v>2</v>
      </c>
      <c r="E1067" s="37" t="s">
        <v>3</v>
      </c>
      <c r="F1067" s="38" t="s">
        <v>4</v>
      </c>
      <c r="G1067" s="38" t="s">
        <v>22</v>
      </c>
      <c r="H1067" s="37" t="s">
        <v>6</v>
      </c>
      <c r="I1067" s="37" t="s">
        <v>7</v>
      </c>
      <c r="J1067" s="37" t="s">
        <v>8</v>
      </c>
      <c r="K1067" s="38" t="s">
        <v>9</v>
      </c>
      <c r="L1067" s="37" t="s">
        <v>10</v>
      </c>
      <c r="M1067" s="37" t="s">
        <v>11</v>
      </c>
    </row>
    <row r="1068" spans="1:13" x14ac:dyDescent="0.3">
      <c r="A1068" s="5" t="str">
        <f>B1068&amp;", R="&amp;D1068&amp;", "&amp;I1068&amp;", "&amp;G1068</f>
        <v>[54], R=0.1, 90°, Etch + HIP</v>
      </c>
      <c r="B1068" s="5" t="s">
        <v>129</v>
      </c>
      <c r="C1068" s="5">
        <f>[1]Criteria!$AH$43</f>
        <v>0.61764705882352944</v>
      </c>
      <c r="D1068" s="5">
        <v>0.1</v>
      </c>
      <c r="E1068" s="5" t="s">
        <v>34</v>
      </c>
      <c r="F1068" s="5" t="s">
        <v>39</v>
      </c>
      <c r="G1068" s="5" t="s">
        <v>120</v>
      </c>
      <c r="H1068" s="5">
        <v>10</v>
      </c>
      <c r="I1068" s="5" t="s">
        <v>16</v>
      </c>
      <c r="J1068" s="5">
        <v>360</v>
      </c>
      <c r="K1068" s="5">
        <f>J1068*((1-$D$1029)/2)^0.28</f>
        <v>287.87370985317409</v>
      </c>
      <c r="L1068" s="42">
        <v>80000</v>
      </c>
    </row>
    <row r="1069" spans="1:13" x14ac:dyDescent="0.3">
      <c r="J1069" s="5">
        <v>350</v>
      </c>
      <c r="K1069" s="5">
        <f t="shared" ref="K1069:K1087" si="68">J1069*((1-$D$1029)/2)^0.28</f>
        <v>279.87721791280813</v>
      </c>
      <c r="L1069" s="42">
        <v>85000</v>
      </c>
    </row>
    <row r="1070" spans="1:13" x14ac:dyDescent="0.3">
      <c r="J1070" s="5">
        <v>290</v>
      </c>
      <c r="K1070" s="5">
        <f t="shared" si="68"/>
        <v>231.89826627061245</v>
      </c>
      <c r="L1070" s="42">
        <v>10000000</v>
      </c>
    </row>
    <row r="1071" spans="1:13" x14ac:dyDescent="0.3">
      <c r="J1071" s="5">
        <v>275</v>
      </c>
      <c r="K1071" s="5">
        <f t="shared" si="68"/>
        <v>219.90352836006352</v>
      </c>
      <c r="L1071" s="42">
        <v>575000</v>
      </c>
    </row>
    <row r="1072" spans="1:13" x14ac:dyDescent="0.3">
      <c r="J1072" s="5">
        <v>275</v>
      </c>
      <c r="K1072" s="5">
        <f t="shared" si="68"/>
        <v>219.90352836006352</v>
      </c>
      <c r="L1072" s="42">
        <v>2750000</v>
      </c>
    </row>
    <row r="1073" spans="1:13" x14ac:dyDescent="0.3">
      <c r="J1073" s="5">
        <v>270</v>
      </c>
      <c r="K1073" s="5">
        <f t="shared" si="68"/>
        <v>215.90528238988054</v>
      </c>
      <c r="L1073" s="42">
        <v>3000000</v>
      </c>
    </row>
    <row r="1074" spans="1:13" x14ac:dyDescent="0.3">
      <c r="L1074" s="42"/>
    </row>
    <row r="1075" spans="1:13" x14ac:dyDescent="0.3">
      <c r="D1075" s="5" t="s">
        <v>128</v>
      </c>
    </row>
    <row r="1076" spans="1:13" ht="28.8" x14ac:dyDescent="0.3">
      <c r="C1076" s="37" t="s">
        <v>263</v>
      </c>
      <c r="D1076" s="37" t="s">
        <v>2</v>
      </c>
      <c r="E1076" s="37" t="s">
        <v>3</v>
      </c>
      <c r="F1076" s="38" t="s">
        <v>4</v>
      </c>
      <c r="G1076" s="38" t="s">
        <v>22</v>
      </c>
      <c r="H1076" s="37" t="s">
        <v>6</v>
      </c>
      <c r="I1076" s="37" t="s">
        <v>7</v>
      </c>
      <c r="J1076" s="37" t="s">
        <v>8</v>
      </c>
      <c r="K1076" s="38" t="s">
        <v>9</v>
      </c>
      <c r="L1076" s="37" t="s">
        <v>10</v>
      </c>
      <c r="M1076" s="37" t="s">
        <v>11</v>
      </c>
    </row>
    <row r="1077" spans="1:13" x14ac:dyDescent="0.3">
      <c r="A1077" s="5" t="str">
        <f>B1077&amp;", R="&amp;D1077&amp;", "&amp;I1077&amp;", "&amp;G1077</f>
        <v>[54], R=0.1, 90°, Mach</v>
      </c>
      <c r="B1077" s="5" t="s">
        <v>129</v>
      </c>
      <c r="C1077" s="5">
        <f>[1]Criteria!$AH$43</f>
        <v>0.61764705882352944</v>
      </c>
      <c r="D1077" s="5">
        <v>0.1</v>
      </c>
      <c r="E1077" s="5" t="s">
        <v>34</v>
      </c>
      <c r="F1077" s="5" t="s">
        <v>39</v>
      </c>
      <c r="G1077" s="5" t="s">
        <v>36</v>
      </c>
      <c r="H1077" s="5">
        <v>10</v>
      </c>
      <c r="I1077" s="5" t="s">
        <v>16</v>
      </c>
      <c r="J1077" s="5">
        <v>600</v>
      </c>
      <c r="K1077" s="5">
        <f>J1077*((1-$D$1029)/2)^0.28</f>
        <v>479.78951642195676</v>
      </c>
      <c r="L1077" s="42">
        <v>60000</v>
      </c>
    </row>
    <row r="1078" spans="1:13" x14ac:dyDescent="0.3">
      <c r="J1078" s="5">
        <v>600</v>
      </c>
      <c r="K1078" s="5">
        <f t="shared" si="68"/>
        <v>479.78951642195676</v>
      </c>
      <c r="L1078" s="42">
        <v>75000</v>
      </c>
    </row>
    <row r="1079" spans="1:13" x14ac:dyDescent="0.3">
      <c r="J1079" s="5">
        <v>500</v>
      </c>
      <c r="K1079" s="5">
        <f t="shared" si="68"/>
        <v>399.82459701829731</v>
      </c>
      <c r="L1079" s="42">
        <v>17500</v>
      </c>
    </row>
    <row r="1080" spans="1:13" x14ac:dyDescent="0.3">
      <c r="J1080" s="5">
        <v>450</v>
      </c>
      <c r="K1080" s="5">
        <f t="shared" si="68"/>
        <v>359.84213731646759</v>
      </c>
      <c r="L1080" s="42">
        <v>200000</v>
      </c>
    </row>
    <row r="1081" spans="1:13" x14ac:dyDescent="0.3">
      <c r="J1081" s="5">
        <v>440</v>
      </c>
      <c r="K1081" s="5">
        <f t="shared" si="68"/>
        <v>351.84564537610163</v>
      </c>
      <c r="L1081" s="42">
        <v>300000</v>
      </c>
    </row>
    <row r="1082" spans="1:13" x14ac:dyDescent="0.3">
      <c r="J1082" s="5">
        <v>425</v>
      </c>
      <c r="K1082" s="5">
        <f t="shared" si="68"/>
        <v>339.85090746555272</v>
      </c>
      <c r="L1082" s="42">
        <v>10000000</v>
      </c>
    </row>
    <row r="1083" spans="1:13" x14ac:dyDescent="0.3">
      <c r="J1083" s="5">
        <v>405</v>
      </c>
      <c r="K1083" s="5">
        <f t="shared" si="68"/>
        <v>323.85792358482081</v>
      </c>
      <c r="L1083" s="42">
        <v>41000000</v>
      </c>
    </row>
    <row r="1084" spans="1:13" x14ac:dyDescent="0.3">
      <c r="J1084" s="5">
        <v>400</v>
      </c>
      <c r="K1084" s="5">
        <f t="shared" si="68"/>
        <v>319.85967761463786</v>
      </c>
      <c r="L1084" s="42">
        <v>40000000</v>
      </c>
    </row>
    <row r="1085" spans="1:13" x14ac:dyDescent="0.3">
      <c r="J1085" s="5">
        <v>390</v>
      </c>
      <c r="K1085" s="5">
        <f t="shared" si="68"/>
        <v>311.8631856742719</v>
      </c>
      <c r="L1085" s="42">
        <v>300000</v>
      </c>
    </row>
    <row r="1086" spans="1:13" x14ac:dyDescent="0.3">
      <c r="J1086" s="5">
        <v>390</v>
      </c>
      <c r="K1086" s="5">
        <f t="shared" si="68"/>
        <v>311.8631856742719</v>
      </c>
      <c r="L1086" s="42">
        <v>10000000</v>
      </c>
    </row>
    <row r="1087" spans="1:13" x14ac:dyDescent="0.3">
      <c r="J1087" s="5">
        <v>375</v>
      </c>
      <c r="K1087" s="5">
        <f t="shared" si="68"/>
        <v>299.868447763723</v>
      </c>
      <c r="L1087" s="42">
        <v>10000000</v>
      </c>
    </row>
    <row r="1088" spans="1:13" x14ac:dyDescent="0.3">
      <c r="L1088" s="42"/>
    </row>
    <row r="1089" spans="1:13" x14ac:dyDescent="0.3">
      <c r="D1089" s="5" t="s">
        <v>128</v>
      </c>
    </row>
    <row r="1090" spans="1:13" ht="28.8" x14ac:dyDescent="0.3">
      <c r="C1090" s="37" t="s">
        <v>263</v>
      </c>
      <c r="D1090" s="37" t="s">
        <v>2</v>
      </c>
      <c r="E1090" s="37" t="s">
        <v>3</v>
      </c>
      <c r="F1090" s="38" t="s">
        <v>4</v>
      </c>
      <c r="G1090" s="38" t="s">
        <v>22</v>
      </c>
      <c r="H1090" s="37" t="s">
        <v>6</v>
      </c>
      <c r="I1090" s="37" t="s">
        <v>7</v>
      </c>
      <c r="J1090" s="37" t="s">
        <v>8</v>
      </c>
      <c r="K1090" s="38" t="s">
        <v>9</v>
      </c>
      <c r="L1090" s="37" t="s">
        <v>10</v>
      </c>
      <c r="M1090" s="37" t="s">
        <v>11</v>
      </c>
    </row>
    <row r="1091" spans="1:13" x14ac:dyDescent="0.3">
      <c r="A1091" s="5" t="str">
        <f>B1091&amp;", R="&amp;D1091&amp;", "&amp;I1091&amp;", "&amp;G1091</f>
        <v>[54], R=0.1, 90°, Mach + HIP</v>
      </c>
      <c r="B1091" s="5" t="s">
        <v>129</v>
      </c>
      <c r="C1091" s="5">
        <f>[1]Criteria!$AH$43</f>
        <v>0.61764705882352944</v>
      </c>
      <c r="D1091" s="5">
        <v>0.1</v>
      </c>
      <c r="E1091" s="5" t="s">
        <v>34</v>
      </c>
      <c r="F1091" s="5" t="s">
        <v>39</v>
      </c>
      <c r="G1091" s="5" t="s">
        <v>26</v>
      </c>
      <c r="H1091" s="5">
        <v>10</v>
      </c>
      <c r="I1091" s="5" t="s">
        <v>16</v>
      </c>
      <c r="J1091" s="5">
        <v>600</v>
      </c>
      <c r="K1091" s="5">
        <f>J1091*((1-$D$1029)/2)^0.28</f>
        <v>479.78951642195676</v>
      </c>
      <c r="L1091" s="42">
        <v>2000000</v>
      </c>
    </row>
    <row r="1092" spans="1:13" x14ac:dyDescent="0.3">
      <c r="J1092" s="5">
        <v>600</v>
      </c>
      <c r="K1092" s="5">
        <f t="shared" ref="K1092:K1097" si="69">J1092*((1-$D$1029)/2)^0.28</f>
        <v>479.78951642195676</v>
      </c>
      <c r="L1092" s="42">
        <v>2250000</v>
      </c>
    </row>
    <row r="1093" spans="1:13" x14ac:dyDescent="0.3">
      <c r="J1093" s="5">
        <v>575</v>
      </c>
      <c r="K1093" s="5">
        <f t="shared" si="69"/>
        <v>459.7982865710419</v>
      </c>
      <c r="L1093" s="42">
        <v>4250000</v>
      </c>
    </row>
    <row r="1094" spans="1:13" x14ac:dyDescent="0.3">
      <c r="J1094" s="5">
        <v>550</v>
      </c>
      <c r="K1094" s="5">
        <f t="shared" si="69"/>
        <v>439.80705672012704</v>
      </c>
      <c r="L1094" s="42">
        <v>4000000</v>
      </c>
    </row>
    <row r="1095" spans="1:13" x14ac:dyDescent="0.3">
      <c r="J1095" s="5">
        <v>550</v>
      </c>
      <c r="K1095" s="5">
        <f t="shared" si="69"/>
        <v>439.80705672012704</v>
      </c>
      <c r="L1095" s="42">
        <v>7750000</v>
      </c>
    </row>
    <row r="1096" spans="1:13" x14ac:dyDescent="0.3">
      <c r="J1096" s="5">
        <v>540</v>
      </c>
      <c r="K1096" s="5">
        <f t="shared" si="69"/>
        <v>431.81056477976108</v>
      </c>
      <c r="L1096" s="42">
        <v>10000000</v>
      </c>
    </row>
    <row r="1097" spans="1:13" x14ac:dyDescent="0.3">
      <c r="J1097" s="5">
        <v>520</v>
      </c>
      <c r="K1097" s="5">
        <f t="shared" si="69"/>
        <v>415.81758089902922</v>
      </c>
      <c r="L1097" s="42">
        <v>10000000</v>
      </c>
    </row>
    <row r="1099" spans="1:13" x14ac:dyDescent="0.3">
      <c r="D1099" s="5" t="s">
        <v>130</v>
      </c>
    </row>
    <row r="1100" spans="1:13" ht="28.8" x14ac:dyDescent="0.3">
      <c r="C1100" s="37" t="s">
        <v>263</v>
      </c>
      <c r="D1100" s="37" t="s">
        <v>2</v>
      </c>
      <c r="E1100" s="37" t="s">
        <v>3</v>
      </c>
      <c r="F1100" s="38" t="s">
        <v>4</v>
      </c>
      <c r="G1100" s="38" t="s">
        <v>22</v>
      </c>
      <c r="H1100" s="37" t="s">
        <v>6</v>
      </c>
      <c r="I1100" s="37" t="s">
        <v>7</v>
      </c>
      <c r="J1100" s="37" t="s">
        <v>8</v>
      </c>
      <c r="K1100" s="38" t="s">
        <v>9</v>
      </c>
      <c r="L1100" s="37" t="s">
        <v>10</v>
      </c>
      <c r="M1100" s="37" t="s">
        <v>11</v>
      </c>
    </row>
    <row r="1101" spans="1:13" x14ac:dyDescent="0.3">
      <c r="A1101" s="5" t="str">
        <f>B1101&amp;", R="&amp;D1101&amp;", "&amp;I1101&amp;", "&amp;G1101</f>
        <v>[55], R=0, 90°, SB + SR</v>
      </c>
      <c r="B1101" s="5" t="s">
        <v>131</v>
      </c>
      <c r="C1101" s="5">
        <f>[1]Criteria!AJ43</f>
        <v>0.67647058823529416</v>
      </c>
      <c r="D1101" s="5">
        <v>0</v>
      </c>
      <c r="E1101" s="5" t="s">
        <v>34</v>
      </c>
      <c r="F1101" s="5" t="s">
        <v>74</v>
      </c>
      <c r="G1101" s="5" t="s">
        <v>90</v>
      </c>
      <c r="H1101" s="5">
        <v>10</v>
      </c>
      <c r="I1101" s="5" t="s">
        <v>16</v>
      </c>
      <c r="J1101" s="5">
        <v>600</v>
      </c>
      <c r="K1101" s="5">
        <f>J1101*((1-$D$1101)/2)^0.28</f>
        <v>494.15461036054387</v>
      </c>
      <c r="L1101" s="42">
        <v>15000</v>
      </c>
      <c r="M1101" s="5" t="s">
        <v>132</v>
      </c>
    </row>
    <row r="1102" spans="1:13" x14ac:dyDescent="0.3">
      <c r="J1102" s="5">
        <v>400</v>
      </c>
      <c r="K1102" s="5">
        <f t="shared" ref="K1102:K1110" si="70">J1102*((1-$D$1101)/2)^0.28</f>
        <v>329.43640690702927</v>
      </c>
      <c r="L1102" s="42">
        <v>90000</v>
      </c>
    </row>
    <row r="1103" spans="1:13" x14ac:dyDescent="0.3">
      <c r="J1103" s="5">
        <v>400</v>
      </c>
      <c r="K1103" s="5">
        <f t="shared" si="70"/>
        <v>329.43640690702927</v>
      </c>
      <c r="L1103" s="42">
        <v>100000</v>
      </c>
    </row>
    <row r="1104" spans="1:13" x14ac:dyDescent="0.3">
      <c r="J1104" s="5">
        <v>375</v>
      </c>
      <c r="K1104" s="5">
        <f t="shared" si="70"/>
        <v>308.8466314753399</v>
      </c>
      <c r="L1104" s="42">
        <v>110000</v>
      </c>
    </row>
    <row r="1105" spans="10:12" x14ac:dyDescent="0.3">
      <c r="J1105" s="5">
        <v>350</v>
      </c>
      <c r="K1105" s="5">
        <f t="shared" si="70"/>
        <v>288.2568560436506</v>
      </c>
      <c r="L1105" s="42">
        <v>200000</v>
      </c>
    </row>
    <row r="1106" spans="10:12" x14ac:dyDescent="0.3">
      <c r="J1106" s="5">
        <v>325</v>
      </c>
      <c r="K1106" s="5">
        <f t="shared" si="70"/>
        <v>267.66708061196124</v>
      </c>
      <c r="L1106" s="42">
        <v>200000</v>
      </c>
    </row>
    <row r="1107" spans="10:12" x14ac:dyDescent="0.3">
      <c r="J1107" s="5">
        <v>325</v>
      </c>
      <c r="K1107" s="5">
        <f t="shared" si="70"/>
        <v>267.66708061196124</v>
      </c>
      <c r="L1107" s="42">
        <v>400000</v>
      </c>
    </row>
    <row r="1108" spans="10:12" x14ac:dyDescent="0.3">
      <c r="J1108" s="5">
        <v>300</v>
      </c>
      <c r="K1108" s="5">
        <f t="shared" si="70"/>
        <v>247.07730518027194</v>
      </c>
      <c r="L1108" s="42">
        <v>420000</v>
      </c>
    </row>
    <row r="1109" spans="10:12" x14ac:dyDescent="0.3">
      <c r="J1109" s="5">
        <v>290</v>
      </c>
      <c r="K1109" s="5">
        <f t="shared" si="70"/>
        <v>238.84139500759619</v>
      </c>
      <c r="L1109" s="42">
        <v>2500000</v>
      </c>
    </row>
    <row r="1110" spans="10:12" x14ac:dyDescent="0.3">
      <c r="J1110" s="5">
        <v>280</v>
      </c>
      <c r="K1110" s="5">
        <f t="shared" si="70"/>
        <v>230.60548483492047</v>
      </c>
      <c r="L1110" s="42">
        <v>2400000</v>
      </c>
    </row>
  </sheetData>
  <pageMargins left="0.7" right="0.7" top="0.75" bottom="0.75" header="0.3" footer="0.3"/>
  <pageSetup orientation="portrait" r:id="rId1"/>
  <headerFooter>
    <oddHeader>&amp;C&amp;"Calibri"&amp;12&amp;KEEDC00 RMIT Classification: Trusted&amp;1#_x000D_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7DBD-53C2-4D40-B385-8207C274461D}">
  <dimension ref="A1:AP47"/>
  <sheetViews>
    <sheetView tabSelected="1" zoomScale="40" zoomScaleNormal="40" workbookViewId="0">
      <pane xSplit="1" topLeftCell="AC1" activePane="topRight" state="frozen"/>
      <selection pane="topRight" activeCell="BA62" sqref="BA62"/>
    </sheetView>
  </sheetViews>
  <sheetFormatPr defaultRowHeight="14.4" x14ac:dyDescent="0.3"/>
  <cols>
    <col min="1" max="1" width="92" customWidth="1"/>
    <col min="2" max="33" width="25.6640625" style="2" customWidth="1"/>
    <col min="35" max="39" width="12.5546875" customWidth="1"/>
  </cols>
  <sheetData>
    <row r="1" spans="1:42" ht="25.8" x14ac:dyDescent="0.5">
      <c r="A1" s="19" t="s">
        <v>133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5"/>
      <c r="AI1" s="5"/>
      <c r="AJ1" s="5"/>
      <c r="AK1" s="5"/>
      <c r="AL1" s="5"/>
      <c r="AM1" s="5"/>
      <c r="AN1" s="5"/>
      <c r="AO1" s="5"/>
      <c r="AP1" s="5"/>
    </row>
    <row r="2" spans="1:42" ht="25.8" x14ac:dyDescent="0.5">
      <c r="A2" s="19"/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5"/>
      <c r="AI2" s="5"/>
      <c r="AJ2" s="5"/>
      <c r="AK2" s="5"/>
      <c r="AL2" s="5"/>
      <c r="AM2" s="5"/>
      <c r="AN2" s="5"/>
      <c r="AO2" s="5"/>
      <c r="AP2" s="5"/>
    </row>
    <row r="3" spans="1:42" ht="25.8" x14ac:dyDescent="0.5">
      <c r="A3" s="19" t="s">
        <v>261</v>
      </c>
      <c r="B3" s="20">
        <v>51</v>
      </c>
      <c r="C3" s="20">
        <v>52</v>
      </c>
      <c r="D3" s="20">
        <v>27</v>
      </c>
      <c r="E3" s="20">
        <v>28</v>
      </c>
      <c r="F3" s="20">
        <v>12</v>
      </c>
      <c r="G3" s="20">
        <v>29</v>
      </c>
      <c r="H3" s="20">
        <v>30</v>
      </c>
      <c r="I3" s="20">
        <v>32</v>
      </c>
      <c r="J3" s="20">
        <v>31</v>
      </c>
      <c r="K3" s="20">
        <v>33</v>
      </c>
      <c r="L3" s="20">
        <v>34</v>
      </c>
      <c r="M3" s="20">
        <v>35</v>
      </c>
      <c r="N3" s="20">
        <v>36</v>
      </c>
      <c r="O3" s="20">
        <v>5</v>
      </c>
      <c r="P3" s="20">
        <v>37</v>
      </c>
      <c r="Q3" s="20">
        <v>38</v>
      </c>
      <c r="R3" s="20">
        <v>39</v>
      </c>
      <c r="S3" s="20">
        <v>40</v>
      </c>
      <c r="T3" s="20">
        <v>41</v>
      </c>
      <c r="U3" s="20">
        <v>42</v>
      </c>
      <c r="V3" s="20">
        <v>43</v>
      </c>
      <c r="W3" s="20">
        <v>44</v>
      </c>
      <c r="X3" s="20">
        <v>45</v>
      </c>
      <c r="Y3" s="20">
        <v>46</v>
      </c>
      <c r="Z3" s="20">
        <v>47</v>
      </c>
      <c r="AA3" s="20">
        <v>48</v>
      </c>
      <c r="AB3" s="20">
        <v>49</v>
      </c>
      <c r="AC3" s="20">
        <v>50</v>
      </c>
      <c r="AD3" s="20">
        <v>53</v>
      </c>
      <c r="AE3" s="20">
        <v>54</v>
      </c>
      <c r="AF3" s="20">
        <v>55</v>
      </c>
      <c r="AG3" s="20">
        <v>26</v>
      </c>
      <c r="AH3" s="5"/>
      <c r="AI3" s="5"/>
      <c r="AJ3" s="5"/>
      <c r="AK3" s="5"/>
      <c r="AL3" s="5"/>
      <c r="AM3" s="5"/>
      <c r="AN3" s="5"/>
      <c r="AO3" s="5"/>
      <c r="AP3" s="5"/>
    </row>
    <row r="4" spans="1:42" x14ac:dyDescent="0.3">
      <c r="A4" s="5"/>
      <c r="B4" s="17" t="s">
        <v>134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5"/>
      <c r="AI4" s="5"/>
      <c r="AJ4" s="5"/>
      <c r="AK4" s="5"/>
      <c r="AL4" s="5"/>
      <c r="AM4" s="5"/>
      <c r="AN4" s="5"/>
      <c r="AO4" s="5"/>
      <c r="AP4" s="5"/>
    </row>
    <row r="5" spans="1:42" s="3" customFormat="1" ht="25.8" x14ac:dyDescent="0.5">
      <c r="A5" s="22"/>
      <c r="B5" s="23">
        <v>1</v>
      </c>
      <c r="C5" s="24">
        <v>2</v>
      </c>
      <c r="D5" s="23">
        <f t="shared" ref="D5:AG5" si="0">C5+1</f>
        <v>3</v>
      </c>
      <c r="E5" s="23">
        <f t="shared" si="0"/>
        <v>4</v>
      </c>
      <c r="F5" s="23">
        <f t="shared" si="0"/>
        <v>5</v>
      </c>
      <c r="G5" s="23">
        <f t="shared" si="0"/>
        <v>6</v>
      </c>
      <c r="H5" s="23">
        <f t="shared" si="0"/>
        <v>7</v>
      </c>
      <c r="I5" s="23">
        <f t="shared" si="0"/>
        <v>8</v>
      </c>
      <c r="J5" s="23">
        <f t="shared" si="0"/>
        <v>9</v>
      </c>
      <c r="K5" s="23">
        <f t="shared" si="0"/>
        <v>10</v>
      </c>
      <c r="L5" s="23">
        <f t="shared" si="0"/>
        <v>11</v>
      </c>
      <c r="M5" s="23">
        <f t="shared" si="0"/>
        <v>12</v>
      </c>
      <c r="N5" s="23">
        <f t="shared" si="0"/>
        <v>13</v>
      </c>
      <c r="O5" s="23">
        <f t="shared" si="0"/>
        <v>14</v>
      </c>
      <c r="P5" s="23">
        <f t="shared" si="0"/>
        <v>15</v>
      </c>
      <c r="Q5" s="23">
        <f t="shared" si="0"/>
        <v>16</v>
      </c>
      <c r="R5" s="23">
        <f t="shared" si="0"/>
        <v>17</v>
      </c>
      <c r="S5" s="23">
        <f t="shared" si="0"/>
        <v>18</v>
      </c>
      <c r="T5" s="23">
        <f t="shared" si="0"/>
        <v>19</v>
      </c>
      <c r="U5" s="23">
        <f t="shared" si="0"/>
        <v>20</v>
      </c>
      <c r="V5" s="23">
        <f t="shared" si="0"/>
        <v>21</v>
      </c>
      <c r="W5" s="23">
        <f t="shared" si="0"/>
        <v>22</v>
      </c>
      <c r="X5" s="23">
        <f t="shared" si="0"/>
        <v>23</v>
      </c>
      <c r="Y5" s="23">
        <f t="shared" si="0"/>
        <v>24</v>
      </c>
      <c r="Z5" s="23">
        <f t="shared" si="0"/>
        <v>25</v>
      </c>
      <c r="AA5" s="23">
        <f t="shared" si="0"/>
        <v>26</v>
      </c>
      <c r="AB5" s="23">
        <f t="shared" si="0"/>
        <v>27</v>
      </c>
      <c r="AC5" s="23">
        <f t="shared" si="0"/>
        <v>28</v>
      </c>
      <c r="AD5" s="23">
        <f t="shared" si="0"/>
        <v>29</v>
      </c>
      <c r="AE5" s="23">
        <f t="shared" si="0"/>
        <v>30</v>
      </c>
      <c r="AF5" s="23">
        <f t="shared" si="0"/>
        <v>31</v>
      </c>
      <c r="AG5" s="23">
        <f t="shared" si="0"/>
        <v>32</v>
      </c>
      <c r="AH5" s="25" t="s">
        <v>135</v>
      </c>
      <c r="AI5" s="26" t="s">
        <v>237</v>
      </c>
      <c r="AJ5" s="25"/>
      <c r="AK5" s="26" t="s">
        <v>238</v>
      </c>
      <c r="AL5" s="25"/>
      <c r="AM5" s="26" t="s">
        <v>239</v>
      </c>
      <c r="AN5" s="25"/>
      <c r="AO5" s="25"/>
      <c r="AP5" s="25"/>
    </row>
    <row r="6" spans="1:42" s="4" customFormat="1" ht="45" customHeight="1" x14ac:dyDescent="0.3">
      <c r="A6" s="27" t="s">
        <v>136</v>
      </c>
      <c r="B6" s="28" t="s">
        <v>137</v>
      </c>
      <c r="C6" s="28" t="s">
        <v>138</v>
      </c>
      <c r="D6" s="28" t="s">
        <v>139</v>
      </c>
      <c r="E6" s="28" t="s">
        <v>140</v>
      </c>
      <c r="F6" s="28" t="s">
        <v>141</v>
      </c>
      <c r="G6" s="28" t="s">
        <v>142</v>
      </c>
      <c r="H6" s="28" t="s">
        <v>143</v>
      </c>
      <c r="I6" s="28" t="s">
        <v>144</v>
      </c>
      <c r="J6" s="28" t="s">
        <v>47</v>
      </c>
      <c r="K6" s="28" t="s">
        <v>145</v>
      </c>
      <c r="L6" s="28" t="s">
        <v>146</v>
      </c>
      <c r="M6" s="28" t="s">
        <v>147</v>
      </c>
      <c r="N6" s="28" t="s">
        <v>148</v>
      </c>
      <c r="O6" s="28" t="s">
        <v>149</v>
      </c>
      <c r="P6" s="28" t="s">
        <v>150</v>
      </c>
      <c r="Q6" s="28" t="s">
        <v>151</v>
      </c>
      <c r="R6" s="28" t="s">
        <v>152</v>
      </c>
      <c r="S6" s="28" t="s">
        <v>153</v>
      </c>
      <c r="T6" s="28" t="s">
        <v>154</v>
      </c>
      <c r="U6" s="28" t="s">
        <v>155</v>
      </c>
      <c r="V6" s="28" t="s">
        <v>156</v>
      </c>
      <c r="W6" s="28" t="s">
        <v>157</v>
      </c>
      <c r="X6" s="28" t="s">
        <v>158</v>
      </c>
      <c r="Y6" s="28" t="s">
        <v>159</v>
      </c>
      <c r="Z6" s="28" t="s">
        <v>160</v>
      </c>
      <c r="AA6" s="28" t="s">
        <v>161</v>
      </c>
      <c r="AB6" s="28" t="s">
        <v>162</v>
      </c>
      <c r="AC6" s="28" t="s">
        <v>163</v>
      </c>
      <c r="AD6" s="28" t="s">
        <v>164</v>
      </c>
      <c r="AE6" s="28" t="s">
        <v>165</v>
      </c>
      <c r="AF6" s="28" t="s">
        <v>166</v>
      </c>
      <c r="AG6" s="28" t="s">
        <v>167</v>
      </c>
      <c r="AH6" s="29"/>
      <c r="AI6" s="29" t="s">
        <v>168</v>
      </c>
      <c r="AJ6" s="29"/>
      <c r="AK6" s="29" t="s">
        <v>169</v>
      </c>
      <c r="AL6" s="29"/>
      <c r="AM6" s="29" t="s">
        <v>170</v>
      </c>
      <c r="AN6" s="29"/>
      <c r="AO6" s="29"/>
      <c r="AP6" s="29"/>
    </row>
    <row r="7" spans="1:42" ht="20.100000000000001" customHeight="1" x14ac:dyDescent="0.5">
      <c r="A7" s="16" t="s">
        <v>171</v>
      </c>
      <c r="B7" s="30">
        <v>1</v>
      </c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1</v>
      </c>
      <c r="Y7" s="17">
        <v>1</v>
      </c>
      <c r="Z7" s="17">
        <v>1</v>
      </c>
      <c r="AA7" s="17">
        <v>1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31">
        <f t="shared" ref="AH7:AH43" si="1">AVERAGE(B7:AG7)</f>
        <v>1</v>
      </c>
      <c r="AI7" s="5" t="s">
        <v>168</v>
      </c>
      <c r="AJ7" s="31">
        <f>AH7</f>
        <v>1</v>
      </c>
      <c r="AK7" s="5" t="s">
        <v>169</v>
      </c>
      <c r="AL7" s="31">
        <f>AH7</f>
        <v>1</v>
      </c>
      <c r="AM7" s="5" t="s">
        <v>172</v>
      </c>
      <c r="AN7" s="5">
        <v>1</v>
      </c>
      <c r="AO7" s="10">
        <f t="shared" ref="AO7:AO23" si="2">AH7</f>
        <v>1</v>
      </c>
      <c r="AP7" s="26" t="s">
        <v>240</v>
      </c>
    </row>
    <row r="8" spans="1:42" s="5" customFormat="1" ht="20.100000000000001" customHeight="1" x14ac:dyDescent="0.5">
      <c r="A8" s="16" t="s">
        <v>173</v>
      </c>
      <c r="B8" s="17">
        <v>0.5</v>
      </c>
      <c r="C8" s="17">
        <v>0</v>
      </c>
      <c r="D8" s="17">
        <v>0</v>
      </c>
      <c r="E8" s="17">
        <v>1</v>
      </c>
      <c r="F8" s="17">
        <v>1</v>
      </c>
      <c r="G8" s="17">
        <v>1</v>
      </c>
      <c r="H8" s="17">
        <v>0</v>
      </c>
      <c r="I8" s="17">
        <v>0</v>
      </c>
      <c r="J8" s="17">
        <v>1</v>
      </c>
      <c r="K8" s="17">
        <v>1</v>
      </c>
      <c r="L8" s="17">
        <v>0.5</v>
      </c>
      <c r="M8" s="17">
        <v>0</v>
      </c>
      <c r="N8" s="17">
        <v>0</v>
      </c>
      <c r="O8" s="17">
        <v>1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1</v>
      </c>
      <c r="W8" s="17">
        <v>0</v>
      </c>
      <c r="X8" s="17">
        <v>0</v>
      </c>
      <c r="Y8" s="17">
        <v>1</v>
      </c>
      <c r="Z8" s="17">
        <v>1</v>
      </c>
      <c r="AA8" s="17">
        <v>0</v>
      </c>
      <c r="AB8" s="17">
        <v>0</v>
      </c>
      <c r="AC8" s="17">
        <v>1</v>
      </c>
      <c r="AD8" s="17">
        <v>0</v>
      </c>
      <c r="AE8" s="17">
        <v>1</v>
      </c>
      <c r="AF8" s="17">
        <v>0</v>
      </c>
      <c r="AG8" s="17">
        <v>0.5</v>
      </c>
      <c r="AH8" s="31">
        <f t="shared" si="1"/>
        <v>0.390625</v>
      </c>
      <c r="AI8" s="5" t="s">
        <v>168</v>
      </c>
      <c r="AJ8" s="31">
        <f>AH8</f>
        <v>0.390625</v>
      </c>
      <c r="AK8" s="5" t="s">
        <v>169</v>
      </c>
      <c r="AL8" s="31">
        <f>AH8</f>
        <v>0.390625</v>
      </c>
      <c r="AM8" s="5" t="s">
        <v>172</v>
      </c>
      <c r="AN8" s="5">
        <f t="shared" ref="AN8:AN23" si="3">AN7+1</f>
        <v>2</v>
      </c>
      <c r="AO8" s="10">
        <f t="shared" si="2"/>
        <v>0.390625</v>
      </c>
      <c r="AP8" s="26" t="s">
        <v>241</v>
      </c>
    </row>
    <row r="9" spans="1:42" ht="20.100000000000001" customHeight="1" x14ac:dyDescent="0.5">
      <c r="A9" s="18" t="s">
        <v>5</v>
      </c>
      <c r="B9" s="17">
        <v>1</v>
      </c>
      <c r="C9" s="17">
        <v>1</v>
      </c>
      <c r="D9" s="17">
        <v>1</v>
      </c>
      <c r="E9" s="17">
        <v>1</v>
      </c>
      <c r="F9" s="17">
        <v>1</v>
      </c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7">
        <v>0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1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31">
        <f t="shared" si="1"/>
        <v>0.96875</v>
      </c>
      <c r="AI9" s="5" t="s">
        <v>168</v>
      </c>
      <c r="AJ9" s="31">
        <f>AH9</f>
        <v>0.96875</v>
      </c>
      <c r="AK9" s="5"/>
      <c r="AL9" s="31"/>
      <c r="AM9" s="5" t="s">
        <v>172</v>
      </c>
      <c r="AN9" s="5">
        <f t="shared" si="3"/>
        <v>3</v>
      </c>
      <c r="AO9" s="10">
        <f t="shared" si="2"/>
        <v>0.96875</v>
      </c>
      <c r="AP9" s="26" t="s">
        <v>242</v>
      </c>
    </row>
    <row r="10" spans="1:42" ht="20.100000000000001" customHeight="1" x14ac:dyDescent="0.5">
      <c r="A10" s="16" t="s">
        <v>174</v>
      </c>
      <c r="B10" s="17">
        <v>1</v>
      </c>
      <c r="C10" s="17">
        <v>1</v>
      </c>
      <c r="D10" s="17">
        <v>1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1</v>
      </c>
      <c r="M10" s="17">
        <v>1</v>
      </c>
      <c r="N10" s="17">
        <v>0</v>
      </c>
      <c r="O10" s="17">
        <v>1</v>
      </c>
      <c r="P10" s="17">
        <v>1</v>
      </c>
      <c r="Q10" s="17">
        <v>0</v>
      </c>
      <c r="R10" s="17">
        <v>0</v>
      </c>
      <c r="S10" s="17">
        <v>0</v>
      </c>
      <c r="T10" s="17">
        <v>1</v>
      </c>
      <c r="U10" s="17">
        <v>1</v>
      </c>
      <c r="V10" s="17">
        <v>0</v>
      </c>
      <c r="W10" s="17">
        <v>1</v>
      </c>
      <c r="X10" s="17">
        <v>1</v>
      </c>
      <c r="Y10" s="17">
        <v>0</v>
      </c>
      <c r="Z10" s="17">
        <v>1</v>
      </c>
      <c r="AA10" s="17">
        <v>1</v>
      </c>
      <c r="AB10" s="17">
        <v>1</v>
      </c>
      <c r="AC10" s="17">
        <v>0</v>
      </c>
      <c r="AD10" s="17">
        <v>1</v>
      </c>
      <c r="AE10" s="17">
        <v>0</v>
      </c>
      <c r="AF10" s="17">
        <v>0</v>
      </c>
      <c r="AG10" s="17">
        <v>1</v>
      </c>
      <c r="AH10" s="31">
        <f t="shared" si="1"/>
        <v>0.59375</v>
      </c>
      <c r="AI10" s="5" t="s">
        <v>168</v>
      </c>
      <c r="AJ10" s="31">
        <f>AH10</f>
        <v>0.59375</v>
      </c>
      <c r="AK10" s="5"/>
      <c r="AL10" s="31"/>
      <c r="AM10" s="5" t="s">
        <v>172</v>
      </c>
      <c r="AN10" s="5">
        <f t="shared" si="3"/>
        <v>4</v>
      </c>
      <c r="AO10" s="10">
        <f t="shared" si="2"/>
        <v>0.59375</v>
      </c>
      <c r="AP10" s="26" t="s">
        <v>243</v>
      </c>
    </row>
    <row r="11" spans="1:42" s="1" customFormat="1" ht="19.5" customHeight="1" x14ac:dyDescent="0.5">
      <c r="A11" s="16" t="s">
        <v>175</v>
      </c>
      <c r="B11" s="17">
        <v>0.5</v>
      </c>
      <c r="C11" s="17">
        <v>0</v>
      </c>
      <c r="D11" s="17">
        <v>1</v>
      </c>
      <c r="E11" s="17">
        <v>0.5</v>
      </c>
      <c r="F11" s="17">
        <v>0</v>
      </c>
      <c r="G11" s="17">
        <v>1</v>
      </c>
      <c r="H11" s="17">
        <v>0.5</v>
      </c>
      <c r="I11" s="17">
        <v>0</v>
      </c>
      <c r="J11" s="17">
        <v>1</v>
      </c>
      <c r="K11" s="17">
        <v>0.5</v>
      </c>
      <c r="L11" s="17">
        <v>0</v>
      </c>
      <c r="M11" s="17">
        <v>0.5</v>
      </c>
      <c r="N11" s="17">
        <v>0</v>
      </c>
      <c r="O11" s="17">
        <v>0</v>
      </c>
      <c r="P11" s="17">
        <v>0</v>
      </c>
      <c r="Q11" s="17">
        <v>0</v>
      </c>
      <c r="R11" s="17">
        <v>0.5</v>
      </c>
      <c r="S11" s="17">
        <v>0.5</v>
      </c>
      <c r="T11" s="17">
        <v>1</v>
      </c>
      <c r="U11" s="17">
        <v>0</v>
      </c>
      <c r="V11" s="17">
        <v>0.5</v>
      </c>
      <c r="W11" s="17">
        <v>1</v>
      </c>
      <c r="X11" s="17">
        <v>1</v>
      </c>
      <c r="Y11" s="17">
        <v>0.5</v>
      </c>
      <c r="Z11" s="17">
        <v>0.5</v>
      </c>
      <c r="AA11" s="17">
        <v>0.5</v>
      </c>
      <c r="AB11" s="17">
        <v>0</v>
      </c>
      <c r="AC11" s="17">
        <v>0</v>
      </c>
      <c r="AD11" s="17">
        <v>1</v>
      </c>
      <c r="AE11" s="17">
        <v>0</v>
      </c>
      <c r="AF11" s="17">
        <v>0.5</v>
      </c>
      <c r="AG11" s="17">
        <v>0.5</v>
      </c>
      <c r="AH11" s="31">
        <f t="shared" si="1"/>
        <v>0.421875</v>
      </c>
      <c r="AI11" s="5"/>
      <c r="AJ11" s="31"/>
      <c r="AK11" s="5"/>
      <c r="AL11" s="31"/>
      <c r="AM11" s="5" t="s">
        <v>172</v>
      </c>
      <c r="AN11" s="5">
        <f t="shared" si="3"/>
        <v>5</v>
      </c>
      <c r="AO11" s="10">
        <f t="shared" si="2"/>
        <v>0.421875</v>
      </c>
      <c r="AP11" s="26" t="s">
        <v>244</v>
      </c>
    </row>
    <row r="12" spans="1:42" ht="20.100000000000001" customHeight="1" x14ac:dyDescent="0.5">
      <c r="A12" s="16" t="s">
        <v>176</v>
      </c>
      <c r="B12" s="17">
        <v>1</v>
      </c>
      <c r="C12" s="17">
        <v>1</v>
      </c>
      <c r="D12" s="17">
        <v>1</v>
      </c>
      <c r="E12" s="17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0</v>
      </c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31">
        <f t="shared" si="1"/>
        <v>0.96875</v>
      </c>
      <c r="AI12" s="5" t="s">
        <v>168</v>
      </c>
      <c r="AJ12" s="31">
        <f t="shared" ref="AJ12:AJ17" si="4">AH12</f>
        <v>0.96875</v>
      </c>
      <c r="AK12" s="5" t="s">
        <v>169</v>
      </c>
      <c r="AL12" s="31">
        <f>AH12</f>
        <v>0.96875</v>
      </c>
      <c r="AM12" s="5" t="s">
        <v>172</v>
      </c>
      <c r="AN12" s="5">
        <f t="shared" si="3"/>
        <v>6</v>
      </c>
      <c r="AO12" s="10">
        <f t="shared" si="2"/>
        <v>0.96875</v>
      </c>
      <c r="AP12" s="26" t="s">
        <v>245</v>
      </c>
    </row>
    <row r="13" spans="1:42" ht="19.5" customHeight="1" x14ac:dyDescent="0.5">
      <c r="A13" s="16" t="s">
        <v>177</v>
      </c>
      <c r="B13" s="17">
        <v>1</v>
      </c>
      <c r="C13" s="17">
        <v>1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31">
        <f t="shared" si="1"/>
        <v>1</v>
      </c>
      <c r="AI13" s="5" t="s">
        <v>168</v>
      </c>
      <c r="AJ13" s="31">
        <f t="shared" si="4"/>
        <v>1</v>
      </c>
      <c r="AK13" s="5" t="s">
        <v>169</v>
      </c>
      <c r="AL13" s="31">
        <f>AH13</f>
        <v>1</v>
      </c>
      <c r="AM13" s="5" t="s">
        <v>172</v>
      </c>
      <c r="AN13" s="5">
        <f t="shared" si="3"/>
        <v>7</v>
      </c>
      <c r="AO13" s="10">
        <f t="shared" si="2"/>
        <v>1</v>
      </c>
      <c r="AP13" s="26" t="s">
        <v>246</v>
      </c>
    </row>
    <row r="14" spans="1:42" ht="25.8" x14ac:dyDescent="0.5">
      <c r="A14" s="16" t="s">
        <v>178</v>
      </c>
      <c r="B14" s="17">
        <v>1</v>
      </c>
      <c r="C14" s="17">
        <v>1</v>
      </c>
      <c r="D14" s="17">
        <v>1</v>
      </c>
      <c r="E14" s="17">
        <v>1</v>
      </c>
      <c r="F14" s="17">
        <v>1</v>
      </c>
      <c r="G14" s="17">
        <v>0.5</v>
      </c>
      <c r="H14" s="17">
        <v>1</v>
      </c>
      <c r="I14" s="17">
        <v>0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0</v>
      </c>
      <c r="P14" s="17">
        <v>0</v>
      </c>
      <c r="Q14" s="17">
        <v>0</v>
      </c>
      <c r="R14" s="17">
        <v>1</v>
      </c>
      <c r="S14" s="17">
        <v>1</v>
      </c>
      <c r="T14" s="17">
        <v>1</v>
      </c>
      <c r="U14" s="17">
        <v>0</v>
      </c>
      <c r="V14" s="17">
        <v>1</v>
      </c>
      <c r="W14" s="17">
        <v>1</v>
      </c>
      <c r="X14" s="17">
        <v>1</v>
      </c>
      <c r="Y14" s="17">
        <v>1</v>
      </c>
      <c r="Z14" s="17">
        <v>1</v>
      </c>
      <c r="AA14" s="17">
        <v>0</v>
      </c>
      <c r="AB14" s="17">
        <v>1</v>
      </c>
      <c r="AC14" s="17">
        <v>0</v>
      </c>
      <c r="AD14" s="17">
        <v>1</v>
      </c>
      <c r="AE14" s="17">
        <v>1</v>
      </c>
      <c r="AF14" s="17">
        <v>1</v>
      </c>
      <c r="AG14" s="17">
        <v>1</v>
      </c>
      <c r="AH14" s="31">
        <f t="shared" si="1"/>
        <v>0.765625</v>
      </c>
      <c r="AI14" s="5" t="s">
        <v>168</v>
      </c>
      <c r="AJ14" s="31">
        <f t="shared" si="4"/>
        <v>0.765625</v>
      </c>
      <c r="AK14" s="5" t="s">
        <v>169</v>
      </c>
      <c r="AL14" s="31"/>
      <c r="AM14" s="5" t="s">
        <v>172</v>
      </c>
      <c r="AN14" s="5">
        <f t="shared" si="3"/>
        <v>8</v>
      </c>
      <c r="AO14" s="10">
        <f t="shared" si="2"/>
        <v>0.765625</v>
      </c>
      <c r="AP14" s="26" t="s">
        <v>247</v>
      </c>
    </row>
    <row r="15" spans="1:42" ht="20.100000000000001" customHeight="1" x14ac:dyDescent="0.5">
      <c r="A15" s="16" t="s">
        <v>179</v>
      </c>
      <c r="B15" s="17">
        <v>1</v>
      </c>
      <c r="C15" s="17">
        <v>1</v>
      </c>
      <c r="D15" s="17">
        <v>1</v>
      </c>
      <c r="E15" s="17">
        <v>1</v>
      </c>
      <c r="F15" s="17">
        <v>1</v>
      </c>
      <c r="G15" s="17">
        <v>1</v>
      </c>
      <c r="H15" s="17">
        <v>1</v>
      </c>
      <c r="I15" s="17">
        <v>1</v>
      </c>
      <c r="J15" s="17">
        <v>1</v>
      </c>
      <c r="K15" s="17">
        <v>1</v>
      </c>
      <c r="L15" s="17">
        <v>1</v>
      </c>
      <c r="M15" s="17">
        <v>1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0</v>
      </c>
      <c r="U15" s="17">
        <v>1</v>
      </c>
      <c r="V15" s="17">
        <v>1</v>
      </c>
      <c r="W15" s="17">
        <v>1</v>
      </c>
      <c r="X15" s="17">
        <v>1</v>
      </c>
      <c r="Y15" s="17">
        <v>1</v>
      </c>
      <c r="Z15" s="17">
        <v>1</v>
      </c>
      <c r="AA15" s="17">
        <v>1</v>
      </c>
      <c r="AB15" s="17">
        <v>0</v>
      </c>
      <c r="AC15" s="17">
        <v>1</v>
      </c>
      <c r="AD15" s="17">
        <v>1</v>
      </c>
      <c r="AE15" s="17">
        <v>1</v>
      </c>
      <c r="AF15" s="17">
        <v>1</v>
      </c>
      <c r="AG15" s="17">
        <v>0</v>
      </c>
      <c r="AH15" s="31">
        <f t="shared" si="1"/>
        <v>0.90625</v>
      </c>
      <c r="AI15" s="5" t="s">
        <v>168</v>
      </c>
      <c r="AJ15" s="31">
        <f t="shared" si="4"/>
        <v>0.90625</v>
      </c>
      <c r="AK15" s="5" t="s">
        <v>169</v>
      </c>
      <c r="AL15" s="31"/>
      <c r="AM15" s="5" t="s">
        <v>172</v>
      </c>
      <c r="AN15" s="5">
        <f t="shared" si="3"/>
        <v>9</v>
      </c>
      <c r="AO15" s="10">
        <f t="shared" si="2"/>
        <v>0.90625</v>
      </c>
      <c r="AP15" s="26" t="s">
        <v>248</v>
      </c>
    </row>
    <row r="16" spans="1:42" ht="20.100000000000001" customHeight="1" x14ac:dyDescent="0.5">
      <c r="A16" s="16" t="s">
        <v>180</v>
      </c>
      <c r="B16" s="17">
        <v>0.5</v>
      </c>
      <c r="C16" s="17">
        <v>0</v>
      </c>
      <c r="D16" s="17">
        <v>0.5</v>
      </c>
      <c r="E16" s="17">
        <v>0.5</v>
      </c>
      <c r="F16" s="17">
        <v>0</v>
      </c>
      <c r="G16" s="17">
        <v>0.5</v>
      </c>
      <c r="H16" s="17">
        <v>0.5</v>
      </c>
      <c r="I16" s="17">
        <v>0</v>
      </c>
      <c r="J16" s="17">
        <v>0.5</v>
      </c>
      <c r="K16" s="17">
        <v>0</v>
      </c>
      <c r="L16" s="17">
        <v>0.5</v>
      </c>
      <c r="M16" s="17">
        <v>0</v>
      </c>
      <c r="N16" s="17">
        <v>0</v>
      </c>
      <c r="O16" s="17">
        <v>0.5</v>
      </c>
      <c r="P16" s="17">
        <v>0</v>
      </c>
      <c r="Q16" s="17">
        <v>0.5</v>
      </c>
      <c r="R16" s="17">
        <v>0.5</v>
      </c>
      <c r="S16" s="17">
        <v>0</v>
      </c>
      <c r="T16" s="17">
        <v>0.5</v>
      </c>
      <c r="U16" s="17">
        <v>0.5</v>
      </c>
      <c r="V16" s="17">
        <v>1</v>
      </c>
      <c r="W16" s="17">
        <v>0</v>
      </c>
      <c r="X16" s="17">
        <v>0.5</v>
      </c>
      <c r="Y16" s="17">
        <v>0</v>
      </c>
      <c r="Z16" s="17">
        <v>0</v>
      </c>
      <c r="AA16" s="17">
        <v>0.5</v>
      </c>
      <c r="AB16" s="17">
        <v>0.5</v>
      </c>
      <c r="AC16" s="17">
        <v>0.5</v>
      </c>
      <c r="AD16" s="17">
        <v>0</v>
      </c>
      <c r="AE16" s="17">
        <v>0.5</v>
      </c>
      <c r="AF16" s="17">
        <v>0</v>
      </c>
      <c r="AG16" s="17">
        <v>0</v>
      </c>
      <c r="AH16" s="31">
        <f t="shared" si="1"/>
        <v>0.296875</v>
      </c>
      <c r="AI16" s="5" t="s">
        <v>168</v>
      </c>
      <c r="AJ16" s="31">
        <f t="shared" si="4"/>
        <v>0.296875</v>
      </c>
      <c r="AK16" s="5"/>
      <c r="AL16" s="31"/>
      <c r="AM16" s="5" t="s">
        <v>172</v>
      </c>
      <c r="AN16" s="5">
        <f t="shared" si="3"/>
        <v>10</v>
      </c>
      <c r="AO16" s="10">
        <f t="shared" si="2"/>
        <v>0.296875</v>
      </c>
      <c r="AP16" s="26" t="s">
        <v>249</v>
      </c>
    </row>
    <row r="17" spans="1:42" ht="20.100000000000001" customHeight="1" x14ac:dyDescent="0.5">
      <c r="A17" s="16" t="s">
        <v>181</v>
      </c>
      <c r="B17" s="17">
        <v>0</v>
      </c>
      <c r="C17" s="17">
        <v>1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17">
        <v>1</v>
      </c>
      <c r="L17" s="17">
        <v>1</v>
      </c>
      <c r="M17" s="17">
        <v>1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  <c r="W17" s="17">
        <v>1</v>
      </c>
      <c r="X17" s="17">
        <v>1</v>
      </c>
      <c r="Y17" s="17">
        <v>1</v>
      </c>
      <c r="Z17" s="17">
        <v>1</v>
      </c>
      <c r="AA17" s="17">
        <v>1</v>
      </c>
      <c r="AB17" s="17">
        <v>1</v>
      </c>
      <c r="AC17" s="17">
        <v>1</v>
      </c>
      <c r="AD17" s="17">
        <v>1</v>
      </c>
      <c r="AE17" s="17">
        <v>1</v>
      </c>
      <c r="AF17" s="17">
        <v>1</v>
      </c>
      <c r="AG17" s="17">
        <v>1</v>
      </c>
      <c r="AH17" s="31">
        <f t="shared" si="1"/>
        <v>0.96875</v>
      </c>
      <c r="AI17" s="5" t="s">
        <v>168</v>
      </c>
      <c r="AJ17" s="31">
        <f t="shared" si="4"/>
        <v>0.96875</v>
      </c>
      <c r="AK17" s="5"/>
      <c r="AL17" s="31"/>
      <c r="AM17" s="5" t="s">
        <v>172</v>
      </c>
      <c r="AN17" s="5">
        <f t="shared" si="3"/>
        <v>11</v>
      </c>
      <c r="AO17" s="10">
        <f t="shared" si="2"/>
        <v>0.96875</v>
      </c>
      <c r="AP17" s="26" t="s">
        <v>250</v>
      </c>
    </row>
    <row r="18" spans="1:42" ht="20.100000000000001" customHeight="1" x14ac:dyDescent="0.5">
      <c r="A18" s="18" t="s">
        <v>182</v>
      </c>
      <c r="B18" s="17">
        <v>1</v>
      </c>
      <c r="C18" s="17">
        <v>1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0.5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7">
        <v>1</v>
      </c>
      <c r="AD18" s="17">
        <v>1</v>
      </c>
      <c r="AE18" s="17">
        <v>1</v>
      </c>
      <c r="AF18" s="17">
        <v>1</v>
      </c>
      <c r="AG18" s="17">
        <v>1</v>
      </c>
      <c r="AH18" s="31">
        <f t="shared" si="1"/>
        <v>0.984375</v>
      </c>
      <c r="AI18" s="5"/>
      <c r="AJ18" s="31"/>
      <c r="AK18" s="5" t="s">
        <v>169</v>
      </c>
      <c r="AL18" s="31"/>
      <c r="AM18" s="5" t="s">
        <v>172</v>
      </c>
      <c r="AN18" s="5">
        <f t="shared" si="3"/>
        <v>12</v>
      </c>
      <c r="AO18" s="10">
        <f t="shared" si="2"/>
        <v>0.984375</v>
      </c>
      <c r="AP18" s="26" t="s">
        <v>251</v>
      </c>
    </row>
    <row r="19" spans="1:42" ht="20.100000000000001" customHeight="1" x14ac:dyDescent="0.5">
      <c r="A19" s="16" t="s">
        <v>183</v>
      </c>
      <c r="B19" s="17">
        <v>1</v>
      </c>
      <c r="C19" s="17">
        <v>1</v>
      </c>
      <c r="D19" s="17">
        <v>1</v>
      </c>
      <c r="E19" s="17">
        <v>1</v>
      </c>
      <c r="F19" s="17">
        <v>0</v>
      </c>
      <c r="G19" s="17">
        <v>1</v>
      </c>
      <c r="H19" s="17">
        <v>0</v>
      </c>
      <c r="I19" s="17">
        <v>1</v>
      </c>
      <c r="J19" s="17">
        <v>0</v>
      </c>
      <c r="K19" s="17">
        <v>1</v>
      </c>
      <c r="L19" s="17">
        <v>0.5</v>
      </c>
      <c r="M19" s="17">
        <v>1</v>
      </c>
      <c r="N19" s="17">
        <v>1</v>
      </c>
      <c r="O19" s="17">
        <v>0</v>
      </c>
      <c r="P19" s="17">
        <v>0</v>
      </c>
      <c r="Q19" s="17">
        <v>1</v>
      </c>
      <c r="R19" s="17">
        <v>1</v>
      </c>
      <c r="S19" s="17">
        <v>0</v>
      </c>
      <c r="T19" s="17">
        <v>0.5</v>
      </c>
      <c r="U19" s="17">
        <v>1</v>
      </c>
      <c r="V19" s="17">
        <v>1</v>
      </c>
      <c r="W19" s="17">
        <v>1</v>
      </c>
      <c r="X19" s="17">
        <v>1</v>
      </c>
      <c r="Y19" s="17">
        <v>1</v>
      </c>
      <c r="Z19" s="17">
        <v>1</v>
      </c>
      <c r="AA19" s="17">
        <v>1</v>
      </c>
      <c r="AB19" s="17">
        <v>0</v>
      </c>
      <c r="AC19" s="17">
        <v>1</v>
      </c>
      <c r="AD19" s="17">
        <v>1</v>
      </c>
      <c r="AE19" s="17">
        <v>0</v>
      </c>
      <c r="AF19" s="17">
        <v>0</v>
      </c>
      <c r="AG19" s="17">
        <v>1</v>
      </c>
      <c r="AH19" s="31">
        <f t="shared" si="1"/>
        <v>0.6875</v>
      </c>
      <c r="AI19" s="5"/>
      <c r="AJ19" s="31"/>
      <c r="AK19" s="5" t="s">
        <v>169</v>
      </c>
      <c r="AL19" s="31">
        <f>AH19</f>
        <v>0.6875</v>
      </c>
      <c r="AM19" s="5" t="s">
        <v>172</v>
      </c>
      <c r="AN19" s="5">
        <f t="shared" si="3"/>
        <v>13</v>
      </c>
      <c r="AO19" s="10">
        <f t="shared" si="2"/>
        <v>0.6875</v>
      </c>
      <c r="AP19" s="26" t="s">
        <v>252</v>
      </c>
    </row>
    <row r="20" spans="1:42" s="1" customFormat="1" ht="20.100000000000001" customHeight="1" x14ac:dyDescent="0.5">
      <c r="A20" s="16" t="s">
        <v>184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1</v>
      </c>
      <c r="AH20" s="31">
        <f t="shared" si="1"/>
        <v>3.125E-2</v>
      </c>
      <c r="AI20" s="5"/>
      <c r="AJ20" s="31"/>
      <c r="AK20" s="5" t="s">
        <v>169</v>
      </c>
      <c r="AL20" s="31">
        <f>AH20</f>
        <v>3.125E-2</v>
      </c>
      <c r="AM20" s="5" t="s">
        <v>172</v>
      </c>
      <c r="AN20" s="5">
        <f t="shared" si="3"/>
        <v>14</v>
      </c>
      <c r="AO20" s="10">
        <f t="shared" si="2"/>
        <v>3.125E-2</v>
      </c>
      <c r="AP20" s="26" t="s">
        <v>253</v>
      </c>
    </row>
    <row r="21" spans="1:42" ht="20.100000000000001" customHeight="1" x14ac:dyDescent="0.5">
      <c r="A21" s="16" t="s">
        <v>185</v>
      </c>
      <c r="B21" s="17">
        <v>1</v>
      </c>
      <c r="C21" s="17">
        <v>1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17">
        <v>1</v>
      </c>
      <c r="L21" s="17">
        <v>0.5</v>
      </c>
      <c r="M21" s="17">
        <v>1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0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>
        <v>1</v>
      </c>
      <c r="AA21" s="17">
        <v>1</v>
      </c>
      <c r="AB21" s="17">
        <v>1</v>
      </c>
      <c r="AC21" s="17">
        <v>1</v>
      </c>
      <c r="AD21" s="17">
        <v>1</v>
      </c>
      <c r="AE21" s="17">
        <v>1</v>
      </c>
      <c r="AF21" s="17">
        <v>1</v>
      </c>
      <c r="AG21" s="17">
        <v>1</v>
      </c>
      <c r="AH21" s="31">
        <f t="shared" si="1"/>
        <v>0.953125</v>
      </c>
      <c r="AI21" s="5"/>
      <c r="AJ21" s="31"/>
      <c r="AK21" s="5" t="s">
        <v>169</v>
      </c>
      <c r="AL21" s="31">
        <f>AH21</f>
        <v>0.953125</v>
      </c>
      <c r="AM21" s="5" t="s">
        <v>172</v>
      </c>
      <c r="AN21" s="5">
        <f t="shared" si="3"/>
        <v>15</v>
      </c>
      <c r="AO21" s="10">
        <f t="shared" si="2"/>
        <v>0.953125</v>
      </c>
      <c r="AP21" s="26" t="s">
        <v>254</v>
      </c>
    </row>
    <row r="22" spans="1:42" ht="20.100000000000001" customHeight="1" x14ac:dyDescent="0.5">
      <c r="A22" s="16" t="s">
        <v>186</v>
      </c>
      <c r="B22" s="17">
        <v>1</v>
      </c>
      <c r="C22" s="17">
        <v>1</v>
      </c>
      <c r="D22" s="17">
        <v>0</v>
      </c>
      <c r="E22" s="17">
        <v>1</v>
      </c>
      <c r="F22" s="17">
        <v>1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1</v>
      </c>
      <c r="M22" s="17">
        <v>0</v>
      </c>
      <c r="N22" s="17">
        <v>1</v>
      </c>
      <c r="O22" s="17">
        <v>1</v>
      </c>
      <c r="P22" s="17">
        <v>0</v>
      </c>
      <c r="Q22" s="17">
        <v>1</v>
      </c>
      <c r="R22" s="17">
        <v>1</v>
      </c>
      <c r="S22" s="17">
        <v>1</v>
      </c>
      <c r="T22" s="17">
        <v>1</v>
      </c>
      <c r="U22" s="17">
        <v>0</v>
      </c>
      <c r="V22" s="17">
        <v>1</v>
      </c>
      <c r="W22" s="17">
        <v>1</v>
      </c>
      <c r="X22" s="17">
        <v>1</v>
      </c>
      <c r="Y22" s="17">
        <v>0</v>
      </c>
      <c r="Z22" s="17">
        <v>1</v>
      </c>
      <c r="AA22" s="17">
        <v>1</v>
      </c>
      <c r="AB22" s="17">
        <v>1</v>
      </c>
      <c r="AC22" s="17">
        <v>1</v>
      </c>
      <c r="AD22" s="17">
        <v>0</v>
      </c>
      <c r="AE22" s="17">
        <v>0</v>
      </c>
      <c r="AF22" s="17">
        <v>1</v>
      </c>
      <c r="AG22" s="17">
        <v>1</v>
      </c>
      <c r="AH22" s="31">
        <f t="shared" si="1"/>
        <v>0.625</v>
      </c>
      <c r="AI22" s="5"/>
      <c r="AJ22" s="31"/>
      <c r="AK22" s="5"/>
      <c r="AL22" s="31"/>
      <c r="AM22" s="5" t="s">
        <v>172</v>
      </c>
      <c r="AN22" s="5">
        <f t="shared" si="3"/>
        <v>16</v>
      </c>
      <c r="AO22" s="10">
        <f t="shared" si="2"/>
        <v>0.625</v>
      </c>
      <c r="AP22" s="26" t="s">
        <v>255</v>
      </c>
    </row>
    <row r="23" spans="1:42" ht="27.6" x14ac:dyDescent="0.5">
      <c r="A23" s="16" t="s">
        <v>187</v>
      </c>
      <c r="B23" s="17">
        <v>0.5</v>
      </c>
      <c r="C23" s="17">
        <v>1</v>
      </c>
      <c r="D23" s="17">
        <v>0.5</v>
      </c>
      <c r="E23" s="17">
        <v>1</v>
      </c>
      <c r="F23" s="17">
        <v>1</v>
      </c>
      <c r="G23" s="17">
        <v>0</v>
      </c>
      <c r="H23" s="17">
        <v>1</v>
      </c>
      <c r="I23" s="17">
        <v>0.5</v>
      </c>
      <c r="J23" s="17">
        <v>1</v>
      </c>
      <c r="K23" s="17">
        <v>1</v>
      </c>
      <c r="L23" s="17">
        <v>1</v>
      </c>
      <c r="M23" s="17">
        <v>1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0.5</v>
      </c>
      <c r="V23" s="17">
        <v>1</v>
      </c>
      <c r="W23" s="17">
        <v>0.5</v>
      </c>
      <c r="X23" s="17">
        <v>1</v>
      </c>
      <c r="Y23" s="17">
        <v>0</v>
      </c>
      <c r="Z23" s="17">
        <v>0.5</v>
      </c>
      <c r="AA23" s="17">
        <v>0.5</v>
      </c>
      <c r="AB23" s="17">
        <v>1</v>
      </c>
      <c r="AC23" s="17">
        <v>0</v>
      </c>
      <c r="AD23" s="17">
        <v>0</v>
      </c>
      <c r="AE23" s="17">
        <v>0</v>
      </c>
      <c r="AF23" s="17">
        <v>1</v>
      </c>
      <c r="AG23" s="17">
        <v>0.5</v>
      </c>
      <c r="AH23" s="31">
        <f t="shared" si="1"/>
        <v>0.71875</v>
      </c>
      <c r="AI23" s="5" t="s">
        <v>168</v>
      </c>
      <c r="AJ23" s="31">
        <f>AH23</f>
        <v>0.71875</v>
      </c>
      <c r="AK23" s="5" t="s">
        <v>169</v>
      </c>
      <c r="AL23" s="31">
        <f>AH23</f>
        <v>0.71875</v>
      </c>
      <c r="AM23" s="5" t="s">
        <v>172</v>
      </c>
      <c r="AN23" s="5">
        <f t="shared" si="3"/>
        <v>17</v>
      </c>
      <c r="AO23" s="10">
        <f t="shared" si="2"/>
        <v>0.71875</v>
      </c>
      <c r="AP23" s="26" t="s">
        <v>256</v>
      </c>
    </row>
    <row r="24" spans="1:42" ht="27.6" x14ac:dyDescent="0.3">
      <c r="A24" s="16" t="s">
        <v>188</v>
      </c>
      <c r="B24" s="17">
        <v>0</v>
      </c>
      <c r="C24" s="17" t="s">
        <v>189</v>
      </c>
      <c r="D24" s="17">
        <v>1</v>
      </c>
      <c r="E24" s="17">
        <v>0</v>
      </c>
      <c r="F24" s="17">
        <v>0</v>
      </c>
      <c r="G24" s="17">
        <v>0</v>
      </c>
      <c r="H24" s="17">
        <v>1</v>
      </c>
      <c r="I24" s="17">
        <v>0</v>
      </c>
      <c r="J24" s="17">
        <v>1</v>
      </c>
      <c r="K24" s="17">
        <v>0</v>
      </c>
      <c r="L24" s="17">
        <v>1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1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1</v>
      </c>
      <c r="AD24" s="17">
        <v>0</v>
      </c>
      <c r="AE24" s="17">
        <v>1</v>
      </c>
      <c r="AF24" s="17">
        <v>0</v>
      </c>
      <c r="AG24" s="17">
        <v>0</v>
      </c>
      <c r="AH24" s="31">
        <f t="shared" si="1"/>
        <v>0.22580645161290322</v>
      </c>
      <c r="AI24" s="5" t="s">
        <v>168</v>
      </c>
      <c r="AJ24" s="31">
        <f>AH24</f>
        <v>0.22580645161290322</v>
      </c>
      <c r="AK24" s="5"/>
      <c r="AL24" s="31"/>
      <c r="AM24" s="5"/>
      <c r="AN24" s="5"/>
      <c r="AO24" s="10">
        <f>AVERAGE(AH7:AH23)</f>
        <v>0.72242647058823528</v>
      </c>
      <c r="AP24" s="5"/>
    </row>
    <row r="25" spans="1:42" ht="20.100000000000001" customHeight="1" x14ac:dyDescent="0.3">
      <c r="A25" s="16" t="s">
        <v>257</v>
      </c>
      <c r="B25" s="17">
        <v>1</v>
      </c>
      <c r="C25" s="17">
        <v>1</v>
      </c>
      <c r="D25" s="17">
        <v>0</v>
      </c>
      <c r="E25" s="17">
        <v>0</v>
      </c>
      <c r="F25" s="17">
        <v>0</v>
      </c>
      <c r="G25" s="17">
        <v>1</v>
      </c>
      <c r="H25" s="17">
        <v>1</v>
      </c>
      <c r="I25" s="17">
        <v>1</v>
      </c>
      <c r="J25" s="17">
        <v>1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1</v>
      </c>
      <c r="T25" s="17">
        <v>1</v>
      </c>
      <c r="U25" s="17">
        <v>0</v>
      </c>
      <c r="V25" s="17">
        <v>1</v>
      </c>
      <c r="W25" s="17">
        <v>0</v>
      </c>
      <c r="X25" s="17">
        <v>0.5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1</v>
      </c>
      <c r="AE25" s="17">
        <v>1</v>
      </c>
      <c r="AF25" s="17">
        <v>1</v>
      </c>
      <c r="AG25" s="17">
        <v>0</v>
      </c>
      <c r="AH25" s="31">
        <f t="shared" si="1"/>
        <v>0.390625</v>
      </c>
      <c r="AI25" s="5" t="s">
        <v>168</v>
      </c>
      <c r="AJ25" s="31">
        <f>AH25</f>
        <v>0.390625</v>
      </c>
      <c r="AK25" s="5"/>
      <c r="AL25" s="31"/>
      <c r="AM25" s="5"/>
      <c r="AN25" s="5"/>
      <c r="AO25" s="5"/>
      <c r="AP25" s="5"/>
    </row>
    <row r="26" spans="1:42" ht="20.100000000000001" customHeight="1" x14ac:dyDescent="0.3">
      <c r="A26" s="16" t="s">
        <v>190</v>
      </c>
      <c r="B26" s="17">
        <v>0</v>
      </c>
      <c r="C26" s="17">
        <v>0.5</v>
      </c>
      <c r="D26" s="17">
        <v>0</v>
      </c>
      <c r="E26" s="17">
        <v>0</v>
      </c>
      <c r="F26" s="17">
        <v>0</v>
      </c>
      <c r="G26" s="17">
        <v>1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0.5</v>
      </c>
      <c r="R26" s="17">
        <v>0</v>
      </c>
      <c r="S26" s="17">
        <v>0</v>
      </c>
      <c r="T26" s="17">
        <v>0.5</v>
      </c>
      <c r="U26" s="17">
        <v>0.5</v>
      </c>
      <c r="V26" s="17">
        <v>0</v>
      </c>
      <c r="W26" s="17">
        <v>0</v>
      </c>
      <c r="X26" s="17">
        <v>0.5</v>
      </c>
      <c r="Y26" s="17">
        <v>0</v>
      </c>
      <c r="Z26" s="17">
        <v>0</v>
      </c>
      <c r="AA26" s="17">
        <v>0</v>
      </c>
      <c r="AB26" s="17"/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31">
        <f t="shared" si="1"/>
        <v>0.11290322580645161</v>
      </c>
      <c r="AI26" s="5"/>
      <c r="AJ26" s="31"/>
      <c r="AK26" s="5" t="s">
        <v>169</v>
      </c>
      <c r="AL26" s="31">
        <f>AH26</f>
        <v>0.11290322580645161</v>
      </c>
      <c r="AM26" s="5"/>
      <c r="AN26" s="5"/>
      <c r="AO26" s="5"/>
      <c r="AP26" s="5"/>
    </row>
    <row r="27" spans="1:42" ht="20.100000000000001" customHeight="1" x14ac:dyDescent="0.3">
      <c r="A27" s="16" t="s">
        <v>258</v>
      </c>
      <c r="B27" s="17" t="s">
        <v>189</v>
      </c>
      <c r="C27" s="17">
        <v>1</v>
      </c>
      <c r="D27" s="17" t="s">
        <v>189</v>
      </c>
      <c r="E27" s="17">
        <v>0</v>
      </c>
      <c r="F27" s="17">
        <v>0</v>
      </c>
      <c r="G27" s="17" t="s">
        <v>189</v>
      </c>
      <c r="H27" s="17" t="s">
        <v>189</v>
      </c>
      <c r="I27" s="17" t="s">
        <v>189</v>
      </c>
      <c r="J27" s="17" t="s">
        <v>189</v>
      </c>
      <c r="K27" s="17">
        <v>1</v>
      </c>
      <c r="L27" s="17" t="s">
        <v>189</v>
      </c>
      <c r="M27" s="17">
        <v>0.5</v>
      </c>
      <c r="N27" s="17" t="s">
        <v>189</v>
      </c>
      <c r="O27" s="17" t="s">
        <v>189</v>
      </c>
      <c r="P27" s="17">
        <v>0</v>
      </c>
      <c r="Q27" s="17" t="s">
        <v>189</v>
      </c>
      <c r="R27" s="17" t="s">
        <v>189</v>
      </c>
      <c r="S27" s="17" t="s">
        <v>189</v>
      </c>
      <c r="T27" s="17">
        <v>0.5</v>
      </c>
      <c r="U27" s="17">
        <v>0</v>
      </c>
      <c r="V27" s="17">
        <v>1</v>
      </c>
      <c r="W27" s="17">
        <v>0.5</v>
      </c>
      <c r="X27" s="17">
        <v>0.5</v>
      </c>
      <c r="Y27" s="17">
        <v>0.5</v>
      </c>
      <c r="Z27" s="17" t="s">
        <v>189</v>
      </c>
      <c r="AA27" s="17" t="s">
        <v>189</v>
      </c>
      <c r="AB27" s="17" t="s">
        <v>189</v>
      </c>
      <c r="AC27" s="17" t="s">
        <v>189</v>
      </c>
      <c r="AD27" s="17">
        <v>0.5</v>
      </c>
      <c r="AE27" s="17" t="s">
        <v>189</v>
      </c>
      <c r="AF27" s="17" t="s">
        <v>189</v>
      </c>
      <c r="AG27" s="17">
        <v>0</v>
      </c>
      <c r="AH27" s="31">
        <f t="shared" si="1"/>
        <v>0.42857142857142855</v>
      </c>
      <c r="AI27" s="5" t="s">
        <v>168</v>
      </c>
      <c r="AJ27" s="31">
        <f>AH27</f>
        <v>0.42857142857142855</v>
      </c>
      <c r="AK27" s="5"/>
      <c r="AL27" s="31"/>
      <c r="AM27" s="5"/>
      <c r="AN27" s="5"/>
      <c r="AO27" s="5"/>
      <c r="AP27" s="5"/>
    </row>
    <row r="28" spans="1:42" ht="27.6" x14ac:dyDescent="0.3">
      <c r="A28" s="16" t="s">
        <v>259</v>
      </c>
      <c r="B28" s="17">
        <v>0</v>
      </c>
      <c r="C28" s="17">
        <v>1</v>
      </c>
      <c r="D28" s="17">
        <v>0</v>
      </c>
      <c r="E28" s="17">
        <v>0</v>
      </c>
      <c r="F28" s="17">
        <v>0</v>
      </c>
      <c r="G28" s="17">
        <v>0</v>
      </c>
      <c r="H28" s="17">
        <v>1</v>
      </c>
      <c r="I28" s="17">
        <v>1</v>
      </c>
      <c r="J28" s="17">
        <v>1</v>
      </c>
      <c r="K28" s="17">
        <v>0</v>
      </c>
      <c r="L28" s="17">
        <v>1</v>
      </c>
      <c r="M28" s="17">
        <v>0</v>
      </c>
      <c r="N28" s="17">
        <v>0</v>
      </c>
      <c r="O28" s="17">
        <v>0</v>
      </c>
      <c r="P28" s="17">
        <v>1</v>
      </c>
      <c r="Q28" s="17">
        <v>0</v>
      </c>
      <c r="R28" s="17">
        <v>0</v>
      </c>
      <c r="S28" s="17">
        <v>0</v>
      </c>
      <c r="T28" s="17">
        <v>0</v>
      </c>
      <c r="U28" s="17">
        <v>1</v>
      </c>
      <c r="V28" s="17">
        <v>1</v>
      </c>
      <c r="W28" s="17">
        <v>1</v>
      </c>
      <c r="X28" s="17">
        <v>1</v>
      </c>
      <c r="Y28" s="17">
        <v>1</v>
      </c>
      <c r="Z28" s="17">
        <v>0</v>
      </c>
      <c r="AA28" s="17">
        <v>0</v>
      </c>
      <c r="AB28" s="17">
        <v>0</v>
      </c>
      <c r="AC28" s="17">
        <v>0</v>
      </c>
      <c r="AD28" s="17">
        <v>1</v>
      </c>
      <c r="AE28" s="17">
        <v>1</v>
      </c>
      <c r="AF28" s="17">
        <v>0</v>
      </c>
      <c r="AG28" s="17">
        <v>1</v>
      </c>
      <c r="AH28" s="31">
        <f t="shared" si="1"/>
        <v>0.4375</v>
      </c>
      <c r="AI28" s="5" t="s">
        <v>168</v>
      </c>
      <c r="AJ28" s="31">
        <f>AH28</f>
        <v>0.4375</v>
      </c>
      <c r="AK28" s="5"/>
      <c r="AL28" s="31"/>
      <c r="AM28" s="5"/>
      <c r="AN28" s="5"/>
      <c r="AO28" s="5"/>
      <c r="AP28" s="5"/>
    </row>
    <row r="29" spans="1:42" ht="27.6" x14ac:dyDescent="0.3">
      <c r="A29" s="16" t="s">
        <v>191</v>
      </c>
      <c r="B29" s="17">
        <v>1</v>
      </c>
      <c r="C29" s="17">
        <v>1</v>
      </c>
      <c r="D29" s="17">
        <v>1</v>
      </c>
      <c r="E29" s="17">
        <v>1</v>
      </c>
      <c r="F29" s="17">
        <v>1</v>
      </c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</v>
      </c>
      <c r="P29" s="17">
        <v>1</v>
      </c>
      <c r="Q29" s="17">
        <v>1</v>
      </c>
      <c r="R29" s="17">
        <v>1</v>
      </c>
      <c r="S29" s="17">
        <v>1</v>
      </c>
      <c r="T29" s="17">
        <v>1</v>
      </c>
      <c r="U29" s="17">
        <v>1</v>
      </c>
      <c r="V29" s="17">
        <v>1</v>
      </c>
      <c r="W29" s="17" t="s">
        <v>189</v>
      </c>
      <c r="X29" s="17" t="s">
        <v>189</v>
      </c>
      <c r="Y29" s="17">
        <v>1</v>
      </c>
      <c r="Z29" s="17">
        <v>1</v>
      </c>
      <c r="AA29" s="17">
        <v>1</v>
      </c>
      <c r="AB29" s="17">
        <v>1</v>
      </c>
      <c r="AC29" s="17">
        <v>1</v>
      </c>
      <c r="AD29" s="17">
        <v>1</v>
      </c>
      <c r="AE29" s="17">
        <v>1</v>
      </c>
      <c r="AF29" s="17">
        <v>1</v>
      </c>
      <c r="AG29" s="17">
        <v>1</v>
      </c>
      <c r="AH29" s="31">
        <f t="shared" si="1"/>
        <v>1</v>
      </c>
      <c r="AI29" s="5" t="s">
        <v>168</v>
      </c>
      <c r="AJ29" s="31">
        <f>AH29</f>
        <v>1</v>
      </c>
      <c r="AK29" s="5"/>
      <c r="AL29" s="31"/>
      <c r="AM29" s="5"/>
      <c r="AN29" s="5"/>
      <c r="AO29" s="5"/>
      <c r="AP29" s="5"/>
    </row>
    <row r="30" spans="1:42" ht="27.6" x14ac:dyDescent="0.3">
      <c r="A30" s="16" t="s">
        <v>192</v>
      </c>
      <c r="B30" s="17">
        <v>0.5</v>
      </c>
      <c r="C30" s="17">
        <v>1</v>
      </c>
      <c r="D30" s="17">
        <v>0</v>
      </c>
      <c r="E30" s="17">
        <v>0</v>
      </c>
      <c r="F30" s="17">
        <v>1</v>
      </c>
      <c r="G30" s="17">
        <v>0</v>
      </c>
      <c r="H30" s="17">
        <v>0.5</v>
      </c>
      <c r="I30" s="17">
        <v>0</v>
      </c>
      <c r="J30" s="17">
        <v>0.5</v>
      </c>
      <c r="K30" s="17">
        <v>0</v>
      </c>
      <c r="L30" s="17">
        <v>0.5</v>
      </c>
      <c r="M30" s="17">
        <v>0</v>
      </c>
      <c r="N30" s="17">
        <v>0</v>
      </c>
      <c r="O30" s="17">
        <v>0</v>
      </c>
      <c r="P30" s="17">
        <v>0</v>
      </c>
      <c r="Q30" s="17">
        <v>0.5</v>
      </c>
      <c r="R30" s="17">
        <v>0.5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0.5</v>
      </c>
      <c r="Y30" s="17">
        <v>0</v>
      </c>
      <c r="Z30" s="17">
        <v>0</v>
      </c>
      <c r="AA30" s="17">
        <v>0.5</v>
      </c>
      <c r="AB30" s="17">
        <v>0</v>
      </c>
      <c r="AC30" s="17">
        <v>0.5</v>
      </c>
      <c r="AD30" s="17">
        <v>0</v>
      </c>
      <c r="AE30" s="17">
        <v>0</v>
      </c>
      <c r="AF30" s="17">
        <v>0</v>
      </c>
      <c r="AG30" s="17">
        <v>0.5</v>
      </c>
      <c r="AH30" s="31">
        <f t="shared" si="1"/>
        <v>0.21875</v>
      </c>
      <c r="AI30" s="5"/>
      <c r="AJ30" s="31"/>
      <c r="AK30" s="5" t="s">
        <v>169</v>
      </c>
      <c r="AL30" s="31">
        <f>AH30</f>
        <v>0.21875</v>
      </c>
      <c r="AM30" s="5"/>
      <c r="AN30" s="5"/>
      <c r="AO30" s="5"/>
      <c r="AP30" s="5"/>
    </row>
    <row r="31" spans="1:42" ht="27.6" x14ac:dyDescent="0.3">
      <c r="A31" s="16" t="s">
        <v>193</v>
      </c>
      <c r="B31" s="17">
        <v>1</v>
      </c>
      <c r="C31" s="17">
        <v>1</v>
      </c>
      <c r="D31" s="17">
        <v>0</v>
      </c>
      <c r="E31" s="17">
        <v>1</v>
      </c>
      <c r="F31" s="17">
        <v>1</v>
      </c>
      <c r="G31" s="17">
        <v>1</v>
      </c>
      <c r="H31" s="17">
        <v>1</v>
      </c>
      <c r="I31" s="17">
        <v>0</v>
      </c>
      <c r="J31" s="17">
        <v>1</v>
      </c>
      <c r="K31" s="17">
        <v>1</v>
      </c>
      <c r="L31" s="17">
        <v>1</v>
      </c>
      <c r="M31" s="17">
        <v>1</v>
      </c>
      <c r="N31" s="17">
        <v>1</v>
      </c>
      <c r="O31" s="17">
        <v>0</v>
      </c>
      <c r="P31" s="17">
        <v>1</v>
      </c>
      <c r="Q31" s="17">
        <v>0</v>
      </c>
      <c r="R31" s="17">
        <v>1</v>
      </c>
      <c r="S31" s="17">
        <v>0</v>
      </c>
      <c r="T31" s="17">
        <v>0</v>
      </c>
      <c r="U31" s="17">
        <v>1</v>
      </c>
      <c r="V31" s="17">
        <v>1</v>
      </c>
      <c r="W31" s="17">
        <v>1</v>
      </c>
      <c r="X31" s="17">
        <v>0</v>
      </c>
      <c r="Y31" s="17">
        <v>0</v>
      </c>
      <c r="Z31" s="17">
        <v>1</v>
      </c>
      <c r="AA31" s="17">
        <v>1</v>
      </c>
      <c r="AB31" s="17">
        <v>1</v>
      </c>
      <c r="AC31" s="17">
        <v>1</v>
      </c>
      <c r="AD31" s="17">
        <v>0</v>
      </c>
      <c r="AE31" s="17">
        <v>1</v>
      </c>
      <c r="AF31" s="17">
        <v>0</v>
      </c>
      <c r="AG31" s="17">
        <v>0.5</v>
      </c>
      <c r="AH31" s="31">
        <f t="shared" si="1"/>
        <v>0.671875</v>
      </c>
      <c r="AI31" s="5"/>
      <c r="AJ31" s="31"/>
      <c r="AK31" s="5" t="s">
        <v>169</v>
      </c>
      <c r="AL31" s="31">
        <f>AH31</f>
        <v>0.671875</v>
      </c>
      <c r="AM31" s="5"/>
      <c r="AN31" s="5"/>
      <c r="AO31" s="5"/>
      <c r="AP31" s="5"/>
    </row>
    <row r="32" spans="1:42" ht="27.6" x14ac:dyDescent="0.3">
      <c r="A32" s="16" t="s">
        <v>194</v>
      </c>
      <c r="B32" s="17">
        <v>1</v>
      </c>
      <c r="C32" s="17">
        <v>0</v>
      </c>
      <c r="D32" s="17">
        <v>0</v>
      </c>
      <c r="E32" s="17">
        <v>0</v>
      </c>
      <c r="F32" s="17">
        <v>0</v>
      </c>
      <c r="G32" s="17">
        <v>1</v>
      </c>
      <c r="H32" s="17" t="s">
        <v>189</v>
      </c>
      <c r="I32" s="17" t="s">
        <v>189</v>
      </c>
      <c r="J32" s="17" t="s">
        <v>189</v>
      </c>
      <c r="K32" s="17">
        <v>0</v>
      </c>
      <c r="L32" s="17">
        <v>1</v>
      </c>
      <c r="M32" s="17">
        <v>0</v>
      </c>
      <c r="N32" s="17" t="s">
        <v>189</v>
      </c>
      <c r="O32" s="17">
        <v>0</v>
      </c>
      <c r="P32" s="17">
        <v>0</v>
      </c>
      <c r="Q32" s="17" t="s">
        <v>189</v>
      </c>
      <c r="R32" s="17">
        <v>1</v>
      </c>
      <c r="S32" s="17" t="s">
        <v>189</v>
      </c>
      <c r="T32" s="17">
        <v>1</v>
      </c>
      <c r="U32" s="17" t="s">
        <v>189</v>
      </c>
      <c r="V32" s="17" t="s">
        <v>189</v>
      </c>
      <c r="W32" s="17">
        <v>1</v>
      </c>
      <c r="X32" s="17">
        <v>1</v>
      </c>
      <c r="Y32" s="17" t="s">
        <v>189</v>
      </c>
      <c r="Z32" s="17">
        <v>0</v>
      </c>
      <c r="AA32" s="17">
        <v>1</v>
      </c>
      <c r="AB32" s="17">
        <v>1</v>
      </c>
      <c r="AC32" s="17" t="s">
        <v>189</v>
      </c>
      <c r="AD32" s="17">
        <v>0</v>
      </c>
      <c r="AE32" s="17" t="s">
        <v>189</v>
      </c>
      <c r="AF32" s="17" t="s">
        <v>189</v>
      </c>
      <c r="AG32" s="17">
        <v>1</v>
      </c>
      <c r="AH32" s="31">
        <f t="shared" si="1"/>
        <v>0.5</v>
      </c>
      <c r="AI32" s="5" t="s">
        <v>168</v>
      </c>
      <c r="AJ32" s="31">
        <f>AH32</f>
        <v>0.5</v>
      </c>
      <c r="AK32" s="5"/>
      <c r="AL32" s="31"/>
      <c r="AM32" s="5"/>
      <c r="AN32" s="5"/>
      <c r="AO32" s="5"/>
      <c r="AP32" s="5"/>
    </row>
    <row r="33" spans="1:42" ht="20.100000000000001" customHeight="1" x14ac:dyDescent="0.3">
      <c r="A33" s="16" t="s">
        <v>195</v>
      </c>
      <c r="B33" s="17">
        <v>1</v>
      </c>
      <c r="C33" s="17">
        <v>1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17">
        <v>1</v>
      </c>
      <c r="L33" s="17">
        <v>1</v>
      </c>
      <c r="M33" s="17">
        <v>0</v>
      </c>
      <c r="N33" s="17">
        <v>0</v>
      </c>
      <c r="O33" s="17">
        <v>1</v>
      </c>
      <c r="P33" s="17">
        <v>1</v>
      </c>
      <c r="Q33" s="17">
        <v>1</v>
      </c>
      <c r="R33" s="17">
        <v>1</v>
      </c>
      <c r="S33" s="17">
        <v>1</v>
      </c>
      <c r="T33" s="17">
        <v>1</v>
      </c>
      <c r="U33" s="17">
        <v>1</v>
      </c>
      <c r="V33" s="17">
        <v>1</v>
      </c>
      <c r="W33" s="17">
        <v>1</v>
      </c>
      <c r="X33" s="17">
        <v>1</v>
      </c>
      <c r="Y33" s="17">
        <v>1</v>
      </c>
      <c r="Z33" s="17">
        <v>0</v>
      </c>
      <c r="AA33" s="17">
        <v>1</v>
      </c>
      <c r="AB33" s="17">
        <v>0</v>
      </c>
      <c r="AC33" s="17">
        <v>1</v>
      </c>
      <c r="AD33" s="17">
        <v>1</v>
      </c>
      <c r="AE33" s="17">
        <v>1</v>
      </c>
      <c r="AF33" s="17">
        <v>1</v>
      </c>
      <c r="AG33" s="17">
        <v>1</v>
      </c>
      <c r="AH33" s="31">
        <f t="shared" si="1"/>
        <v>0.875</v>
      </c>
      <c r="AI33" s="5"/>
      <c r="AJ33" s="31"/>
      <c r="AK33" s="5"/>
      <c r="AL33" s="31"/>
      <c r="AM33" s="5"/>
      <c r="AN33" s="5"/>
      <c r="AO33" s="5"/>
      <c r="AP33" s="5"/>
    </row>
    <row r="34" spans="1:42" ht="20.100000000000001" customHeight="1" x14ac:dyDescent="0.3">
      <c r="A34" s="16" t="s">
        <v>196</v>
      </c>
      <c r="B34" s="17" t="s">
        <v>189</v>
      </c>
      <c r="C34" s="17" t="s">
        <v>189</v>
      </c>
      <c r="D34" s="17" t="s">
        <v>189</v>
      </c>
      <c r="E34" s="17">
        <v>1</v>
      </c>
      <c r="F34" s="17" t="s">
        <v>189</v>
      </c>
      <c r="G34" s="17" t="s">
        <v>189</v>
      </c>
      <c r="H34" s="17" t="s">
        <v>189</v>
      </c>
      <c r="I34" s="17" t="s">
        <v>189</v>
      </c>
      <c r="J34" s="17" t="s">
        <v>189</v>
      </c>
      <c r="K34" s="17" t="s">
        <v>189</v>
      </c>
      <c r="L34" s="17" t="s">
        <v>189</v>
      </c>
      <c r="M34" s="17" t="s">
        <v>189</v>
      </c>
      <c r="N34" s="17" t="s">
        <v>189</v>
      </c>
      <c r="O34" s="17" t="s">
        <v>189</v>
      </c>
      <c r="P34" s="17" t="s">
        <v>189</v>
      </c>
      <c r="Q34" s="17" t="s">
        <v>189</v>
      </c>
      <c r="R34" s="17" t="s">
        <v>189</v>
      </c>
      <c r="S34" s="17" t="s">
        <v>189</v>
      </c>
      <c r="T34" s="17" t="s">
        <v>189</v>
      </c>
      <c r="U34" s="17" t="s">
        <v>189</v>
      </c>
      <c r="V34" s="17" t="s">
        <v>189</v>
      </c>
      <c r="W34" s="17" t="s">
        <v>189</v>
      </c>
      <c r="X34" s="17" t="s">
        <v>189</v>
      </c>
      <c r="Y34" s="17" t="s">
        <v>189</v>
      </c>
      <c r="Z34" s="17" t="s">
        <v>189</v>
      </c>
      <c r="AA34" s="17" t="s">
        <v>189</v>
      </c>
      <c r="AB34" s="17" t="s">
        <v>189</v>
      </c>
      <c r="AC34" s="17" t="s">
        <v>189</v>
      </c>
      <c r="AD34" s="17">
        <v>1</v>
      </c>
      <c r="AE34" s="17" t="s">
        <v>189</v>
      </c>
      <c r="AF34" s="17" t="s">
        <v>189</v>
      </c>
      <c r="AG34" s="17" t="s">
        <v>97</v>
      </c>
      <c r="AH34" s="31">
        <f t="shared" si="1"/>
        <v>1</v>
      </c>
      <c r="AI34" s="5" t="s">
        <v>168</v>
      </c>
      <c r="AJ34" s="31">
        <f t="shared" ref="AJ34:AJ43" si="5">AH34</f>
        <v>1</v>
      </c>
      <c r="AK34" s="5"/>
      <c r="AL34" s="31"/>
      <c r="AM34" s="5"/>
      <c r="AN34" s="5"/>
      <c r="AO34" s="5"/>
      <c r="AP34" s="5"/>
    </row>
    <row r="35" spans="1:42" ht="27.6" x14ac:dyDescent="0.3">
      <c r="A35" s="16" t="s">
        <v>197</v>
      </c>
      <c r="B35" s="17"/>
      <c r="C35" s="17"/>
      <c r="D35" s="17">
        <v>1</v>
      </c>
      <c r="E35" s="17">
        <v>1</v>
      </c>
      <c r="F35" s="17">
        <v>0</v>
      </c>
      <c r="G35" s="17"/>
      <c r="H35" s="17" t="s">
        <v>189</v>
      </c>
      <c r="I35" s="17" t="s">
        <v>189</v>
      </c>
      <c r="J35" s="17" t="s">
        <v>189</v>
      </c>
      <c r="K35" s="17" t="s">
        <v>189</v>
      </c>
      <c r="L35" s="17" t="s">
        <v>189</v>
      </c>
      <c r="M35" s="17" t="s">
        <v>189</v>
      </c>
      <c r="N35" s="17">
        <v>0</v>
      </c>
      <c r="O35" s="17" t="s">
        <v>189</v>
      </c>
      <c r="P35" s="17">
        <v>1</v>
      </c>
      <c r="Q35" s="17" t="s">
        <v>189</v>
      </c>
      <c r="R35" s="17">
        <v>1</v>
      </c>
      <c r="S35" s="17" t="s">
        <v>189</v>
      </c>
      <c r="T35" s="17" t="s">
        <v>189</v>
      </c>
      <c r="U35" s="17">
        <v>1</v>
      </c>
      <c r="V35" s="17" t="s">
        <v>189</v>
      </c>
      <c r="W35" s="17">
        <v>1</v>
      </c>
      <c r="X35" s="17">
        <v>1</v>
      </c>
      <c r="Y35" s="17">
        <v>0</v>
      </c>
      <c r="Z35" s="17">
        <v>0.5</v>
      </c>
      <c r="AA35" s="17" t="s">
        <v>189</v>
      </c>
      <c r="AB35" s="17" t="s">
        <v>189</v>
      </c>
      <c r="AC35" s="17">
        <v>1</v>
      </c>
      <c r="AD35" s="17">
        <v>0</v>
      </c>
      <c r="AE35" s="17">
        <v>0</v>
      </c>
      <c r="AF35" s="17">
        <v>0</v>
      </c>
      <c r="AG35" s="17" t="s">
        <v>97</v>
      </c>
      <c r="AH35" s="31">
        <f t="shared" si="1"/>
        <v>0.56666666666666665</v>
      </c>
      <c r="AI35" s="5" t="s">
        <v>168</v>
      </c>
      <c r="AJ35" s="31">
        <f t="shared" si="5"/>
        <v>0.56666666666666665</v>
      </c>
      <c r="AK35" s="5"/>
      <c r="AL35" s="31"/>
      <c r="AM35" s="5"/>
      <c r="AN35" s="5"/>
      <c r="AO35" s="5"/>
      <c r="AP35" s="5"/>
    </row>
    <row r="36" spans="1:42" ht="20.100000000000001" customHeight="1" x14ac:dyDescent="0.3">
      <c r="A36" s="16" t="s">
        <v>198</v>
      </c>
      <c r="B36" s="17">
        <v>0.5</v>
      </c>
      <c r="C36" s="17">
        <v>1</v>
      </c>
      <c r="D36" s="17">
        <v>0</v>
      </c>
      <c r="E36" s="17">
        <v>0</v>
      </c>
      <c r="F36" s="17">
        <v>0.5</v>
      </c>
      <c r="G36" s="17">
        <v>0</v>
      </c>
      <c r="H36" s="17">
        <v>0</v>
      </c>
      <c r="I36" s="17">
        <v>0</v>
      </c>
      <c r="J36" s="17">
        <v>0</v>
      </c>
      <c r="K36" s="17">
        <v>0.5</v>
      </c>
      <c r="L36" s="17">
        <v>0.5</v>
      </c>
      <c r="M36" s="17">
        <v>0.5</v>
      </c>
      <c r="N36" s="17">
        <v>0</v>
      </c>
      <c r="O36" s="17">
        <v>0.5</v>
      </c>
      <c r="P36" s="17">
        <v>0.5</v>
      </c>
      <c r="Q36" s="17">
        <v>0</v>
      </c>
      <c r="R36" s="17">
        <v>0</v>
      </c>
      <c r="S36" s="17">
        <v>0</v>
      </c>
      <c r="T36" s="17">
        <v>0.5</v>
      </c>
      <c r="U36" s="17">
        <v>0.5</v>
      </c>
      <c r="V36" s="17">
        <v>0</v>
      </c>
      <c r="W36" s="17">
        <v>0.5</v>
      </c>
      <c r="X36" s="17">
        <v>0.5</v>
      </c>
      <c r="Y36" s="17">
        <v>0</v>
      </c>
      <c r="Z36" s="17">
        <v>0.5</v>
      </c>
      <c r="AA36" s="17">
        <v>0.5</v>
      </c>
      <c r="AB36" s="17">
        <v>0.5</v>
      </c>
      <c r="AC36" s="17">
        <v>0</v>
      </c>
      <c r="AD36" s="17">
        <v>0.5</v>
      </c>
      <c r="AE36" s="17">
        <v>0</v>
      </c>
      <c r="AF36" s="17">
        <v>0</v>
      </c>
      <c r="AG36" s="17">
        <v>1</v>
      </c>
      <c r="AH36" s="31">
        <f t="shared" si="1"/>
        <v>0.296875</v>
      </c>
      <c r="AI36" s="5" t="s">
        <v>168</v>
      </c>
      <c r="AJ36" s="31">
        <f t="shared" si="5"/>
        <v>0.296875</v>
      </c>
      <c r="AK36" s="5"/>
      <c r="AL36" s="31"/>
      <c r="AM36" s="5"/>
      <c r="AN36" s="5"/>
      <c r="AO36" s="5"/>
      <c r="AP36" s="5"/>
    </row>
    <row r="37" spans="1:42" ht="20.100000000000001" customHeight="1" x14ac:dyDescent="0.3">
      <c r="A37" s="16" t="s">
        <v>199</v>
      </c>
      <c r="B37" s="17">
        <v>1</v>
      </c>
      <c r="C37" s="17">
        <v>1</v>
      </c>
      <c r="D37" s="17">
        <v>0.5</v>
      </c>
      <c r="E37" s="17">
        <v>0</v>
      </c>
      <c r="F37" s="17">
        <v>0.5</v>
      </c>
      <c r="G37" s="17">
        <v>0.5</v>
      </c>
      <c r="H37" s="17">
        <v>0</v>
      </c>
      <c r="I37" s="17">
        <v>0</v>
      </c>
      <c r="J37" s="17">
        <v>0</v>
      </c>
      <c r="K37" s="17">
        <v>1</v>
      </c>
      <c r="L37" s="17">
        <v>1</v>
      </c>
      <c r="M37" s="17">
        <v>0.5</v>
      </c>
      <c r="N37" s="17">
        <v>0</v>
      </c>
      <c r="O37" s="17">
        <v>0.5</v>
      </c>
      <c r="P37" s="17">
        <v>0.5</v>
      </c>
      <c r="Q37" s="17">
        <v>0</v>
      </c>
      <c r="R37" s="17">
        <v>0.5</v>
      </c>
      <c r="S37" s="17">
        <v>0</v>
      </c>
      <c r="T37" s="17">
        <v>0.5</v>
      </c>
      <c r="U37" s="17">
        <v>0.5</v>
      </c>
      <c r="V37" s="17">
        <v>0</v>
      </c>
      <c r="W37" s="17">
        <v>0.5</v>
      </c>
      <c r="X37" s="17">
        <v>0.5</v>
      </c>
      <c r="Y37" s="17">
        <v>0</v>
      </c>
      <c r="Z37" s="17">
        <v>0.5</v>
      </c>
      <c r="AA37" s="17">
        <v>0.5</v>
      </c>
      <c r="AB37" s="17">
        <v>1</v>
      </c>
      <c r="AC37" s="17">
        <v>0</v>
      </c>
      <c r="AD37" s="17">
        <v>0.5</v>
      </c>
      <c r="AE37" s="17">
        <v>0</v>
      </c>
      <c r="AF37" s="17">
        <v>0</v>
      </c>
      <c r="AG37" s="17">
        <v>1</v>
      </c>
      <c r="AH37" s="31">
        <f t="shared" si="1"/>
        <v>0.40625</v>
      </c>
      <c r="AI37" s="5" t="s">
        <v>168</v>
      </c>
      <c r="AJ37" s="31">
        <f t="shared" si="5"/>
        <v>0.40625</v>
      </c>
      <c r="AK37" s="5"/>
      <c r="AL37" s="31"/>
      <c r="AM37" s="5"/>
      <c r="AN37" s="5"/>
      <c r="AO37" s="5"/>
      <c r="AP37" s="5"/>
    </row>
    <row r="38" spans="1:42" ht="27.6" x14ac:dyDescent="0.3">
      <c r="A38" s="16" t="s">
        <v>200</v>
      </c>
      <c r="B38" s="17" t="s">
        <v>189</v>
      </c>
      <c r="C38" s="17" t="s">
        <v>189</v>
      </c>
      <c r="D38" s="17" t="s">
        <v>189</v>
      </c>
      <c r="E38" s="17" t="s">
        <v>189</v>
      </c>
      <c r="F38" s="17" t="s">
        <v>189</v>
      </c>
      <c r="G38" s="17" t="s">
        <v>189</v>
      </c>
      <c r="H38" s="17" t="s">
        <v>189</v>
      </c>
      <c r="I38" s="17" t="s">
        <v>189</v>
      </c>
      <c r="J38" s="17" t="s">
        <v>189</v>
      </c>
      <c r="K38" s="17" t="s">
        <v>189</v>
      </c>
      <c r="L38" s="17" t="s">
        <v>189</v>
      </c>
      <c r="M38" s="17" t="s">
        <v>189</v>
      </c>
      <c r="N38" s="17" t="s">
        <v>189</v>
      </c>
      <c r="O38" s="17" t="s">
        <v>189</v>
      </c>
      <c r="P38" s="17" t="s">
        <v>189</v>
      </c>
      <c r="Q38" s="17" t="s">
        <v>189</v>
      </c>
      <c r="R38" s="17">
        <v>1</v>
      </c>
      <c r="S38" s="17" t="s">
        <v>189</v>
      </c>
      <c r="T38" s="17" t="s">
        <v>189</v>
      </c>
      <c r="U38" s="17" t="s">
        <v>189</v>
      </c>
      <c r="V38" s="17" t="s">
        <v>189</v>
      </c>
      <c r="W38" s="17"/>
      <c r="X38" s="17" t="s">
        <v>189</v>
      </c>
      <c r="Y38" s="17" t="s">
        <v>189</v>
      </c>
      <c r="Z38" s="17" t="s">
        <v>189</v>
      </c>
      <c r="AA38" s="17" t="s">
        <v>189</v>
      </c>
      <c r="AB38" s="17" t="s">
        <v>189</v>
      </c>
      <c r="AC38" s="17" t="s">
        <v>189</v>
      </c>
      <c r="AD38" s="17">
        <v>1</v>
      </c>
      <c r="AE38" s="17" t="s">
        <v>189</v>
      </c>
      <c r="AF38" s="17" t="s">
        <v>189</v>
      </c>
      <c r="AG38" s="17" t="s">
        <v>97</v>
      </c>
      <c r="AH38" s="31">
        <f t="shared" si="1"/>
        <v>1</v>
      </c>
      <c r="AI38" s="5" t="s">
        <v>168</v>
      </c>
      <c r="AJ38" s="31">
        <f t="shared" si="5"/>
        <v>1</v>
      </c>
      <c r="AK38" s="5"/>
      <c r="AL38" s="31"/>
      <c r="AM38" s="5"/>
      <c r="AN38" s="5"/>
      <c r="AO38" s="5"/>
      <c r="AP38" s="5"/>
    </row>
    <row r="39" spans="1:42" ht="41.4" x14ac:dyDescent="0.3">
      <c r="A39" s="16" t="s">
        <v>201</v>
      </c>
      <c r="B39" s="17" t="s">
        <v>189</v>
      </c>
      <c r="C39" s="17">
        <v>1</v>
      </c>
      <c r="D39" s="17" t="s">
        <v>189</v>
      </c>
      <c r="E39" s="17" t="s">
        <v>189</v>
      </c>
      <c r="F39" s="17" t="s">
        <v>189</v>
      </c>
      <c r="G39" s="17" t="s">
        <v>189</v>
      </c>
      <c r="H39" s="17" t="s">
        <v>189</v>
      </c>
      <c r="I39" s="17" t="s">
        <v>189</v>
      </c>
      <c r="J39" s="17" t="s">
        <v>189</v>
      </c>
      <c r="K39" s="17" t="s">
        <v>189</v>
      </c>
      <c r="L39" s="17" t="s">
        <v>189</v>
      </c>
      <c r="M39" s="17" t="s">
        <v>189</v>
      </c>
      <c r="N39" s="17" t="s">
        <v>189</v>
      </c>
      <c r="O39" s="17" t="s">
        <v>189</v>
      </c>
      <c r="P39" s="17" t="s">
        <v>189</v>
      </c>
      <c r="Q39" s="17" t="s">
        <v>189</v>
      </c>
      <c r="R39" s="17" t="s">
        <v>189</v>
      </c>
      <c r="S39" s="17" t="s">
        <v>189</v>
      </c>
      <c r="T39" s="17" t="s">
        <v>189</v>
      </c>
      <c r="U39" s="17" t="s">
        <v>189</v>
      </c>
      <c r="V39" s="17" t="s">
        <v>189</v>
      </c>
      <c r="W39" s="17" t="s">
        <v>189</v>
      </c>
      <c r="X39" s="17" t="s">
        <v>189</v>
      </c>
      <c r="Y39" s="17" t="s">
        <v>189</v>
      </c>
      <c r="Z39" s="17" t="s">
        <v>189</v>
      </c>
      <c r="AA39" s="17" t="s">
        <v>189</v>
      </c>
      <c r="AB39" s="17" t="s">
        <v>189</v>
      </c>
      <c r="AC39" s="17" t="s">
        <v>189</v>
      </c>
      <c r="AD39" s="17" t="s">
        <v>189</v>
      </c>
      <c r="AE39" s="17" t="s">
        <v>189</v>
      </c>
      <c r="AF39" s="17" t="s">
        <v>189</v>
      </c>
      <c r="AG39" s="17" t="s">
        <v>189</v>
      </c>
      <c r="AH39" s="31">
        <f t="shared" si="1"/>
        <v>1</v>
      </c>
      <c r="AI39" s="5" t="s">
        <v>168</v>
      </c>
      <c r="AJ39" s="31">
        <f t="shared" si="5"/>
        <v>1</v>
      </c>
      <c r="AK39" s="5"/>
      <c r="AL39" s="31"/>
      <c r="AM39" s="5"/>
      <c r="AN39" s="5"/>
      <c r="AO39" s="5"/>
      <c r="AP39" s="5"/>
    </row>
    <row r="40" spans="1:42" ht="20.100000000000001" customHeight="1" x14ac:dyDescent="0.3">
      <c r="A40" s="18" t="s">
        <v>202</v>
      </c>
      <c r="B40" s="17">
        <v>0</v>
      </c>
      <c r="C40" s="17">
        <v>1</v>
      </c>
      <c r="D40" s="17">
        <v>1</v>
      </c>
      <c r="E40" s="17">
        <v>1</v>
      </c>
      <c r="F40" s="17">
        <v>0.5</v>
      </c>
      <c r="G40" s="17">
        <v>1</v>
      </c>
      <c r="H40" s="17">
        <v>0</v>
      </c>
      <c r="I40" s="17">
        <v>0</v>
      </c>
      <c r="J40" s="17">
        <v>0</v>
      </c>
      <c r="K40" s="17">
        <v>1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</v>
      </c>
      <c r="S40" s="17">
        <v>0</v>
      </c>
      <c r="T40" s="17">
        <v>0</v>
      </c>
      <c r="U40" s="17">
        <v>0</v>
      </c>
      <c r="V40" s="17">
        <v>1</v>
      </c>
      <c r="W40" s="17">
        <v>1</v>
      </c>
      <c r="X40" s="17">
        <v>0</v>
      </c>
      <c r="Y40" s="17">
        <v>0</v>
      </c>
      <c r="Z40" s="17">
        <v>1</v>
      </c>
      <c r="AA40" s="17">
        <v>0.5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31">
        <f t="shared" si="1"/>
        <v>0.3125</v>
      </c>
      <c r="AI40" s="5" t="s">
        <v>168</v>
      </c>
      <c r="AJ40" s="31">
        <f t="shared" si="5"/>
        <v>0.3125</v>
      </c>
      <c r="AK40" s="5"/>
      <c r="AL40" s="31"/>
      <c r="AM40" s="5"/>
      <c r="AN40" s="5"/>
      <c r="AO40" s="5"/>
      <c r="AP40" s="5"/>
    </row>
    <row r="41" spans="1:42" ht="20.100000000000001" customHeight="1" x14ac:dyDescent="0.3">
      <c r="A41" s="16" t="s">
        <v>203</v>
      </c>
      <c r="B41" s="17">
        <v>1</v>
      </c>
      <c r="C41" s="17">
        <v>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0.5</v>
      </c>
      <c r="J41" s="17">
        <v>1</v>
      </c>
      <c r="K41" s="17">
        <v>1</v>
      </c>
      <c r="L41" s="17">
        <v>1</v>
      </c>
      <c r="M41" s="17">
        <v>1</v>
      </c>
      <c r="N41" s="17">
        <v>0.5</v>
      </c>
      <c r="O41" s="17">
        <v>0</v>
      </c>
      <c r="P41" s="17">
        <v>1</v>
      </c>
      <c r="Q41" s="17">
        <v>0</v>
      </c>
      <c r="R41" s="17">
        <v>1</v>
      </c>
      <c r="S41" s="17">
        <v>1</v>
      </c>
      <c r="T41" s="17">
        <v>0.5</v>
      </c>
      <c r="U41" s="17">
        <v>0</v>
      </c>
      <c r="V41" s="17">
        <v>1</v>
      </c>
      <c r="W41" s="17" t="s">
        <v>189</v>
      </c>
      <c r="X41" s="17" t="s">
        <v>189</v>
      </c>
      <c r="Y41" s="17">
        <v>1</v>
      </c>
      <c r="Z41" s="17">
        <v>0</v>
      </c>
      <c r="AA41" s="17">
        <v>0</v>
      </c>
      <c r="AB41" s="17">
        <v>1</v>
      </c>
      <c r="AC41" s="17">
        <v>0.5</v>
      </c>
      <c r="AD41" s="17">
        <v>1</v>
      </c>
      <c r="AE41" s="17">
        <v>1</v>
      </c>
      <c r="AF41" s="17">
        <v>1</v>
      </c>
      <c r="AG41" s="17">
        <v>1</v>
      </c>
      <c r="AH41" s="31">
        <f t="shared" si="1"/>
        <v>0.73333333333333328</v>
      </c>
      <c r="AI41" s="5" t="s">
        <v>168</v>
      </c>
      <c r="AJ41" s="31">
        <f t="shared" si="5"/>
        <v>0.73333333333333328</v>
      </c>
      <c r="AK41" s="5"/>
      <c r="AL41" s="31"/>
      <c r="AM41" s="5"/>
      <c r="AN41" s="5"/>
      <c r="AO41" s="5"/>
      <c r="AP41" s="5"/>
    </row>
    <row r="42" spans="1:42" x14ac:dyDescent="0.3">
      <c r="A42" s="16" t="s">
        <v>260</v>
      </c>
      <c r="B42" s="17">
        <v>1</v>
      </c>
      <c r="C42" s="17">
        <v>1</v>
      </c>
      <c r="D42" s="17">
        <v>1</v>
      </c>
      <c r="E42" s="17">
        <v>1</v>
      </c>
      <c r="F42" s="17">
        <v>1</v>
      </c>
      <c r="G42" s="17">
        <v>0.5</v>
      </c>
      <c r="H42" s="17">
        <v>1</v>
      </c>
      <c r="I42" s="17">
        <v>0.5</v>
      </c>
      <c r="J42" s="17">
        <v>1</v>
      </c>
      <c r="K42" s="17">
        <v>1</v>
      </c>
      <c r="L42" s="17">
        <v>1</v>
      </c>
      <c r="M42" s="17">
        <v>1</v>
      </c>
      <c r="N42" s="17">
        <v>0</v>
      </c>
      <c r="O42" s="17">
        <v>0</v>
      </c>
      <c r="P42" s="17">
        <v>1</v>
      </c>
      <c r="Q42" s="17">
        <v>1</v>
      </c>
      <c r="R42" s="17">
        <v>1</v>
      </c>
      <c r="S42" s="17">
        <v>1</v>
      </c>
      <c r="T42" s="17">
        <v>1</v>
      </c>
      <c r="U42" s="17">
        <v>0.5</v>
      </c>
      <c r="V42" s="17">
        <v>1</v>
      </c>
      <c r="W42" s="17">
        <v>1</v>
      </c>
      <c r="X42" s="17">
        <v>1</v>
      </c>
      <c r="Y42" s="17">
        <v>1</v>
      </c>
      <c r="Z42" s="17">
        <v>1</v>
      </c>
      <c r="AA42" s="17">
        <v>1</v>
      </c>
      <c r="AB42" s="17">
        <v>1</v>
      </c>
      <c r="AC42" s="17">
        <v>1</v>
      </c>
      <c r="AD42" s="17">
        <v>1</v>
      </c>
      <c r="AE42" s="17">
        <v>1</v>
      </c>
      <c r="AF42" s="17">
        <v>1</v>
      </c>
      <c r="AG42" s="17">
        <v>1</v>
      </c>
      <c r="AH42" s="31">
        <f t="shared" si="1"/>
        <v>0.890625</v>
      </c>
      <c r="AI42" s="5" t="s">
        <v>168</v>
      </c>
      <c r="AJ42" s="31">
        <f t="shared" si="5"/>
        <v>0.890625</v>
      </c>
      <c r="AK42" s="5"/>
      <c r="AL42" s="31"/>
      <c r="AM42" s="5"/>
      <c r="AN42" s="5"/>
      <c r="AO42" s="5"/>
      <c r="AP42" s="5"/>
    </row>
    <row r="43" spans="1:42" ht="41.4" x14ac:dyDescent="0.3">
      <c r="A43" s="16" t="s">
        <v>204</v>
      </c>
      <c r="B43" s="17">
        <v>0</v>
      </c>
      <c r="C43" s="17">
        <v>0.5</v>
      </c>
      <c r="D43" s="17">
        <v>0</v>
      </c>
      <c r="E43" s="17">
        <v>0.5</v>
      </c>
      <c r="F43" s="17">
        <v>0.5</v>
      </c>
      <c r="G43" s="17">
        <v>0</v>
      </c>
      <c r="H43" s="17">
        <v>0.5</v>
      </c>
      <c r="I43" s="17">
        <v>0.5</v>
      </c>
      <c r="J43" s="17">
        <v>0.5</v>
      </c>
      <c r="K43" s="17">
        <v>1</v>
      </c>
      <c r="L43" s="17">
        <v>0.5</v>
      </c>
      <c r="M43" s="17">
        <v>0.5</v>
      </c>
      <c r="N43" s="17">
        <v>0.5</v>
      </c>
      <c r="O43" s="17">
        <v>0.5</v>
      </c>
      <c r="P43" s="17">
        <v>0.5</v>
      </c>
      <c r="Q43" s="17">
        <v>0.5</v>
      </c>
      <c r="R43" s="17">
        <v>0.5</v>
      </c>
      <c r="S43" s="17">
        <v>0.5</v>
      </c>
      <c r="T43" s="17">
        <v>0.5</v>
      </c>
      <c r="U43" s="17">
        <v>0.5</v>
      </c>
      <c r="V43" s="17">
        <v>0.5</v>
      </c>
      <c r="W43" s="17">
        <v>0.5</v>
      </c>
      <c r="X43" s="17">
        <v>0.5</v>
      </c>
      <c r="Y43" s="17"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7">
        <v>0.5</v>
      </c>
      <c r="AH43" s="31">
        <f t="shared" si="1"/>
        <v>0.46875</v>
      </c>
      <c r="AI43" s="5" t="s">
        <v>168</v>
      </c>
      <c r="AJ43" s="31">
        <f t="shared" si="5"/>
        <v>0.46875</v>
      </c>
      <c r="AK43" s="5"/>
      <c r="AL43" s="31"/>
      <c r="AM43" s="5"/>
      <c r="AN43" s="5"/>
      <c r="AO43" s="5"/>
      <c r="AP43" s="5"/>
    </row>
    <row r="44" spans="1:42" ht="18" x14ac:dyDescent="0.35">
      <c r="AH44" s="11" t="s">
        <v>135</v>
      </c>
      <c r="AI44" s="11" t="s">
        <v>205</v>
      </c>
      <c r="AJ44" s="11" t="s">
        <v>206</v>
      </c>
      <c r="AK44" s="11" t="s">
        <v>207</v>
      </c>
      <c r="AL44" s="11" t="s">
        <v>208</v>
      </c>
    </row>
    <row r="45" spans="1:42" ht="18" x14ac:dyDescent="0.35">
      <c r="A45" s="32" t="s">
        <v>209</v>
      </c>
      <c r="B45" s="12">
        <f t="shared" ref="B45:AG45" si="6">AVERAGE(B7:B23)</f>
        <v>0.76470588235294112</v>
      </c>
      <c r="C45" s="12">
        <f t="shared" si="6"/>
        <v>0.76470588235294112</v>
      </c>
      <c r="D45" s="12">
        <f t="shared" si="6"/>
        <v>0.76470588235294112</v>
      </c>
      <c r="E45" s="12">
        <f t="shared" si="6"/>
        <v>0.82352941176470584</v>
      </c>
      <c r="F45" s="12">
        <f t="shared" si="6"/>
        <v>0.76470588235294112</v>
      </c>
      <c r="G45" s="12">
        <f t="shared" si="6"/>
        <v>0.76470588235294112</v>
      </c>
      <c r="H45" s="12">
        <f t="shared" si="6"/>
        <v>0.6470588235294118</v>
      </c>
      <c r="I45" s="12">
        <f t="shared" si="6"/>
        <v>0.55882352941176472</v>
      </c>
      <c r="J45" s="12">
        <f t="shared" si="6"/>
        <v>0.73529411764705888</v>
      </c>
      <c r="K45" s="12">
        <f t="shared" si="6"/>
        <v>0.79411764705882348</v>
      </c>
      <c r="L45" s="12">
        <f t="shared" si="6"/>
        <v>0.76470588235294112</v>
      </c>
      <c r="M45" s="12">
        <f t="shared" si="6"/>
        <v>0.73529411764705888</v>
      </c>
      <c r="N45" s="12">
        <f t="shared" si="6"/>
        <v>0.70588235294117652</v>
      </c>
      <c r="O45" s="12">
        <f t="shared" si="6"/>
        <v>0.67647058823529416</v>
      </c>
      <c r="P45" s="12">
        <f t="shared" si="6"/>
        <v>0.58823529411764708</v>
      </c>
      <c r="Q45" s="12">
        <f t="shared" si="6"/>
        <v>0.67647058823529416</v>
      </c>
      <c r="R45" s="12">
        <f t="shared" si="6"/>
        <v>0.76470588235294112</v>
      </c>
      <c r="S45" s="12">
        <f t="shared" si="6"/>
        <v>0.67647058823529416</v>
      </c>
      <c r="T45" s="12">
        <f t="shared" si="6"/>
        <v>0.67647058823529416</v>
      </c>
      <c r="U45" s="12">
        <f t="shared" si="6"/>
        <v>0.6470588235294118</v>
      </c>
      <c r="V45" s="12">
        <f t="shared" si="6"/>
        <v>0.8529411764705882</v>
      </c>
      <c r="W45" s="12">
        <f t="shared" si="6"/>
        <v>0.79411764705882348</v>
      </c>
      <c r="X45" s="12">
        <f t="shared" si="6"/>
        <v>0.8529411764705882</v>
      </c>
      <c r="Y45" s="12">
        <f t="shared" si="6"/>
        <v>0.67647058823529416</v>
      </c>
      <c r="Z45" s="12">
        <f t="shared" si="6"/>
        <v>0.76470588235294112</v>
      </c>
      <c r="AA45" s="12">
        <f t="shared" si="6"/>
        <v>0.73529411764705888</v>
      </c>
      <c r="AB45" s="12">
        <f t="shared" si="6"/>
        <v>0.67647058823529416</v>
      </c>
      <c r="AC45" s="12">
        <f t="shared" si="6"/>
        <v>0.67647058823529416</v>
      </c>
      <c r="AD45" s="12">
        <f t="shared" si="6"/>
        <v>0.70588235294117652</v>
      </c>
      <c r="AE45" s="12">
        <f t="shared" si="6"/>
        <v>0.61764705882352944</v>
      </c>
      <c r="AF45" s="12">
        <f t="shared" si="6"/>
        <v>0.67647058823529416</v>
      </c>
      <c r="AG45" s="12">
        <f t="shared" si="6"/>
        <v>0.79411764705882348</v>
      </c>
      <c r="AH45" s="13">
        <f>AVERAGE(B45:AG45)</f>
        <v>0.72242647058823517</v>
      </c>
      <c r="AI45" s="14">
        <f>MAX($B$45:$AG$45)</f>
        <v>0.8529411764705882</v>
      </c>
      <c r="AJ45" s="14">
        <f>MIN($B$45:$AG$45)</f>
        <v>0.55882352941176472</v>
      </c>
      <c r="AK45" s="14">
        <f>AVERAGE($B$45:$AG$45)</f>
        <v>0.72242647058823517</v>
      </c>
      <c r="AL45" s="14">
        <f>_xlfn.STDEV.P($B$45:$AG$45)</f>
        <v>7.050297393663639E-2</v>
      </c>
    </row>
    <row r="46" spans="1:42" ht="18" x14ac:dyDescent="0.35">
      <c r="A46" s="32" t="s">
        <v>210</v>
      </c>
      <c r="B46" s="12">
        <f t="shared" ref="B46:AG46" si="7">AVERAGE(B7:B10,B12,B13,B14,B15,B16,B17,B24,B25,B27:B29,B32,B34,B35:B43)</f>
        <v>0.69047619047619047</v>
      </c>
      <c r="C46" s="12">
        <f t="shared" si="7"/>
        <v>0.79545454545454541</v>
      </c>
      <c r="D46" s="12">
        <f t="shared" si="7"/>
        <v>0.68181818181818177</v>
      </c>
      <c r="E46" s="12">
        <f t="shared" si="7"/>
        <v>0.625</v>
      </c>
      <c r="F46" s="12">
        <f t="shared" si="7"/>
        <v>0.60869565217391308</v>
      </c>
      <c r="G46" s="12">
        <f t="shared" si="7"/>
        <v>0.7142857142857143</v>
      </c>
      <c r="H46" s="12">
        <f t="shared" si="7"/>
        <v>0.7</v>
      </c>
      <c r="I46" s="12">
        <f t="shared" si="7"/>
        <v>0.52500000000000002</v>
      </c>
      <c r="J46" s="12">
        <f t="shared" si="7"/>
        <v>0.75</v>
      </c>
      <c r="K46" s="12">
        <f t="shared" si="7"/>
        <v>0.75</v>
      </c>
      <c r="L46" s="12">
        <f t="shared" si="7"/>
        <v>0.80952380952380953</v>
      </c>
      <c r="M46" s="12">
        <f t="shared" si="7"/>
        <v>0.59090909090909094</v>
      </c>
      <c r="N46" s="12">
        <f t="shared" si="7"/>
        <v>0.42857142857142855</v>
      </c>
      <c r="O46" s="12">
        <f t="shared" si="7"/>
        <v>0.47619047619047616</v>
      </c>
      <c r="P46" s="12">
        <f t="shared" si="7"/>
        <v>0.58695652173913049</v>
      </c>
      <c r="Q46" s="12">
        <f t="shared" si="7"/>
        <v>0.45</v>
      </c>
      <c r="R46" s="12">
        <f t="shared" si="7"/>
        <v>0.71739130434782605</v>
      </c>
      <c r="S46" s="12">
        <f t="shared" si="7"/>
        <v>0.57499999999999996</v>
      </c>
      <c r="T46" s="12">
        <f t="shared" si="7"/>
        <v>0.63636363636363635</v>
      </c>
      <c r="U46" s="12">
        <f t="shared" si="7"/>
        <v>0.56818181818181823</v>
      </c>
      <c r="V46" s="12">
        <f t="shared" si="7"/>
        <v>0.7857142857142857</v>
      </c>
      <c r="W46" s="12">
        <f t="shared" si="7"/>
        <v>0.7142857142857143</v>
      </c>
      <c r="X46" s="12">
        <f t="shared" si="7"/>
        <v>0.7142857142857143</v>
      </c>
      <c r="Y46" s="12">
        <f t="shared" si="7"/>
        <v>0.59090909090909094</v>
      </c>
      <c r="Z46" s="12">
        <f t="shared" si="7"/>
        <v>0.59090909090909094</v>
      </c>
      <c r="AA46" s="12">
        <f t="shared" si="7"/>
        <v>0.59523809523809523</v>
      </c>
      <c r="AB46" s="12">
        <f t="shared" si="7"/>
        <v>0.6428571428571429</v>
      </c>
      <c r="AC46" s="12">
        <f t="shared" si="7"/>
        <v>0.59523809523809523</v>
      </c>
      <c r="AD46" s="12">
        <f t="shared" si="7"/>
        <v>0.68</v>
      </c>
      <c r="AE46" s="12">
        <f t="shared" si="7"/>
        <v>0.7142857142857143</v>
      </c>
      <c r="AF46" s="12">
        <f t="shared" si="7"/>
        <v>0.54761904761904767</v>
      </c>
      <c r="AG46" s="12">
        <f t="shared" si="7"/>
        <v>0.68181818181818177</v>
      </c>
      <c r="AH46" s="15">
        <f>AVERAGE(B46:AG46)</f>
        <v>0.64165557947487295</v>
      </c>
      <c r="AI46" s="11"/>
      <c r="AJ46" s="11"/>
      <c r="AK46" s="11"/>
      <c r="AL46" s="14">
        <f>_xlfn.STDEV.P($B$46:$AG$46)</f>
        <v>9.5461427159266449E-2</v>
      </c>
    </row>
    <row r="47" spans="1:42" ht="18" x14ac:dyDescent="0.35">
      <c r="A47" s="32" t="s">
        <v>169</v>
      </c>
      <c r="B47" s="12">
        <f t="shared" ref="B47:AG47" si="8">AVERAGE(B7:B8,B12,B13:B15,B18:B21,B23,B26,B30:B31)</f>
        <v>0.75</v>
      </c>
      <c r="C47" s="12">
        <f t="shared" si="8"/>
        <v>0.8214285714285714</v>
      </c>
      <c r="D47" s="12">
        <f t="shared" si="8"/>
        <v>0.6071428571428571</v>
      </c>
      <c r="E47" s="12">
        <f t="shared" si="8"/>
        <v>0.7857142857142857</v>
      </c>
      <c r="F47" s="12">
        <f t="shared" si="8"/>
        <v>0.7857142857142857</v>
      </c>
      <c r="G47" s="12">
        <f t="shared" si="8"/>
        <v>0.75</v>
      </c>
      <c r="H47" s="12">
        <f t="shared" si="8"/>
        <v>0.6785714285714286</v>
      </c>
      <c r="I47" s="12">
        <f t="shared" si="8"/>
        <v>0.5357142857142857</v>
      </c>
      <c r="J47" s="12">
        <f t="shared" si="8"/>
        <v>0.75</v>
      </c>
      <c r="K47" s="12">
        <f t="shared" si="8"/>
        <v>0.7857142857142857</v>
      </c>
      <c r="L47" s="12">
        <f t="shared" si="8"/>
        <v>0.7142857142857143</v>
      </c>
      <c r="M47" s="12">
        <f t="shared" si="8"/>
        <v>0.7142857142857143</v>
      </c>
      <c r="N47" s="12">
        <f t="shared" si="8"/>
        <v>0.7142857142857143</v>
      </c>
      <c r="O47" s="12">
        <f t="shared" si="8"/>
        <v>0.5714285714285714</v>
      </c>
      <c r="P47" s="12">
        <f t="shared" si="8"/>
        <v>0.5714285714285714</v>
      </c>
      <c r="Q47" s="12">
        <f t="shared" si="8"/>
        <v>0.6428571428571429</v>
      </c>
      <c r="R47" s="12">
        <f t="shared" si="8"/>
        <v>0.75</v>
      </c>
      <c r="S47" s="12">
        <f t="shared" si="8"/>
        <v>0.5714285714285714</v>
      </c>
      <c r="T47" s="12">
        <f t="shared" si="8"/>
        <v>0.4642857142857143</v>
      </c>
      <c r="U47" s="12">
        <f t="shared" si="8"/>
        <v>0.6428571428571429</v>
      </c>
      <c r="V47" s="12">
        <f t="shared" si="8"/>
        <v>0.7857142857142857</v>
      </c>
      <c r="W47" s="12">
        <f t="shared" si="8"/>
        <v>0.6785714285714286</v>
      </c>
      <c r="X47" s="12">
        <f t="shared" si="8"/>
        <v>0.7142857142857143</v>
      </c>
      <c r="Y47" s="12">
        <f t="shared" si="8"/>
        <v>0.6428571428571429</v>
      </c>
      <c r="Z47" s="12">
        <f t="shared" si="8"/>
        <v>0.6785714285714286</v>
      </c>
      <c r="AA47" s="12">
        <f t="shared" si="8"/>
        <v>0.6428571428571429</v>
      </c>
      <c r="AB47" s="12">
        <f t="shared" si="8"/>
        <v>0.61538461538461542</v>
      </c>
      <c r="AC47" s="12">
        <f t="shared" si="8"/>
        <v>0.6785714285714286</v>
      </c>
      <c r="AD47" s="12">
        <f t="shared" si="8"/>
        <v>0.5714285714285714</v>
      </c>
      <c r="AE47" s="12">
        <f t="shared" si="8"/>
        <v>0.6428571428571429</v>
      </c>
      <c r="AF47" s="12">
        <f t="shared" si="8"/>
        <v>0.5714285714285714</v>
      </c>
      <c r="AG47" s="12">
        <f t="shared" si="8"/>
        <v>0.7142857142857143</v>
      </c>
      <c r="AH47" s="15">
        <f>AVERAGE(B47:AG47)</f>
        <v>0.67324862637362637</v>
      </c>
      <c r="AI47" s="11"/>
      <c r="AJ47" s="11"/>
      <c r="AK47" s="11"/>
      <c r="AL47" s="14">
        <f>_xlfn.STDEV.P($B$47:$AG$47)</f>
        <v>8.503717362640216E-2</v>
      </c>
    </row>
  </sheetData>
  <pageMargins left="0.7" right="0.7" top="0.75" bottom="0.75" header="0.3" footer="0.3"/>
  <pageSetup orientation="portrait" r:id="rId1"/>
  <headerFooter>
    <oddHeader>&amp;C&amp;"Calibri"&amp;12&amp;KEEDC00 RMIT Classification: Trusted&amp;1#_x000D_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6CD3-7E51-4C87-A182-91A3716A38F0}">
  <dimension ref="A3:X34"/>
  <sheetViews>
    <sheetView zoomScale="85" zoomScaleNormal="85" workbookViewId="0">
      <selection activeCell="O21" sqref="O21"/>
    </sheetView>
  </sheetViews>
  <sheetFormatPr defaultRowHeight="14.4" x14ac:dyDescent="0.3"/>
  <cols>
    <col min="1" max="1" width="24" bestFit="1" customWidth="1"/>
    <col min="7" max="7" width="24.6640625" bestFit="1" customWidth="1"/>
    <col min="13" max="13" width="18" bestFit="1" customWidth="1"/>
    <col min="19" max="19" width="24" bestFit="1" customWidth="1"/>
    <col min="25" max="25" width="20.88671875" bestFit="1" customWidth="1"/>
  </cols>
  <sheetData>
    <row r="3" spans="1:24" ht="15.6" x14ac:dyDescent="0.3">
      <c r="A3" s="46" t="s">
        <v>211</v>
      </c>
      <c r="B3" s="47" t="s">
        <v>212</v>
      </c>
      <c r="C3" s="47" t="s">
        <v>213</v>
      </c>
      <c r="D3" s="47" t="s">
        <v>214</v>
      </c>
      <c r="E3" s="47" t="s">
        <v>215</v>
      </c>
      <c r="F3" s="47" t="s">
        <v>216</v>
      </c>
      <c r="G3" s="46" t="s">
        <v>264</v>
      </c>
      <c r="H3" s="47" t="s">
        <v>212</v>
      </c>
      <c r="I3" s="47" t="s">
        <v>213</v>
      </c>
      <c r="J3" s="47" t="s">
        <v>214</v>
      </c>
      <c r="K3" s="47" t="s">
        <v>215</v>
      </c>
      <c r="L3" s="47" t="s">
        <v>216</v>
      </c>
      <c r="M3" s="46" t="s">
        <v>265</v>
      </c>
      <c r="N3" s="47" t="s">
        <v>212</v>
      </c>
      <c r="O3" s="47" t="s">
        <v>213</v>
      </c>
      <c r="P3" s="47" t="s">
        <v>214</v>
      </c>
      <c r="Q3" s="47" t="s">
        <v>215</v>
      </c>
      <c r="R3" s="47" t="s">
        <v>216</v>
      </c>
      <c r="S3" s="46" t="s">
        <v>266</v>
      </c>
      <c r="T3" s="47" t="s">
        <v>212</v>
      </c>
      <c r="U3" s="47" t="s">
        <v>213</v>
      </c>
      <c r="V3" s="47" t="s">
        <v>214</v>
      </c>
      <c r="W3" s="47" t="s">
        <v>215</v>
      </c>
      <c r="X3" s="47" t="s">
        <v>216</v>
      </c>
    </row>
    <row r="4" spans="1:24" ht="15.6" x14ac:dyDescent="0.3">
      <c r="A4" t="s">
        <v>217</v>
      </c>
      <c r="B4" s="6">
        <v>17.899999999999999</v>
      </c>
      <c r="C4" s="6">
        <v>121.9</v>
      </c>
      <c r="D4" s="6">
        <v>415</v>
      </c>
      <c r="E4" s="6">
        <v>353</v>
      </c>
      <c r="F4" s="6">
        <v>291</v>
      </c>
      <c r="G4" s="5" t="s">
        <v>217</v>
      </c>
      <c r="H4" s="6">
        <v>17.899999999999999</v>
      </c>
      <c r="I4" s="6">
        <v>121.9</v>
      </c>
      <c r="J4" s="6">
        <v>415</v>
      </c>
      <c r="K4" s="6">
        <v>353</v>
      </c>
      <c r="L4" s="6">
        <v>291</v>
      </c>
      <c r="M4" t="s">
        <v>223</v>
      </c>
      <c r="N4" s="6">
        <v>6.83</v>
      </c>
      <c r="O4" s="6">
        <v>38.4</v>
      </c>
      <c r="P4" s="7">
        <v>323.5560921829084</v>
      </c>
      <c r="Q4" s="7">
        <v>293.73761522863549</v>
      </c>
      <c r="R4" s="7">
        <v>263.91913827436264</v>
      </c>
      <c r="S4" t="s">
        <v>218</v>
      </c>
      <c r="T4" s="6">
        <v>0.3</v>
      </c>
      <c r="U4" s="6">
        <v>1.9</v>
      </c>
      <c r="V4" s="6">
        <v>753.76244115787495</v>
      </c>
      <c r="W4" s="6">
        <v>703.9805514473436</v>
      </c>
      <c r="X4" s="6">
        <v>654.19866173681237</v>
      </c>
    </row>
    <row r="5" spans="1:24" ht="15.6" x14ac:dyDescent="0.3">
      <c r="A5" t="s">
        <v>218</v>
      </c>
      <c r="B5" s="6">
        <v>0.3</v>
      </c>
      <c r="C5" s="6">
        <v>1.9</v>
      </c>
      <c r="D5" s="7">
        <v>753.76244115787495</v>
      </c>
      <c r="E5" s="7">
        <v>703.9805514473436</v>
      </c>
      <c r="F5" s="7">
        <v>654.19866173681237</v>
      </c>
      <c r="G5" s="5" t="s">
        <v>218</v>
      </c>
      <c r="H5" s="6">
        <v>0.3</v>
      </c>
      <c r="I5" s="6">
        <v>1.9</v>
      </c>
      <c r="J5" s="6">
        <v>753.76244115787495</v>
      </c>
      <c r="K5" s="6">
        <v>703.9805514473436</v>
      </c>
      <c r="L5" s="6">
        <v>654.19866173681237</v>
      </c>
      <c r="M5" t="s">
        <v>225</v>
      </c>
      <c r="N5" s="6">
        <v>13</v>
      </c>
      <c r="O5" s="6">
        <v>109.9</v>
      </c>
      <c r="P5" s="7">
        <v>359.38482114388717</v>
      </c>
      <c r="Q5" s="7">
        <v>273.61352642985901</v>
      </c>
      <c r="R5" s="7">
        <v>187.84223171583085</v>
      </c>
      <c r="S5" t="s">
        <v>220</v>
      </c>
      <c r="T5" s="6">
        <v>0.9</v>
      </c>
      <c r="U5" s="6">
        <v>8.1</v>
      </c>
      <c r="V5" s="6">
        <v>539.46199479792506</v>
      </c>
      <c r="W5" s="6">
        <v>488.68999349740642</v>
      </c>
      <c r="X5" s="6">
        <v>437.91799219688772</v>
      </c>
    </row>
    <row r="6" spans="1:24" ht="15.6" x14ac:dyDescent="0.3">
      <c r="A6" t="s">
        <v>219</v>
      </c>
      <c r="B6" s="6">
        <v>10.1</v>
      </c>
      <c r="C6" s="6">
        <v>73.400000000000006</v>
      </c>
      <c r="D6" s="7">
        <v>552.38785521465195</v>
      </c>
      <c r="E6" s="7">
        <v>520.28981901831503</v>
      </c>
      <c r="F6" s="7">
        <v>488.19178282197799</v>
      </c>
      <c r="G6" s="5" t="s">
        <v>219</v>
      </c>
      <c r="H6" s="6">
        <v>10.1</v>
      </c>
      <c r="I6" s="6">
        <v>73.400000000000006</v>
      </c>
      <c r="J6" s="6">
        <v>552.38785521465195</v>
      </c>
      <c r="K6" s="6">
        <v>520.28981901831503</v>
      </c>
      <c r="L6" s="6">
        <v>488.19178282197799</v>
      </c>
      <c r="M6" t="s">
        <v>225</v>
      </c>
      <c r="N6" s="6">
        <v>27.1</v>
      </c>
      <c r="O6" s="6">
        <v>214</v>
      </c>
      <c r="P6" s="7">
        <v>277.02171559781164</v>
      </c>
      <c r="Q6" s="7">
        <v>210.1546444972646</v>
      </c>
      <c r="R6" s="7">
        <v>143.28757339671751</v>
      </c>
      <c r="S6" t="s">
        <v>221</v>
      </c>
      <c r="T6" s="6">
        <v>0.4</v>
      </c>
      <c r="U6" s="6">
        <v>4.0999999999999996</v>
      </c>
      <c r="V6" s="6">
        <v>514.36628175080011</v>
      </c>
      <c r="W6" s="6">
        <v>475.68285218850019</v>
      </c>
      <c r="X6" s="6">
        <v>436.99942262620021</v>
      </c>
    </row>
    <row r="7" spans="1:24" ht="15.6" x14ac:dyDescent="0.3">
      <c r="A7" t="s">
        <v>220</v>
      </c>
      <c r="B7" s="6">
        <v>0.9</v>
      </c>
      <c r="C7" s="6">
        <v>8.1</v>
      </c>
      <c r="D7" s="7">
        <v>539.46199479792506</v>
      </c>
      <c r="E7" s="7">
        <v>488.68999349740642</v>
      </c>
      <c r="F7" s="7">
        <v>437.91799219688772</v>
      </c>
      <c r="G7" s="5" t="s">
        <v>220</v>
      </c>
      <c r="H7" s="6">
        <v>0.9</v>
      </c>
      <c r="I7" s="6">
        <v>8.1</v>
      </c>
      <c r="J7" s="6">
        <v>539.46199479792506</v>
      </c>
      <c r="K7" s="6">
        <v>488.68999349740642</v>
      </c>
      <c r="L7" s="6">
        <v>437.91799219688772</v>
      </c>
      <c r="M7" t="s">
        <v>226</v>
      </c>
      <c r="N7" s="6">
        <v>11.7</v>
      </c>
      <c r="O7" s="6">
        <v>97.5</v>
      </c>
      <c r="P7" s="7">
        <v>514.15223081525107</v>
      </c>
      <c r="Q7" s="7">
        <v>323.59028851906396</v>
      </c>
      <c r="R7" s="7">
        <v>133.02834622287673</v>
      </c>
      <c r="S7" t="s">
        <v>218</v>
      </c>
      <c r="T7" s="6">
        <v>0.13</v>
      </c>
      <c r="U7" s="8">
        <v>0.95</v>
      </c>
      <c r="V7" s="6">
        <v>469.04479955249349</v>
      </c>
      <c r="W7" s="6">
        <v>305.33099944061689</v>
      </c>
      <c r="X7" s="6">
        <v>141.6171993287403</v>
      </c>
    </row>
    <row r="8" spans="1:24" ht="15.6" x14ac:dyDescent="0.3">
      <c r="A8" t="s">
        <v>221</v>
      </c>
      <c r="B8" s="6">
        <v>0.4</v>
      </c>
      <c r="C8" s="6">
        <v>4.0999999999999996</v>
      </c>
      <c r="D8" s="7">
        <v>514.36628175080011</v>
      </c>
      <c r="E8" s="7">
        <v>475.68285218850019</v>
      </c>
      <c r="F8" s="7">
        <v>436.99942262620021</v>
      </c>
      <c r="G8" s="5" t="s">
        <v>221</v>
      </c>
      <c r="H8" s="6">
        <v>0.4</v>
      </c>
      <c r="I8" s="6">
        <v>4.0999999999999996</v>
      </c>
      <c r="J8" s="6">
        <v>514.36628175080011</v>
      </c>
      <c r="K8" s="6">
        <v>475.68285218850019</v>
      </c>
      <c r="L8" s="6">
        <v>436.99942262620021</v>
      </c>
      <c r="M8" t="s">
        <v>223</v>
      </c>
      <c r="N8" s="6">
        <v>13.4</v>
      </c>
      <c r="O8" s="6">
        <v>80.7</v>
      </c>
      <c r="P8" s="7">
        <v>257.80417834708032</v>
      </c>
      <c r="Q8" s="7">
        <v>219.09772293385046</v>
      </c>
      <c r="R8" s="7">
        <v>180.39126752062057</v>
      </c>
      <c r="S8" t="s">
        <v>218</v>
      </c>
      <c r="T8" s="6">
        <v>0.05</v>
      </c>
      <c r="U8" s="8">
        <v>0.45</v>
      </c>
      <c r="V8" s="6">
        <v>744.9454183079215</v>
      </c>
      <c r="W8" s="6">
        <v>671.33177288490197</v>
      </c>
      <c r="X8" s="6">
        <v>597.7181274618822</v>
      </c>
    </row>
    <row r="9" spans="1:24" ht="15.6" x14ac:dyDescent="0.3">
      <c r="A9" t="s">
        <v>222</v>
      </c>
      <c r="B9" s="6">
        <v>44</v>
      </c>
      <c r="C9" s="6">
        <v>390</v>
      </c>
      <c r="D9" s="7">
        <v>285.05274014822288</v>
      </c>
      <c r="E9" s="7">
        <v>205.49842518527862</v>
      </c>
      <c r="F9" s="7">
        <v>125.94411022233436</v>
      </c>
      <c r="G9" s="5" t="s">
        <v>224</v>
      </c>
      <c r="H9" s="6">
        <v>4.96</v>
      </c>
      <c r="I9" s="6">
        <v>28.1</v>
      </c>
      <c r="J9" s="6">
        <v>477.59981730107364</v>
      </c>
      <c r="K9" s="6">
        <v>447.27477162634204</v>
      </c>
      <c r="L9" s="6">
        <v>416.9497259516105</v>
      </c>
      <c r="M9" t="s">
        <v>223</v>
      </c>
      <c r="N9" s="8">
        <v>12</v>
      </c>
      <c r="O9" s="8">
        <v>88</v>
      </c>
      <c r="P9" s="7">
        <v>440.84747084322652</v>
      </c>
      <c r="Q9" s="7">
        <v>322.2643385540332</v>
      </c>
      <c r="R9" s="7">
        <v>203.68120626483983</v>
      </c>
    </row>
    <row r="10" spans="1:24" ht="15.6" x14ac:dyDescent="0.3">
      <c r="A10" t="s">
        <v>223</v>
      </c>
      <c r="B10" s="6">
        <v>6.83</v>
      </c>
      <c r="C10" s="6">
        <v>38.4</v>
      </c>
      <c r="D10" s="7">
        <v>323.5560921829084</v>
      </c>
      <c r="E10" s="7">
        <v>293.73761522863549</v>
      </c>
      <c r="F10" s="7">
        <v>263.91913827436264</v>
      </c>
      <c r="G10" s="5" t="s">
        <v>227</v>
      </c>
      <c r="H10" s="6">
        <v>8.92</v>
      </c>
      <c r="I10" s="8">
        <v>42.31</v>
      </c>
      <c r="J10" s="6">
        <v>515.26211795831205</v>
      </c>
      <c r="K10" s="6">
        <v>365.20264744789017</v>
      </c>
      <c r="L10" s="6">
        <v>215.1431769374683</v>
      </c>
      <c r="M10" t="s">
        <v>236</v>
      </c>
      <c r="N10" s="8">
        <v>13</v>
      </c>
      <c r="O10" s="8">
        <v>109.9</v>
      </c>
      <c r="P10" s="9">
        <v>357.12530283316147</v>
      </c>
      <c r="Q10" s="9">
        <v>271.90662854145188</v>
      </c>
      <c r="R10" s="9">
        <v>186.68795424974223</v>
      </c>
    </row>
    <row r="11" spans="1:24" ht="15.6" x14ac:dyDescent="0.3">
      <c r="A11" t="s">
        <v>224</v>
      </c>
      <c r="B11" s="6">
        <v>4.96</v>
      </c>
      <c r="C11" s="6">
        <v>28.1</v>
      </c>
      <c r="D11" s="7">
        <v>477.59981730107364</v>
      </c>
      <c r="E11" s="7">
        <v>447.27477162634204</v>
      </c>
      <c r="F11" s="7">
        <v>416.9497259516105</v>
      </c>
      <c r="G11" s="5" t="s">
        <v>218</v>
      </c>
      <c r="H11" s="6">
        <v>0.13</v>
      </c>
      <c r="I11" s="8">
        <v>0.95</v>
      </c>
      <c r="J11" s="6">
        <v>469.04479955249349</v>
      </c>
      <c r="K11" s="6">
        <v>305.33099944061689</v>
      </c>
      <c r="L11" s="6">
        <v>141.6171993287403</v>
      </c>
      <c r="M11" t="s">
        <v>236</v>
      </c>
      <c r="N11" s="8">
        <v>27.1</v>
      </c>
      <c r="O11" s="8">
        <v>214</v>
      </c>
      <c r="P11" s="9">
        <v>275.62325373233898</v>
      </c>
      <c r="Q11" s="9">
        <v>215.77906716542378</v>
      </c>
      <c r="R11" s="9">
        <v>155.93488059850853</v>
      </c>
    </row>
    <row r="12" spans="1:24" ht="15.6" x14ac:dyDescent="0.3">
      <c r="A12" t="s">
        <v>225</v>
      </c>
      <c r="B12" s="6">
        <v>13</v>
      </c>
      <c r="C12" s="6">
        <v>109.9</v>
      </c>
      <c r="D12" s="7">
        <v>359.38482114388717</v>
      </c>
      <c r="E12" s="7">
        <v>273.61352642985901</v>
      </c>
      <c r="F12" s="7">
        <v>187.84223171583085</v>
      </c>
      <c r="G12" s="5" t="s">
        <v>218</v>
      </c>
      <c r="H12" s="6">
        <v>0.05</v>
      </c>
      <c r="I12" s="8">
        <v>0.45</v>
      </c>
      <c r="J12" s="6">
        <v>744.9454183079215</v>
      </c>
      <c r="K12" s="6">
        <v>671.33177288490197</v>
      </c>
      <c r="L12" s="6">
        <v>597.7181274618822</v>
      </c>
      <c r="M12" s="48"/>
      <c r="N12" s="48"/>
      <c r="O12" s="48"/>
      <c r="P12" s="48"/>
      <c r="Q12" s="48"/>
      <c r="R12" s="48"/>
    </row>
    <row r="13" spans="1:24" ht="15.6" x14ac:dyDescent="0.3">
      <c r="A13" t="s">
        <v>225</v>
      </c>
      <c r="B13" s="6">
        <v>27.1</v>
      </c>
      <c r="C13" s="6">
        <v>214</v>
      </c>
      <c r="D13" s="7">
        <v>277.02171559781164</v>
      </c>
      <c r="E13" s="7">
        <v>210.1546444972646</v>
      </c>
      <c r="F13" s="7">
        <v>143.28757339671751</v>
      </c>
      <c r="G13" s="5" t="s">
        <v>228</v>
      </c>
      <c r="H13" s="6">
        <v>12</v>
      </c>
      <c r="I13" s="8">
        <v>88</v>
      </c>
      <c r="J13" s="6">
        <v>403.81803873024</v>
      </c>
      <c r="K13" s="6">
        <v>330.34254841280006</v>
      </c>
      <c r="L13" s="6">
        <v>256.86705809536005</v>
      </c>
      <c r="M13" s="48"/>
      <c r="N13" s="48"/>
      <c r="O13" s="48"/>
      <c r="P13" s="48"/>
      <c r="Q13" s="48"/>
      <c r="R13" s="48"/>
    </row>
    <row r="14" spans="1:24" ht="15.6" x14ac:dyDescent="0.3">
      <c r="A14" t="s">
        <v>226</v>
      </c>
      <c r="B14" s="6">
        <v>11.7</v>
      </c>
      <c r="C14" s="6">
        <v>97.5</v>
      </c>
      <c r="D14" s="7">
        <v>514.15223081525107</v>
      </c>
      <c r="E14" s="7">
        <v>323.59028851906396</v>
      </c>
      <c r="F14" s="7">
        <v>133.02834622287673</v>
      </c>
      <c r="G14" s="5" t="s">
        <v>230</v>
      </c>
      <c r="H14" s="6">
        <v>32</v>
      </c>
      <c r="I14" s="8">
        <v>211</v>
      </c>
      <c r="J14" s="6">
        <v>355.34971818206537</v>
      </c>
      <c r="K14" s="6">
        <v>287.1471477275818</v>
      </c>
      <c r="L14" s="6">
        <v>218.94457727309816</v>
      </c>
      <c r="M14" s="48"/>
      <c r="N14" s="48"/>
      <c r="O14" s="48"/>
      <c r="P14" s="48"/>
      <c r="Q14" s="48"/>
      <c r="R14" s="48"/>
    </row>
    <row r="15" spans="1:24" ht="15.6" x14ac:dyDescent="0.3">
      <c r="A15" t="s">
        <v>222</v>
      </c>
      <c r="B15" s="8">
        <v>31.21</v>
      </c>
      <c r="C15" s="8">
        <v>162.36000000000001</v>
      </c>
      <c r="D15" s="7">
        <v>408.97771634733886</v>
      </c>
      <c r="E15" s="7">
        <v>163.52214543417358</v>
      </c>
      <c r="F15" s="7">
        <v>0.01</v>
      </c>
      <c r="G15" s="5" t="s">
        <v>217</v>
      </c>
      <c r="H15" s="6">
        <v>9.8000000000000007</v>
      </c>
      <c r="I15" s="6">
        <v>77.900000000000006</v>
      </c>
      <c r="J15" s="6">
        <v>515.65779829393364</v>
      </c>
      <c r="K15" s="6">
        <v>406.05474786741718</v>
      </c>
      <c r="L15" s="6">
        <v>296.4516974409006</v>
      </c>
      <c r="M15" s="48"/>
      <c r="N15" s="48"/>
      <c r="O15" s="48"/>
      <c r="P15" s="48"/>
      <c r="Q15" s="48"/>
      <c r="R15" s="48"/>
    </row>
    <row r="16" spans="1:24" ht="15.6" x14ac:dyDescent="0.3">
      <c r="A16" t="s">
        <v>227</v>
      </c>
      <c r="B16" s="8">
        <v>8.92</v>
      </c>
      <c r="C16" s="8">
        <v>42.31</v>
      </c>
      <c r="D16" s="7">
        <v>515.26211795831205</v>
      </c>
      <c r="E16" s="7">
        <v>365.20264744789017</v>
      </c>
      <c r="F16" s="7">
        <v>215.1431769374683</v>
      </c>
      <c r="G16" s="5" t="s">
        <v>234</v>
      </c>
      <c r="H16" s="6">
        <v>15</v>
      </c>
      <c r="I16" s="6" t="s">
        <v>97</v>
      </c>
      <c r="J16" s="6">
        <v>354.2435105243971</v>
      </c>
      <c r="K16" s="6">
        <v>304.25438815549637</v>
      </c>
      <c r="L16" s="6">
        <v>254.26526578659565</v>
      </c>
      <c r="M16" s="48"/>
      <c r="N16" s="48"/>
      <c r="O16" s="48"/>
      <c r="P16" s="48"/>
      <c r="Q16" s="48"/>
      <c r="R16" s="48"/>
    </row>
    <row r="17" spans="1:18" ht="15.6" x14ac:dyDescent="0.3">
      <c r="A17" t="s">
        <v>218</v>
      </c>
      <c r="B17" s="8">
        <v>0.13</v>
      </c>
      <c r="C17" s="8">
        <v>0.95</v>
      </c>
      <c r="D17" s="7">
        <v>469.04479955249349</v>
      </c>
      <c r="E17" s="7">
        <v>305.33099944061701</v>
      </c>
      <c r="F17" s="7">
        <v>141.6171993287403</v>
      </c>
      <c r="G17" s="5" t="s">
        <v>234</v>
      </c>
      <c r="H17" s="6">
        <v>35</v>
      </c>
      <c r="I17" s="6" t="s">
        <v>97</v>
      </c>
      <c r="J17" s="6">
        <v>317.18272379247105</v>
      </c>
      <c r="K17" s="6">
        <v>263.90090474058883</v>
      </c>
      <c r="L17" s="6">
        <v>210.61908568870666</v>
      </c>
      <c r="M17" s="48"/>
      <c r="N17" s="48"/>
      <c r="O17" s="48"/>
      <c r="P17" s="48"/>
      <c r="Q17" s="48"/>
      <c r="R17" s="48"/>
    </row>
    <row r="18" spans="1:18" ht="15.6" x14ac:dyDescent="0.3">
      <c r="A18" t="s">
        <v>218</v>
      </c>
      <c r="B18" s="8">
        <v>0.05</v>
      </c>
      <c r="C18" s="8">
        <v>0.45</v>
      </c>
      <c r="D18" s="7">
        <v>744.9454183079215</v>
      </c>
      <c r="E18" s="7">
        <v>671.33177288490197</v>
      </c>
      <c r="F18" s="7">
        <v>597.7181274618822</v>
      </c>
      <c r="G18" s="5" t="s">
        <v>235</v>
      </c>
      <c r="H18" s="6">
        <v>13</v>
      </c>
      <c r="I18" s="6">
        <v>109.9</v>
      </c>
      <c r="J18" s="6">
        <v>402.39078149628392</v>
      </c>
      <c r="K18" s="6">
        <v>301.46847687035495</v>
      </c>
      <c r="L18" s="6">
        <v>200.54617224442597</v>
      </c>
      <c r="M18" s="48"/>
      <c r="N18" s="48"/>
      <c r="O18" s="48"/>
      <c r="P18" s="48"/>
      <c r="Q18" s="48"/>
      <c r="R18" s="48"/>
    </row>
    <row r="19" spans="1:18" ht="15.6" x14ac:dyDescent="0.3">
      <c r="A19" t="s">
        <v>223</v>
      </c>
      <c r="B19" s="6">
        <v>13.4</v>
      </c>
      <c r="C19" s="6">
        <v>80.7</v>
      </c>
      <c r="D19" s="7">
        <v>257.80417834708032</v>
      </c>
      <c r="E19" s="7">
        <v>219.09772293385046</v>
      </c>
      <c r="F19" s="7">
        <v>180.39126752062057</v>
      </c>
      <c r="G19" s="5" t="s">
        <v>235</v>
      </c>
      <c r="H19" s="6">
        <v>27.1</v>
      </c>
      <c r="I19" s="6">
        <v>214</v>
      </c>
      <c r="J19" s="6">
        <v>335.82486939448074</v>
      </c>
      <c r="K19" s="6">
        <v>242.93858674310093</v>
      </c>
      <c r="L19" s="6">
        <v>150.05230409172111</v>
      </c>
      <c r="M19" s="48"/>
      <c r="N19" s="48"/>
      <c r="O19" s="48"/>
      <c r="P19" s="48"/>
      <c r="Q19" s="48"/>
      <c r="R19" s="48"/>
    </row>
    <row r="20" spans="1:18" ht="15.6" x14ac:dyDescent="0.3">
      <c r="A20" t="s">
        <v>223</v>
      </c>
      <c r="B20" s="8">
        <v>12</v>
      </c>
      <c r="C20" s="8">
        <v>88</v>
      </c>
      <c r="D20" s="7">
        <v>440.84747084322652</v>
      </c>
      <c r="E20" s="7">
        <v>322.2643385540332</v>
      </c>
      <c r="F20" s="7">
        <v>203.68120626483983</v>
      </c>
    </row>
    <row r="21" spans="1:18" ht="15.6" x14ac:dyDescent="0.3">
      <c r="A21" t="s">
        <v>228</v>
      </c>
      <c r="B21" s="8">
        <v>12</v>
      </c>
      <c r="C21" s="8">
        <v>88</v>
      </c>
      <c r="D21" s="7">
        <v>403.81803873024</v>
      </c>
      <c r="E21" s="7">
        <v>330.34254841280006</v>
      </c>
      <c r="F21" s="7">
        <v>256.86705809536005</v>
      </c>
    </row>
    <row r="22" spans="1:18" ht="15.6" x14ac:dyDescent="0.3">
      <c r="A22" t="s">
        <v>229</v>
      </c>
      <c r="B22" s="8">
        <v>32</v>
      </c>
      <c r="C22" s="8">
        <v>211</v>
      </c>
      <c r="D22" s="7">
        <v>363.18348206403789</v>
      </c>
      <c r="E22" s="7">
        <v>274.4418525800474</v>
      </c>
      <c r="F22" s="7">
        <v>185.7002230960569</v>
      </c>
    </row>
    <row r="23" spans="1:18" ht="15.6" x14ac:dyDescent="0.3">
      <c r="A23" t="s">
        <v>230</v>
      </c>
      <c r="B23" s="8">
        <v>32</v>
      </c>
      <c r="C23" s="8">
        <v>211</v>
      </c>
      <c r="D23" s="7">
        <v>355.34971818206537</v>
      </c>
      <c r="E23" s="7">
        <v>287.1471477275818</v>
      </c>
      <c r="F23" s="7">
        <v>218.94457727309816</v>
      </c>
    </row>
    <row r="24" spans="1:18" ht="15.75" customHeight="1" x14ac:dyDescent="0.3">
      <c r="A24" t="s">
        <v>231</v>
      </c>
      <c r="B24" s="6">
        <v>11.7</v>
      </c>
      <c r="C24" s="6">
        <v>97.5</v>
      </c>
      <c r="D24" s="7">
        <v>505.98548373092831</v>
      </c>
      <c r="E24" s="7">
        <v>327.28185466366051</v>
      </c>
      <c r="F24" s="7">
        <v>148.57822559639271</v>
      </c>
    </row>
    <row r="25" spans="1:18" ht="15.75" customHeight="1" x14ac:dyDescent="0.3">
      <c r="A25" t="s">
        <v>217</v>
      </c>
      <c r="B25" s="6">
        <v>9.8000000000000007</v>
      </c>
      <c r="C25" s="6">
        <v>77.900000000000006</v>
      </c>
      <c r="D25" s="7">
        <v>515.65779829393364</v>
      </c>
      <c r="E25" s="7">
        <v>406.05474786741718</v>
      </c>
      <c r="F25" s="7">
        <v>296.4516974409006</v>
      </c>
    </row>
    <row r="26" spans="1:18" ht="15.6" x14ac:dyDescent="0.3">
      <c r="A26" t="s">
        <v>232</v>
      </c>
      <c r="B26" s="8">
        <v>38.5</v>
      </c>
      <c r="C26" s="8">
        <v>179.9</v>
      </c>
      <c r="D26" s="7">
        <v>265.89912788699655</v>
      </c>
      <c r="E26" s="7">
        <v>146.34890985874574</v>
      </c>
      <c r="F26" s="7">
        <v>26.798691830494931</v>
      </c>
    </row>
    <row r="27" spans="1:18" ht="15.6" x14ac:dyDescent="0.3">
      <c r="A27" t="s">
        <v>233</v>
      </c>
      <c r="B27" s="8">
        <v>32</v>
      </c>
      <c r="C27" s="8">
        <v>162.6</v>
      </c>
      <c r="D27" s="7">
        <v>358.39444020694441</v>
      </c>
      <c r="E27" s="7">
        <v>166.54305025868064</v>
      </c>
      <c r="F27" s="7">
        <v>0.01</v>
      </c>
    </row>
    <row r="28" spans="1:18" ht="15.6" x14ac:dyDescent="0.3">
      <c r="A28" t="s">
        <v>234</v>
      </c>
      <c r="B28" s="8">
        <v>15</v>
      </c>
      <c r="C28" s="8" t="s">
        <v>97</v>
      </c>
      <c r="D28" s="7">
        <v>354.2435105243971</v>
      </c>
      <c r="E28" s="7">
        <v>304.25438815549637</v>
      </c>
      <c r="F28" s="7">
        <v>254.26526578659565</v>
      </c>
    </row>
    <row r="29" spans="1:18" ht="15.6" x14ac:dyDescent="0.3">
      <c r="A29" t="s">
        <v>234</v>
      </c>
      <c r="B29" s="8">
        <v>35</v>
      </c>
      <c r="C29" s="8" t="s">
        <v>97</v>
      </c>
      <c r="D29" s="7">
        <v>317.18272379247105</v>
      </c>
      <c r="E29" s="7">
        <v>263.90090474058883</v>
      </c>
      <c r="F29" s="7">
        <v>210.61908568870666</v>
      </c>
    </row>
    <row r="30" spans="1:18" ht="15.6" x14ac:dyDescent="0.3">
      <c r="A30" t="s">
        <v>235</v>
      </c>
      <c r="B30" s="8">
        <v>13</v>
      </c>
      <c r="C30" s="8">
        <v>109.9</v>
      </c>
      <c r="D30" s="9">
        <v>402.39078149628392</v>
      </c>
      <c r="E30" s="9">
        <v>301.46847687035495</v>
      </c>
      <c r="F30" s="9">
        <v>200.54617224442597</v>
      </c>
    </row>
    <row r="31" spans="1:18" ht="15.6" x14ac:dyDescent="0.3">
      <c r="A31" t="s">
        <v>236</v>
      </c>
      <c r="B31" s="8">
        <v>13</v>
      </c>
      <c r="C31" s="8">
        <v>109.9</v>
      </c>
      <c r="D31" s="9">
        <v>357.12530283316147</v>
      </c>
      <c r="E31" s="9">
        <v>271.90662854145188</v>
      </c>
      <c r="F31" s="9">
        <v>186.68795424974223</v>
      </c>
    </row>
    <row r="32" spans="1:18" ht="15.6" x14ac:dyDescent="0.3">
      <c r="A32" t="s">
        <v>236</v>
      </c>
      <c r="B32" s="8">
        <v>27.1</v>
      </c>
      <c r="C32" s="8">
        <v>214</v>
      </c>
      <c r="D32" s="9">
        <v>275.62325373233898</v>
      </c>
      <c r="E32" s="9">
        <v>215.77906716542378</v>
      </c>
      <c r="F32" s="9">
        <v>155.93488059850853</v>
      </c>
    </row>
    <row r="33" spans="1:6" ht="15.6" x14ac:dyDescent="0.3">
      <c r="A33" t="s">
        <v>235</v>
      </c>
      <c r="B33" s="8">
        <v>27.1</v>
      </c>
      <c r="C33" s="8">
        <v>214</v>
      </c>
      <c r="D33" s="9">
        <v>335.82486939448074</v>
      </c>
      <c r="E33" s="9">
        <v>242.93858674310093</v>
      </c>
      <c r="F33" s="9">
        <v>150.05230409172111</v>
      </c>
    </row>
    <row r="34" spans="1:6" ht="15.6" x14ac:dyDescent="0.3">
      <c r="A34" t="s">
        <v>222</v>
      </c>
      <c r="B34" s="8">
        <v>12</v>
      </c>
      <c r="C34" s="8">
        <v>90</v>
      </c>
      <c r="D34" s="9">
        <v>380.63489180253623</v>
      </c>
      <c r="E34" s="9">
        <v>293.98861475317028</v>
      </c>
      <c r="F34" s="9">
        <v>207.34233770380433</v>
      </c>
    </row>
  </sheetData>
  <hyperlinks>
    <hyperlink ref="D3" r:id="rId1" xr:uid="{761783A2-8A9B-47D0-81CB-96BF498DC506}"/>
    <hyperlink ref="E3" r:id="rId2" xr:uid="{2284E68C-140F-44AB-B1B1-4219E8A6DE10}"/>
    <hyperlink ref="J3" r:id="rId3" xr:uid="{87F98831-A0CD-4ACB-99EE-9D010F58D6E1}"/>
    <hyperlink ref="K3" r:id="rId4" xr:uid="{E9AADFF1-05E3-48FE-A358-A5B89E3A4FE7}"/>
    <hyperlink ref="V3" r:id="rId5" xr:uid="{8D059D46-23A5-4586-9211-6A5AD81253A4}"/>
    <hyperlink ref="W3" r:id="rId6" xr:uid="{49130957-D6EF-4551-9C56-7F065EBD1C0E}"/>
    <hyperlink ref="P3" r:id="rId7" xr:uid="{19C47527-8C04-4408-A670-25FF9F157D6C}"/>
    <hyperlink ref="Q3" r:id="rId8" xr:uid="{DBF7586A-73C6-4081-910C-52DF2488F32C}"/>
  </hyperlinks>
  <pageMargins left="0.7" right="0.7" top="0.75" bottom="0.75" header="0.3" footer="0.3"/>
  <headerFooter>
    <oddHeader>&amp;C&amp;"Calibri"&amp;12&amp;KEEDC00 RMIT Classification: Trusted&amp;1#_x000D_</oddHeader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Fatigue Data</vt:lpstr>
      <vt:lpstr>Reporting criteria</vt:lpstr>
      <vt:lpstr>Roughness vs Fatigue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bron3</cp:lastModifiedBy>
  <dcterms:created xsi:type="dcterms:W3CDTF">2023-02-17T04:16:10Z</dcterms:created>
  <dcterms:modified xsi:type="dcterms:W3CDTF">2023-02-18T10:27:20Z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2023-02-18T10:26:22Z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6c7c25a1-eb72-4211-8d64-250de35221a6</vt:lpwstr>
  </property>
  <property fmtid="{D5CDD505-2E9C-101B-9397-08002B2CF9AE}" pid="8" name="MSIP_Label_8c3d088b-6243-4963-a2e2-8b321ab7f8fc_ContentBits">
    <vt:lpwstr>1</vt:lpwstr>
  </property>
</Properties>
</file>