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Qi's Workspace\RMIT VN\BP Questionnaire\Sepcial Rules from Chi\"/>
    </mc:Choice>
  </mc:AlternateContent>
  <bookViews>
    <workbookView xWindow="0" yWindow="0" windowWidth="19200" windowHeight="7308"/>
  </bookViews>
  <sheets>
    <sheet name="May 19" sheetId="1" r:id="rId1"/>
  </sheets>
  <definedNames>
    <definedName name="_xlnm.Print_Area" localSheetId="0">'May 19'!$A$1:$AF$23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2" i="1" l="1"/>
  <c r="AD2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L10" i="1"/>
  <c r="AK10" i="1"/>
  <c r="R7" i="1"/>
  <c r="AC6" i="1"/>
  <c r="AC24" i="1" s="1"/>
  <c r="M6" i="1"/>
  <c r="L6" i="1"/>
  <c r="I6" i="1"/>
  <c r="K6" i="1" s="1"/>
  <c r="B6" i="1"/>
  <c r="C6" i="1" s="1"/>
  <c r="AL11" i="1" l="1"/>
  <c r="AE24" i="1" s="1"/>
  <c r="AE6" i="1" s="1"/>
  <c r="N6" i="1"/>
  <c r="O6" i="1" s="1"/>
  <c r="P6" i="1" s="1"/>
  <c r="Y6" i="1"/>
  <c r="R6" i="1" l="1"/>
  <c r="S6" i="1" s="1"/>
  <c r="T6" i="1" s="1"/>
  <c r="U6" i="1" s="1"/>
  <c r="AC25" i="1"/>
  <c r="Z6" i="1"/>
  <c r="Y7" i="1"/>
  <c r="AA27" i="1" l="1"/>
  <c r="AC27" i="1" s="1"/>
  <c r="V6" i="1"/>
  <c r="V7" i="1" s="1"/>
  <c r="Z7" i="1"/>
  <c r="AA6" i="1"/>
  <c r="W6" i="1" l="1"/>
  <c r="X6" i="1" s="1"/>
  <c r="X7" i="1"/>
  <c r="AA26" i="1"/>
  <c r="AA7" i="1"/>
  <c r="AB6" i="1"/>
  <c r="AF6" i="1" s="1"/>
  <c r="E12" i="1" s="1"/>
  <c r="AF24" i="1" l="1"/>
</calcChain>
</file>

<file path=xl/comments1.xml><?xml version="1.0" encoding="utf-8"?>
<comments xmlns="http://schemas.openxmlformats.org/spreadsheetml/2006/main">
  <authors>
    <author>Tuser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>Tuser:</t>
        </r>
        <r>
          <rPr>
            <sz val="9"/>
            <color indexed="81"/>
            <rFont val="Tahoma"/>
            <family val="2"/>
          </rPr>
          <t xml:space="preserve">
add 2 dependents from Aug 2014</t>
        </r>
      </text>
    </comment>
  </commentList>
</comments>
</file>

<file path=xl/sharedStrings.xml><?xml version="1.0" encoding="utf-8"?>
<sst xmlns="http://schemas.openxmlformats.org/spreadsheetml/2006/main" count="62" uniqueCount="54">
  <si>
    <t xml:space="preserve">Month: </t>
  </si>
  <si>
    <t>x</t>
  </si>
  <si>
    <t>Details of Other deductions (AUD) in</t>
  </si>
  <si>
    <t>Annual gross salary (AUD)</t>
  </si>
  <si>
    <t>Monthly gross salary (AUD)</t>
  </si>
  <si>
    <t>Monthly gross salary (VND)</t>
  </si>
  <si>
    <t>Gross addition (VND)</t>
  </si>
  <si>
    <t>Gross deduction (VND)</t>
  </si>
  <si>
    <t>Net Private Medical Insurance (VND)</t>
  </si>
  <si>
    <t>Net Utilities (VND)</t>
  </si>
  <si>
    <t>Net Superannuation (taxable) (AUD)</t>
  </si>
  <si>
    <t xml:space="preserve"> Net Superannuation (taxable) (VND)</t>
  </si>
  <si>
    <t>Visa/TRC (VND)</t>
  </si>
  <si>
    <t>Total</t>
  </si>
  <si>
    <t>Tax deduction (self and dependant)</t>
  </si>
  <si>
    <t>HI (1.5% on cap VND 27,800,000)</t>
  </si>
  <si>
    <t xml:space="preserve">Net BIK subject to be grossed-up </t>
  </si>
  <si>
    <t xml:space="preserve">Grossed up BIK </t>
  </si>
  <si>
    <t>Taxable BIK</t>
  </si>
  <si>
    <t>Actual Housing allowance (VND)</t>
  </si>
  <si>
    <t>Taxable Housing allowance (VND)</t>
  </si>
  <si>
    <t xml:space="preserve">Net BIK+Housing subject to be grossed-up </t>
  </si>
  <si>
    <t xml:space="preserve">Grossed up BIK + housing
</t>
  </si>
  <si>
    <t xml:space="preserve">Taxable BIK + housing
</t>
  </si>
  <si>
    <t>Total taxable income</t>
  </si>
  <si>
    <t>Total accessible income</t>
  </si>
  <si>
    <t>Total PIT payable</t>
  </si>
  <si>
    <t>Employee's taxable income</t>
  </si>
  <si>
    <t>Accessible income</t>
  </si>
  <si>
    <t>Employee's PIT payable</t>
  </si>
  <si>
    <t>Net receive in AUD</t>
  </si>
  <si>
    <t>Deduction of Employee Superannuation (AUD)</t>
  </si>
  <si>
    <t>Deduction of the cost for personal use of the car (20 hours per week) (AUD)</t>
  </si>
  <si>
    <t>Other deduction/ addition (+/-)
(AUD)</t>
  </si>
  <si>
    <t>Net take home (AUD)</t>
  </si>
  <si>
    <t>No.</t>
  </si>
  <si>
    <t>V-number</t>
  </si>
  <si>
    <t>Full name</t>
  </si>
  <si>
    <t>Deduction amount in USD</t>
  </si>
  <si>
    <t>Deduction amount in VND</t>
  </si>
  <si>
    <t>Reason to deduct</t>
  </si>
  <si>
    <t>Applied exchange rate as at</t>
  </si>
  <si>
    <t>VND/AUD</t>
  </si>
  <si>
    <t>VND/USD</t>
  </si>
  <si>
    <t>AUD</t>
  </si>
  <si>
    <t>Total in 2019</t>
  </si>
  <si>
    <t xml:space="preserve"> </t>
  </si>
  <si>
    <t>Net MI (tax paid by RMIT)</t>
  </si>
  <si>
    <t>Diff RMIT's PIT</t>
  </si>
  <si>
    <t>reimbursement</t>
  </si>
  <si>
    <t>Deduction taxable BIK</t>
  </si>
  <si>
    <r>
      <t xml:space="preserve"> Net Benefits-in-kind </t>
    </r>
    <r>
      <rPr>
        <b/>
        <sz val="12"/>
        <color rgb="FFFF0000"/>
        <rFont val="等线"/>
        <family val="2"/>
        <scheme val="minor"/>
      </rPr>
      <t>(gross-up item)</t>
    </r>
    <phoneticPr fontId="13" type="noConversion"/>
  </si>
  <si>
    <t>net1</t>
    <phoneticPr fontId="13" type="noConversion"/>
  </si>
  <si>
    <t>net2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</si>
</sst>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76" formatCode="_(* #,##0_);_(* \(#,##0\);_(* &quot;-&quot;??_);_(@_)"/>
    <numFmt numFmtId="177" formatCode="_-* #,##0_-;\-* #,##0_-;_-* &quot;-&quot;??_-;_-@_-"/>
    <numFmt numFmtId="178" formatCode="[$-C09]dd\-mmm\-yy;@"/>
    <numFmt numFmtId="179" formatCode="_-* #,##0.00_-;\-* #,##0.00_-;_-* &quot;-&quot;??_-;_-@_-"/>
    <numFmt numFmtId="180" formatCode="_(* #,##0.0000_);_(* \(#,##0.0000\);_(* &quot;-&quot;??_);_(@_)"/>
    <numFmt numFmtId="181" formatCode="_-&quot;¥&quot;* #,##0.00_-;\-&quot;¥&quot;* #,##0.00_-;_-&quot;¥&quot;* &quot;-&quot;??_-;_-@_-"/>
  </numFmts>
  <fonts count="14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b/>
      <sz val="20"/>
      <name val="等线"/>
      <family val="2"/>
      <scheme val="minor"/>
    </font>
    <font>
      <b/>
      <sz val="12"/>
      <name val="等线"/>
      <family val="2"/>
      <scheme val="minor"/>
    </font>
    <font>
      <sz val="12"/>
      <name val="等线"/>
      <family val="2"/>
      <scheme val="minor"/>
    </font>
    <font>
      <b/>
      <i/>
      <sz val="12"/>
      <name val="等线"/>
      <family val="2"/>
      <scheme val="minor"/>
    </font>
    <font>
      <b/>
      <sz val="12"/>
      <color rgb="FFFF0000"/>
      <name val="等线"/>
      <family val="2"/>
      <scheme val="minor"/>
    </font>
    <font>
      <b/>
      <u/>
      <sz val="12"/>
      <name val="等线"/>
      <family val="2"/>
      <scheme val="minor"/>
    </font>
    <font>
      <b/>
      <sz val="12"/>
      <color indexed="12"/>
      <name val="等线"/>
      <family val="2"/>
      <scheme val="minor"/>
    </font>
    <font>
      <sz val="12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B35D5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3" applyFont="1"/>
    <xf numFmtId="0" fontId="4" fillId="0" borderId="0" xfId="3" applyFont="1"/>
    <xf numFmtId="0" fontId="5" fillId="0" borderId="0" xfId="3" applyFont="1"/>
    <xf numFmtId="0" fontId="5" fillId="2" borderId="0" xfId="3" applyFont="1" applyFill="1"/>
    <xf numFmtId="0" fontId="6" fillId="0" borderId="0" xfId="3" applyFont="1"/>
    <xf numFmtId="17" fontId="6" fillId="0" borderId="0" xfId="3" applyNumberFormat="1" applyFont="1"/>
    <xf numFmtId="43" fontId="5" fillId="0" borderId="0" xfId="1" applyFont="1"/>
    <xf numFmtId="176" fontId="5" fillId="0" borderId="0" xfId="1" applyNumberFormat="1" applyFont="1"/>
    <xf numFmtId="0" fontId="4" fillId="2" borderId="0" xfId="3" applyFont="1" applyFill="1"/>
    <xf numFmtId="17" fontId="4" fillId="2" borderId="0" xfId="3" applyNumberFormat="1" applyFont="1" applyFill="1" applyAlignment="1">
      <alignment vertical="center"/>
    </xf>
    <xf numFmtId="0" fontId="5" fillId="4" borderId="4" xfId="3" applyFont="1" applyFill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 vertical="center" wrapText="1"/>
    </xf>
    <xf numFmtId="0" fontId="5" fillId="5" borderId="4" xfId="3" applyFont="1" applyFill="1" applyBorder="1" applyAlignment="1">
      <alignment horizontal="center" vertical="center" wrapText="1"/>
    </xf>
    <xf numFmtId="0" fontId="5" fillId="6" borderId="4" xfId="3" applyFont="1" applyFill="1" applyBorder="1" applyAlignment="1">
      <alignment horizontal="center" vertical="center" wrapText="1"/>
    </xf>
    <xf numFmtId="0" fontId="5" fillId="7" borderId="4" xfId="3" applyFont="1" applyFill="1" applyBorder="1" applyAlignment="1">
      <alignment horizontal="center" vertical="center" wrapText="1"/>
    </xf>
    <xf numFmtId="0" fontId="5" fillId="0" borderId="0" xfId="3" applyFont="1" applyAlignment="1">
      <alignment vertical="center"/>
    </xf>
    <xf numFmtId="0" fontId="4" fillId="2" borderId="4" xfId="3" applyFont="1" applyFill="1" applyBorder="1" applyAlignment="1">
      <alignment horizontal="center" vertical="center" wrapText="1"/>
    </xf>
    <xf numFmtId="0" fontId="5" fillId="2" borderId="0" xfId="3" applyFont="1" applyFill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4" fontId="4" fillId="0" borderId="4" xfId="3" applyNumberFormat="1" applyFont="1" applyBorder="1" applyAlignment="1">
      <alignment horizontal="right" vertical="center"/>
    </xf>
    <xf numFmtId="177" fontId="5" fillId="0" borderId="4" xfId="4" applyNumberFormat="1" applyFont="1" applyBorder="1" applyAlignment="1">
      <alignment horizontal="right" vertical="center"/>
    </xf>
    <xf numFmtId="176" fontId="5" fillId="0" borderId="4" xfId="4" applyNumberFormat="1" applyFont="1" applyBorder="1" applyAlignment="1">
      <alignment horizontal="right" vertical="center"/>
    </xf>
    <xf numFmtId="43" fontId="5" fillId="0" borderId="4" xfId="4" applyFont="1" applyBorder="1" applyAlignment="1">
      <alignment horizontal="right" vertical="center"/>
    </xf>
    <xf numFmtId="176" fontId="5" fillId="0" borderId="4" xfId="4" applyNumberFormat="1" applyFont="1" applyBorder="1" applyAlignment="1">
      <alignment horizontal="right" vertical="center" wrapText="1"/>
    </xf>
    <xf numFmtId="43" fontId="5" fillId="2" borderId="4" xfId="4" applyFont="1" applyFill="1" applyBorder="1" applyAlignment="1">
      <alignment horizontal="right" vertical="center"/>
    </xf>
    <xf numFmtId="4" fontId="7" fillId="0" borderId="4" xfId="3" applyNumberFormat="1" applyFont="1" applyBorder="1" applyAlignment="1">
      <alignment horizontal="right" vertical="center"/>
    </xf>
    <xf numFmtId="0" fontId="5" fillId="2" borderId="4" xfId="3" applyFont="1" applyFill="1" applyBorder="1" applyAlignment="1">
      <alignment horizontal="center" vertical="center"/>
    </xf>
    <xf numFmtId="0" fontId="5" fillId="2" borderId="4" xfId="3" applyFont="1" applyFill="1" applyBorder="1" applyAlignment="1">
      <alignment vertical="center"/>
    </xf>
    <xf numFmtId="0" fontId="5" fillId="2" borderId="4" xfId="3" applyFont="1" applyFill="1" applyBorder="1" applyAlignment="1">
      <alignment vertical="center" wrapText="1"/>
    </xf>
    <xf numFmtId="43" fontId="5" fillId="8" borderId="4" xfId="4" applyFont="1" applyFill="1" applyBorder="1" applyAlignment="1">
      <alignment vertical="center"/>
    </xf>
    <xf numFmtId="176" fontId="5" fillId="2" borderId="4" xfId="4" applyNumberFormat="1" applyFont="1" applyFill="1" applyBorder="1" applyAlignment="1">
      <alignment vertical="center"/>
    </xf>
    <xf numFmtId="176" fontId="5" fillId="2" borderId="0" xfId="4" applyNumberFormat="1" applyFont="1" applyFill="1" applyAlignment="1">
      <alignment vertical="center"/>
    </xf>
    <xf numFmtId="176" fontId="5" fillId="0" borderId="0" xfId="4" applyNumberFormat="1" applyFont="1" applyAlignment="1">
      <alignment vertical="center"/>
    </xf>
    <xf numFmtId="4" fontId="5" fillId="0" borderId="0" xfId="3" applyNumberFormat="1" applyFont="1"/>
    <xf numFmtId="176" fontId="5" fillId="0" borderId="0" xfId="4" applyNumberFormat="1" applyFont="1" applyAlignment="1">
      <alignment horizontal="right" vertical="center"/>
    </xf>
    <xf numFmtId="43" fontId="5" fillId="2" borderId="4" xfId="1" applyFont="1" applyFill="1" applyBorder="1" applyAlignment="1">
      <alignment vertical="center"/>
    </xf>
    <xf numFmtId="4" fontId="5" fillId="0" borderId="0" xfId="3" applyNumberFormat="1" applyFont="1" applyAlignment="1">
      <alignment horizontal="left" vertical="center"/>
    </xf>
    <xf numFmtId="4" fontId="4" fillId="0" borderId="0" xfId="3" applyNumberFormat="1" applyFont="1" applyAlignment="1">
      <alignment horizontal="right" vertical="center"/>
    </xf>
    <xf numFmtId="178" fontId="5" fillId="0" borderId="0" xfId="3" applyNumberFormat="1" applyFont="1" applyAlignment="1">
      <alignment vertical="center"/>
    </xf>
    <xf numFmtId="0" fontId="5" fillId="0" borderId="0" xfId="3" applyFont="1" applyAlignment="1">
      <alignment horizontal="center" vertical="center"/>
    </xf>
    <xf numFmtId="43" fontId="5" fillId="0" borderId="0" xfId="4" applyFont="1"/>
    <xf numFmtId="176" fontId="5" fillId="0" borderId="0" xfId="4" applyNumberFormat="1" applyFont="1"/>
    <xf numFmtId="176" fontId="5" fillId="0" borderId="0" xfId="4" applyNumberFormat="1" applyFont="1" applyAlignment="1">
      <alignment horizontal="right"/>
    </xf>
    <xf numFmtId="43" fontId="5" fillId="0" borderId="0" xfId="4" applyFont="1" applyAlignment="1">
      <alignment horizontal="right"/>
    </xf>
    <xf numFmtId="0" fontId="8" fillId="0" borderId="0" xfId="3" applyFont="1"/>
    <xf numFmtId="176" fontId="5" fillId="0" borderId="0" xfId="4" applyNumberFormat="1" applyFont="1" applyAlignment="1">
      <alignment horizontal="center" vertical="center"/>
    </xf>
    <xf numFmtId="179" fontId="5" fillId="0" borderId="0" xfId="3" applyNumberFormat="1" applyFont="1"/>
    <xf numFmtId="0" fontId="5" fillId="0" borderId="0" xfId="3" applyFont="1" applyAlignment="1">
      <alignment horizontal="center"/>
    </xf>
    <xf numFmtId="180" fontId="5" fillId="0" borderId="0" xfId="4" applyNumberFormat="1" applyFont="1" applyAlignment="1">
      <alignment horizontal="right" vertical="center"/>
    </xf>
    <xf numFmtId="0" fontId="5" fillId="0" borderId="4" xfId="3" applyFont="1" applyBorder="1"/>
    <xf numFmtId="0" fontId="4" fillId="2" borderId="4" xfId="3" applyFont="1" applyFill="1" applyBorder="1" applyAlignment="1">
      <alignment vertical="center"/>
    </xf>
    <xf numFmtId="43" fontId="4" fillId="0" borderId="4" xfId="3" applyNumberFormat="1" applyFont="1" applyBorder="1"/>
    <xf numFmtId="176" fontId="4" fillId="0" borderId="4" xfId="3" applyNumberFormat="1" applyFont="1" applyBorder="1"/>
    <xf numFmtId="0" fontId="5" fillId="0" borderId="4" xfId="3" applyFont="1" applyBorder="1" applyAlignment="1">
      <alignment wrapText="1"/>
    </xf>
    <xf numFmtId="176" fontId="5" fillId="2" borderId="0" xfId="4" applyNumberFormat="1" applyFont="1" applyFill="1" applyAlignment="1">
      <alignment horizontal="right"/>
    </xf>
    <xf numFmtId="43" fontId="9" fillId="2" borderId="0" xfId="4" applyFont="1" applyFill="1" applyAlignment="1">
      <alignment horizontal="right"/>
    </xf>
    <xf numFmtId="43" fontId="4" fillId="2" borderId="0" xfId="4" applyFont="1" applyFill="1"/>
    <xf numFmtId="177" fontId="4" fillId="2" borderId="0" xfId="4" applyNumberFormat="1" applyFont="1" applyFill="1"/>
    <xf numFmtId="0" fontId="7" fillId="0" borderId="5" xfId="3" applyFont="1" applyBorder="1" applyAlignment="1">
      <alignment horizontal="left" vertical="center"/>
    </xf>
    <xf numFmtId="0" fontId="10" fillId="0" borderId="6" xfId="3" applyFont="1" applyBorder="1" applyAlignment="1">
      <alignment vertical="center"/>
    </xf>
    <xf numFmtId="0" fontId="7" fillId="0" borderId="6" xfId="3" applyFont="1" applyBorder="1" applyAlignment="1">
      <alignment horizontal="right" vertical="center"/>
    </xf>
    <xf numFmtId="179" fontId="7" fillId="0" borderId="7" xfId="3" applyNumberFormat="1" applyFont="1" applyBorder="1" applyAlignment="1">
      <alignment vertical="center"/>
    </xf>
    <xf numFmtId="0" fontId="10" fillId="0" borderId="0" xfId="3" applyFont="1" applyAlignment="1">
      <alignment vertical="center"/>
    </xf>
    <xf numFmtId="179" fontId="7" fillId="0" borderId="0" xfId="3" applyNumberFormat="1" applyFont="1" applyAlignment="1">
      <alignment vertical="center"/>
    </xf>
    <xf numFmtId="176" fontId="4" fillId="0" borderId="0" xfId="4" applyNumberFormat="1" applyFont="1"/>
    <xf numFmtId="17" fontId="5" fillId="0" borderId="0" xfId="4" applyNumberFormat="1" applyFont="1" applyAlignment="1">
      <alignment wrapText="1"/>
    </xf>
    <xf numFmtId="41" fontId="5" fillId="0" borderId="0" xfId="2" applyFont="1"/>
    <xf numFmtId="176" fontId="5" fillId="0" borderId="0" xfId="4" applyNumberFormat="1" applyFont="1" applyAlignment="1">
      <alignment wrapText="1"/>
    </xf>
    <xf numFmtId="181" fontId="5" fillId="0" borderId="0" xfId="3" applyNumberFormat="1" applyFont="1"/>
    <xf numFmtId="17" fontId="5" fillId="0" borderId="0" xfId="3" applyNumberFormat="1" applyFont="1"/>
    <xf numFmtId="3" fontId="5" fillId="0" borderId="0" xfId="3" applyNumberFormat="1" applyFont="1"/>
    <xf numFmtId="0" fontId="5" fillId="0" borderId="0" xfId="3" applyFont="1" applyAlignment="1">
      <alignment horizontal="left" wrapText="1"/>
    </xf>
    <xf numFmtId="14" fontId="5" fillId="0" borderId="0" xfId="3" applyNumberFormat="1" applyFont="1" applyAlignment="1">
      <alignment horizontal="left"/>
    </xf>
    <xf numFmtId="176" fontId="5" fillId="0" borderId="0" xfId="3" applyNumberFormat="1" applyFont="1"/>
    <xf numFmtId="0" fontId="5" fillId="0" borderId="0" xfId="3" applyFont="1" applyAlignment="1">
      <alignment wrapText="1"/>
    </xf>
    <xf numFmtId="177" fontId="5" fillId="0" borderId="0" xfId="3" applyNumberFormat="1" applyFont="1"/>
    <xf numFmtId="0" fontId="5" fillId="0" borderId="0" xfId="3" applyFont="1" applyAlignment="1">
      <alignment horizontal="right"/>
    </xf>
    <xf numFmtId="3" fontId="4" fillId="9" borderId="0" xfId="3" applyNumberFormat="1" applyFont="1" applyFill="1" applyAlignment="1">
      <alignment horizontal="right" vertical="center"/>
    </xf>
    <xf numFmtId="0" fontId="4" fillId="3" borderId="1" xfId="3" applyFont="1" applyFill="1" applyBorder="1" applyAlignment="1">
      <alignment horizontal="center" vertical="center"/>
    </xf>
    <xf numFmtId="0" fontId="4" fillId="3" borderId="2" xfId="3" applyFont="1" applyFill="1" applyBorder="1" applyAlignment="1">
      <alignment horizontal="center" vertical="center"/>
    </xf>
    <xf numFmtId="0" fontId="4" fillId="3" borderId="3" xfId="3" applyFont="1" applyFill="1" applyBorder="1" applyAlignment="1">
      <alignment horizontal="center" vertical="center"/>
    </xf>
    <xf numFmtId="17" fontId="5" fillId="0" borderId="0" xfId="3" applyNumberFormat="1" applyFont="1" applyAlignment="1">
      <alignment horizontal="center" vertical="center"/>
    </xf>
  </cellXfs>
  <cellStyles count="5">
    <cellStyle name="Comma" xfId="1" builtinId="3"/>
    <cellStyle name="Comma [0]" xfId="2" builtinId="6"/>
    <cellStyle name="Comma 2 2" xf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4</xdr:row>
      <xdr:rowOff>1181100</xdr:rowOff>
    </xdr:from>
    <xdr:to>
      <xdr:col>14</xdr:col>
      <xdr:colOff>488950</xdr:colOff>
      <xdr:row>4</xdr:row>
      <xdr:rowOff>1181100</xdr:rowOff>
    </xdr:to>
    <xdr:cxnSp macro="">
      <xdr:nvCxnSpPr>
        <xdr:cNvPr id="3" name="Straight Arrow Connector 2"/>
        <xdr:cNvCxnSpPr/>
      </xdr:nvCxnSpPr>
      <xdr:spPr>
        <a:xfrm>
          <a:off x="12014200" y="2336800"/>
          <a:ext cx="4273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W48"/>
  <sheetViews>
    <sheetView tabSelected="1" view="pageBreakPreview" topLeftCell="I4" zoomScale="70" zoomScaleNormal="100" zoomScaleSheetLayoutView="70" workbookViewId="0">
      <selection activeCell="L12" sqref="L12:T17"/>
    </sheetView>
  </sheetViews>
  <sheetFormatPr defaultColWidth="9.19921875" defaultRowHeight="15"/>
  <cols>
    <col min="1" max="1" width="14.19921875" style="3" customWidth="1"/>
    <col min="2" max="2" width="14.3984375" style="3" customWidth="1"/>
    <col min="3" max="3" width="17.19921875" style="3" customWidth="1"/>
    <col min="4" max="4" width="16.69921875" style="3" customWidth="1"/>
    <col min="5" max="5" width="13.3984375" style="3" customWidth="1"/>
    <col min="6" max="6" width="12.19921875" style="3" customWidth="1"/>
    <col min="7" max="7" width="14" style="3" customWidth="1"/>
    <col min="8" max="8" width="13.59765625" style="3" customWidth="1"/>
    <col min="9" max="10" width="16.69921875" style="3" customWidth="1"/>
    <col min="11" max="11" width="14.3984375" style="3" customWidth="1"/>
    <col min="12" max="13" width="14.59765625" style="3" customWidth="1"/>
    <col min="14" max="14" width="28" style="3" customWidth="1"/>
    <col min="15" max="21" width="14.59765625" style="3" customWidth="1"/>
    <col min="22" max="26" width="15" style="3" customWidth="1"/>
    <col min="27" max="28" width="15.59765625" style="3" customWidth="1"/>
    <col min="29" max="29" width="15" style="3" customWidth="1"/>
    <col min="30" max="30" width="16.59765625" style="3" customWidth="1"/>
    <col min="31" max="31" width="15" style="3" customWidth="1"/>
    <col min="32" max="32" width="15.796875" style="3" customWidth="1"/>
    <col min="33" max="33" width="14" style="3" customWidth="1"/>
    <col min="34" max="34" width="7" style="3" customWidth="1"/>
    <col min="35" max="35" width="15.69921875" style="3" customWidth="1"/>
    <col min="36" max="36" width="19.3984375" style="3" customWidth="1"/>
    <col min="37" max="37" width="15.69921875" style="3" customWidth="1"/>
    <col min="38" max="38" width="20" style="3" customWidth="1"/>
    <col min="39" max="45" width="15.19921875" style="3" customWidth="1"/>
    <col min="46" max="49" width="15.69921875" style="3" customWidth="1"/>
    <col min="50" max="16384" width="9.19921875" style="3"/>
  </cols>
  <sheetData>
    <row r="1" spans="1:49" ht="24.6">
      <c r="A1" s="1"/>
      <c r="B1" s="2"/>
      <c r="L1" s="2"/>
      <c r="AH1" s="4"/>
      <c r="AI1" s="4"/>
      <c r="AJ1" s="4"/>
      <c r="AK1" s="4"/>
      <c r="AL1" s="4"/>
      <c r="AM1" s="4"/>
      <c r="AN1" s="4"/>
    </row>
    <row r="2" spans="1:49" ht="15.6">
      <c r="A2" s="5" t="s">
        <v>0</v>
      </c>
      <c r="B2" s="6">
        <v>43586</v>
      </c>
      <c r="AH2" s="4"/>
      <c r="AI2" s="4"/>
      <c r="AJ2" s="4"/>
      <c r="AK2" s="4"/>
      <c r="AL2" s="4"/>
      <c r="AM2" s="4"/>
      <c r="AN2" s="4"/>
    </row>
    <row r="3" spans="1:49" ht="15.6">
      <c r="A3" s="5"/>
      <c r="B3" s="6"/>
      <c r="D3" s="7"/>
      <c r="AG3" s="7"/>
      <c r="AH3" s="4"/>
      <c r="AI3" s="4"/>
      <c r="AJ3" s="4"/>
      <c r="AK3" s="4"/>
      <c r="AL3" s="4"/>
      <c r="AM3" s="4"/>
      <c r="AN3" s="4"/>
    </row>
    <row r="4" spans="1:49" ht="35.25" customHeight="1">
      <c r="C4" s="3" t="s">
        <v>1</v>
      </c>
      <c r="D4" s="3" t="s">
        <v>1</v>
      </c>
      <c r="F4" s="79" t="s">
        <v>51</v>
      </c>
      <c r="G4" s="80"/>
      <c r="H4" s="80"/>
      <c r="I4" s="80"/>
      <c r="J4" s="80"/>
      <c r="K4" s="81"/>
      <c r="Q4" s="3" t="s">
        <v>52</v>
      </c>
      <c r="R4" s="3" t="s">
        <v>53</v>
      </c>
      <c r="U4" s="3" t="s">
        <v>1</v>
      </c>
      <c r="W4" s="3" t="s">
        <v>1</v>
      </c>
      <c r="X4" s="3" t="s">
        <v>1</v>
      </c>
      <c r="Z4" s="3" t="s">
        <v>1</v>
      </c>
      <c r="AA4" s="3" t="s">
        <v>1</v>
      </c>
      <c r="AG4" s="8"/>
      <c r="AH4" s="9" t="s">
        <v>2</v>
      </c>
      <c r="AI4" s="4"/>
      <c r="AJ4" s="10"/>
      <c r="AK4" s="10"/>
      <c r="AL4" s="4"/>
      <c r="AM4" s="4"/>
      <c r="AN4" s="4"/>
      <c r="AP4" s="82"/>
      <c r="AQ4" s="82"/>
    </row>
    <row r="5" spans="1:49" s="16" customFormat="1" ht="107.2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2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3" t="s">
        <v>14</v>
      </c>
      <c r="M5" s="13" t="s">
        <v>15</v>
      </c>
      <c r="N5" s="11" t="s">
        <v>16</v>
      </c>
      <c r="O5" s="11" t="s">
        <v>17</v>
      </c>
      <c r="P5" s="11" t="s">
        <v>18</v>
      </c>
      <c r="Q5" s="12" t="s">
        <v>19</v>
      </c>
      <c r="R5" s="12" t="s">
        <v>20</v>
      </c>
      <c r="S5" s="14" t="s">
        <v>21</v>
      </c>
      <c r="T5" s="14" t="s">
        <v>22</v>
      </c>
      <c r="U5" s="14" t="s">
        <v>23</v>
      </c>
      <c r="V5" s="11" t="s">
        <v>24</v>
      </c>
      <c r="W5" s="11" t="s">
        <v>25</v>
      </c>
      <c r="X5" s="11" t="s">
        <v>26</v>
      </c>
      <c r="Y5" s="15" t="s">
        <v>27</v>
      </c>
      <c r="Z5" s="15" t="s">
        <v>28</v>
      </c>
      <c r="AA5" s="15" t="s">
        <v>29</v>
      </c>
      <c r="AB5" s="15" t="s">
        <v>30</v>
      </c>
      <c r="AC5" s="15" t="s">
        <v>31</v>
      </c>
      <c r="AD5" s="15" t="s">
        <v>32</v>
      </c>
      <c r="AE5" s="15" t="s">
        <v>33</v>
      </c>
      <c r="AF5" s="15" t="s">
        <v>34</v>
      </c>
      <c r="AH5" s="17" t="s">
        <v>35</v>
      </c>
      <c r="AI5" s="17" t="s">
        <v>36</v>
      </c>
      <c r="AJ5" s="17" t="s">
        <v>37</v>
      </c>
      <c r="AK5" s="17" t="s">
        <v>38</v>
      </c>
      <c r="AL5" s="17" t="s">
        <v>39</v>
      </c>
      <c r="AM5" s="17" t="s">
        <v>40</v>
      </c>
      <c r="AN5" s="18"/>
      <c r="AO5" s="19"/>
    </row>
    <row r="6" spans="1:49" s="16" customFormat="1" ht="54" customHeight="1">
      <c r="A6" s="20">
        <v>50000</v>
      </c>
      <c r="B6" s="20">
        <f>ROUND(A6/12,2)</f>
        <v>4166.67</v>
      </c>
      <c r="C6" s="21">
        <f>+B6*$E$8</f>
        <v>68133387.840000004</v>
      </c>
      <c r="D6" s="21">
        <v>20000000</v>
      </c>
      <c r="E6" s="21">
        <v>0</v>
      </c>
      <c r="F6" s="22">
        <v>9100786</v>
      </c>
      <c r="G6" s="22">
        <v>15000000</v>
      </c>
      <c r="H6" s="23">
        <v>5000</v>
      </c>
      <c r="I6" s="22">
        <f>ROUND(H6*$E$8,0)</f>
        <v>81760000</v>
      </c>
      <c r="J6" s="22"/>
      <c r="K6" s="22">
        <f>F6+G6+I6+J6</f>
        <v>105860786</v>
      </c>
      <c r="L6" s="22">
        <f>9000000+2*3600000</f>
        <v>16200000</v>
      </c>
      <c r="M6" s="22">
        <f>27800000*1.5%</f>
        <v>417000</v>
      </c>
      <c r="N6" s="22">
        <f>K6-L6-M6</f>
        <v>89243786</v>
      </c>
      <c r="O6" s="22">
        <f>IF(N6&lt;0,0,IF((N6)&gt;61850000,(N6-9850000)/65%,IF((N6)&gt;42250000,(N6-5850000)/70%,IF((N6)&gt;27250000,(N6-3250000)/75%,IF((N6)&gt;16050000,(N6-1650000)/80%,IF((N6)&gt;9250000,(N6-750000)/85%,IF((N6)&gt;4750000,(N6-250000)/90%,(N6)/95%)))))))</f>
        <v>122144286.15384614</v>
      </c>
      <c r="P6" s="22">
        <f>ROUND(O6+L6+M6,0)</f>
        <v>138761286</v>
      </c>
      <c r="Q6" s="22">
        <v>35000000</v>
      </c>
      <c r="R6" s="22">
        <f>MIN(Q6,(C6+D6-E6+P6)*15%)</f>
        <v>34034201.075999998</v>
      </c>
      <c r="S6" s="22">
        <f>+K6+R6-L6-M6</f>
        <v>123277987.07600001</v>
      </c>
      <c r="T6" s="22">
        <f>IF(S6&lt;0,0,IF((S6)&gt;61850000,(S6-9850000)/65%,IF((S6)&gt;42250000,(S6-5850000)/70%,IF((S6)&gt;27250000,(S6-3250000)/75%,IF((S6)&gt;16050000,(S6-1650000)/80%,IF((S6)&gt;9250000,(S6-750000)/85%,IF((S6)&gt;4750000,(S6-250000)/90%,(S6)/95%)))))))</f>
        <v>174504595.50153846</v>
      </c>
      <c r="U6" s="22">
        <f>+T6+L6+M6</f>
        <v>191121595.50153846</v>
      </c>
      <c r="V6" s="24">
        <f>+U6+C6+D6-E6</f>
        <v>279254983.34153843</v>
      </c>
      <c r="W6" s="22">
        <f>V6-L6-M6</f>
        <v>262637983.34153843</v>
      </c>
      <c r="X6" s="22">
        <f>IF(W6&lt;=5000000,W6*5%,IF(W6&lt;=10000000,(W6-5000000)*10%+250000,IF(W6&lt;=18000000,(W6-10000000)*15%+750000,IF(W6&lt;=32000000,(W6-18000000)*20%+1950000,IF(W6&lt;=52000000,(W6-32000000)*25%+4750000,IF(W6&lt;=80000000,(W6-52000000)*30%+9750000,(W6-80000000)*35%+18150000))))))</f>
        <v>82073294.169538438</v>
      </c>
      <c r="Y6" s="22">
        <f>C6+D6-E6</f>
        <v>88133387.840000004</v>
      </c>
      <c r="Z6" s="22">
        <f>Y6-L6-M6</f>
        <v>71516387.840000004</v>
      </c>
      <c r="AA6" s="22">
        <f>IF(Z6&lt;=5000000,Z6*5%,IF(Z6&lt;=10000000,(Z6-5000000)*10%+250000,IF(Z6&lt;=18000000,(Z6-10000000)*15%+750000,IF(Z6&lt;=32000000,(Z6-18000000)*20%+1950000,IF(Z6&lt;=52000000,(Z6-32000000)*25%+4750000,IF(Z6&lt;=80000000,(Z6-52000000)*30%+9750000,(Z6-80000000)*35%+18150000))))))</f>
        <v>15604916.352000002</v>
      </c>
      <c r="AB6" s="23">
        <f>ROUND((Y6-AA6-M6)/$E$8,2)</f>
        <v>4409.95</v>
      </c>
      <c r="AC6" s="23">
        <f>ROUND((367244*7%)/12,2)</f>
        <v>2142.2600000000002</v>
      </c>
      <c r="AD6" s="23">
        <v>472</v>
      </c>
      <c r="AE6" s="25">
        <f>+AE24/$E$8</f>
        <v>0</v>
      </c>
      <c r="AF6" s="26">
        <f>+ROUND(AB6-AC6-AD6-AE6,2)</f>
        <v>1795.69</v>
      </c>
      <c r="AH6" s="27"/>
      <c r="AI6" s="28"/>
      <c r="AJ6" s="29"/>
      <c r="AK6" s="30"/>
      <c r="AL6" s="31"/>
      <c r="AM6" s="28"/>
      <c r="AN6" s="32"/>
      <c r="AO6" s="33"/>
    </row>
    <row r="7" spans="1:49" ht="38.25" customHeigh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22">
        <f>MIN(Q7,(C7+D7-E7+P7)*15%)</f>
        <v>0</v>
      </c>
      <c r="S7" s="35"/>
      <c r="T7" s="35"/>
      <c r="U7" s="35"/>
      <c r="V7" s="34">
        <f>V6/$E$8</f>
        <v>17077.726476366097</v>
      </c>
      <c r="W7" s="34"/>
      <c r="X7" s="34">
        <f>X6/$E$8</f>
        <v>5019.1593792525955</v>
      </c>
      <c r="Y7" s="34">
        <f>Y6/$E$8</f>
        <v>5389.7619765166346</v>
      </c>
      <c r="Z7" s="34">
        <f>Z6/$E$8</f>
        <v>4373.5560078277886</v>
      </c>
      <c r="AA7" s="34">
        <f>AA6/$E$8</f>
        <v>954.31239921722124</v>
      </c>
      <c r="AB7" s="34"/>
      <c r="AC7" s="34"/>
      <c r="AD7" s="34"/>
      <c r="AE7" s="34"/>
      <c r="AF7" s="34"/>
      <c r="AH7" s="27"/>
      <c r="AI7" s="28"/>
      <c r="AJ7" s="29"/>
      <c r="AK7" s="36"/>
      <c r="AL7" s="31"/>
      <c r="AM7" s="28"/>
      <c r="AN7" s="4"/>
    </row>
    <row r="8" spans="1:49" ht="15.6">
      <c r="A8" s="37" t="s">
        <v>41</v>
      </c>
      <c r="B8" s="38"/>
      <c r="C8" s="39"/>
      <c r="D8" s="40" t="s">
        <v>42</v>
      </c>
      <c r="E8" s="35">
        <v>16352</v>
      </c>
      <c r="H8" s="40"/>
      <c r="K8" s="35"/>
      <c r="L8" s="41"/>
      <c r="M8" s="41"/>
      <c r="N8" s="41"/>
      <c r="O8" s="41"/>
      <c r="P8" s="41"/>
      <c r="Q8" s="42"/>
      <c r="R8" s="41"/>
      <c r="S8" s="41"/>
      <c r="T8" s="41"/>
      <c r="U8" s="41"/>
      <c r="V8" s="34"/>
      <c r="W8" s="41"/>
      <c r="X8" s="41"/>
      <c r="Y8" s="41"/>
      <c r="Z8" s="41"/>
      <c r="AA8" s="41"/>
      <c r="AB8" s="41"/>
      <c r="AC8" s="43"/>
      <c r="AD8" s="44"/>
      <c r="AE8" s="44"/>
      <c r="AF8" s="44"/>
      <c r="AG8" s="44"/>
      <c r="AH8" s="27"/>
      <c r="AI8" s="28"/>
      <c r="AJ8" s="29"/>
      <c r="AK8" s="28"/>
      <c r="AL8" s="31"/>
      <c r="AM8" s="28"/>
      <c r="AN8" s="4"/>
    </row>
    <row r="9" spans="1:49" ht="15.6">
      <c r="A9" s="45"/>
      <c r="B9" s="45"/>
      <c r="D9" s="46" t="s">
        <v>43</v>
      </c>
      <c r="E9" s="35">
        <v>23470</v>
      </c>
      <c r="H9" s="46"/>
      <c r="K9" s="35"/>
      <c r="AA9" s="47"/>
      <c r="AB9" s="47"/>
      <c r="AH9" s="27"/>
      <c r="AI9" s="28"/>
      <c r="AJ9" s="28"/>
      <c r="AK9" s="28"/>
      <c r="AL9" s="31"/>
      <c r="AM9" s="28"/>
      <c r="AN9" s="4"/>
    </row>
    <row r="10" spans="1:49" ht="15" customHeight="1">
      <c r="F10" s="48"/>
      <c r="G10" s="48"/>
      <c r="H10" s="48"/>
      <c r="I10" s="49"/>
      <c r="J10" s="49"/>
      <c r="AA10" s="47"/>
      <c r="AB10" s="47"/>
      <c r="AH10" s="50"/>
      <c r="AI10" s="51" t="s">
        <v>13</v>
      </c>
      <c r="AJ10" s="51"/>
      <c r="AK10" s="52">
        <f>SUM(AK6:AK9)</f>
        <v>0</v>
      </c>
      <c r="AL10" s="53">
        <f>SUM(AL6:AL9)</f>
        <v>0</v>
      </c>
      <c r="AM10" s="54"/>
      <c r="AN10" s="4"/>
    </row>
    <row r="11" spans="1:49" ht="16.2" thickBot="1">
      <c r="AH11" s="55"/>
      <c r="AI11" s="56"/>
      <c r="AJ11" s="9" t="s">
        <v>13</v>
      </c>
      <c r="AK11" s="57"/>
      <c r="AL11" s="58">
        <f>$AK$10*$E$9+$AL$10</f>
        <v>0</v>
      </c>
      <c r="AM11" s="4"/>
      <c r="AN11" s="4"/>
    </row>
    <row r="12" spans="1:49" s="63" customFormat="1" ht="36" customHeight="1" thickBot="1">
      <c r="A12" s="59" t="str">
        <f>"NET TRANSFER IN "&amp;UPPER(TEXT(B2,"MMMM YYYY"))</f>
        <v>NET TRANSFER IN MAY 2019</v>
      </c>
      <c r="B12" s="60"/>
      <c r="C12" s="60"/>
      <c r="D12" s="61" t="s">
        <v>44</v>
      </c>
      <c r="E12" s="62">
        <f>+AF6</f>
        <v>1795.69</v>
      </c>
      <c r="K12" s="64"/>
      <c r="AH12" s="4"/>
      <c r="AI12" s="4"/>
      <c r="AJ12" s="4"/>
      <c r="AK12" s="3"/>
      <c r="AL12" s="57"/>
      <c r="AM12" s="4"/>
    </row>
    <row r="13" spans="1:49" ht="15.6">
      <c r="I13" s="42"/>
      <c r="J13" s="42"/>
      <c r="K13" s="42"/>
      <c r="AH13" s="4"/>
      <c r="AI13" s="42"/>
      <c r="AJ13" s="42"/>
      <c r="AK13" s="65" t="s">
        <v>45</v>
      </c>
      <c r="AL13" s="66">
        <v>43466</v>
      </c>
      <c r="AM13" s="66">
        <v>43497</v>
      </c>
      <c r="AN13" s="66">
        <v>43525</v>
      </c>
      <c r="AO13" s="66">
        <v>43556</v>
      </c>
      <c r="AP13" s="66">
        <v>43586</v>
      </c>
      <c r="AQ13" s="66">
        <v>43617</v>
      </c>
      <c r="AR13" s="66">
        <v>43647</v>
      </c>
      <c r="AS13" s="66">
        <v>43678</v>
      </c>
      <c r="AT13" s="66">
        <v>43709</v>
      </c>
      <c r="AU13" s="66">
        <v>43739</v>
      </c>
      <c r="AV13" s="66">
        <v>43770</v>
      </c>
      <c r="AW13" s="66">
        <v>43800</v>
      </c>
    </row>
    <row r="14" spans="1:49" ht="15.6">
      <c r="A14" s="3" t="s">
        <v>46</v>
      </c>
      <c r="B14" s="41"/>
      <c r="I14" s="47"/>
      <c r="J14" s="47"/>
      <c r="AI14" s="42" t="s">
        <v>47</v>
      </c>
      <c r="AJ14" s="33"/>
      <c r="AK14" s="65">
        <v>109209427</v>
      </c>
      <c r="AL14" s="42">
        <f>ROUND($AK$14/12,2)</f>
        <v>9100785.5800000001</v>
      </c>
      <c r="AM14" s="42">
        <f t="shared" ref="AM14:AW14" si="0">ROUND($AK$14/12,2)</f>
        <v>9100785.5800000001</v>
      </c>
      <c r="AN14" s="42">
        <f t="shared" si="0"/>
        <v>9100785.5800000001</v>
      </c>
      <c r="AO14" s="42">
        <f t="shared" si="0"/>
        <v>9100785.5800000001</v>
      </c>
      <c r="AP14" s="42">
        <f t="shared" si="0"/>
        <v>9100785.5800000001</v>
      </c>
      <c r="AQ14" s="42">
        <f t="shared" si="0"/>
        <v>9100785.5800000001</v>
      </c>
      <c r="AR14" s="42">
        <f t="shared" si="0"/>
        <v>9100785.5800000001</v>
      </c>
      <c r="AS14" s="42">
        <f t="shared" si="0"/>
        <v>9100785.5800000001</v>
      </c>
      <c r="AT14" s="42">
        <f t="shared" si="0"/>
        <v>9100785.5800000001</v>
      </c>
      <c r="AU14" s="42">
        <f t="shared" si="0"/>
        <v>9100785.5800000001</v>
      </c>
      <c r="AV14" s="42">
        <f t="shared" si="0"/>
        <v>9100785.5800000001</v>
      </c>
      <c r="AW14" s="42">
        <f t="shared" si="0"/>
        <v>9100785.5800000001</v>
      </c>
    </row>
    <row r="15" spans="1:49" ht="15.6">
      <c r="N15" s="75"/>
      <c r="AH15" s="63"/>
      <c r="AI15" s="42"/>
      <c r="AJ15" s="33"/>
      <c r="AK15" s="65"/>
      <c r="AL15" s="42"/>
      <c r="AM15" s="42"/>
      <c r="AN15" s="42"/>
      <c r="AO15" s="42"/>
      <c r="AP15" s="42"/>
    </row>
    <row r="16" spans="1:49" ht="18.75" customHeight="1">
      <c r="K16" s="67"/>
      <c r="AI16" s="68"/>
      <c r="AJ16" s="43"/>
      <c r="AK16" s="42"/>
      <c r="AL16" s="42"/>
      <c r="AM16" s="42"/>
    </row>
    <row r="17" spans="2:42">
      <c r="K17" s="69"/>
      <c r="AI17" s="68"/>
      <c r="AJ17" s="43"/>
      <c r="AK17" s="42"/>
      <c r="AL17" s="42"/>
      <c r="AM17" s="42"/>
    </row>
    <row r="18" spans="2:42">
      <c r="F18" s="70"/>
      <c r="G18" s="71"/>
      <c r="K18" s="67"/>
    </row>
    <row r="19" spans="2:42">
      <c r="F19" s="70"/>
      <c r="G19" s="71"/>
    </row>
    <row r="20" spans="2:42">
      <c r="F20" s="70"/>
      <c r="G20" s="71"/>
    </row>
    <row r="21" spans="2:42" s="2" customFormat="1" ht="15.75" customHeight="1">
      <c r="G21" s="71"/>
      <c r="AH21" s="3"/>
      <c r="AI21" s="3"/>
      <c r="AJ21" s="3"/>
      <c r="AK21" s="3"/>
      <c r="AL21" s="3"/>
      <c r="AM21" s="3"/>
      <c r="AN21" s="3"/>
      <c r="AO21" s="3"/>
      <c r="AP21" s="3"/>
    </row>
    <row r="22" spans="2:42" ht="15.75" customHeight="1">
      <c r="O22" s="72"/>
      <c r="P22" s="72"/>
      <c r="Q22" s="72"/>
      <c r="R22" s="72"/>
      <c r="S22" s="72"/>
      <c r="T22" s="72"/>
      <c r="U22" s="72"/>
      <c r="AN22" s="2"/>
      <c r="AO22" s="2"/>
      <c r="AP22" s="2"/>
    </row>
    <row r="23" spans="2:42" ht="15.75" customHeight="1">
      <c r="B23" s="73"/>
      <c r="L23" s="73"/>
      <c r="N23" s="73"/>
      <c r="AB23" s="73"/>
      <c r="AH23" s="2"/>
      <c r="AI23" s="2"/>
      <c r="AJ23" s="2"/>
      <c r="AK23" s="2"/>
      <c r="AL23" s="2"/>
      <c r="AM23" s="2"/>
    </row>
    <row r="24" spans="2:42">
      <c r="AC24" s="43">
        <f>ROUND(AC6*$E$8,0)</f>
        <v>35030236</v>
      </c>
      <c r="AD24" s="35">
        <f>ROUND(AD6*$E$8,0)</f>
        <v>7718144</v>
      </c>
      <c r="AE24" s="35">
        <f>AL11</f>
        <v>0</v>
      </c>
      <c r="AF24" s="74">
        <f>AF6*$E$8</f>
        <v>29363122.880000003</v>
      </c>
      <c r="AG24" s="43"/>
    </row>
    <row r="25" spans="2:42">
      <c r="H25" s="42"/>
      <c r="O25" s="75"/>
      <c r="P25" s="76"/>
      <c r="Q25" s="74"/>
      <c r="V25" s="34"/>
      <c r="X25" s="77"/>
      <c r="Y25" s="42"/>
      <c r="Z25" s="43"/>
      <c r="AC25" s="74">
        <f>SUM(AC24:AE24)</f>
        <v>42748380</v>
      </c>
      <c r="AF25" s="42"/>
    </row>
    <row r="26" spans="2:42" ht="15.6">
      <c r="F26" s="77"/>
      <c r="G26" s="77"/>
      <c r="H26" s="77"/>
      <c r="I26" s="42"/>
      <c r="J26" s="42"/>
      <c r="K26" s="42"/>
      <c r="V26" s="34"/>
      <c r="X26" s="77"/>
      <c r="Y26" s="42"/>
      <c r="Z26" s="43" t="s">
        <v>48</v>
      </c>
      <c r="AA26" s="74">
        <f>X6-AA6</f>
        <v>66468377.81753844</v>
      </c>
      <c r="AB26" s="3" t="s">
        <v>49</v>
      </c>
      <c r="AC26" s="41"/>
      <c r="AD26" s="42"/>
      <c r="AE26" s="42"/>
      <c r="AF26" s="42"/>
      <c r="AG26" s="41"/>
      <c r="AH26" s="78"/>
    </row>
    <row r="27" spans="2:42">
      <c r="Y27" s="42"/>
      <c r="Z27" s="43" t="s">
        <v>50</v>
      </c>
      <c r="AA27" s="74">
        <f>U6</f>
        <v>191121595.50153846</v>
      </c>
      <c r="AC27" s="42">
        <f>AA27+AC25</f>
        <v>233869975.50153846</v>
      </c>
      <c r="AD27" s="42"/>
      <c r="AH27" s="42"/>
    </row>
    <row r="28" spans="2:42">
      <c r="Y28" s="42"/>
      <c r="Z28" s="42"/>
      <c r="AE28" s="34"/>
      <c r="AF28" s="74"/>
      <c r="AH28" s="76"/>
    </row>
    <row r="29" spans="2:42">
      <c r="AA29" s="74"/>
      <c r="AC29" s="76"/>
      <c r="AE29" s="42"/>
      <c r="AH29" s="42"/>
      <c r="AI29" s="74"/>
    </row>
    <row r="30" spans="2:42">
      <c r="AE30" s="74"/>
      <c r="AF30" s="74"/>
    </row>
    <row r="48" spans="6:6">
      <c r="F48" s="47"/>
    </row>
  </sheetData>
  <mergeCells count="2">
    <mergeCell ref="F4:K4"/>
    <mergeCell ref="AP4:AQ4"/>
  </mergeCells>
  <phoneticPr fontId="13" type="noConversion"/>
  <pageMargins left="0.19685039370078741" right="0.19685039370078741" top="0.31496062992125984" bottom="0.74803149606299213" header="0.31496062992125984" footer="0.31496062992125984"/>
  <pageSetup paperSize="8" scale="3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 19</vt:lpstr>
      <vt:lpstr>'May 19'!Print_Area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Lien Chi</dc:creator>
  <cp:lastModifiedBy>Wang, Qi (ESI-GV)</cp:lastModifiedBy>
  <dcterms:created xsi:type="dcterms:W3CDTF">2019-08-14T05:37:13Z</dcterms:created>
  <dcterms:modified xsi:type="dcterms:W3CDTF">2019-10-11T05:55:31Z</dcterms:modified>
</cp:coreProperties>
</file>